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Hinrik/Desktop/MK/Grammið/"/>
    </mc:Choice>
  </mc:AlternateContent>
  <xr:revisionPtr revIDLastSave="0" documentId="13_ncr:1_{534B97B2-B105-AB4A-89C7-21E7C4E4E833}" xr6:coauthVersionLast="47" xr6:coauthVersionMax="47" xr10:uidLastSave="{00000000-0000-0000-0000-000000000000}"/>
  <workbookProtection workbookAlgorithmName="SHA-512" workbookHashValue="yKiv4WcOQKCuuN8Q+hFp9ZChjR/RKPUwPy9M+t57bP6PEMWpF5BrL4M+yulbC/KAxYELmJXzyicDqkvFVNVVEA==" workbookSaltValue="PTWGKzxcBiN5055/FWhOSA==" workbookSpinCount="100000" lockStructure="1"/>
  <bookViews>
    <workbookView xWindow="0" yWindow="680" windowWidth="29440" windowHeight="16360" tabRatio="500" xr2:uid="{00000000-000D-0000-FFFF-FFFF00000000}"/>
  </bookViews>
  <sheets>
    <sheet name="📋 Forsíða" sheetId="1" r:id="rId1"/>
    <sheet name="V1 — Hugmyndamótun" sheetId="2" r:id="rId2"/>
    <sheet name="V2 — Staðsetning" sheetId="3" r:id="rId3"/>
    <sheet name="V3 — Samkeppnisgreining" sheetId="4" r:id="rId4"/>
    <sheet name="V4 — Matseðill" sheetId="5" r:id="rId5"/>
    <sheet name="V5 — Fjárhagsáætlun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6" l="1"/>
  <c r="C30" i="6"/>
  <c r="C29" i="6"/>
  <c r="C23" i="6"/>
  <c r="C22" i="6"/>
  <c r="C34" i="5"/>
  <c r="D31" i="5"/>
  <c r="C31" i="5"/>
  <c r="D30" i="5"/>
  <c r="C30" i="5"/>
  <c r="D29" i="5"/>
  <c r="C29" i="5"/>
  <c r="D28" i="5"/>
  <c r="C28" i="5"/>
  <c r="D27" i="5"/>
  <c r="C27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C31" i="4"/>
  <c r="C30" i="4"/>
  <c r="C32" i="4" s="1"/>
  <c r="F28" i="3"/>
  <c r="E28" i="3"/>
  <c r="D28" i="3"/>
  <c r="C28" i="3"/>
  <c r="F27" i="3"/>
  <c r="E27" i="3"/>
  <c r="D27" i="3"/>
  <c r="C27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E29" i="3" s="1"/>
  <c r="D22" i="3"/>
  <c r="D29" i="3" s="1"/>
  <c r="C22" i="3"/>
  <c r="C29" i="3" s="1"/>
  <c r="F21" i="3"/>
  <c r="E21" i="3"/>
  <c r="D21" i="3"/>
  <c r="C21" i="3"/>
  <c r="C25" i="2"/>
  <c r="C24" i="2"/>
  <c r="C28" i="2" s="1"/>
  <c r="C29" i="2" s="1"/>
  <c r="C23" i="2"/>
  <c r="C22" i="2"/>
  <c r="C32" i="3" l="1"/>
  <c r="C38" i="3"/>
  <c r="C24" i="6"/>
  <c r="E24" i="6" l="1"/>
  <c r="C25" i="6"/>
  <c r="C28" i="6" l="1"/>
  <c r="E25" i="6"/>
  <c r="C40" i="6"/>
  <c r="D40" i="6" s="1"/>
  <c r="C32" i="6"/>
  <c r="E32" i="6" s="1"/>
  <c r="C39" i="6"/>
  <c r="D39" i="6" s="1"/>
  <c r="E22" i="6"/>
  <c r="E29" i="6"/>
  <c r="E30" i="6"/>
  <c r="E23" i="6"/>
  <c r="E31" i="6"/>
  <c r="E28" i="6" l="1"/>
  <c r="C33" i="6"/>
  <c r="E33" i="6" l="1"/>
  <c r="C38" i="6"/>
  <c r="D38" i="6" s="1"/>
  <c r="D48" i="6"/>
  <c r="D47" i="6"/>
  <c r="C34" i="6"/>
  <c r="D50" i="6"/>
  <c r="D49" i="6"/>
  <c r="F49" i="6" l="1"/>
  <c r="E49" i="6"/>
  <c r="F50" i="6"/>
  <c r="E50" i="6"/>
  <c r="E34" i="6"/>
  <c r="C41" i="6"/>
  <c r="D41" i="6" s="1"/>
  <c r="E47" i="6"/>
  <c r="F47" i="6"/>
  <c r="F48" i="6"/>
  <c r="E48" i="6"/>
</calcChain>
</file>

<file path=xl/sharedStrings.xml><?xml version="1.0" encoding="utf-8"?>
<sst xmlns="http://schemas.openxmlformats.org/spreadsheetml/2006/main" count="308" uniqueCount="287">
  <si>
    <t>GRAMMIÐ — VEITINGAREKSTUR</t>
  </si>
  <si>
    <t>Verkefnabók nemanda  |  Restaurant Management Workbook</t>
  </si>
  <si>
    <t>Nafn nemanda / Student name:</t>
  </si>
  <si>
    <t>Bekkur / Class:</t>
  </si>
  <si>
    <t>Dagsetning / Date:</t>
  </si>
  <si>
    <t>Kennari / Instructor:</t>
  </si>
  <si>
    <t>VERKEFNI / EXERCISES</t>
  </si>
  <si>
    <t>V1</t>
  </si>
  <si>
    <t>Hugmyndamótun / Concept development</t>
  </si>
  <si>
    <t>V2</t>
  </si>
  <si>
    <t>Staðsetning / Location selection</t>
  </si>
  <si>
    <t>V3</t>
  </si>
  <si>
    <t>Samkeppnisgreining / Competitive analysis</t>
  </si>
  <si>
    <t>V4</t>
  </si>
  <si>
    <t>Matseðill / Menu design</t>
  </si>
  <si>
    <t>V5</t>
  </si>
  <si>
    <t>Fjárhagsáætlun / Financial forecast</t>
  </si>
  <si>
    <t>LEIÐBEININGAR: Fylltu út reitina með bláum texta (Input). Endurgjöfin kemur sjálfkrafa. / INSTRUCTIONS: Fill in blue input cells. Feedback is automatic.</t>
  </si>
  <si>
    <t>V1 — HUGMYNDAMÓTUN  |  CONCEPT DEVELOPMENT</t>
  </si>
  <si>
    <t>Þróaðu hráa hugmynd að veitingastað í fullmótaðan rekstrarlegan ramma / Develop a raw concept into a complete operational framework</t>
  </si>
  <si>
    <t xml:space="preserve">  SKREF 1 — HRÁA HUGMYNDIN / STEP 1 — RAW CONCEPT</t>
  </si>
  <si>
    <t>Veldu eina hugmynd úr listanum eða skrifaðu þína eigin / Choose one concept from the list or write your own:</t>
  </si>
  <si>
    <t>Veldu hugmynd / Choose concept ▼</t>
  </si>
  <si>
    <t>Lítið sjávarréttabistró</t>
  </si>
  <si>
    <t>Þín eigin lýsing (valkvæmt) / Your own description (optional)</t>
  </si>
  <si>
    <t xml:space="preserve">  SKREF 2 — KJARNAHUGMYNDIN / STEP 2 — CORE CONCEPT ELEMENTS</t>
  </si>
  <si>
    <t>Fylltu út alla reiti. Kerfið mun kanna hvort þættirnir samræmast / Fill in all fields. The system will check for internal consistency.</t>
  </si>
  <si>
    <t>Kjarnahugmynd / Core concept</t>
  </si>
  <si>
    <t>Markhópur / Target market</t>
  </si>
  <si>
    <t>Sérstöðu / Unique selling point</t>
  </si>
  <si>
    <t>Þjónustustíll / Service style</t>
  </si>
  <si>
    <t>Formlegt / óformlegt / sjálfsafgreiðsla? / Formal / informal / self-service?</t>
  </si>
  <si>
    <t>Verðflokkur / Price category</t>
  </si>
  <si>
    <t>Lágt / miðlungs / hátt verðlag / Low / medium / high price range</t>
  </si>
  <si>
    <t>Aðallegar tekjuleiðir / Main revenue</t>
  </si>
  <si>
    <t>Hráefnisstefna / Ingredient policy</t>
  </si>
  <si>
    <t>Andrúmsloft / Atmosphere</t>
  </si>
  <si>
    <t xml:space="preserve">  SKREF 3 — SAMRÆMISGREINING / STEP 3 — CONSISTENCY CHECK</t>
  </si>
  <si>
    <t>Kerfið kannar hvort þættirnir passa saman. Rauðir reitir gefa til kynna misræmi / System checks coherence. Red cells indicate inconsistency.</t>
  </si>
  <si>
    <t>Verðlag og markhópur / Price vs. market</t>
  </si>
  <si>
    <t>Price level vs. target market</t>
  </si>
  <si>
    <t>Þjónusta og andrúmsloft / Service vs. atmosphere</t>
  </si>
  <si>
    <t>Service style vs. atmosphere</t>
  </si>
  <si>
    <t>Sérstöðu og samkeppni / USP vs. market</t>
  </si>
  <si>
    <t>Uniqueness described?</t>
  </si>
  <si>
    <t>Tekjuleiðir og verðlag / Revenue vs. price</t>
  </si>
  <si>
    <t>Revenue streams vs. pricing</t>
  </si>
  <si>
    <t xml:space="preserve">  SKREF 4 — HEILDARMAT / STEP 4 — OVERALL ASSESSMENT</t>
  </si>
  <si>
    <t>Fjöldi samræmdra þátta / Coherence score</t>
  </si>
  <si>
    <t>Heildardómur / Overall verdict</t>
  </si>
  <si>
    <t>Heimild / Source: McKeever (2019); Walker (2021). Grammið — Hótel- og matvælaskóli Íslands</t>
  </si>
  <si>
    <t>V2 — STAÐSETNINGARVAL  |  LOCATION SELECTION</t>
  </si>
  <si>
    <t>Berðu saman þrjár staðsetningar og veldu bestu / Compare three locations and choose the best</t>
  </si>
  <si>
    <t xml:space="preserve">  HUGTAK SEM ÞARF STAÐSETNINGU / THE CONCEPT NEEDING A LOCATION</t>
  </si>
  <si>
    <t>Veitingahugtak / Concept</t>
  </si>
  <si>
    <t>Heilsusamlegur hádegisstaður</t>
  </si>
  <si>
    <t>Starfsfólk á skrifstofu og nemendur</t>
  </si>
  <si>
    <t xml:space="preserve">  STAÐSETNINGAGÖGN / LOCATION DATA  (Gögn gefin / Data provided)</t>
  </si>
  <si>
    <t>ÞÁTTUR / FACTOR</t>
  </si>
  <si>
    <t>STAÐSETNING A / LOCATION A
Miðbær / City centre</t>
  </si>
  <si>
    <t>STAÐSETNING B / LOCATION B
Úthverfi / Suburb</t>
  </si>
  <si>
    <t>STAÐSETNING C / LOCATION C
Kaupalið / Shopping mall</t>
  </si>
  <si>
    <t>ÞYNGD / WEIGHT</t>
  </si>
  <si>
    <t>SKÝRING / NOTE</t>
  </si>
  <si>
    <t>Mánaðarleg leiga (þ.kr.) / Monthly rent (000 ISK)</t>
  </si>
  <si>
    <t>Hér er 100% = hæst verð</t>
  </si>
  <si>
    <t>Umferðarflæði (manns/dag) / Foot traffic (persons/day)</t>
  </si>
  <si>
    <t>Fleiri = betri</t>
  </si>
  <si>
    <t>Bílastæði (fjöldi) / Parking spaces</t>
  </si>
  <si>
    <t>Mikilvægt fyrir hádegismat</t>
  </si>
  <si>
    <t>Sýnileiki (1-5) / Visibility (1-5)</t>
  </si>
  <si>
    <t>5 = fullkomið</t>
  </si>
  <si>
    <t>Nálægð við skrifstofur (1-5) / Proximity to offices</t>
  </si>
  <si>
    <t>Lykilþáttur fyrir markhóp</t>
  </si>
  <si>
    <t>Samkeppni í nágrenninu / Competitors nearby</t>
  </si>
  <si>
    <t>Færri = minna þrýstingur</t>
  </si>
  <si>
    <t>Afhendingarmöguleikar (1-5) / Delivery access</t>
  </si>
  <si>
    <t>5 = auðveldast</t>
  </si>
  <si>
    <t>Leigusamningur (ár) / Lease term (years)</t>
  </si>
  <si>
    <t>Lengri = meiri skuldbinding</t>
  </si>
  <si>
    <t xml:space="preserve">  STIGAMAT (SJÁLFVIRKT) / SCORING (AUTOMATIC)</t>
  </si>
  <si>
    <t>LOC A</t>
  </si>
  <si>
    <t>LOC B</t>
  </si>
  <si>
    <t>LOC C</t>
  </si>
  <si>
    <t>Leiga (lægst = best) / Rent (lowest = best)</t>
  </si>
  <si>
    <t>Umferð / Foot traffic</t>
  </si>
  <si>
    <t>Bílastæði / Parking</t>
  </si>
  <si>
    <t>Sýnileiki / Visibility</t>
  </si>
  <si>
    <t>Nálægð við markhóp / Proximity to target</t>
  </si>
  <si>
    <t>Samkeppni (færri = best) / Competition (fewer = best)</t>
  </si>
  <si>
    <t>Afhending / Delivery</t>
  </si>
  <si>
    <t>Leigusamningur / Lease flexibility</t>
  </si>
  <si>
    <t>HEILDARSTIG / TOTAL SCORE</t>
  </si>
  <si>
    <t xml:space="preserve">  NIÐURSTAÐA / RESULT</t>
  </si>
  <si>
    <t>Besta staðsetning / Best location</t>
  </si>
  <si>
    <t xml:space="preserve">  ÞITT VAL OG RÖKSTUÐNINGUR / YOUR CHOICE AND JUSTIFICATION</t>
  </si>
  <si>
    <t>Þín valda staðsetning / Your chosen location</t>
  </si>
  <si>
    <t>Staðsetning A — Miðbær</t>
  </si>
  <si>
    <t>Rökstuðningur / Justification</t>
  </si>
  <si>
    <t>Helsta galli valins staðar / Main weakness</t>
  </si>
  <si>
    <t>Samræmist við stigamat? / Matches scoring?</t>
  </si>
  <si>
    <t>Heimild / Source: Walker (2021); McKeever (2019). Grammið — Hótel- og matvælaskóli Íslands</t>
  </si>
  <si>
    <t>V3 — SAMKEPPNISGREINING  |  COMPETITIVE ANALYSIS</t>
  </si>
  <si>
    <t>Greindu 3 keppinauta og finndu samkeppnisforskot þíns staðar / Analyse 3 competitors and identify your competitive advantage</t>
  </si>
  <si>
    <t xml:space="preserve">  ÞINN STAÐUR / YOUR VENUE</t>
  </si>
  <si>
    <t>Nafn staðarins / Venue name</t>
  </si>
  <si>
    <t>Minn veitingastaður</t>
  </si>
  <si>
    <t xml:space="preserve">  KEPPINAUTARNIR / COMPETITORS (Gögn gefin / Data provided)</t>
  </si>
  <si>
    <t>KEPPINAUTUR A
Herðubreiðin</t>
  </si>
  <si>
    <t>KEPPINAUTUR B
Kaldalón</t>
  </si>
  <si>
    <t>KEPPINAUTUR C
Sóley Bistró</t>
  </si>
  <si>
    <t>ÞINN STAÐUR
Your venue</t>
  </si>
  <si>
    <t>GREINING
Analysis</t>
  </si>
  <si>
    <t>Verðlag (1-5) / Price level</t>
  </si>
  <si>
    <t>1=lágt, 5=lúxus</t>
  </si>
  <si>
    <t>Matseðilsbreið (1-5) / Menu range</t>
  </si>
  <si>
    <t>1=þröngur, 5=fjölbreyttur</t>
  </si>
  <si>
    <t>Þjónustutig (1-5) / Service level</t>
  </si>
  <si>
    <t>1=sjálfsafgreiðsla, 5=fín</t>
  </si>
  <si>
    <t>Andrúmsloft (1-5) / Atmosphere</t>
  </si>
  <si>
    <t>1=grunnt, 5=einstakt</t>
  </si>
  <si>
    <t>Opnunartímar / Opening hours</t>
  </si>
  <si>
    <t>11-22</t>
  </si>
  <si>
    <t>18-23</t>
  </si>
  <si>
    <t>12-22</t>
  </si>
  <si>
    <t>Dæmigerðar tímar</t>
  </si>
  <si>
    <t>Meðaleinkunn / Avg. rating</t>
  </si>
  <si>
    <t>Af 5.0</t>
  </si>
  <si>
    <t>Helsti styrkleiki / Main strength</t>
  </si>
  <si>
    <t>Verð og staðsetning</t>
  </si>
  <si>
    <t>Gæði og andrúmsloft</t>
  </si>
  <si>
    <t>Fjölbreytni</t>
  </si>
  <si>
    <t>Helsti veikleiki / Main weakness</t>
  </si>
  <si>
    <t>Lélegt þjónustustig</t>
  </si>
  <si>
    <t>Of dýrt</t>
  </si>
  <si>
    <t>Hægt eldhús</t>
  </si>
  <si>
    <t xml:space="preserve">  PORTER-GREINING / PORTER'S ANALYSIS</t>
  </si>
  <si>
    <t>Flokkaðu hvern þátt sem ógn, tækifæri eða styrk / Classify each element as threat, opportunity or strength</t>
  </si>
  <si>
    <t>ÞÁTTUR</t>
  </si>
  <si>
    <t>FLOKKUR / CLASS</t>
  </si>
  <si>
    <t>RÖKSTUÐNINGUR / JUSTIFICATION</t>
  </si>
  <si>
    <t>ALVARLEIKI / SEVERITY</t>
  </si>
  <si>
    <t>Samkeppni á markaðnum / Industry rivalry</t>
  </si>
  <si>
    <t>Hætta á nýjum keppinautum / Threat of new entrants</t>
  </si>
  <si>
    <t>Staðgönguvörur / Substitute products</t>
  </si>
  <si>
    <t>Samningstaða birgja / Supplier power</t>
  </si>
  <si>
    <t>Samningstaða kaupenda / Buyer power</t>
  </si>
  <si>
    <t xml:space="preserve">  SAMKEPPNISFORSKOT / COMPETITIVE ADVANTAGE</t>
  </si>
  <si>
    <t>Hvar er samkeppnisforskotið? / Where is the competitive advantage?</t>
  </si>
  <si>
    <t>Hvernig mun staðurinn aðgreina sig? / How will the venue differentiate?</t>
  </si>
  <si>
    <t>Fjöldi greindra ógna / Number of threats identified</t>
  </si>
  <si>
    <t>Fjöldi greindra tækifæra / Opportunities found</t>
  </si>
  <si>
    <t>Heildardómur / Overall assessment</t>
  </si>
  <si>
    <t>Heimild / Source: Porter (1980). Grammið — Hótel- og matvælaskóli Íslands</t>
  </si>
  <si>
    <t>V4 — MATSEÐILLINN SEM STJÓRNTÆKI  |  THE MENU AS MANAGEMENT TOOL</t>
  </si>
  <si>
    <t>Veldu 8-12 rétti og sjáðu hvernig kerfið metur hráefnanýtingu og rekstrarlega framkvæmd / Choose 8-12 dishes and see how the system rates ingredient efficiency and operational feasibility</t>
  </si>
  <si>
    <t xml:space="preserve">  REITABANKI — VELJA ÚR / DISH BANK — SELECT FROM (Settu X í dálk C)</t>
  </si>
  <si>
    <t>Settu X í dálk C til að velja rétt á matseðilinn þinn. Veldu 8-12 rétti. / Put X in column C to add dish to your menu. Select 8-12 dishes.</t>
  </si>
  <si>
    <t>RÉTTUR / DISH</t>
  </si>
  <si>
    <t>VALINN?
(X=já)</t>
  </si>
  <si>
    <t>FLOKKUR / CATEGORY</t>
  </si>
  <si>
    <t>VERÐ (kr)</t>
  </si>
  <si>
    <t>HRÁEFNAKOSTNAÐUR
(% af verði)</t>
  </si>
  <si>
    <t>ELDHÚSFLÆKJUSTIG
(1-5)</t>
  </si>
  <si>
    <t>SAMEIG. HRÁEFNI
(1-5)</t>
  </si>
  <si>
    <t>HRÁEFNANÝTING
(sjálfvirkt)</t>
  </si>
  <si>
    <t>Þorskur á rótargrænmeti / Cod on root vegetables</t>
  </si>
  <si>
    <t>Fiskréttur</t>
  </si>
  <si>
    <t>Humarssúpa / Lobster bisque</t>
  </si>
  <si>
    <t>Súpa</t>
  </si>
  <si>
    <t>Laxatartar / Salmon tartare</t>
  </si>
  <si>
    <t>Forréttir</t>
  </si>
  <si>
    <t>Lambakóteletta / Lamb chops</t>
  </si>
  <si>
    <t>Kjötréttur</t>
  </si>
  <si>
    <t>Grænmetisbörkur / Vegetable tart</t>
  </si>
  <si>
    <t>Grænmetisréttur</t>
  </si>
  <si>
    <t>Caesar salat / Caesar salad</t>
  </si>
  <si>
    <t>Salat</t>
  </si>
  <si>
    <t>Nautasteik / Beef tenderloin</t>
  </si>
  <si>
    <t>Rauðrófusúpa / Beetroot soup</t>
  </si>
  <si>
    <t>Humarsneið / Lobster medallion</t>
  </si>
  <si>
    <t>Kjúklingalær / Chicken thigh confit</t>
  </si>
  <si>
    <t>Pasta með sveppum / Pasta with mushrooms</t>
  </si>
  <si>
    <t>Pasta</t>
  </si>
  <si>
    <t>Hrísgrjónabörkur / Risotto</t>
  </si>
  <si>
    <t>Skyr cheesecake / Skyr cheesecake</t>
  </si>
  <si>
    <t>Eftirréttir</t>
  </si>
  <si>
    <t>Súkkulaðiköku / Chocolate fondant</t>
  </si>
  <si>
    <t>Ostaplata / Cheese board</t>
  </si>
  <si>
    <t>Brauð og smjör / Bread and butter</t>
  </si>
  <si>
    <t>Meðlæti</t>
  </si>
  <si>
    <t>Salatmeðlæti / Side salad</t>
  </si>
  <si>
    <t>Franskar kartöflur / French fries</t>
  </si>
  <si>
    <t xml:space="preserve">  SJÁLFVIRK GREINING MATSEÐILSINS / AUTOMATIC MENU ANALYSIS</t>
  </si>
  <si>
    <t>Fjöldi valinna rétta / Dishes selected</t>
  </si>
  <si>
    <t>Meðal hráefnakostnaður / Avg ingredient cost %</t>
  </si>
  <si>
    <t>Meðal eldhúsflækjustig / Avg kitchen complexity</t>
  </si>
  <si>
    <t>Meðal hráefnasamgildi / Avg ingredient sharing</t>
  </si>
  <si>
    <t>Fjöldi flokka / Number of categories</t>
  </si>
  <si>
    <t xml:space="preserve">  HEILDARDÓMUR / OVERALL VERDICT</t>
  </si>
  <si>
    <t>Matseðillinn þinn er / Your menu is</t>
  </si>
  <si>
    <t>Heimild / Source: Ozdemir &amp; Caliskan (2014); Walker (2021). Grammið — Hótel- og matvælaskóli Íslands</t>
  </si>
  <si>
    <t>V5 — FJÁRHAGSÁÆTLUN  |  FINANCIAL FEASIBILITY</t>
  </si>
  <si>
    <t>Segjir tölurnar já eða nei? Greindu rekstrarlegar forsendur og áhættu / Do the numbers work? Analyse operational assumptions and risk</t>
  </si>
  <si>
    <t xml:space="preserve">  GRUNNFORSENDUR / BASE ASSUMPTIONS  (Breytanlegar / Adjustable — blár texti)</t>
  </si>
  <si>
    <t>Breyttu bláu reitunum til að sjá áhrif á rekstrarhæfi. Allar niðurstöður uppfærast sjálfkrafa. / Change blue cells to see impact on viability. All results update automatically.</t>
  </si>
  <si>
    <t>FORSENDA / ASSUMPTION</t>
  </si>
  <si>
    <t>GILDI / VALUE</t>
  </si>
  <si>
    <t>EINING / UNIT</t>
  </si>
  <si>
    <t>LÝSING / DESCRIPTION</t>
  </si>
  <si>
    <t>SEÐILL / NOTE</t>
  </si>
  <si>
    <t>Opnunardagar á ári / Open days p.a.</t>
  </si>
  <si>
    <t>dagar</t>
  </si>
  <si>
    <t>Fjöldi daga sem staðurinn er opinn</t>
  </si>
  <si>
    <t>Dæmi: 300 = lokuð 65 dagar</t>
  </si>
  <si>
    <t>Máltíðir á dag (hádegi) / Lunch covers</t>
  </si>
  <si>
    <t>gestir</t>
  </si>
  <si>
    <t>Meðalfjöldi gesta á hádegi</t>
  </si>
  <si>
    <t>Raunhæft byrjun</t>
  </si>
  <si>
    <t>Máltíðir á dag (kvöld) / Dinner covers</t>
  </si>
  <si>
    <t>Meðalfjöldi gesta á kvöldi</t>
  </si>
  <si>
    <t>Ef opið kvöld</t>
  </si>
  <si>
    <t>Meðalreikningur hádegi / Avg lunch spend</t>
  </si>
  <si>
    <t>kr/gest</t>
  </si>
  <si>
    <t>Meðalútgjöld á gest á hádegi</t>
  </si>
  <si>
    <t>Án drykkjar</t>
  </si>
  <si>
    <t>Meðalreikningur kvöld / Avg dinner spend</t>
  </si>
  <si>
    <t>Meðalútgjöld á gest á kvöldi</t>
  </si>
  <si>
    <t>Með drykkjar</t>
  </si>
  <si>
    <t>Drykkjasala % af mat / Beverage % of food</t>
  </si>
  <si>
    <t>%</t>
  </si>
  <si>
    <t>Hlutfall drykkjatekna af mattekjum</t>
  </si>
  <si>
    <t>Dæmigert 25-40%</t>
  </si>
  <si>
    <t>Hráefnakostnaður % / Food cost %</t>
  </si>
  <si>
    <t>Hlutfall hráefnakostnaðar af matverði</t>
  </si>
  <si>
    <t>Markmið &lt; 35%</t>
  </si>
  <si>
    <t>Mánaðarleg húsaleiga / Monthly rent</t>
  </si>
  <si>
    <t>kr</t>
  </si>
  <si>
    <t>Mánaðarleiga exkl. VSK</t>
  </si>
  <si>
    <t>Athugaðu hlutfall!</t>
  </si>
  <si>
    <t>Mánaðarlaun starfsfólks / Monthly payroll</t>
  </si>
  <si>
    <t>Heildarlaun + tryggingar</t>
  </si>
  <si>
    <t>Stærsti kostnaður</t>
  </si>
  <si>
    <t>Aðrar fastar mánaðarútgjöld / Other fixed</t>
  </si>
  <si>
    <t>Rafmagn, net, tryggingar, bókhald</t>
  </si>
  <si>
    <t>Áætlaðu rúmlega</t>
  </si>
  <si>
    <t>Breytilegur kostnaður % / Variable cost %</t>
  </si>
  <si>
    <t>Af tekjum — pakkefni, tæknigjöld</t>
  </si>
  <si>
    <t>Utan hráefna</t>
  </si>
  <si>
    <t>Stofnkostnaður / Setup cost</t>
  </si>
  <si>
    <t>Innréttingar, tæki, leyfi, birgðir</t>
  </si>
  <si>
    <t>Einu sinni greiðsla</t>
  </si>
  <si>
    <t xml:space="preserve">  REKSTRARREIKNINGUR (SJÁLFVIRKT) / P&amp;L STATEMENT (AUTOMATIC)</t>
  </si>
  <si>
    <t>LIÐUR / ITEM</t>
  </si>
  <si>
    <t>UPPHÆÐ (kr/ár) / AMOUNT (ISK/yr)</t>
  </si>
  <si>
    <t>% AF TEKJUM / % OF REVENUE</t>
  </si>
  <si>
    <t>Mattekjur hádegi á ári / Lunch food revenue</t>
  </si>
  <si>
    <t>Mattekjur kvöld á ári / Dinner food revenue</t>
  </si>
  <si>
    <t>Drykkjatekjur / Beverage revenue</t>
  </si>
  <si>
    <t>HEILDAR TEKJUR / TOTAL REVENUE</t>
  </si>
  <si>
    <t>Hráefnakostnaður / Food cost</t>
  </si>
  <si>
    <t>Laun / Payroll</t>
  </si>
  <si>
    <t>Húsaleiga / Rent</t>
  </si>
  <si>
    <t>Aðrar fastar útgjöld / Other fixed</t>
  </si>
  <si>
    <t>Breytilegur kostnaður / Variable</t>
  </si>
  <si>
    <t>HEILDAR KOSTNAÐUR / TOTAL COSTS</t>
  </si>
  <si>
    <t>REKSTRARLEGT FRAMLEGÐ / OPERATING PROFIT (EBITDA)</t>
  </si>
  <si>
    <t xml:space="preserve">  LYKILNIÐURSTÖÐUR / KEY METRICS</t>
  </si>
  <si>
    <t>Gestir á dag til jafnvægis / Break-even covers/day</t>
  </si>
  <si>
    <t>Hlutfall leigu af tekjum / Rent as % of revenue</t>
  </si>
  <si>
    <t>Hlutfall launa af tekjum / Payroll as % of revenue</t>
  </si>
  <si>
    <t>Endurgreiðslutími stofnkostnaðar / Payback period (years)</t>
  </si>
  <si>
    <t xml:space="preserve">  HVAÐ EF? SVIÐSMYNDIR / WHAT-IF SCENARIOS</t>
  </si>
  <si>
    <t>Þessar sviðsmyndir sýna áhrif á EBITDA miðað við grunnforsendur þínar / These scenarios show impact on EBITDA vs. your base assumptions</t>
  </si>
  <si>
    <t>SVIÐSMYND / SCENARIO</t>
  </si>
  <si>
    <t>BREYTINGIN / CHANGE</t>
  </si>
  <si>
    <t>EBITDA / RESULT (kr)</t>
  </si>
  <si>
    <t>BREYTINGUR / DELTA</t>
  </si>
  <si>
    <t>MAT / ASSESSMENT</t>
  </si>
  <si>
    <t>Lægri gestafjöldi (-20%)</t>
  </si>
  <si>
    <t>Gestir x 0.8</t>
  </si>
  <si>
    <t>Hærri húsaleiga (+30%)</t>
  </si>
  <si>
    <t>Leiga x 1.3</t>
  </si>
  <si>
    <t>Aukin drykkjasala (+10% pct)</t>
  </si>
  <si>
    <t>Meiri drykkjasala</t>
  </si>
  <si>
    <t>Hráefnakostnaður +5%</t>
  </si>
  <si>
    <t>Food cost +5%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</si>
</sst>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theme="1"/>
      <name val="Calibri"/>
      <family val="2"/>
      <charset val="1"/>
    </font>
    <font>
      <b/>
      <sz val="28"/>
      <color rgb="FFC8A96E"/>
      <name val="Arial"/>
      <family val="2"/>
    </font>
    <font>
      <i/>
      <sz val="14"/>
      <color rgb="FF555555"/>
      <name val="Arial"/>
      <family val="2"/>
    </font>
    <font>
      <b/>
      <sz val="11"/>
      <color rgb="FF0A0A0A"/>
      <name val="Arial"/>
      <family val="2"/>
    </font>
    <font>
      <sz val="11"/>
      <color rgb="FF0000CC"/>
      <name val="Arial"/>
      <family val="2"/>
    </font>
    <font>
      <b/>
      <sz val="13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A0A0A"/>
      <name val="Arial"/>
      <family val="2"/>
    </font>
    <font>
      <i/>
      <sz val="9"/>
      <color rgb="FF555555"/>
      <name val="Arial"/>
      <family val="2"/>
    </font>
    <font>
      <b/>
      <sz val="16"/>
      <color rgb="FF0A0A0A"/>
      <name val="Arial"/>
      <family val="2"/>
    </font>
    <font>
      <i/>
      <sz val="10"/>
      <color rgb="FF555555"/>
      <name val="Arial"/>
      <family val="2"/>
    </font>
    <font>
      <b/>
      <sz val="12"/>
      <color rgb="FFFFFFFF"/>
      <name val="Arial"/>
      <family val="2"/>
    </font>
    <font>
      <i/>
      <sz val="9"/>
      <color rgb="FF664400"/>
      <name val="Arial"/>
      <family val="2"/>
    </font>
    <font>
      <b/>
      <sz val="10"/>
      <color rgb="FF0A0A0A"/>
      <name val="Arial"/>
      <family val="2"/>
    </font>
    <font>
      <sz val="10"/>
      <color rgb="FF0000CC"/>
      <name val="Arial"/>
      <family val="2"/>
    </font>
    <font>
      <i/>
      <sz val="8"/>
      <color rgb="FF555555"/>
      <name val="Arial"/>
      <family val="2"/>
    </font>
    <font>
      <sz val="10"/>
      <color rgb="FF0A0A0A"/>
      <name val="Arial"/>
      <family val="2"/>
    </font>
    <font>
      <b/>
      <sz val="14"/>
      <color rgb="FF0A0A0A"/>
      <name val="Arial"/>
      <family val="2"/>
    </font>
    <font>
      <b/>
      <sz val="9"/>
      <color rgb="FFFFFFFF"/>
      <name val="Arial"/>
      <family val="2"/>
    </font>
    <font>
      <b/>
      <sz val="9"/>
      <color rgb="FF0A0A0A"/>
      <name val="Arial"/>
      <family val="2"/>
    </font>
    <font>
      <b/>
      <sz val="10"/>
      <color rgb="FF0000CC"/>
      <name val="Arial"/>
      <family val="2"/>
    </font>
    <font>
      <sz val="9"/>
      <color rgb="FF0A0A0A"/>
      <name val="Arial"/>
      <family val="2"/>
    </font>
    <font>
      <sz val="9"/>
      <color rgb="FF555555"/>
      <name val="Arial"/>
      <family val="2"/>
    </font>
    <font>
      <b/>
      <sz val="13"/>
      <color rgb="FF0A0A0A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7700"/>
      <name val="Arial"/>
      <family val="2"/>
    </font>
    <font>
      <sz val="11"/>
      <color rgb="FF0A0A0A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C8A96E"/>
        <bgColor rgb="FFCCCCCC"/>
      </patternFill>
    </fill>
    <fill>
      <patternFill patternType="solid">
        <fgColor rgb="FFF5F5F2"/>
        <bgColor rgb="FFF8F8F6"/>
      </patternFill>
    </fill>
    <fill>
      <patternFill patternType="solid">
        <fgColor rgb="FFEAF3DE"/>
        <bgColor rgb="FFE8F5F0"/>
      </patternFill>
    </fill>
    <fill>
      <patternFill patternType="solid">
        <fgColor rgb="FF0A0A0A"/>
        <bgColor rgb="FF000000"/>
      </patternFill>
    </fill>
    <fill>
      <patternFill patternType="solid">
        <fgColor rgb="FF1D9E75"/>
        <bgColor rgb="FF008080"/>
      </patternFill>
    </fill>
    <fill>
      <patternFill patternType="solid">
        <fgColor rgb="FF378ADD"/>
        <bgColor rgb="FF1D9E75"/>
      </patternFill>
    </fill>
    <fill>
      <patternFill patternType="solid">
        <fgColor rgb="FFD85A30"/>
        <bgColor rgb="FFBA7517"/>
      </patternFill>
    </fill>
    <fill>
      <patternFill patternType="solid">
        <fgColor rgb="FFBA7517"/>
        <bgColor rgb="FF8B6914"/>
      </patternFill>
    </fill>
    <fill>
      <patternFill patternType="solid">
        <fgColor rgb="FF7F77DD"/>
        <bgColor rgb="FF378ADD"/>
      </patternFill>
    </fill>
    <fill>
      <patternFill patternType="solid">
        <fgColor rgb="FFFFF8E7"/>
        <bgColor rgb="FFF8F8F6"/>
      </patternFill>
    </fill>
    <fill>
      <patternFill patternType="solid">
        <fgColor rgb="FF1A2B25"/>
        <bgColor rgb="FF0D2B25"/>
      </patternFill>
    </fill>
    <fill>
      <patternFill patternType="solid">
        <fgColor rgb="FFFFFFFF"/>
        <bgColor rgb="FFF8F8F6"/>
      </patternFill>
    </fill>
    <fill>
      <patternFill patternType="solid">
        <fgColor rgb="FF0D2B25"/>
        <bgColor rgb="FF1A2B25"/>
      </patternFill>
    </fill>
    <fill>
      <patternFill patternType="solid">
        <fgColor rgb="FF0A1E30"/>
        <bgColor rgb="FF0D2B25"/>
      </patternFill>
    </fill>
    <fill>
      <patternFill patternType="solid">
        <fgColor rgb="FF201500"/>
        <bgColor rgb="FF2B150D"/>
      </patternFill>
    </fill>
    <fill>
      <patternFill patternType="solid">
        <fgColor rgb="FFE8F5F0"/>
        <bgColor rgb="FFE8F0F8"/>
      </patternFill>
    </fill>
    <fill>
      <patternFill patternType="solid">
        <fgColor rgb="FFE8F0F8"/>
        <bgColor rgb="FFE6F1FB"/>
      </patternFill>
    </fill>
    <fill>
      <patternFill patternType="solid">
        <fgColor rgb="FFE6F1FB"/>
        <bgColor rgb="FFE8F0F8"/>
      </patternFill>
    </fill>
    <fill>
      <patternFill patternType="solid">
        <fgColor rgb="FF2B150D"/>
        <bgColor rgb="FF201500"/>
      </patternFill>
    </fill>
    <fill>
      <patternFill patternType="solid">
        <fgColor rgb="FFFFF0EC"/>
        <bgColor rgb="FFFFF8E7"/>
      </patternFill>
    </fill>
    <fill>
      <patternFill patternType="solid">
        <fgColor rgb="FFF8F8F6"/>
        <bgColor rgb="FFF5F5F2"/>
      </patternFill>
    </fill>
    <fill>
      <patternFill patternType="solid">
        <fgColor rgb="FFF0F0F0"/>
        <bgColor rgb="FFF5F5F2"/>
      </patternFill>
    </fill>
    <fill>
      <patternFill patternType="solid">
        <fgColor rgb="FFC6EFCE"/>
        <bgColor rgb="FFC6E0F5"/>
      </patternFill>
    </fill>
    <fill>
      <patternFill patternType="solid">
        <fgColor rgb="FFFFCDD2"/>
        <bgColor rgb="FFE8D5A8"/>
      </patternFill>
    </fill>
    <fill>
      <patternFill patternType="solid">
        <fgColor rgb="FF8B6914"/>
        <bgColor rgb="FFBA7517"/>
      </patternFill>
    </fill>
    <fill>
      <patternFill patternType="solid">
        <fgColor rgb="FFE8D5A8"/>
        <bgColor rgb="FFFFCDD2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rgb="FFC8A96E"/>
      </left>
      <right style="medium">
        <color rgb="FFC8A96E"/>
      </right>
      <top style="medium">
        <color rgb="FFC8A96E"/>
      </top>
      <bottom style="medium">
        <color rgb="FFC8A96E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4" borderId="1" xfId="0" applyFont="1" applyFill="1" applyBorder="1"/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13" fillId="1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6" fillId="17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21" fillId="3" borderId="1" xfId="0" applyFont="1" applyFill="1" applyBorder="1"/>
    <xf numFmtId="164" fontId="1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5" borderId="1" xfId="0" applyFont="1" applyFill="1" applyBorder="1"/>
    <xf numFmtId="164" fontId="17" fillId="1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13" fillId="3" borderId="1" xfId="0" applyFont="1" applyFill="1" applyBorder="1"/>
    <xf numFmtId="0" fontId="18" fillId="20" borderId="1" xfId="0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/>
    </xf>
    <xf numFmtId="0" fontId="21" fillId="23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left" vertical="center" wrapText="1"/>
    </xf>
    <xf numFmtId="0" fontId="21" fillId="13" borderId="1" xfId="0" applyFont="1" applyFill="1" applyBorder="1" applyAlignment="1">
      <alignment horizontal="center" vertical="center"/>
    </xf>
    <xf numFmtId="9" fontId="24" fillId="13" borderId="1" xfId="0" applyNumberFormat="1" applyFont="1" applyFill="1" applyBorder="1" applyAlignment="1">
      <alignment horizontal="center" vertical="center"/>
    </xf>
    <xf numFmtId="164" fontId="24" fillId="1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9" fontId="4" fillId="4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/>
    <xf numFmtId="0" fontId="28" fillId="6" borderId="1" xfId="0" applyFont="1" applyFill="1" applyBorder="1"/>
    <xf numFmtId="0" fontId="28" fillId="8" borderId="1" xfId="0" applyFont="1" applyFill="1" applyBorder="1"/>
    <xf numFmtId="0" fontId="29" fillId="26" borderId="3" xfId="0" applyFont="1" applyFill="1" applyBorder="1"/>
    <xf numFmtId="3" fontId="24" fillId="13" borderId="1" xfId="0" applyNumberFormat="1" applyFont="1" applyFill="1" applyBorder="1" applyAlignment="1">
      <alignment horizontal="center" vertical="center"/>
    </xf>
    <xf numFmtId="165" fontId="24" fillId="13" borderId="1" xfId="0" applyNumberFormat="1" applyFont="1" applyFill="1" applyBorder="1" applyAlignment="1">
      <alignment horizontal="center" vertical="center"/>
    </xf>
    <xf numFmtId="3" fontId="3" fillId="13" borderId="1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 wrapText="1"/>
    </xf>
    <xf numFmtId="0" fontId="15" fillId="0" borderId="0" xfId="0" applyFont="1"/>
    <xf numFmtId="0" fontId="11" fillId="10" borderId="2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3" fillId="13" borderId="3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/>
    </xf>
    <xf numFmtId="0" fontId="25" fillId="13" borderId="1" xfId="0" applyFont="1" applyFill="1" applyBorder="1" applyAlignment="1">
      <alignment horizontal="left" vertical="center" wrapText="1"/>
    </xf>
    <xf numFmtId="0" fontId="24" fillId="13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27" fillId="13" borderId="1" xfId="0" applyNumberFormat="1" applyFont="1" applyFill="1" applyBorder="1" applyAlignment="1">
      <alignment horizontal="center" vertical="center"/>
    </xf>
    <xf numFmtId="165" fontId="16" fillId="13" borderId="1" xfId="0" applyNumberFormat="1" applyFont="1" applyFill="1" applyBorder="1" applyAlignment="1">
      <alignment horizontal="center" vertical="center"/>
    </xf>
    <xf numFmtId="3" fontId="3" fillId="24" borderId="1" xfId="0" applyNumberFormat="1" applyFont="1" applyFill="1" applyBorder="1" applyAlignment="1">
      <alignment horizontal="center" vertical="center"/>
    </xf>
    <xf numFmtId="165" fontId="13" fillId="13" borderId="1" xfId="0" applyNumberFormat="1" applyFont="1" applyFill="1" applyBorder="1" applyAlignment="1">
      <alignment horizontal="center" vertical="center"/>
    </xf>
    <xf numFmtId="3" fontId="3" fillId="25" borderId="1" xfId="0" applyNumberFormat="1" applyFont="1" applyFill="1" applyBorder="1" applyAlignment="1">
      <alignment horizontal="center" vertical="center"/>
    </xf>
    <xf numFmtId="3" fontId="17" fillId="27" borderId="3" xfId="0" applyNumberFormat="1" applyFont="1" applyFill="1" applyBorder="1" applyAlignment="1">
      <alignment horizontal="center" vertical="center"/>
    </xf>
    <xf numFmtId="165" fontId="24" fillId="27" borderId="3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9"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FFCDD2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  <dxf>
      <fill>
        <patternFill>
          <bgColor rgb="FFFFECB3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  <dxf>
      <fill>
        <patternFill>
          <bgColor rgb="FFC6E0F5"/>
        </patternFill>
      </fill>
    </dxf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  <dxf>
      <fill>
        <patternFill>
          <bgColor rgb="FFFFCDD2"/>
        </patternFill>
      </fill>
    </dxf>
    <dxf>
      <fill>
        <patternFill>
          <bgColor rgb="FFFFECB3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EAF3DE"/>
      <rgbColor rgb="FFFF00FF"/>
      <rgbColor rgb="FF00FFFF"/>
      <rgbColor rgb="FF800000"/>
      <rgbColor rgb="FF007700"/>
      <rgbColor rgb="FF0A0A0A"/>
      <rgbColor rgb="FF8B6914"/>
      <rgbColor rgb="FF800080"/>
      <rgbColor rgb="FF008080"/>
      <rgbColor rgb="FFCCCCCC"/>
      <rgbColor rgb="FF7F77DD"/>
      <rgbColor rgb="FFF8F8F6"/>
      <rgbColor rgb="FF993366"/>
      <rgbColor rgb="FFFFF8E7"/>
      <rgbColor rgb="FFE8F5F0"/>
      <rgbColor rgb="FF660066"/>
      <rgbColor rgb="FFFF8080"/>
      <rgbColor rgb="FF0066CC"/>
      <rgbColor rgb="FFC6E0F5"/>
      <rgbColor rgb="FF201500"/>
      <rgbColor rgb="FFFF00FF"/>
      <rgbColor rgb="FFFFF0EC"/>
      <rgbColor rgb="FF00FFFF"/>
      <rgbColor rgb="FF800080"/>
      <rgbColor rgb="FF800000"/>
      <rgbColor rgb="FF008080"/>
      <rgbColor rgb="FF0000FF"/>
      <rgbColor rgb="FF00CCFF"/>
      <rgbColor rgb="FFE6F1FB"/>
      <rgbColor rgb="FFC6EFCE"/>
      <rgbColor rgb="FFFFECB3"/>
      <rgbColor rgb="FFE8F0F8"/>
      <rgbColor rgb="FFFFCDD2"/>
      <rgbColor rgb="FFF0F0F0"/>
      <rgbColor rgb="FFE8D5A8"/>
      <rgbColor rgb="FF378ADD"/>
      <rgbColor rgb="FF33CCCC"/>
      <rgbColor rgb="FF99CC00"/>
      <rgbColor rgb="FFF5F5F2"/>
      <rgbColor rgb="FFBA7517"/>
      <rgbColor rgb="FFD85A30"/>
      <rgbColor rgb="FF555555"/>
      <rgbColor rgb="FFC8A96E"/>
      <rgbColor rgb="FF0A1E30"/>
      <rgbColor rgb="FF1D9E75"/>
      <rgbColor rgb="FF0D2B25"/>
      <rgbColor rgb="FF2B150D"/>
      <rgbColor rgb="FF664400"/>
      <rgbColor rgb="FF993366"/>
      <rgbColor rgb="FF333399"/>
      <rgbColor rgb="FF1A2B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8A96E"/>
  </sheetPr>
  <dimension ref="B1:M28"/>
  <sheetViews>
    <sheetView showGridLines="0" tabSelected="1" zoomScaleNormal="100" workbookViewId="0">
      <selection activeCell="B2" sqref="B2:M2"/>
    </sheetView>
  </sheetViews>
  <sheetFormatPr baseColWidth="10" defaultColWidth="8.6640625" defaultRowHeight="15" x14ac:dyDescent="0.2"/>
  <cols>
    <col min="1" max="13" width="14" customWidth="1"/>
  </cols>
  <sheetData>
    <row r="1" spans="2:13" ht="7.5" customHeight="1" x14ac:dyDescent="0.2"/>
    <row r="2" spans="2:13" ht="60" customHeight="1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30" customHeight="1" x14ac:dyDescent="0.2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ht="6" customHeight="1" x14ac:dyDescent="0.2"/>
    <row r="5" spans="2:13" ht="21.75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3" ht="7.5" customHeight="1" x14ac:dyDescent="0.2"/>
    <row r="7" spans="2:13" ht="25.5" customHeight="1" x14ac:dyDescent="0.2">
      <c r="B7" s="12" t="s">
        <v>2</v>
      </c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2:13" ht="25.5" customHeight="1" x14ac:dyDescent="0.2">
      <c r="B8" s="12" t="s">
        <v>3</v>
      </c>
      <c r="C8" s="12"/>
      <c r="D8" s="12"/>
      <c r="E8" s="11"/>
      <c r="F8" s="11"/>
      <c r="G8" s="11"/>
      <c r="H8" s="11"/>
      <c r="I8" s="11"/>
      <c r="J8" s="11"/>
      <c r="K8" s="11"/>
      <c r="L8" s="11"/>
      <c r="M8" s="11"/>
    </row>
    <row r="9" spans="2:13" ht="25.5" customHeight="1" x14ac:dyDescent="0.2">
      <c r="B9" s="12" t="s">
        <v>4</v>
      </c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</row>
    <row r="10" spans="2:13" ht="25.5" customHeight="1" x14ac:dyDescent="0.2">
      <c r="B10" s="12" t="s">
        <v>5</v>
      </c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</row>
    <row r="11" spans="2:13" ht="9.75" customHeight="1" x14ac:dyDescent="0.2"/>
    <row r="12" spans="2:13" ht="24" customHeight="1" x14ac:dyDescent="0.2">
      <c r="B12" s="10" t="s">
        <v>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2:13" ht="7.5" customHeight="1" x14ac:dyDescent="0.2"/>
    <row r="14" spans="2:13" ht="27.75" customHeight="1" x14ac:dyDescent="0.2">
      <c r="B14" s="9" t="s">
        <v>7</v>
      </c>
      <c r="C14" s="9"/>
      <c r="D14" s="8" t="s">
        <v>8</v>
      </c>
      <c r="E14" s="8"/>
      <c r="F14" s="8"/>
      <c r="G14" s="8"/>
      <c r="H14" s="8"/>
      <c r="I14" s="8"/>
      <c r="J14" s="8"/>
      <c r="K14" s="8"/>
      <c r="L14" s="8"/>
      <c r="M14" s="8"/>
    </row>
    <row r="15" spans="2:13" ht="15.75" customHeight="1" x14ac:dyDescent="0.2"/>
    <row r="16" spans="2:13" ht="7.5" customHeight="1" x14ac:dyDescent="0.2"/>
    <row r="17" spans="2:13" ht="27.75" customHeight="1" x14ac:dyDescent="0.2">
      <c r="B17" s="7" t="s">
        <v>9</v>
      </c>
      <c r="C17" s="7"/>
      <c r="D17" s="8" t="s">
        <v>10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ht="15.75" customHeight="1" x14ac:dyDescent="0.2"/>
    <row r="19" spans="2:13" ht="7.5" customHeight="1" x14ac:dyDescent="0.2"/>
    <row r="20" spans="2:13" ht="27.75" customHeight="1" x14ac:dyDescent="0.2">
      <c r="B20" s="6" t="s">
        <v>11</v>
      </c>
      <c r="C20" s="6"/>
      <c r="D20" s="8" t="s">
        <v>12</v>
      </c>
      <c r="E20" s="8"/>
      <c r="F20" s="8"/>
      <c r="G20" s="8"/>
      <c r="H20" s="8"/>
      <c r="I20" s="8"/>
      <c r="J20" s="8"/>
      <c r="K20" s="8"/>
      <c r="L20" s="8"/>
      <c r="M20" s="8"/>
    </row>
    <row r="21" spans="2:13" ht="15.75" customHeight="1" x14ac:dyDescent="0.2"/>
    <row r="22" spans="2:13" ht="7.5" customHeight="1" x14ac:dyDescent="0.2"/>
    <row r="23" spans="2:13" ht="27.75" customHeight="1" x14ac:dyDescent="0.2">
      <c r="B23" s="5" t="s">
        <v>13</v>
      </c>
      <c r="C23" s="5"/>
      <c r="D23" s="8" t="s">
        <v>14</v>
      </c>
      <c r="E23" s="8"/>
      <c r="F23" s="8"/>
      <c r="G23" s="8"/>
      <c r="H23" s="8"/>
      <c r="I23" s="8"/>
      <c r="J23" s="8"/>
      <c r="K23" s="8"/>
      <c r="L23" s="8"/>
      <c r="M23" s="8"/>
    </row>
    <row r="24" spans="2:13" ht="15.75" customHeight="1" x14ac:dyDescent="0.2"/>
    <row r="25" spans="2:13" ht="7.5" customHeight="1" x14ac:dyDescent="0.2"/>
    <row r="26" spans="2:13" ht="27.75" customHeight="1" x14ac:dyDescent="0.2">
      <c r="B26" s="4" t="s">
        <v>15</v>
      </c>
      <c r="C26" s="4"/>
      <c r="D26" s="8" t="s">
        <v>16</v>
      </c>
      <c r="E26" s="8"/>
      <c r="F26" s="8"/>
      <c r="G26" s="8"/>
      <c r="H26" s="8"/>
      <c r="I26" s="8"/>
      <c r="J26" s="8"/>
      <c r="K26" s="8"/>
      <c r="L26" s="8"/>
      <c r="M26" s="8"/>
    </row>
    <row r="27" spans="2:13" ht="15.75" customHeight="1" x14ac:dyDescent="0.2"/>
    <row r="28" spans="2:13" ht="30" customHeight="1" x14ac:dyDescent="0.2">
      <c r="B28" s="3" t="s">
        <v>17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sheetProtection algorithmName="SHA-512" hashValue="3IAZP8n/MaW/vmDGmXzIDpHDyaTc+DEhHVB8saF1xmMBd0yi8BXapX1zFZf4eluZA4A0dz4rgvi35cw1QmWHGQ==" saltValue="l47XuSy9C03EgRQJMOvVyg==" spinCount="100000" sheet="1" objects="1" scenarios="1"/>
  <mergeCells count="22">
    <mergeCell ref="B23:C23"/>
    <mergeCell ref="D23:M23"/>
    <mergeCell ref="B26:C26"/>
    <mergeCell ref="D26:M26"/>
    <mergeCell ref="B28:M28"/>
    <mergeCell ref="B14:C14"/>
    <mergeCell ref="D14:M14"/>
    <mergeCell ref="B17:C17"/>
    <mergeCell ref="D17:M17"/>
    <mergeCell ref="B20:C20"/>
    <mergeCell ref="D20:M20"/>
    <mergeCell ref="B9:D9"/>
    <mergeCell ref="E9:M9"/>
    <mergeCell ref="B10:D10"/>
    <mergeCell ref="E10:M10"/>
    <mergeCell ref="B12:M12"/>
    <mergeCell ref="B2:M2"/>
    <mergeCell ref="B3:M3"/>
    <mergeCell ref="B7:D7"/>
    <mergeCell ref="E7:M7"/>
    <mergeCell ref="B8:D8"/>
    <mergeCell ref="E8:M8"/>
  </mergeCell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D9E75"/>
  </sheetPr>
  <dimension ref="A1:G31"/>
  <sheetViews>
    <sheetView showGridLines="0" zoomScaleNormal="100" workbookViewId="0">
      <pane xSplit="1" ySplit="2" topLeftCell="B10" activePane="bottomRight" state="frozen"/>
      <selection pane="topRight" activeCell="B1" sqref="B1"/>
      <selection pane="bottomLeft" activeCell="A3" sqref="A3"/>
      <selection pane="bottomRight" sqref="A1:G1"/>
    </sheetView>
  </sheetViews>
  <sheetFormatPr baseColWidth="10" defaultColWidth="8.6640625" defaultRowHeight="15" x14ac:dyDescent="0.2"/>
  <cols>
    <col min="1" max="1" width="2" customWidth="1"/>
    <col min="2" max="2" width="32" customWidth="1"/>
    <col min="3" max="3" width="2.5" bestFit="1" customWidth="1"/>
    <col min="4" max="4" width="20" customWidth="1"/>
    <col min="5" max="5" width="22" customWidth="1"/>
    <col min="6" max="7" width="18" customWidth="1"/>
  </cols>
  <sheetData>
    <row r="1" spans="1:7" ht="36" customHeight="1" x14ac:dyDescent="0.2">
      <c r="A1" s="2" t="s">
        <v>18</v>
      </c>
      <c r="B1" s="2"/>
      <c r="C1" s="2"/>
      <c r="D1" s="2"/>
      <c r="E1" s="2"/>
      <c r="F1" s="2"/>
      <c r="G1" s="2"/>
    </row>
    <row r="2" spans="1:7" ht="19.5" customHeight="1" x14ac:dyDescent="0.2">
      <c r="A2" s="1" t="s">
        <v>19</v>
      </c>
      <c r="B2" s="1"/>
      <c r="C2" s="1"/>
      <c r="D2" s="1"/>
      <c r="E2" s="1"/>
      <c r="F2" s="1"/>
      <c r="G2" s="1"/>
    </row>
    <row r="3" spans="1:7" ht="7.5" customHeight="1" x14ac:dyDescent="0.2"/>
    <row r="4" spans="1:7" ht="24" customHeight="1" x14ac:dyDescent="0.2">
      <c r="A4" s="64" t="s">
        <v>20</v>
      </c>
      <c r="B4" s="64"/>
      <c r="C4" s="64"/>
      <c r="D4" s="64"/>
      <c r="E4" s="64"/>
      <c r="F4" s="64"/>
      <c r="G4" s="64"/>
    </row>
    <row r="5" spans="1:7" ht="39" customHeight="1" x14ac:dyDescent="0.2">
      <c r="A5" s="65" t="s">
        <v>21</v>
      </c>
      <c r="B5" s="65"/>
      <c r="C5" s="65"/>
      <c r="D5" s="65"/>
      <c r="E5" s="65"/>
      <c r="F5" s="65"/>
      <c r="G5" s="65"/>
    </row>
    <row r="6" spans="1:7" x14ac:dyDescent="0.2">
      <c r="B6" s="16" t="s">
        <v>22</v>
      </c>
      <c r="C6" s="66" t="s">
        <v>23</v>
      </c>
      <c r="D6" s="66"/>
      <c r="E6" s="66"/>
    </row>
    <row r="7" spans="1:7" ht="28" x14ac:dyDescent="0.2">
      <c r="B7" s="18" t="s">
        <v>24</v>
      </c>
      <c r="C7" s="66"/>
      <c r="D7" s="66"/>
      <c r="E7" s="66"/>
      <c r="F7" s="66"/>
      <c r="G7" s="66"/>
    </row>
    <row r="9" spans="1:7" ht="24" customHeight="1" x14ac:dyDescent="0.2">
      <c r="A9" s="67" t="s">
        <v>25</v>
      </c>
      <c r="B9" s="67"/>
      <c r="C9" s="67"/>
      <c r="D9" s="67"/>
      <c r="E9" s="67"/>
      <c r="F9" s="67"/>
      <c r="G9" s="67"/>
    </row>
    <row r="10" spans="1:7" ht="27.75" customHeight="1" x14ac:dyDescent="0.2">
      <c r="A10" s="65" t="s">
        <v>26</v>
      </c>
      <c r="B10" s="65"/>
      <c r="C10" s="65"/>
      <c r="D10" s="65"/>
      <c r="E10" s="65"/>
      <c r="F10" s="65"/>
      <c r="G10" s="65"/>
    </row>
    <row r="11" spans="1:7" ht="18" customHeight="1" x14ac:dyDescent="0.2">
      <c r="B11" s="18" t="s">
        <v>27</v>
      </c>
      <c r="C11" s="68"/>
      <c r="D11" s="68"/>
      <c r="E11" s="68"/>
      <c r="F11" s="68"/>
      <c r="G11" s="68"/>
    </row>
    <row r="12" spans="1:7" ht="18" customHeight="1" x14ac:dyDescent="0.2">
      <c r="B12" s="18" t="s">
        <v>28</v>
      </c>
      <c r="C12" s="68"/>
      <c r="D12" s="68"/>
      <c r="E12" s="68"/>
      <c r="F12" s="68"/>
      <c r="G12" s="68"/>
    </row>
    <row r="13" spans="1:7" ht="18" customHeight="1" x14ac:dyDescent="0.2">
      <c r="B13" s="18" t="s">
        <v>29</v>
      </c>
      <c r="C13" s="68"/>
      <c r="D13" s="68"/>
      <c r="E13" s="68"/>
      <c r="F13" s="68"/>
      <c r="G13" s="68"/>
    </row>
    <row r="14" spans="1:7" ht="18" customHeight="1" x14ac:dyDescent="0.2">
      <c r="B14" s="18" t="s">
        <v>30</v>
      </c>
      <c r="C14" s="68"/>
      <c r="D14" s="68"/>
      <c r="E14" s="68"/>
      <c r="F14" s="69" t="s">
        <v>31</v>
      </c>
      <c r="G14" s="69"/>
    </row>
    <row r="15" spans="1:7" ht="18" customHeight="1" x14ac:dyDescent="0.2">
      <c r="B15" s="18" t="s">
        <v>32</v>
      </c>
      <c r="C15" s="68"/>
      <c r="D15" s="68"/>
      <c r="E15" s="68"/>
      <c r="F15" s="69" t="s">
        <v>33</v>
      </c>
      <c r="G15" s="69"/>
    </row>
    <row r="16" spans="1:7" ht="18" customHeight="1" x14ac:dyDescent="0.2">
      <c r="B16" s="18" t="s">
        <v>34</v>
      </c>
      <c r="C16" s="68"/>
      <c r="D16" s="68"/>
      <c r="E16" s="68"/>
      <c r="F16" s="68"/>
      <c r="G16" s="68"/>
    </row>
    <row r="17" spans="1:7" ht="18" customHeight="1" x14ac:dyDescent="0.2">
      <c r="B17" s="18" t="s">
        <v>35</v>
      </c>
      <c r="C17" s="68"/>
      <c r="D17" s="68"/>
      <c r="E17" s="68"/>
      <c r="F17" s="68"/>
      <c r="G17" s="68"/>
    </row>
    <row r="18" spans="1:7" ht="18" customHeight="1" x14ac:dyDescent="0.2">
      <c r="B18" s="18" t="s">
        <v>36</v>
      </c>
      <c r="C18" s="68"/>
      <c r="D18" s="68"/>
      <c r="E18" s="68"/>
      <c r="F18" s="68"/>
      <c r="G18" s="68"/>
    </row>
    <row r="19" spans="1:7" ht="7.5" customHeight="1" x14ac:dyDescent="0.2"/>
    <row r="20" spans="1:7" ht="24" customHeight="1" x14ac:dyDescent="0.2">
      <c r="A20" s="70" t="s">
        <v>37</v>
      </c>
      <c r="B20" s="70"/>
      <c r="C20" s="70"/>
      <c r="D20" s="70"/>
      <c r="E20" s="70"/>
      <c r="F20" s="70"/>
      <c r="G20" s="70"/>
    </row>
    <row r="21" spans="1:7" x14ac:dyDescent="0.2">
      <c r="A21" s="65" t="s">
        <v>38</v>
      </c>
      <c r="B21" s="65"/>
      <c r="C21" s="65"/>
      <c r="D21" s="65"/>
      <c r="E21" s="65"/>
      <c r="F21" s="65"/>
      <c r="G21" s="65"/>
    </row>
    <row r="22" spans="1:7" ht="28" x14ac:dyDescent="0.2">
      <c r="B22" s="18" t="s">
        <v>39</v>
      </c>
      <c r="C22" s="71" t="str">
        <f>IF(OR(C15="",C12=""),"Fylltu út báða reiti",IF(AND(ISNUMBER(SEARCH("Hátt",C15)),ISNUMBER(SEARCH("nemend",C12))),"⚠ Hátt verðlag passar illa við nemendur",IF(AND(ISNUMBER(SEARCH("Lúxus",C15)),ISNUMBER(SEARCH("fjölskyldur",C12))),"⚠ Lúxusverð hentar illa fjölskyldum","✓ Verðlag og markhópur líklega samræmdur")))</f>
        <v>Fylltu út báða reiti</v>
      </c>
      <c r="D22" s="71"/>
      <c r="E22" s="71"/>
      <c r="F22" s="72" t="s">
        <v>40</v>
      </c>
      <c r="G22" s="72"/>
    </row>
    <row r="23" spans="1:7" ht="28" x14ac:dyDescent="0.2">
      <c r="B23" s="18" t="s">
        <v>41</v>
      </c>
      <c r="C23" s="71" t="str">
        <f>IF(OR(C14="",C18=""),"Fylltu út báða reiti",IF(AND(ISNUMBER(SEARCH("Formlegt",C14)),ISNUMBER(SEARCH("gaman",C18))),"⚠ Formlegt þjónusta og skemmtilegt andrúmsloft geta verið í mótsögn","✓ Þjónusta og andrúmsloft virðast samræmd"))</f>
        <v>Fylltu út báða reiti</v>
      </c>
      <c r="D23" s="71"/>
      <c r="E23" s="71"/>
      <c r="F23" s="72" t="s">
        <v>42</v>
      </c>
      <c r="G23" s="72"/>
    </row>
    <row r="24" spans="1:7" ht="28" x14ac:dyDescent="0.2">
      <c r="B24" s="18" t="s">
        <v>43</v>
      </c>
      <c r="C24" s="71" t="str">
        <f>IF(C13="","Fylltu út sérstöðureit",IF(LEN(C13)&lt;15,"⚠ Sérstöðan er of stutt — nánar?","✓ Sérstöðan er skráð — kanntu að kynna hana munnlega?"))</f>
        <v>Fylltu út sérstöðureit</v>
      </c>
      <c r="D24" s="71"/>
      <c r="E24" s="71"/>
      <c r="F24" s="72" t="s">
        <v>44</v>
      </c>
      <c r="G24" s="72"/>
    </row>
    <row r="25" spans="1:7" ht="28" x14ac:dyDescent="0.2">
      <c r="B25" s="18" t="s">
        <v>45</v>
      </c>
      <c r="C25" s="71" t="str">
        <f>IF(OR(C16="",C15=""),"Fylltu út báða reiti",IF(AND(ISNUMBER(SEARCH("take-away",C16)),ISNUMBER(SEARCH("Lúxus",C15))),"⚠ Take-away og lúxusverðlag eru sjaldan saman","✓ Tekjuleiðir og verðlag virðast í samræmi"))</f>
        <v>Fylltu út báða reiti</v>
      </c>
      <c r="D25" s="71"/>
      <c r="E25" s="71"/>
      <c r="F25" s="72" t="s">
        <v>46</v>
      </c>
      <c r="G25" s="72"/>
    </row>
    <row r="26" spans="1:7" ht="7.5" customHeight="1" x14ac:dyDescent="0.2"/>
    <row r="27" spans="1:7" ht="16" x14ac:dyDescent="0.2">
      <c r="A27" s="73" t="s">
        <v>47</v>
      </c>
      <c r="B27" s="73"/>
      <c r="C27" s="73"/>
      <c r="D27" s="73"/>
      <c r="E27" s="73"/>
      <c r="F27" s="73"/>
      <c r="G27" s="73"/>
    </row>
    <row r="28" spans="1:7" ht="28" x14ac:dyDescent="0.2">
      <c r="B28" s="18" t="s">
        <v>48</v>
      </c>
      <c r="C28" s="19">
        <f>COUNTIF(C22:C25,"✓*")</f>
        <v>0</v>
      </c>
    </row>
    <row r="29" spans="1:7" x14ac:dyDescent="0.2">
      <c r="B29" s="18" t="s">
        <v>49</v>
      </c>
      <c r="C29" s="74" t="str">
        <f>IF(C28=4,"✓ Hugmyndin er vel samræmd — tilbúin til næsta skref!",IF(C28&gt;=2,"⚠ Nokkur misræmi — endurskoðaðu rauðu reitina","✗ Þarfnast endurskoðunar — farðu aftur í skref 2"))</f>
        <v>✗ Þarfnast endurskoðunar — farðu aftur í skref 2</v>
      </c>
      <c r="D29" s="74"/>
      <c r="E29" s="74"/>
      <c r="F29" s="74"/>
      <c r="G29" s="74"/>
    </row>
    <row r="31" spans="1:7" x14ac:dyDescent="0.2">
      <c r="A31" s="75" t="s">
        <v>50</v>
      </c>
      <c r="B31" s="75"/>
      <c r="C31" s="75"/>
      <c r="D31" s="75"/>
      <c r="E31" s="75"/>
      <c r="F31" s="75"/>
      <c r="G31" s="75"/>
    </row>
  </sheetData>
  <mergeCells count="31">
    <mergeCell ref="C25:E25"/>
    <mergeCell ref="F25:G25"/>
    <mergeCell ref="A27:G27"/>
    <mergeCell ref="C29:G29"/>
    <mergeCell ref="A31:G31"/>
    <mergeCell ref="C22:E22"/>
    <mergeCell ref="F22:G22"/>
    <mergeCell ref="C23:E23"/>
    <mergeCell ref="F23:G23"/>
    <mergeCell ref="C24:E24"/>
    <mergeCell ref="F24:G24"/>
    <mergeCell ref="C16:G16"/>
    <mergeCell ref="C17:G17"/>
    <mergeCell ref="C18:G18"/>
    <mergeCell ref="A20:G20"/>
    <mergeCell ref="A21:G21"/>
    <mergeCell ref="C13:G13"/>
    <mergeCell ref="C14:E14"/>
    <mergeCell ref="F14:G14"/>
    <mergeCell ref="C15:E15"/>
    <mergeCell ref="F15:G15"/>
    <mergeCell ref="C7:G7"/>
    <mergeCell ref="A9:G9"/>
    <mergeCell ref="A10:G10"/>
    <mergeCell ref="C11:G11"/>
    <mergeCell ref="C12:G12"/>
    <mergeCell ref="A1:G1"/>
    <mergeCell ref="A2:G2"/>
    <mergeCell ref="A4:G4"/>
    <mergeCell ref="A5:G5"/>
    <mergeCell ref="C6:E6"/>
  </mergeCells>
  <conditionalFormatting sqref="C22:E25">
    <cfRule type="expression" dxfId="28" priority="2">
      <formula>LEFT(C22,1)="✓"</formula>
    </cfRule>
    <cfRule type="expression" dxfId="27" priority="3">
      <formula>LEFT(C22,1)="⚠"</formula>
    </cfRule>
    <cfRule type="expression" dxfId="26" priority="4">
      <formula>LEFT(C22,1)="!"</formula>
    </cfRule>
  </conditionalFormatting>
  <conditionalFormatting sqref="C29:G29">
    <cfRule type="expression" dxfId="25" priority="14">
      <formula>LEFT(C29,1)="✓"</formula>
    </cfRule>
    <cfRule type="expression" dxfId="24" priority="15">
      <formula>LEFT(C29,1)="⚠"</formula>
    </cfRule>
    <cfRule type="expression" dxfId="23" priority="16">
      <formula>LEFT(C29,1)="✗"</formula>
    </cfRule>
  </conditionalFormatting>
  <dataValidations count="3">
    <dataValidation type="list" allowBlank="1" sqref="C6" xr:uid="{00000000-0002-0000-0100-000000000000}">
      <formula1>"Lítið sjávarréttabistró,Heilsusamlegur hádegisstaður,Norrænn staður með staðbundnu hráefni,Fjölskylduvænn pizzustaður,Rómantísk kvöldmáltíð,Önnur hugmynd"</formula1>
      <formula2>0</formula2>
    </dataValidation>
    <dataValidation type="list" allowBlank="1" sqref="C14" xr:uid="{00000000-0002-0000-0100-000001000000}">
      <formula1>"Formlegt,Óformlegt,Sjálfsafgreiðsla,Blönduð þjónusta"</formula1>
      <formula2>0</formula2>
    </dataValidation>
    <dataValidation type="list" allowBlank="1" sqref="C15" xr:uid="{00000000-0002-0000-0100-000002000000}">
      <formula1>"Lágt (u.þ.b. 2.000-4.000 kr),Miðlungs (4.000-8.000 kr),Hátt (8.000-15.000 kr),Lúxus (15.000+ kr)"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8ADD"/>
  </sheetPr>
  <dimension ref="A1:G3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7" sqref="B27"/>
    </sheetView>
  </sheetViews>
  <sheetFormatPr baseColWidth="10" defaultColWidth="8.6640625" defaultRowHeight="15" x14ac:dyDescent="0.2"/>
  <cols>
    <col min="1" max="1" width="2" customWidth="1"/>
    <col min="2" max="2" width="37.83203125" bestFit="1" customWidth="1"/>
    <col min="3" max="3" width="15.6640625" bestFit="1" customWidth="1"/>
    <col min="4" max="4" width="15" bestFit="1" customWidth="1"/>
    <col min="5" max="5" width="19.33203125" bestFit="1" customWidth="1"/>
    <col min="6" max="6" width="13.83203125" bestFit="1" customWidth="1"/>
    <col min="7" max="7" width="16.83203125" bestFit="1" customWidth="1"/>
  </cols>
  <sheetData>
    <row r="1" spans="1:7" ht="36" customHeight="1" x14ac:dyDescent="0.2">
      <c r="A1" s="2" t="s">
        <v>51</v>
      </c>
      <c r="B1" s="2"/>
      <c r="C1" s="2"/>
      <c r="D1" s="2"/>
      <c r="E1" s="2"/>
      <c r="F1" s="2"/>
      <c r="G1" s="2"/>
    </row>
    <row r="2" spans="1:7" ht="19.5" customHeight="1" x14ac:dyDescent="0.2">
      <c r="A2" s="1" t="s">
        <v>52</v>
      </c>
      <c r="B2" s="1"/>
      <c r="C2" s="1"/>
      <c r="D2" s="1"/>
      <c r="E2" s="1"/>
      <c r="F2" s="1"/>
      <c r="G2" s="1"/>
    </row>
    <row r="3" spans="1:7" ht="7.5" customHeight="1" x14ac:dyDescent="0.2"/>
    <row r="4" spans="1:7" ht="16" x14ac:dyDescent="0.2">
      <c r="A4" s="64" t="s">
        <v>53</v>
      </c>
      <c r="B4" s="64"/>
      <c r="C4" s="64"/>
      <c r="D4" s="64"/>
      <c r="E4" s="64"/>
      <c r="F4" s="64"/>
      <c r="G4" s="64"/>
    </row>
    <row r="5" spans="1:7" x14ac:dyDescent="0.2">
      <c r="B5" s="18" t="s">
        <v>54</v>
      </c>
      <c r="C5" s="66" t="s">
        <v>55</v>
      </c>
      <c r="D5" s="66"/>
      <c r="E5" s="66"/>
      <c r="F5" s="66"/>
      <c r="G5" s="66"/>
    </row>
    <row r="6" spans="1:7" x14ac:dyDescent="0.2">
      <c r="B6" s="18" t="s">
        <v>28</v>
      </c>
      <c r="C6" s="66" t="s">
        <v>56</v>
      </c>
      <c r="D6" s="66"/>
      <c r="E6" s="66"/>
      <c r="F6" s="66"/>
      <c r="G6" s="66"/>
    </row>
    <row r="8" spans="1:7" ht="16" x14ac:dyDescent="0.2">
      <c r="A8" s="67" t="s">
        <v>57</v>
      </c>
      <c r="B8" s="67"/>
      <c r="C8" s="67"/>
      <c r="D8" s="67"/>
      <c r="E8" s="67"/>
      <c r="F8" s="67"/>
      <c r="G8" s="67"/>
    </row>
    <row r="9" spans="1:7" ht="39" x14ac:dyDescent="0.2">
      <c r="B9" s="20" t="s">
        <v>58</v>
      </c>
      <c r="C9" s="21" t="s">
        <v>59</v>
      </c>
      <c r="D9" s="22" t="s">
        <v>60</v>
      </c>
      <c r="E9" s="23" t="s">
        <v>61</v>
      </c>
      <c r="F9" s="20" t="s">
        <v>62</v>
      </c>
      <c r="G9" s="20" t="s">
        <v>63</v>
      </c>
    </row>
    <row r="10" spans="1:7" ht="26" x14ac:dyDescent="0.2">
      <c r="B10" s="24" t="s">
        <v>64</v>
      </c>
      <c r="C10" s="25">
        <v>480</v>
      </c>
      <c r="D10" s="26">
        <v>220</v>
      </c>
      <c r="E10" s="27">
        <v>360</v>
      </c>
      <c r="F10" s="28">
        <v>3</v>
      </c>
      <c r="G10" s="29" t="s">
        <v>65</v>
      </c>
    </row>
    <row r="11" spans="1:7" ht="26" x14ac:dyDescent="0.2">
      <c r="B11" s="24" t="s">
        <v>66</v>
      </c>
      <c r="C11" s="25">
        <v>2400</v>
      </c>
      <c r="D11" s="26">
        <v>600</v>
      </c>
      <c r="E11" s="27">
        <v>1800</v>
      </c>
      <c r="F11" s="28">
        <v>4</v>
      </c>
      <c r="G11" s="29" t="s">
        <v>67</v>
      </c>
    </row>
    <row r="12" spans="1:7" x14ac:dyDescent="0.2">
      <c r="B12" s="24" t="s">
        <v>68</v>
      </c>
      <c r="C12" s="25">
        <v>8</v>
      </c>
      <c r="D12" s="26">
        <v>60</v>
      </c>
      <c r="E12" s="27">
        <v>120</v>
      </c>
      <c r="F12" s="28">
        <v>2</v>
      </c>
      <c r="G12" s="29" t="s">
        <v>69</v>
      </c>
    </row>
    <row r="13" spans="1:7" x14ac:dyDescent="0.2">
      <c r="B13" s="24" t="s">
        <v>70</v>
      </c>
      <c r="C13" s="25">
        <v>5</v>
      </c>
      <c r="D13" s="26">
        <v>3</v>
      </c>
      <c r="E13" s="27">
        <v>4</v>
      </c>
      <c r="F13" s="28">
        <v>3</v>
      </c>
      <c r="G13" s="29" t="s">
        <v>71</v>
      </c>
    </row>
    <row r="14" spans="1:7" ht="26" x14ac:dyDescent="0.2">
      <c r="B14" s="24" t="s">
        <v>72</v>
      </c>
      <c r="C14" s="25">
        <v>5</v>
      </c>
      <c r="D14" s="26">
        <v>2</v>
      </c>
      <c r="E14" s="27">
        <v>3</v>
      </c>
      <c r="F14" s="28">
        <v>5</v>
      </c>
      <c r="G14" s="29" t="s">
        <v>73</v>
      </c>
    </row>
    <row r="15" spans="1:7" ht="26" x14ac:dyDescent="0.2">
      <c r="B15" s="24" t="s">
        <v>74</v>
      </c>
      <c r="C15" s="25">
        <v>8</v>
      </c>
      <c r="D15" s="26">
        <v>2</v>
      </c>
      <c r="E15" s="27">
        <v>5</v>
      </c>
      <c r="F15" s="28">
        <v>3</v>
      </c>
      <c r="G15" s="29" t="s">
        <v>75</v>
      </c>
    </row>
    <row r="16" spans="1:7" ht="26" x14ac:dyDescent="0.2">
      <c r="B16" s="24" t="s">
        <v>76</v>
      </c>
      <c r="C16" s="25">
        <v>3</v>
      </c>
      <c r="D16" s="26">
        <v>5</v>
      </c>
      <c r="E16" s="27">
        <v>4</v>
      </c>
      <c r="F16" s="28">
        <v>2</v>
      </c>
      <c r="G16" s="29" t="s">
        <v>77</v>
      </c>
    </row>
    <row r="17" spans="1:7" ht="26" x14ac:dyDescent="0.2">
      <c r="B17" s="24" t="s">
        <v>78</v>
      </c>
      <c r="C17" s="25">
        <v>5</v>
      </c>
      <c r="D17" s="26">
        <v>3</v>
      </c>
      <c r="E17" s="27">
        <v>7</v>
      </c>
      <c r="F17" s="28">
        <v>2</v>
      </c>
      <c r="G17" s="29" t="s">
        <v>79</v>
      </c>
    </row>
    <row r="19" spans="1:7" ht="16" x14ac:dyDescent="0.2">
      <c r="A19" s="70" t="s">
        <v>80</v>
      </c>
      <c r="B19" s="70"/>
      <c r="C19" s="70"/>
      <c r="D19" s="70"/>
      <c r="E19" s="70"/>
      <c r="F19" s="70"/>
      <c r="G19" s="70"/>
    </row>
    <row r="20" spans="1:7" x14ac:dyDescent="0.2">
      <c r="B20" s="30" t="s">
        <v>58</v>
      </c>
      <c r="C20" s="30" t="s">
        <v>81</v>
      </c>
      <c r="D20" s="30" t="s">
        <v>82</v>
      </c>
      <c r="E20" s="30" t="s">
        <v>83</v>
      </c>
      <c r="F20" s="30" t="s">
        <v>62</v>
      </c>
      <c r="G20" s="30"/>
    </row>
    <row r="21" spans="1:7" x14ac:dyDescent="0.2">
      <c r="B21" s="31" t="s">
        <v>84</v>
      </c>
      <c r="C21" s="32">
        <f>ROUND((MIN(C10:E10)/C10)*5*F10,1)</f>
        <v>6.9</v>
      </c>
      <c r="D21" s="32">
        <f>ROUND((MIN(C10:E10)/D10)*5*F10,1)</f>
        <v>15</v>
      </c>
      <c r="E21" s="32">
        <f>ROUND((MIN(C10:E10)/E10)*5*F10,1)</f>
        <v>9.1999999999999993</v>
      </c>
      <c r="F21" s="33">
        <f t="shared" ref="F21:F28" si="0">F10</f>
        <v>3</v>
      </c>
    </row>
    <row r="22" spans="1:7" x14ac:dyDescent="0.2">
      <c r="B22" s="31" t="s">
        <v>85</v>
      </c>
      <c r="C22" s="32">
        <f>ROUND(C11/MAX(C11:E11)*5*F11,1)</f>
        <v>20</v>
      </c>
      <c r="D22" s="32">
        <f>ROUND(D11/MAX(C11:E11)*5*F11,1)</f>
        <v>5</v>
      </c>
      <c r="E22" s="32">
        <f>ROUND(E11/MAX(C11:E11)*5*F11,1)</f>
        <v>15</v>
      </c>
      <c r="F22" s="33">
        <f t="shared" si="0"/>
        <v>4</v>
      </c>
    </row>
    <row r="23" spans="1:7" x14ac:dyDescent="0.2">
      <c r="B23" s="31" t="s">
        <v>86</v>
      </c>
      <c r="C23" s="32">
        <f>ROUND(C12/MAX(C12:E12)*5*F12,1)</f>
        <v>0.7</v>
      </c>
      <c r="D23" s="32">
        <f>ROUND(D12/MAX(C12:E12)*5*F12,1)</f>
        <v>5</v>
      </c>
      <c r="E23" s="32">
        <f>ROUND(E12/MAX(C12:E12)*5*F12,1)</f>
        <v>10</v>
      </c>
      <c r="F23" s="33">
        <f t="shared" si="0"/>
        <v>2</v>
      </c>
    </row>
    <row r="24" spans="1:7" x14ac:dyDescent="0.2">
      <c r="B24" s="31" t="s">
        <v>87</v>
      </c>
      <c r="C24" s="32">
        <f>ROUND(C13/MAX(C13:E13)*5*F13,1)</f>
        <v>15</v>
      </c>
      <c r="D24" s="32">
        <f>ROUND(D13/MAX(C13:E13)*5*F13,1)</f>
        <v>9</v>
      </c>
      <c r="E24" s="32">
        <f>ROUND(E13/MAX(C13:E13)*5*F13,1)</f>
        <v>12</v>
      </c>
      <c r="F24" s="33">
        <f t="shared" si="0"/>
        <v>3</v>
      </c>
    </row>
    <row r="25" spans="1:7" x14ac:dyDescent="0.2">
      <c r="B25" s="31" t="s">
        <v>88</v>
      </c>
      <c r="C25" s="32">
        <f>ROUND(C14/MAX(C14:E14)*5*F14,1)</f>
        <v>25</v>
      </c>
      <c r="D25" s="32">
        <f>ROUND(D14/MAX(C14:E14)*5*F14,1)</f>
        <v>10</v>
      </c>
      <c r="E25" s="32">
        <f>ROUND(E14/MAX(C14:E14)*5*F14,1)</f>
        <v>15</v>
      </c>
      <c r="F25" s="33">
        <f t="shared" si="0"/>
        <v>5</v>
      </c>
    </row>
    <row r="26" spans="1:7" x14ac:dyDescent="0.2">
      <c r="B26" s="31" t="s">
        <v>89</v>
      </c>
      <c r="C26" s="32">
        <f>ROUND((MIN(C15:E15)/C15)*5*F15,1)</f>
        <v>3.8</v>
      </c>
      <c r="D26" s="32">
        <f>ROUND((MIN(C15:E15)/D15)*5*F15,1)</f>
        <v>15</v>
      </c>
      <c r="E26" s="32">
        <f>ROUND((MIN(C15:E15)/E15)*5*F15,1)</f>
        <v>6</v>
      </c>
      <c r="F26" s="33">
        <f t="shared" si="0"/>
        <v>3</v>
      </c>
    </row>
    <row r="27" spans="1:7" x14ac:dyDescent="0.2">
      <c r="B27" s="31" t="s">
        <v>90</v>
      </c>
      <c r="C27" s="32">
        <f>ROUND(C16/MAX(C16:E16)*5*F16,1)</f>
        <v>6</v>
      </c>
      <c r="D27" s="32">
        <f>ROUND(D16/MAX(C16:E16)*5*F16,1)</f>
        <v>10</v>
      </c>
      <c r="E27" s="32">
        <f>ROUND(E16/MAX(C16:E16)*5*F16,1)</f>
        <v>8</v>
      </c>
      <c r="F27" s="33">
        <f t="shared" si="0"/>
        <v>2</v>
      </c>
    </row>
    <row r="28" spans="1:7" x14ac:dyDescent="0.2">
      <c r="B28" s="31" t="s">
        <v>91</v>
      </c>
      <c r="C28" s="32">
        <f>ROUND((MIN(C17:E17)/C17)*5*F17,1)</f>
        <v>6</v>
      </c>
      <c r="D28" s="32">
        <f>ROUND((MIN(C17:E17)/D17)*5*F17,1)</f>
        <v>10</v>
      </c>
      <c r="E28" s="32">
        <f>ROUND((MIN(C17:E17)/E17)*5*F17,1)</f>
        <v>4.3</v>
      </c>
      <c r="F28" s="33">
        <f t="shared" si="0"/>
        <v>2</v>
      </c>
    </row>
    <row r="29" spans="1:7" ht="18" x14ac:dyDescent="0.2">
      <c r="B29" s="34" t="s">
        <v>92</v>
      </c>
      <c r="C29" s="35">
        <f>SUM(C21:C28)</f>
        <v>83.399999999999991</v>
      </c>
      <c r="D29" s="35">
        <f>SUM(D21:D28)</f>
        <v>79</v>
      </c>
      <c r="E29" s="35">
        <f>SUM(E21:E28)</f>
        <v>79.5</v>
      </c>
    </row>
    <row r="31" spans="1:7" ht="16" x14ac:dyDescent="0.2">
      <c r="A31" s="64" t="s">
        <v>93</v>
      </c>
      <c r="B31" s="64"/>
      <c r="C31" s="64"/>
      <c r="D31" s="64"/>
      <c r="E31" s="64"/>
      <c r="F31" s="64"/>
      <c r="G31" s="64"/>
    </row>
    <row r="32" spans="1:7" ht="17" x14ac:dyDescent="0.2">
      <c r="B32" s="36" t="s">
        <v>94</v>
      </c>
      <c r="C32" s="76" t="str">
        <f>IF(AND(C29&gt;=D29,C29&gt;=E29),"✓ STAÐSETNING A — Miðbær",IF(AND(D29&gt;=C29,D29&gt;=E29),"✓ STAÐSETNING B — Úthverfi","✓ STAÐSETNING C — Kaupalið"))</f>
        <v>✓ STAÐSETNING A — Miðbær</v>
      </c>
      <c r="D32" s="76"/>
      <c r="E32" s="76"/>
      <c r="F32" s="76"/>
      <c r="G32" s="76"/>
    </row>
    <row r="34" spans="1:7" ht="16" x14ac:dyDescent="0.2">
      <c r="A34" s="73" t="s">
        <v>95</v>
      </c>
      <c r="B34" s="73"/>
      <c r="C34" s="73"/>
      <c r="D34" s="73"/>
      <c r="E34" s="73"/>
      <c r="F34" s="73"/>
      <c r="G34" s="73"/>
    </row>
    <row r="35" spans="1:7" ht="28" x14ac:dyDescent="0.2">
      <c r="B35" s="18" t="s">
        <v>96</v>
      </c>
      <c r="C35" s="66" t="s">
        <v>97</v>
      </c>
      <c r="D35" s="66"/>
      <c r="E35" s="66"/>
      <c r="F35" s="66"/>
      <c r="G35" s="66"/>
    </row>
    <row r="36" spans="1:7" x14ac:dyDescent="0.2">
      <c r="B36" s="18" t="s">
        <v>98</v>
      </c>
      <c r="C36" s="66"/>
      <c r="D36" s="66"/>
      <c r="E36" s="66"/>
      <c r="F36" s="66"/>
      <c r="G36" s="66"/>
    </row>
    <row r="37" spans="1:7" ht="28" x14ac:dyDescent="0.2">
      <c r="B37" s="18" t="s">
        <v>99</v>
      </c>
      <c r="C37" s="66"/>
      <c r="D37" s="66"/>
      <c r="E37" s="66"/>
      <c r="F37" s="66"/>
      <c r="G37" s="66"/>
    </row>
    <row r="38" spans="1:7" x14ac:dyDescent="0.2">
      <c r="B38" s="37" t="s">
        <v>100</v>
      </c>
      <c r="C38" s="77" t="str">
        <f>IF(C35="","Veldu staðsetningu hér að ofan",IF(ISNUMBER(SEARCH("A",C35)),IF(AND(C29&gt;=D29,C29&gt;=E29),"✓ Val þitt og stigamat eru samræmd","⚠ Val þitt er frábrugðið stigamatinu — skýrðu ástæðuna"),IF(ISNUMBER(SEARCH("B",C35)),IF(AND(D29&gt;=C29,D29&gt;=E29),"✓ Val þitt og stigamat eru samræmd","⚠ Val þitt er frábrugðið stigamatinu — skýrðu ástæðuna"),IF(AND(E29&gt;=C29,E29&gt;=D29),"✓ Val þitt og stigamat eru samræmd","⚠ Val þitt er frábrugðið stigamatinu — skýrðu ástæðuna"))))</f>
        <v>✓ Val þitt og stigamat eru samræmd</v>
      </c>
      <c r="D38" s="77"/>
      <c r="E38" s="77"/>
      <c r="F38" s="77"/>
      <c r="G38" s="77"/>
    </row>
    <row r="39" spans="1:7" x14ac:dyDescent="0.2">
      <c r="A39" s="75" t="s">
        <v>101</v>
      </c>
      <c r="B39" s="75"/>
      <c r="C39" s="75"/>
      <c r="D39" s="75"/>
      <c r="E39" s="75"/>
      <c r="F39" s="75"/>
      <c r="G39" s="75"/>
    </row>
  </sheetData>
  <mergeCells count="15">
    <mergeCell ref="C35:G35"/>
    <mergeCell ref="C36:G36"/>
    <mergeCell ref="C37:G37"/>
    <mergeCell ref="C38:G38"/>
    <mergeCell ref="A39:G39"/>
    <mergeCell ref="A8:G8"/>
    <mergeCell ref="A19:G19"/>
    <mergeCell ref="A31:G31"/>
    <mergeCell ref="C32:G32"/>
    <mergeCell ref="A34:G34"/>
    <mergeCell ref="A1:G1"/>
    <mergeCell ref="A2:G2"/>
    <mergeCell ref="A4:G4"/>
    <mergeCell ref="C5:G5"/>
    <mergeCell ref="C6:G6"/>
  </mergeCells>
  <conditionalFormatting sqref="C38:G38">
    <cfRule type="expression" dxfId="22" priority="2">
      <formula>LEFT(C38,1)="✓"</formula>
    </cfRule>
    <cfRule type="expression" dxfId="21" priority="3">
      <formula>LEFT(C38,1)="⚠"</formula>
    </cfRule>
  </conditionalFormatting>
  <dataValidations count="1">
    <dataValidation type="list" allowBlank="1" sqref="C35" xr:uid="{00000000-0002-0000-0200-000000000000}">
      <formula1>"Staðsetning A — Miðbær,Staðsetning B — Úthverfi,Staðsetning C — Kaupalið"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5A30"/>
  </sheetPr>
  <dimension ref="A1:G3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8" sqref="B28"/>
    </sheetView>
  </sheetViews>
  <sheetFormatPr baseColWidth="10" defaultColWidth="8.6640625" defaultRowHeight="15" x14ac:dyDescent="0.2"/>
  <cols>
    <col min="1" max="1" width="2" customWidth="1"/>
    <col min="2" max="2" width="24" customWidth="1"/>
    <col min="3" max="3" width="16" bestFit="1" customWidth="1"/>
    <col min="4" max="4" width="27.6640625" bestFit="1" customWidth="1"/>
    <col min="5" max="5" width="13" bestFit="1" customWidth="1"/>
    <col min="6" max="6" width="18.83203125" bestFit="1" customWidth="1"/>
    <col min="7" max="7" width="15.83203125" bestFit="1" customWidth="1"/>
  </cols>
  <sheetData>
    <row r="1" spans="1:7" ht="36" customHeight="1" x14ac:dyDescent="0.2">
      <c r="A1" s="2" t="s">
        <v>102</v>
      </c>
      <c r="B1" s="2"/>
      <c r="C1" s="2"/>
      <c r="D1" s="2"/>
      <c r="E1" s="2"/>
      <c r="F1" s="2"/>
      <c r="G1" s="2"/>
    </row>
    <row r="2" spans="1:7" ht="19.5" customHeight="1" x14ac:dyDescent="0.2">
      <c r="A2" s="1" t="s">
        <v>103</v>
      </c>
      <c r="B2" s="1"/>
      <c r="C2" s="1"/>
      <c r="D2" s="1"/>
      <c r="E2" s="1"/>
      <c r="F2" s="1"/>
      <c r="G2" s="1"/>
    </row>
    <row r="3" spans="1:7" ht="7" customHeight="1" x14ac:dyDescent="0.2"/>
    <row r="4" spans="1:7" ht="16" x14ac:dyDescent="0.2">
      <c r="A4" s="64" t="s">
        <v>104</v>
      </c>
      <c r="B4" s="64"/>
      <c r="C4" s="64"/>
      <c r="D4" s="64"/>
      <c r="E4" s="64"/>
      <c r="F4" s="64"/>
      <c r="G4" s="64"/>
    </row>
    <row r="5" spans="1:7" ht="28" x14ac:dyDescent="0.2">
      <c r="B5" s="18" t="s">
        <v>105</v>
      </c>
      <c r="C5" s="66" t="s">
        <v>106</v>
      </c>
      <c r="D5" s="66"/>
      <c r="E5" s="66"/>
      <c r="F5" s="66"/>
      <c r="G5" s="66"/>
    </row>
    <row r="7" spans="1:7" ht="16" x14ac:dyDescent="0.2">
      <c r="A7" s="78" t="s">
        <v>107</v>
      </c>
      <c r="B7" s="78"/>
      <c r="C7" s="78"/>
      <c r="D7" s="78"/>
      <c r="E7" s="78"/>
      <c r="F7" s="78"/>
      <c r="G7" s="78"/>
    </row>
    <row r="8" spans="1:7" ht="26" x14ac:dyDescent="0.2">
      <c r="B8" s="20" t="s">
        <v>58</v>
      </c>
      <c r="C8" s="21" t="s">
        <v>108</v>
      </c>
      <c r="D8" s="22" t="s">
        <v>109</v>
      </c>
      <c r="E8" s="38" t="s">
        <v>110</v>
      </c>
      <c r="F8" s="23" t="s">
        <v>111</v>
      </c>
      <c r="G8" s="20" t="s">
        <v>112</v>
      </c>
    </row>
    <row r="9" spans="1:7" x14ac:dyDescent="0.2">
      <c r="B9" s="18" t="s">
        <v>113</v>
      </c>
      <c r="C9" s="25">
        <v>3</v>
      </c>
      <c r="D9" s="26">
        <v>5</v>
      </c>
      <c r="E9" s="39">
        <v>4</v>
      </c>
      <c r="F9" s="40"/>
      <c r="G9" s="29" t="s">
        <v>114</v>
      </c>
    </row>
    <row r="10" spans="1:7" ht="28" x14ac:dyDescent="0.2">
      <c r="B10" s="18" t="s">
        <v>115</v>
      </c>
      <c r="C10" s="25">
        <v>4</v>
      </c>
      <c r="D10" s="26">
        <v>2</v>
      </c>
      <c r="E10" s="39">
        <v>3</v>
      </c>
      <c r="F10" s="40"/>
      <c r="G10" s="29" t="s">
        <v>116</v>
      </c>
    </row>
    <row r="11" spans="1:7" ht="28" x14ac:dyDescent="0.2">
      <c r="B11" s="18" t="s">
        <v>117</v>
      </c>
      <c r="C11" s="25">
        <v>3</v>
      </c>
      <c r="D11" s="26">
        <v>5</v>
      </c>
      <c r="E11" s="39">
        <v>4</v>
      </c>
      <c r="F11" s="40"/>
      <c r="G11" s="29" t="s">
        <v>118</v>
      </c>
    </row>
    <row r="12" spans="1:7" ht="28" x14ac:dyDescent="0.2">
      <c r="B12" s="18" t="s">
        <v>119</v>
      </c>
      <c r="C12" s="25">
        <v>3</v>
      </c>
      <c r="D12" s="26">
        <v>5</v>
      </c>
      <c r="E12" s="39">
        <v>4</v>
      </c>
      <c r="F12" s="40"/>
      <c r="G12" s="29" t="s">
        <v>120</v>
      </c>
    </row>
    <row r="13" spans="1:7" ht="28" x14ac:dyDescent="0.2">
      <c r="B13" s="18" t="s">
        <v>121</v>
      </c>
      <c r="C13" s="25" t="s">
        <v>122</v>
      </c>
      <c r="D13" s="26" t="s">
        <v>123</v>
      </c>
      <c r="E13" s="39" t="s">
        <v>124</v>
      </c>
      <c r="F13" s="40"/>
      <c r="G13" s="29" t="s">
        <v>125</v>
      </c>
    </row>
    <row r="14" spans="1:7" x14ac:dyDescent="0.2">
      <c r="B14" s="18" t="s">
        <v>126</v>
      </c>
      <c r="C14" s="25">
        <v>4.0999999999999996</v>
      </c>
      <c r="D14" s="26">
        <v>4.7</v>
      </c>
      <c r="E14" s="39">
        <v>4.3</v>
      </c>
      <c r="F14" s="40"/>
      <c r="G14" s="29" t="s">
        <v>127</v>
      </c>
    </row>
    <row r="15" spans="1:7" ht="28" x14ac:dyDescent="0.2">
      <c r="B15" s="18" t="s">
        <v>128</v>
      </c>
      <c r="C15" s="25" t="s">
        <v>129</v>
      </c>
      <c r="D15" s="26" t="s">
        <v>130</v>
      </c>
      <c r="E15" s="39" t="s">
        <v>131</v>
      </c>
      <c r="F15" s="40"/>
      <c r="G15" s="29"/>
    </row>
    <row r="16" spans="1:7" ht="28" x14ac:dyDescent="0.2">
      <c r="B16" s="18" t="s">
        <v>132</v>
      </c>
      <c r="C16" s="25" t="s">
        <v>133</v>
      </c>
      <c r="D16" s="26" t="s">
        <v>134</v>
      </c>
      <c r="E16" s="39" t="s">
        <v>135</v>
      </c>
      <c r="F16" s="40"/>
      <c r="G16" s="29"/>
    </row>
    <row r="18" spans="1:7" ht="16" x14ac:dyDescent="0.2">
      <c r="A18" s="70" t="s">
        <v>136</v>
      </c>
      <c r="B18" s="70"/>
      <c r="C18" s="70"/>
      <c r="D18" s="70"/>
      <c r="E18" s="70"/>
      <c r="F18" s="70"/>
      <c r="G18" s="70"/>
    </row>
    <row r="19" spans="1:7" x14ac:dyDescent="0.2">
      <c r="A19" s="65" t="s">
        <v>137</v>
      </c>
      <c r="B19" s="65"/>
      <c r="C19" s="65"/>
      <c r="D19" s="65"/>
      <c r="E19" s="65"/>
      <c r="F19" s="65"/>
      <c r="G19" s="65"/>
    </row>
    <row r="20" spans="1:7" x14ac:dyDescent="0.2">
      <c r="B20" s="30" t="s">
        <v>138</v>
      </c>
      <c r="C20" s="30" t="s">
        <v>139</v>
      </c>
      <c r="D20" s="30" t="s">
        <v>140</v>
      </c>
      <c r="E20" s="30"/>
      <c r="F20" s="30" t="s">
        <v>141</v>
      </c>
      <c r="G20" s="30"/>
    </row>
    <row r="21" spans="1:7" ht="28" x14ac:dyDescent="0.2">
      <c r="B21" s="18" t="s">
        <v>142</v>
      </c>
      <c r="C21" s="66"/>
      <c r="D21" s="66"/>
      <c r="E21" s="66"/>
      <c r="F21" s="66"/>
      <c r="G21" s="17"/>
    </row>
    <row r="22" spans="1:7" ht="42" x14ac:dyDescent="0.2">
      <c r="B22" s="18" t="s">
        <v>143</v>
      </c>
      <c r="C22" s="66"/>
      <c r="D22" s="66"/>
      <c r="E22" s="66"/>
      <c r="F22" s="66"/>
      <c r="G22" s="17"/>
    </row>
    <row r="23" spans="1:7" ht="28" x14ac:dyDescent="0.2">
      <c r="B23" s="18" t="s">
        <v>144</v>
      </c>
      <c r="C23" s="66"/>
      <c r="D23" s="66"/>
      <c r="E23" s="66"/>
      <c r="F23" s="66"/>
      <c r="G23" s="17"/>
    </row>
    <row r="24" spans="1:7" ht="28" x14ac:dyDescent="0.2">
      <c r="B24" s="18" t="s">
        <v>145</v>
      </c>
      <c r="C24" s="66"/>
      <c r="D24" s="66"/>
      <c r="E24" s="66"/>
      <c r="F24" s="66"/>
      <c r="G24" s="17"/>
    </row>
    <row r="25" spans="1:7" ht="28" x14ac:dyDescent="0.2">
      <c r="B25" s="18" t="s">
        <v>146</v>
      </c>
      <c r="C25" s="66"/>
      <c r="D25" s="66"/>
      <c r="E25" s="66"/>
      <c r="F25" s="66"/>
      <c r="G25" s="17"/>
    </row>
    <row r="27" spans="1:7" ht="16" x14ac:dyDescent="0.2">
      <c r="A27" s="73" t="s">
        <v>147</v>
      </c>
      <c r="B27" s="73"/>
      <c r="C27" s="73"/>
      <c r="D27" s="73"/>
      <c r="E27" s="73"/>
      <c r="F27" s="73"/>
      <c r="G27" s="73"/>
    </row>
    <row r="28" spans="1:7" ht="56" x14ac:dyDescent="0.2">
      <c r="B28" s="18" t="s">
        <v>148</v>
      </c>
      <c r="C28" s="66"/>
      <c r="D28" s="66"/>
      <c r="E28" s="66"/>
      <c r="F28" s="66"/>
      <c r="G28" s="66"/>
    </row>
    <row r="29" spans="1:7" ht="42" x14ac:dyDescent="0.2">
      <c r="B29" s="18" t="s">
        <v>149</v>
      </c>
      <c r="C29" s="66"/>
      <c r="D29" s="66"/>
      <c r="E29" s="66"/>
      <c r="F29" s="66"/>
      <c r="G29" s="66"/>
    </row>
    <row r="30" spans="1:7" ht="28" x14ac:dyDescent="0.2">
      <c r="B30" s="18" t="s">
        <v>150</v>
      </c>
      <c r="C30" s="41">
        <f>COUNTIF(C21:C25,"Ógn*")</f>
        <v>0</v>
      </c>
    </row>
    <row r="31" spans="1:7" ht="28" x14ac:dyDescent="0.2">
      <c r="B31" s="18" t="s">
        <v>151</v>
      </c>
      <c r="C31" s="41">
        <f>COUNTIF(C21:C25,"Tækifæri*")</f>
        <v>0</v>
      </c>
    </row>
    <row r="32" spans="1:7" ht="28" x14ac:dyDescent="0.2">
      <c r="B32" s="18" t="s">
        <v>152</v>
      </c>
      <c r="C32" s="79" t="str">
        <f>IF(C30&gt;C31,"⚠ Margar ógnir — þarf vandlegar stefnu","✓ Tækifærin vega þyngra — góð staða til að fara inn á markaðinn")</f>
        <v>✓ Tækifærin vega þyngra — góð staða til að fara inn á markaðinn</v>
      </c>
      <c r="D32" s="79"/>
      <c r="E32" s="79"/>
      <c r="F32" s="79"/>
      <c r="G32" s="79"/>
    </row>
    <row r="33" spans="1:7" x14ac:dyDescent="0.2">
      <c r="A33" s="75" t="s">
        <v>153</v>
      </c>
      <c r="B33" s="75"/>
      <c r="C33" s="75"/>
      <c r="D33" s="75"/>
      <c r="E33" s="75"/>
      <c r="F33" s="75"/>
      <c r="G33" s="75"/>
    </row>
  </sheetData>
  <mergeCells count="22">
    <mergeCell ref="A27:G27"/>
    <mergeCell ref="C28:G28"/>
    <mergeCell ref="C29:G29"/>
    <mergeCell ref="C32:G32"/>
    <mergeCell ref="A33:G33"/>
    <mergeCell ref="C23:D23"/>
    <mergeCell ref="E23:F23"/>
    <mergeCell ref="C24:D24"/>
    <mergeCell ref="E24:F24"/>
    <mergeCell ref="C25:D25"/>
    <mergeCell ref="E25:F25"/>
    <mergeCell ref="A18:G18"/>
    <mergeCell ref="A19:G19"/>
    <mergeCell ref="C21:D21"/>
    <mergeCell ref="E21:F21"/>
    <mergeCell ref="C22:D22"/>
    <mergeCell ref="E22:F22"/>
    <mergeCell ref="A1:G1"/>
    <mergeCell ref="A2:G2"/>
    <mergeCell ref="A4:G4"/>
    <mergeCell ref="C5:G5"/>
    <mergeCell ref="A7:G7"/>
  </mergeCells>
  <conditionalFormatting sqref="C21:D25">
    <cfRule type="expression" dxfId="20" priority="2">
      <formula>LEFT(C21,4)="Ógn"</formula>
    </cfRule>
    <cfRule type="expression" dxfId="19" priority="3">
      <formula>LEFT(C21,7)="Tækifæri"</formula>
    </cfRule>
    <cfRule type="expression" dxfId="18" priority="4">
      <formula>LEFT(C21,9)="Styrkleiki"</formula>
    </cfRule>
  </conditionalFormatting>
  <conditionalFormatting sqref="C32:G32">
    <cfRule type="expression" dxfId="17" priority="17">
      <formula>LEFT(C32,1)="✓"</formula>
    </cfRule>
    <cfRule type="expression" dxfId="16" priority="18">
      <formula>LEFT(C32,1)="⚠"</formula>
    </cfRule>
  </conditionalFormatting>
  <dataValidations count="2">
    <dataValidation type="list" allowBlank="1" sqref="C21:C25" xr:uid="{00000000-0002-0000-0300-000000000000}">
      <formula1>"Ógn / Threat,Tækifæri / Opportunity,Styrkleiki / Strength,Hlutlægt / Neutral"</formula1>
      <formula2>0</formula2>
    </dataValidation>
    <dataValidation type="list" allowBlank="1" sqref="G21:G25" xr:uid="{00000000-0002-0000-0300-000001000000}">
      <formula1>"Há,Miðlungs,Lág"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A7517"/>
  </sheetPr>
  <dimension ref="A1:I3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1:G1048576"/>
    </sheetView>
  </sheetViews>
  <sheetFormatPr baseColWidth="10" defaultColWidth="8.6640625" defaultRowHeight="15" x14ac:dyDescent="0.2"/>
  <cols>
    <col min="1" max="1" width="2" customWidth="1"/>
    <col min="2" max="2" width="40.5" bestFit="1" customWidth="1"/>
    <col min="3" max="3" width="7.33203125" bestFit="1" customWidth="1"/>
    <col min="4" max="4" width="12.1640625" bestFit="1" customWidth="1"/>
    <col min="5" max="5" width="8.1640625" bestFit="1" customWidth="1"/>
    <col min="6" max="6" width="18.1640625" bestFit="1" customWidth="1"/>
    <col min="7" max="7" width="17.33203125" bestFit="1" customWidth="1"/>
    <col min="8" max="8" width="14.6640625" bestFit="1" customWidth="1"/>
    <col min="9" max="9" width="14.1640625" bestFit="1" customWidth="1"/>
  </cols>
  <sheetData>
    <row r="1" spans="1:9" ht="36" customHeight="1" x14ac:dyDescent="0.2">
      <c r="A1" s="2" t="s">
        <v>154</v>
      </c>
      <c r="B1" s="2"/>
      <c r="C1" s="2"/>
      <c r="D1" s="2"/>
      <c r="E1" s="2"/>
      <c r="F1" s="2"/>
      <c r="G1" s="2"/>
      <c r="H1" s="2"/>
      <c r="I1" s="2"/>
    </row>
    <row r="2" spans="1:9" ht="19.5" customHeight="1" x14ac:dyDescent="0.2">
      <c r="A2" s="1" t="s">
        <v>155</v>
      </c>
      <c r="B2" s="1"/>
      <c r="C2" s="1"/>
      <c r="D2" s="1"/>
      <c r="E2" s="1"/>
      <c r="F2" s="1"/>
      <c r="G2" s="1"/>
      <c r="H2" s="1"/>
      <c r="I2" s="1"/>
    </row>
    <row r="3" spans="1:9" ht="7.5" customHeight="1" x14ac:dyDescent="0.2"/>
    <row r="4" spans="1:9" ht="24" customHeight="1" x14ac:dyDescent="0.2">
      <c r="A4" s="64" t="s">
        <v>156</v>
      </c>
      <c r="B4" s="64"/>
      <c r="C4" s="64"/>
      <c r="D4" s="64"/>
      <c r="E4" s="64"/>
      <c r="F4" s="64"/>
      <c r="G4" s="64"/>
      <c r="H4" s="64"/>
      <c r="I4" s="64"/>
    </row>
    <row r="5" spans="1:9" ht="27.75" customHeight="1" x14ac:dyDescent="0.2">
      <c r="A5" s="65" t="s">
        <v>157</v>
      </c>
      <c r="B5" s="65"/>
      <c r="C5" s="65"/>
      <c r="D5" s="65"/>
      <c r="E5" s="65"/>
      <c r="F5" s="65"/>
      <c r="G5" s="65"/>
      <c r="H5" s="65"/>
      <c r="I5" s="65"/>
    </row>
    <row r="6" spans="1:9" ht="36" customHeight="1" x14ac:dyDescent="0.2">
      <c r="B6" s="20" t="s">
        <v>158</v>
      </c>
      <c r="C6" s="20" t="s">
        <v>159</v>
      </c>
      <c r="D6" s="20" t="s">
        <v>160</v>
      </c>
      <c r="E6" s="20" t="s">
        <v>161</v>
      </c>
      <c r="F6" s="20" t="s">
        <v>162</v>
      </c>
      <c r="G6" s="20" t="s">
        <v>163</v>
      </c>
      <c r="H6" s="20" t="s">
        <v>164</v>
      </c>
      <c r="I6" s="20" t="s">
        <v>165</v>
      </c>
    </row>
    <row r="7" spans="1:9" ht="21.75" customHeight="1" x14ac:dyDescent="0.2">
      <c r="B7" s="42" t="s">
        <v>166</v>
      </c>
      <c r="C7" s="43"/>
      <c r="D7" s="44" t="s">
        <v>167</v>
      </c>
      <c r="E7" s="45">
        <v>3800</v>
      </c>
      <c r="F7" s="46">
        <v>0.32</v>
      </c>
      <c r="G7" s="47">
        <v>3</v>
      </c>
      <c r="H7" s="47">
        <v>4</v>
      </c>
      <c r="I7" s="48" t="str">
        <f t="shared" ref="I7:I24" si="0">IF(UPPER(C7)="X",IF(AND(F7&lt;=0.3,H7&gt;=4,G7&lt;=3),"★★★ Frábært",IF(AND(F7&lt;=0.35,H7&gt;=3),"★★ Gott",IF(F7&lt;=0.4,"★ Meðallag","✗ Endurskoda"))),"—")</f>
        <v>—</v>
      </c>
    </row>
    <row r="8" spans="1:9" ht="21.75" customHeight="1" x14ac:dyDescent="0.2">
      <c r="B8" s="49" t="s">
        <v>168</v>
      </c>
      <c r="C8" s="43"/>
      <c r="D8" s="44" t="s">
        <v>169</v>
      </c>
      <c r="E8" s="45">
        <v>2800</v>
      </c>
      <c r="F8" s="46">
        <v>0.38</v>
      </c>
      <c r="G8" s="47">
        <v>4</v>
      </c>
      <c r="H8" s="47">
        <v>3</v>
      </c>
      <c r="I8" s="50" t="str">
        <f t="shared" si="0"/>
        <v>—</v>
      </c>
    </row>
    <row r="9" spans="1:9" ht="21.75" customHeight="1" x14ac:dyDescent="0.2">
      <c r="B9" s="42" t="s">
        <v>170</v>
      </c>
      <c r="C9" s="43"/>
      <c r="D9" s="44" t="s">
        <v>171</v>
      </c>
      <c r="E9" s="45">
        <v>2600</v>
      </c>
      <c r="F9" s="46">
        <v>0.3</v>
      </c>
      <c r="G9" s="47">
        <v>3</v>
      </c>
      <c r="H9" s="47">
        <v>3</v>
      </c>
      <c r="I9" s="48" t="str">
        <f t="shared" si="0"/>
        <v>—</v>
      </c>
    </row>
    <row r="10" spans="1:9" ht="21.75" customHeight="1" x14ac:dyDescent="0.2">
      <c r="B10" s="49" t="s">
        <v>172</v>
      </c>
      <c r="C10" s="43"/>
      <c r="D10" s="44" t="s">
        <v>173</v>
      </c>
      <c r="E10" s="45">
        <v>4500</v>
      </c>
      <c r="F10" s="46">
        <v>0.35</v>
      </c>
      <c r="G10" s="47">
        <v>4</v>
      </c>
      <c r="H10" s="47">
        <v>2</v>
      </c>
      <c r="I10" s="50" t="str">
        <f t="shared" si="0"/>
        <v>—</v>
      </c>
    </row>
    <row r="11" spans="1:9" ht="21.75" customHeight="1" x14ac:dyDescent="0.2">
      <c r="B11" s="42" t="s">
        <v>174</v>
      </c>
      <c r="C11" s="43"/>
      <c r="D11" s="44" t="s">
        <v>175</v>
      </c>
      <c r="E11" s="45">
        <v>2200</v>
      </c>
      <c r="F11" s="46">
        <v>0.25</v>
      </c>
      <c r="G11" s="47">
        <v>2</v>
      </c>
      <c r="H11" s="47">
        <v>4</v>
      </c>
      <c r="I11" s="48" t="str">
        <f t="shared" si="0"/>
        <v>—</v>
      </c>
    </row>
    <row r="12" spans="1:9" ht="21.75" customHeight="1" x14ac:dyDescent="0.2">
      <c r="B12" s="49" t="s">
        <v>176</v>
      </c>
      <c r="C12" s="43"/>
      <c r="D12" s="44" t="s">
        <v>177</v>
      </c>
      <c r="E12" s="45">
        <v>1800</v>
      </c>
      <c r="F12" s="46">
        <v>0.22</v>
      </c>
      <c r="G12" s="47">
        <v>2</v>
      </c>
      <c r="H12" s="47">
        <v>5</v>
      </c>
      <c r="I12" s="50" t="str">
        <f t="shared" si="0"/>
        <v>—</v>
      </c>
    </row>
    <row r="13" spans="1:9" ht="21.75" customHeight="1" x14ac:dyDescent="0.2">
      <c r="B13" s="42" t="s">
        <v>178</v>
      </c>
      <c r="C13" s="43"/>
      <c r="D13" s="44" t="s">
        <v>173</v>
      </c>
      <c r="E13" s="45">
        <v>5200</v>
      </c>
      <c r="F13" s="46">
        <v>0.4</v>
      </c>
      <c r="G13" s="47">
        <v>5</v>
      </c>
      <c r="H13" s="47">
        <v>2</v>
      </c>
      <c r="I13" s="48" t="str">
        <f t="shared" si="0"/>
        <v>—</v>
      </c>
    </row>
    <row r="14" spans="1:9" ht="21.75" customHeight="1" x14ac:dyDescent="0.2">
      <c r="B14" s="49" t="s">
        <v>179</v>
      </c>
      <c r="C14" s="43"/>
      <c r="D14" s="44" t="s">
        <v>169</v>
      </c>
      <c r="E14" s="45">
        <v>1900</v>
      </c>
      <c r="F14" s="46">
        <v>0.2</v>
      </c>
      <c r="G14" s="47">
        <v>2</v>
      </c>
      <c r="H14" s="47">
        <v>4</v>
      </c>
      <c r="I14" s="50" t="str">
        <f t="shared" si="0"/>
        <v>—</v>
      </c>
    </row>
    <row r="15" spans="1:9" ht="21.75" customHeight="1" x14ac:dyDescent="0.2">
      <c r="B15" s="42" t="s">
        <v>180</v>
      </c>
      <c r="C15" s="43"/>
      <c r="D15" s="44" t="s">
        <v>167</v>
      </c>
      <c r="E15" s="45">
        <v>5800</v>
      </c>
      <c r="F15" s="46">
        <v>0.45</v>
      </c>
      <c r="G15" s="47">
        <v>5</v>
      </c>
      <c r="H15" s="47">
        <v>2</v>
      </c>
      <c r="I15" s="48" t="str">
        <f t="shared" si="0"/>
        <v>—</v>
      </c>
    </row>
    <row r="16" spans="1:9" ht="21.75" customHeight="1" x14ac:dyDescent="0.2">
      <c r="B16" s="49" t="s">
        <v>181</v>
      </c>
      <c r="C16" s="43"/>
      <c r="D16" s="44" t="s">
        <v>173</v>
      </c>
      <c r="E16" s="45">
        <v>3200</v>
      </c>
      <c r="F16" s="46">
        <v>0.28000000000000003</v>
      </c>
      <c r="G16" s="47">
        <v>3</v>
      </c>
      <c r="H16" s="47">
        <v>4</v>
      </c>
      <c r="I16" s="50" t="str">
        <f t="shared" si="0"/>
        <v>—</v>
      </c>
    </row>
    <row r="17" spans="1:9" ht="21.75" customHeight="1" x14ac:dyDescent="0.2">
      <c r="B17" s="42" t="s">
        <v>182</v>
      </c>
      <c r="C17" s="43"/>
      <c r="D17" s="44" t="s">
        <v>183</v>
      </c>
      <c r="E17" s="45">
        <v>2400</v>
      </c>
      <c r="F17" s="46">
        <v>0.24</v>
      </c>
      <c r="G17" s="47">
        <v>2</v>
      </c>
      <c r="H17" s="47">
        <v>4</v>
      </c>
      <c r="I17" s="48" t="str">
        <f t="shared" si="0"/>
        <v>—</v>
      </c>
    </row>
    <row r="18" spans="1:9" ht="21.75" customHeight="1" x14ac:dyDescent="0.2">
      <c r="B18" s="49" t="s">
        <v>184</v>
      </c>
      <c r="C18" s="43"/>
      <c r="D18" s="44" t="s">
        <v>183</v>
      </c>
      <c r="E18" s="45">
        <v>2600</v>
      </c>
      <c r="F18" s="46">
        <v>0.28000000000000003</v>
      </c>
      <c r="G18" s="47">
        <v>3</v>
      </c>
      <c r="H18" s="47">
        <v>4</v>
      </c>
      <c r="I18" s="50" t="str">
        <f t="shared" si="0"/>
        <v>—</v>
      </c>
    </row>
    <row r="19" spans="1:9" ht="21.75" customHeight="1" x14ac:dyDescent="0.2">
      <c r="B19" s="42" t="s">
        <v>185</v>
      </c>
      <c r="C19" s="43"/>
      <c r="D19" s="44" t="s">
        <v>186</v>
      </c>
      <c r="E19" s="45">
        <v>1600</v>
      </c>
      <c r="F19" s="46">
        <v>0.2</v>
      </c>
      <c r="G19" s="47">
        <v>2</v>
      </c>
      <c r="H19" s="47">
        <v>3</v>
      </c>
      <c r="I19" s="48" t="str">
        <f t="shared" si="0"/>
        <v>—</v>
      </c>
    </row>
    <row r="20" spans="1:9" ht="21.75" customHeight="1" x14ac:dyDescent="0.2">
      <c r="B20" s="49" t="s">
        <v>187</v>
      </c>
      <c r="C20" s="43"/>
      <c r="D20" s="44" t="s">
        <v>186</v>
      </c>
      <c r="E20" s="45">
        <v>1800</v>
      </c>
      <c r="F20" s="46">
        <v>0.25</v>
      </c>
      <c r="G20" s="47">
        <v>4</v>
      </c>
      <c r="H20" s="47">
        <v>2</v>
      </c>
      <c r="I20" s="50" t="str">
        <f t="shared" si="0"/>
        <v>—</v>
      </c>
    </row>
    <row r="21" spans="1:9" ht="21.75" customHeight="1" x14ac:dyDescent="0.2">
      <c r="B21" s="42" t="s">
        <v>188</v>
      </c>
      <c r="C21" s="43"/>
      <c r="D21" s="44" t="s">
        <v>186</v>
      </c>
      <c r="E21" s="45">
        <v>2200</v>
      </c>
      <c r="F21" s="46">
        <v>0.3</v>
      </c>
      <c r="G21" s="47">
        <v>1</v>
      </c>
      <c r="H21" s="47">
        <v>1</v>
      </c>
      <c r="I21" s="48" t="str">
        <f t="shared" si="0"/>
        <v>—</v>
      </c>
    </row>
    <row r="22" spans="1:9" ht="21.75" customHeight="1" x14ac:dyDescent="0.2">
      <c r="B22" s="49" t="s">
        <v>189</v>
      </c>
      <c r="C22" s="43"/>
      <c r="D22" s="44" t="s">
        <v>190</v>
      </c>
      <c r="E22" s="45">
        <v>800</v>
      </c>
      <c r="F22" s="46">
        <v>0.15</v>
      </c>
      <c r="G22" s="47">
        <v>1</v>
      </c>
      <c r="H22" s="47">
        <v>5</v>
      </c>
      <c r="I22" s="50" t="str">
        <f t="shared" si="0"/>
        <v>—</v>
      </c>
    </row>
    <row r="23" spans="1:9" ht="21.75" customHeight="1" x14ac:dyDescent="0.2">
      <c r="B23" s="42" t="s">
        <v>191</v>
      </c>
      <c r="C23" s="43"/>
      <c r="D23" s="44" t="s">
        <v>190</v>
      </c>
      <c r="E23" s="45">
        <v>900</v>
      </c>
      <c r="F23" s="46">
        <v>0.18</v>
      </c>
      <c r="G23" s="47">
        <v>1</v>
      </c>
      <c r="H23" s="47">
        <v>5</v>
      </c>
      <c r="I23" s="48" t="str">
        <f t="shared" si="0"/>
        <v>—</v>
      </c>
    </row>
    <row r="24" spans="1:9" ht="21.75" customHeight="1" x14ac:dyDescent="0.2">
      <c r="B24" s="49" t="s">
        <v>192</v>
      </c>
      <c r="C24" s="43"/>
      <c r="D24" s="44" t="s">
        <v>190</v>
      </c>
      <c r="E24" s="45">
        <v>900</v>
      </c>
      <c r="F24" s="46">
        <v>0.15</v>
      </c>
      <c r="G24" s="47">
        <v>1</v>
      </c>
      <c r="H24" s="47">
        <v>3</v>
      </c>
      <c r="I24" s="50" t="str">
        <f t="shared" si="0"/>
        <v>—</v>
      </c>
    </row>
    <row r="25" spans="1:9" ht="7.5" customHeight="1" x14ac:dyDescent="0.2"/>
    <row r="26" spans="1:9" ht="24" customHeight="1" x14ac:dyDescent="0.2">
      <c r="A26" s="70" t="s">
        <v>193</v>
      </c>
      <c r="B26" s="70"/>
      <c r="C26" s="70"/>
      <c r="D26" s="70"/>
      <c r="E26" s="70"/>
      <c r="F26" s="70"/>
      <c r="G26" s="70"/>
      <c r="H26" s="70"/>
      <c r="I26" s="70"/>
    </row>
    <row r="27" spans="1:9" ht="18" customHeight="1" x14ac:dyDescent="0.2">
      <c r="B27" s="18" t="s">
        <v>194</v>
      </c>
      <c r="C27" s="41">
        <f>COUNTIF(C7:C24,"X")+COUNTIF(C7:C24,"x")</f>
        <v>0</v>
      </c>
      <c r="D27" s="77" t="str">
        <f>IF(AND(B27&gt;=8,B27&lt;=12),"✓ Gæðafjöldi rétta","⚠ Veldu 8-12 rétti")</f>
        <v>⚠ Veldu 8-12 rétti</v>
      </c>
      <c r="E27" s="77"/>
      <c r="F27" s="77"/>
      <c r="G27" s="77"/>
      <c r="H27" s="77"/>
      <c r="I27" s="77"/>
    </row>
    <row r="28" spans="1:9" ht="18" customHeight="1" x14ac:dyDescent="0.2">
      <c r="B28" s="18" t="s">
        <v>195</v>
      </c>
      <c r="C28" s="51" t="str">
        <f>IFERROR(AVERAGEIF(C7:C24,"X",F7:F24),"—")</f>
        <v>—</v>
      </c>
      <c r="D28" s="77" t="str">
        <f>IF(ISNUMBER(B28),IF(B28&lt;=0.32,"✓ Góð hráefnanýting","⚠ Hráefnakostnaður of hár"),"—")</f>
        <v>—</v>
      </c>
      <c r="E28" s="77"/>
      <c r="F28" s="77"/>
      <c r="G28" s="77"/>
      <c r="H28" s="77"/>
      <c r="I28" s="77"/>
    </row>
    <row r="29" spans="1:9" ht="18" customHeight="1" x14ac:dyDescent="0.2">
      <c r="B29" s="18" t="s">
        <v>196</v>
      </c>
      <c r="C29" s="52" t="str">
        <f>IFERROR(AVERAGEIF(C7:C24,"X",G7:G24),"—")</f>
        <v>—</v>
      </c>
      <c r="D29" s="77" t="str">
        <f>IF(ISNUMBER(B29),IF(B29&lt;=3,"✓ Eldhúsið ræður við","⚠ Of flókinn matseðill"),"—")</f>
        <v>—</v>
      </c>
      <c r="E29" s="77"/>
      <c r="F29" s="77"/>
      <c r="G29" s="77"/>
      <c r="H29" s="77"/>
      <c r="I29" s="77"/>
    </row>
    <row r="30" spans="1:9" ht="18" customHeight="1" x14ac:dyDescent="0.2">
      <c r="B30" s="18" t="s">
        <v>197</v>
      </c>
      <c r="C30" s="52" t="str">
        <f>IFERROR(AVERAGEIF(C7:C24,"X",H7:H24),"—")</f>
        <v>—</v>
      </c>
      <c r="D30" s="77" t="str">
        <f>IF(ISNUMBER(B30),IF(B30&gt;=3.5,"✓ Góð hráefnanýting","⚠ Lítil hráefnasamgildi"),"—")</f>
        <v>—</v>
      </c>
      <c r="E30" s="77"/>
      <c r="F30" s="77"/>
      <c r="G30" s="77"/>
      <c r="H30" s="77"/>
      <c r="I30" s="77"/>
    </row>
    <row r="31" spans="1:9" ht="18" customHeight="1" x14ac:dyDescent="0.2">
      <c r="B31" s="18" t="s">
        <v>198</v>
      </c>
      <c r="C31" s="41" t="str">
        <f>IFERROR(SUMPRODUCT((1/COUNTIFS(D7:D24,D7:D24,C7:C24,"X"))*(UPPER(C7:C24)="X")),"—")</f>
        <v>—</v>
      </c>
      <c r="D31" s="77" t="str">
        <f>IF(ISNUMBER(B31),IF(B31&gt;=3,"✓ Fjölbreyttur matseðill","⚠ Of þröngur matseðill"),"—")</f>
        <v>—</v>
      </c>
      <c r="E31" s="77"/>
      <c r="F31" s="77"/>
      <c r="G31" s="77"/>
      <c r="H31" s="77"/>
      <c r="I31" s="77"/>
    </row>
    <row r="32" spans="1:9" ht="7.5" customHeight="1" x14ac:dyDescent="0.2"/>
    <row r="33" spans="1:9" ht="24" customHeight="1" x14ac:dyDescent="0.2">
      <c r="A33" s="73" t="s">
        <v>199</v>
      </c>
      <c r="B33" s="73"/>
      <c r="C33" s="73"/>
      <c r="D33" s="73"/>
      <c r="E33" s="73"/>
      <c r="F33" s="73"/>
      <c r="G33" s="73"/>
      <c r="H33" s="73"/>
      <c r="I33" s="73"/>
    </row>
    <row r="34" spans="1:9" ht="18" customHeight="1" x14ac:dyDescent="0.2">
      <c r="B34" s="18" t="s">
        <v>200</v>
      </c>
      <c r="C34" s="80" t="str">
        <f>IF(COUNTIF(D27:D31,"✓*")=5,"✓✓ FRAMÚRSKARANDI — Matseðillinn er rekstrarlega sterkur og hráefnanýting góð!",IF(COUNTIF(D27:D31,"✓*")&gt;=3,"✓ GÓÐUR — Nokkrir þættir þurfa endurskoðun","⚠ ÞARFNAST VINNU — Farðu aftur í reitabankann og endurskoðaðu val þitt"))</f>
        <v>⚠ ÞARFNAST VINNU — Farðu aftur í reitabankann og endurskoðaðu val þitt</v>
      </c>
      <c r="D34" s="80"/>
      <c r="E34" s="80"/>
      <c r="F34" s="80"/>
      <c r="G34" s="80"/>
      <c r="H34" s="80"/>
      <c r="I34" s="80"/>
    </row>
    <row r="35" spans="1:9" ht="27.75" customHeight="1" x14ac:dyDescent="0.2">
      <c r="A35" s="75" t="s">
        <v>201</v>
      </c>
      <c r="B35" s="75"/>
      <c r="C35" s="75"/>
      <c r="D35" s="75"/>
      <c r="E35" s="75"/>
      <c r="F35" s="75"/>
      <c r="G35" s="75"/>
      <c r="H35" s="75"/>
      <c r="I35" s="75"/>
    </row>
  </sheetData>
  <mergeCells count="13">
    <mergeCell ref="A33:I33"/>
    <mergeCell ref="C34:I34"/>
    <mergeCell ref="A35:I35"/>
    <mergeCell ref="D27:I27"/>
    <mergeCell ref="D28:I28"/>
    <mergeCell ref="D29:I29"/>
    <mergeCell ref="D30:I30"/>
    <mergeCell ref="D31:I31"/>
    <mergeCell ref="A1:I1"/>
    <mergeCell ref="A2:I2"/>
    <mergeCell ref="A4:I4"/>
    <mergeCell ref="A5:I5"/>
    <mergeCell ref="A26:I26"/>
  </mergeCells>
  <conditionalFormatting sqref="C34:I34">
    <cfRule type="expression" dxfId="15" priority="68">
      <formula>LEFT(C34,1)="⚠"</formula>
    </cfRule>
    <cfRule type="expression" dxfId="14" priority="67">
      <formula>AND(LEFT(C34,1)="✓",LEFT(C34,2)&lt;&gt;"✓✓")</formula>
    </cfRule>
    <cfRule type="expression" dxfId="13" priority="66">
      <formula>LEFT(C34,2)="✓✓"</formula>
    </cfRule>
  </conditionalFormatting>
  <conditionalFormatting sqref="D27:I31">
    <cfRule type="expression" dxfId="12" priority="57">
      <formula>LEFT(D27,1)="⚠"</formula>
    </cfRule>
    <cfRule type="expression" dxfId="11" priority="56">
      <formula>LEFT(D27,1)="✓"</formula>
    </cfRule>
  </conditionalFormatting>
  <conditionalFormatting sqref="I7:I24">
    <cfRule type="expression" dxfId="10" priority="2">
      <formula>LEFT(I7,2)="★★"</formula>
    </cfRule>
    <cfRule type="expression" dxfId="9" priority="4">
      <formula>LEFT(I7,1)="✗"</formula>
    </cfRule>
    <cfRule type="expression" dxfId="8" priority="3">
      <formula>LEFT(I7,1)="★"</formula>
    </cfRule>
  </conditionalFormatting>
  <dataValidations count="1">
    <dataValidation type="list" allowBlank="1" sqref="C7:C24" xr:uid="{00000000-0002-0000-0400-000000000000}">
      <formula1>"X,x"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F77DD"/>
  </sheetPr>
  <dimension ref="A1:G53"/>
  <sheetViews>
    <sheetView showGridLines="0" zoomScaleNormal="10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baseColWidth="10" defaultColWidth="8.6640625" defaultRowHeight="15" x14ac:dyDescent="0.2"/>
  <cols>
    <col min="1" max="1" width="2" customWidth="1"/>
    <col min="2" max="2" width="56.6640625" bestFit="1" customWidth="1"/>
    <col min="3" max="3" width="18" customWidth="1"/>
    <col min="4" max="4" width="16.83203125" bestFit="1" customWidth="1"/>
    <col min="5" max="5" width="21.1640625" bestFit="1" customWidth="1"/>
    <col min="6" max="6" width="15.6640625" bestFit="1" customWidth="1"/>
    <col min="7" max="7" width="18" customWidth="1"/>
  </cols>
  <sheetData>
    <row r="1" spans="1:7" ht="36" customHeight="1" x14ac:dyDescent="0.2">
      <c r="A1" s="2" t="s">
        <v>202</v>
      </c>
      <c r="B1" s="2"/>
      <c r="C1" s="2"/>
      <c r="D1" s="2"/>
      <c r="E1" s="2"/>
      <c r="F1" s="2"/>
      <c r="G1" s="2"/>
    </row>
    <row r="2" spans="1:7" ht="19.5" customHeight="1" x14ac:dyDescent="0.2">
      <c r="A2" s="1" t="s">
        <v>203</v>
      </c>
      <c r="B2" s="1"/>
      <c r="C2" s="1"/>
      <c r="D2" s="1"/>
      <c r="E2" s="1"/>
      <c r="F2" s="1"/>
      <c r="G2" s="1"/>
    </row>
    <row r="3" spans="1:7" ht="7" customHeight="1" x14ac:dyDescent="0.2"/>
    <row r="4" spans="1:7" ht="16" x14ac:dyDescent="0.2">
      <c r="A4" s="64" t="s">
        <v>204</v>
      </c>
      <c r="B4" s="64"/>
      <c r="C4" s="64"/>
      <c r="D4" s="64"/>
      <c r="E4" s="64"/>
      <c r="F4" s="64"/>
      <c r="G4" s="64"/>
    </row>
    <row r="5" spans="1:7" x14ac:dyDescent="0.2">
      <c r="A5" s="65" t="s">
        <v>205</v>
      </c>
      <c r="B5" s="65"/>
      <c r="C5" s="65"/>
      <c r="D5" s="65"/>
      <c r="E5" s="65"/>
      <c r="F5" s="65"/>
      <c r="G5" s="65"/>
    </row>
    <row r="6" spans="1:7" x14ac:dyDescent="0.2">
      <c r="B6" s="30" t="s">
        <v>206</v>
      </c>
      <c r="C6" s="30" t="s">
        <v>207</v>
      </c>
      <c r="D6" s="30" t="s">
        <v>208</v>
      </c>
      <c r="E6" s="30" t="s">
        <v>209</v>
      </c>
      <c r="F6" s="30" t="s">
        <v>210</v>
      </c>
      <c r="G6" s="30"/>
    </row>
    <row r="7" spans="1:7" ht="28" x14ac:dyDescent="0.2">
      <c r="B7" s="18" t="s">
        <v>211</v>
      </c>
      <c r="C7" s="53">
        <v>300</v>
      </c>
      <c r="D7" s="54" t="s">
        <v>212</v>
      </c>
      <c r="E7" s="55" t="s">
        <v>213</v>
      </c>
      <c r="F7" s="81" t="s">
        <v>214</v>
      </c>
      <c r="G7" s="81"/>
    </row>
    <row r="8" spans="1:7" ht="28" x14ac:dyDescent="0.2">
      <c r="B8" s="18" t="s">
        <v>215</v>
      </c>
      <c r="C8" s="56">
        <v>40</v>
      </c>
      <c r="D8" s="54" t="s">
        <v>216</v>
      </c>
      <c r="E8" s="55" t="s">
        <v>217</v>
      </c>
      <c r="F8" s="81" t="s">
        <v>218</v>
      </c>
      <c r="G8" s="81"/>
    </row>
    <row r="9" spans="1:7" ht="28" x14ac:dyDescent="0.2">
      <c r="B9" s="18" t="s">
        <v>219</v>
      </c>
      <c r="C9" s="56">
        <v>30</v>
      </c>
      <c r="D9" s="54" t="s">
        <v>216</v>
      </c>
      <c r="E9" s="55" t="s">
        <v>220</v>
      </c>
      <c r="F9" s="81" t="s">
        <v>221</v>
      </c>
      <c r="G9" s="81"/>
    </row>
    <row r="10" spans="1:7" ht="28" x14ac:dyDescent="0.2">
      <c r="B10" s="18" t="s">
        <v>222</v>
      </c>
      <c r="C10" s="53">
        <v>3500</v>
      </c>
      <c r="D10" s="54" t="s">
        <v>223</v>
      </c>
      <c r="E10" s="55" t="s">
        <v>224</v>
      </c>
      <c r="F10" s="81" t="s">
        <v>225</v>
      </c>
      <c r="G10" s="81"/>
    </row>
    <row r="11" spans="1:7" ht="28" x14ac:dyDescent="0.2">
      <c r="B11" s="18" t="s">
        <v>226</v>
      </c>
      <c r="C11" s="53">
        <v>6500</v>
      </c>
      <c r="D11" s="54" t="s">
        <v>223</v>
      </c>
      <c r="E11" s="55" t="s">
        <v>227</v>
      </c>
      <c r="F11" s="81" t="s">
        <v>228</v>
      </c>
      <c r="G11" s="81"/>
    </row>
    <row r="12" spans="1:7" ht="28" x14ac:dyDescent="0.2">
      <c r="B12" s="18" t="s">
        <v>229</v>
      </c>
      <c r="C12" s="56">
        <v>0.3</v>
      </c>
      <c r="D12" s="54" t="s">
        <v>230</v>
      </c>
      <c r="E12" s="55" t="s">
        <v>231</v>
      </c>
      <c r="F12" s="81" t="s">
        <v>232</v>
      </c>
      <c r="G12" s="81"/>
    </row>
    <row r="13" spans="1:7" ht="26" x14ac:dyDescent="0.2">
      <c r="B13" s="18" t="s">
        <v>233</v>
      </c>
      <c r="C13" s="56">
        <v>0.32</v>
      </c>
      <c r="D13" s="54" t="s">
        <v>230</v>
      </c>
      <c r="E13" s="55" t="s">
        <v>234</v>
      </c>
      <c r="F13" s="81" t="s">
        <v>235</v>
      </c>
      <c r="G13" s="81"/>
    </row>
    <row r="14" spans="1:7" ht="28" x14ac:dyDescent="0.2">
      <c r="B14" s="18" t="s">
        <v>236</v>
      </c>
      <c r="C14" s="53">
        <v>450000</v>
      </c>
      <c r="D14" s="54" t="s">
        <v>237</v>
      </c>
      <c r="E14" s="55" t="s">
        <v>238</v>
      </c>
      <c r="F14" s="81" t="s">
        <v>239</v>
      </c>
      <c r="G14" s="81"/>
    </row>
    <row r="15" spans="1:7" ht="28" x14ac:dyDescent="0.2">
      <c r="B15" s="18" t="s">
        <v>240</v>
      </c>
      <c r="C15" s="53">
        <v>1200000</v>
      </c>
      <c r="D15" s="54" t="s">
        <v>237</v>
      </c>
      <c r="E15" s="55" t="s">
        <v>241</v>
      </c>
      <c r="F15" s="81" t="s">
        <v>242</v>
      </c>
      <c r="G15" s="81"/>
    </row>
    <row r="16" spans="1:7" ht="28" x14ac:dyDescent="0.2">
      <c r="B16" s="18" t="s">
        <v>243</v>
      </c>
      <c r="C16" s="53">
        <v>280000</v>
      </c>
      <c r="D16" s="54" t="s">
        <v>237</v>
      </c>
      <c r="E16" s="55" t="s">
        <v>244</v>
      </c>
      <c r="F16" s="81" t="s">
        <v>245</v>
      </c>
      <c r="G16" s="81"/>
    </row>
    <row r="17" spans="1:7" ht="28" x14ac:dyDescent="0.2">
      <c r="B17" s="18" t="s">
        <v>246</v>
      </c>
      <c r="C17" s="56">
        <v>0.08</v>
      </c>
      <c r="D17" s="54" t="s">
        <v>230</v>
      </c>
      <c r="E17" s="55" t="s">
        <v>247</v>
      </c>
      <c r="F17" s="81" t="s">
        <v>248</v>
      </c>
      <c r="G17" s="81"/>
    </row>
    <row r="18" spans="1:7" ht="26" x14ac:dyDescent="0.2">
      <c r="B18" s="18" t="s">
        <v>249</v>
      </c>
      <c r="C18" s="53">
        <v>12000000</v>
      </c>
      <c r="D18" s="54" t="s">
        <v>237</v>
      </c>
      <c r="E18" s="55" t="s">
        <v>250</v>
      </c>
      <c r="F18" s="81" t="s">
        <v>251</v>
      </c>
      <c r="G18" s="81"/>
    </row>
    <row r="20" spans="1:7" ht="16" x14ac:dyDescent="0.2">
      <c r="A20" s="67" t="s">
        <v>252</v>
      </c>
      <c r="B20" s="67"/>
      <c r="C20" s="67"/>
      <c r="D20" s="67"/>
      <c r="E20" s="67"/>
      <c r="F20" s="67"/>
      <c r="G20" s="67"/>
    </row>
    <row r="21" spans="1:7" ht="26" x14ac:dyDescent="0.2">
      <c r="B21" s="20" t="s">
        <v>253</v>
      </c>
      <c r="C21" s="20" t="s">
        <v>254</v>
      </c>
      <c r="D21" s="20"/>
      <c r="E21" s="20" t="s">
        <v>255</v>
      </c>
      <c r="F21" s="20"/>
      <c r="G21" s="20"/>
    </row>
    <row r="22" spans="1:7" x14ac:dyDescent="0.2">
      <c r="B22" s="57" t="s">
        <v>256</v>
      </c>
      <c r="C22" s="82">
        <f>C7*C8*C10</f>
        <v>42000000</v>
      </c>
      <c r="D22" s="82"/>
      <c r="E22" s="83">
        <f>IFERROR(C22/C25,0)</f>
        <v>0.32146957520091851</v>
      </c>
      <c r="F22" s="83"/>
      <c r="G22" s="83"/>
    </row>
    <row r="23" spans="1:7" x14ac:dyDescent="0.2">
      <c r="B23" s="57" t="s">
        <v>257</v>
      </c>
      <c r="C23" s="82">
        <f>C7*C9*C11</f>
        <v>58500000</v>
      </c>
      <c r="D23" s="82"/>
      <c r="E23" s="83">
        <f>IFERROR(C23/C25,0)</f>
        <v>0.44776119402985076</v>
      </c>
      <c r="F23" s="83"/>
      <c r="G23" s="83"/>
    </row>
    <row r="24" spans="1:7" x14ac:dyDescent="0.2">
      <c r="B24" s="57" t="s">
        <v>258</v>
      </c>
      <c r="C24" s="82">
        <f>(C22+C23)*C12</f>
        <v>30150000</v>
      </c>
      <c r="D24" s="82"/>
      <c r="E24" s="83">
        <f>IFERROR(C24/C25,0)</f>
        <v>0.23076923076923078</v>
      </c>
      <c r="F24" s="83"/>
      <c r="G24" s="83"/>
    </row>
    <row r="25" spans="1:7" x14ac:dyDescent="0.2">
      <c r="B25" s="58" t="s">
        <v>259</v>
      </c>
      <c r="C25" s="84">
        <f>SUM(C22:C24)</f>
        <v>130650000</v>
      </c>
      <c r="D25" s="84"/>
      <c r="E25" s="85">
        <f>IFERROR(C25/C25,0)</f>
        <v>1</v>
      </c>
      <c r="F25" s="85"/>
      <c r="G25" s="85"/>
    </row>
    <row r="28" spans="1:7" x14ac:dyDescent="0.2">
      <c r="B28" s="57" t="s">
        <v>260</v>
      </c>
      <c r="C28" s="82">
        <f>C25*C13</f>
        <v>41808000</v>
      </c>
      <c r="D28" s="82"/>
      <c r="E28" s="83">
        <f>IFERROR(C28/C25,0)</f>
        <v>0.32</v>
      </c>
      <c r="F28" s="83"/>
      <c r="G28" s="83"/>
    </row>
    <row r="29" spans="1:7" x14ac:dyDescent="0.2">
      <c r="B29" s="57" t="s">
        <v>261</v>
      </c>
      <c r="C29" s="82">
        <f>C15*12</f>
        <v>14400000</v>
      </c>
      <c r="D29" s="82"/>
      <c r="E29" s="83">
        <f>IFERROR(C29/C25,0)</f>
        <v>0.11021814006888633</v>
      </c>
      <c r="F29" s="83"/>
      <c r="G29" s="83"/>
    </row>
    <row r="30" spans="1:7" x14ac:dyDescent="0.2">
      <c r="B30" s="57" t="s">
        <v>262</v>
      </c>
      <c r="C30" s="82">
        <f>C14*12</f>
        <v>5400000</v>
      </c>
      <c r="D30" s="82"/>
      <c r="E30" s="83">
        <f>IFERROR(C30/C25,0)</f>
        <v>4.1331802525832378E-2</v>
      </c>
      <c r="F30" s="83"/>
      <c r="G30" s="83"/>
    </row>
    <row r="31" spans="1:7" x14ac:dyDescent="0.2">
      <c r="B31" s="57" t="s">
        <v>263</v>
      </c>
      <c r="C31" s="82">
        <f>C16*12</f>
        <v>3360000</v>
      </c>
      <c r="D31" s="82"/>
      <c r="E31" s="83">
        <f>IFERROR(C31/C25,0)</f>
        <v>2.571756601607348E-2</v>
      </c>
      <c r="F31" s="83"/>
      <c r="G31" s="83"/>
    </row>
    <row r="32" spans="1:7" x14ac:dyDescent="0.2">
      <c r="B32" s="57" t="s">
        <v>264</v>
      </c>
      <c r="C32" s="82">
        <f>C25*C17</f>
        <v>10452000</v>
      </c>
      <c r="D32" s="82"/>
      <c r="E32" s="83">
        <f>IFERROR(C32/C25,0)</f>
        <v>0.08</v>
      </c>
      <c r="F32" s="83"/>
      <c r="G32" s="83"/>
    </row>
    <row r="33" spans="1:7" x14ac:dyDescent="0.2">
      <c r="B33" s="59" t="s">
        <v>265</v>
      </c>
      <c r="C33" s="86">
        <f>SUM(C28:C32)</f>
        <v>75420000</v>
      </c>
      <c r="D33" s="86"/>
      <c r="E33" s="85">
        <f>IFERROR(C33/C25,0)</f>
        <v>0.57726750861079223</v>
      </c>
      <c r="F33" s="85"/>
      <c r="G33" s="85"/>
    </row>
    <row r="34" spans="1:7" ht="18" x14ac:dyDescent="0.2">
      <c r="B34" s="60" t="s">
        <v>266</v>
      </c>
      <c r="C34" s="87">
        <f>C25-C33</f>
        <v>55230000</v>
      </c>
      <c r="D34" s="87"/>
      <c r="E34" s="88">
        <f>IFERROR(C34/C25,0)</f>
        <v>0.42273249138920782</v>
      </c>
      <c r="F34" s="88"/>
      <c r="G34" s="88"/>
    </row>
    <row r="37" spans="1:7" ht="16" x14ac:dyDescent="0.2">
      <c r="A37" s="70" t="s">
        <v>267</v>
      </c>
      <c r="B37" s="70"/>
      <c r="C37" s="70"/>
      <c r="D37" s="70"/>
      <c r="E37" s="70"/>
      <c r="F37" s="70"/>
      <c r="G37" s="70"/>
    </row>
    <row r="38" spans="1:7" ht="28" x14ac:dyDescent="0.2">
      <c r="B38" s="18" t="s">
        <v>268</v>
      </c>
      <c r="C38" s="61">
        <f>IFERROR((C33/C7)/((C10*(1+C12))*(1-C13-C17)),0)</f>
        <v>92.087912087912088</v>
      </c>
      <c r="D38" s="77" t="str">
        <f>IF(C38&lt;C8+C9,"✓ Jafnvægi náðst við gildandi gesti","⚠ Þarf fleiri gesti en áætlað til að ná jafnvægi")</f>
        <v>⚠ Þarf fleiri gesti en áætlað til að ná jafnvægi</v>
      </c>
      <c r="E38" s="77"/>
      <c r="F38" s="77"/>
      <c r="G38" s="77"/>
    </row>
    <row r="39" spans="1:7" ht="28" x14ac:dyDescent="0.2">
      <c r="B39" s="18" t="s">
        <v>269</v>
      </c>
      <c r="C39" s="62">
        <f>IFERROR(C14*12/C25,0)</f>
        <v>4.1331802525832378E-2</v>
      </c>
      <c r="D39" s="77" t="str">
        <f>IF(C39&lt;=0.12,"✓ Leiga &lt; 12% — viðráðanleg","⚠ Leiga yfir 12% af tekjum — áhætta")</f>
        <v>✓ Leiga &lt; 12% — viðráðanleg</v>
      </c>
      <c r="E39" s="77"/>
      <c r="F39" s="77"/>
      <c r="G39" s="77"/>
    </row>
    <row r="40" spans="1:7" ht="28" x14ac:dyDescent="0.2">
      <c r="B40" s="18" t="s">
        <v>270</v>
      </c>
      <c r="C40" s="62">
        <f>IFERROR(C15*12/C25,0)</f>
        <v>0.11021814006888633</v>
      </c>
      <c r="D40" s="77" t="str">
        <f>IF(C40&lt;=0.35,"✓ Laun &lt; 35% — í lagi","⚠ Launakostnaður of hár hlutfallslega")</f>
        <v>✓ Laun &lt; 35% — í lagi</v>
      </c>
      <c r="E40" s="77"/>
      <c r="F40" s="77"/>
      <c r="G40" s="77"/>
    </row>
    <row r="41" spans="1:7" ht="28" x14ac:dyDescent="0.2">
      <c r="B41" s="18" t="s">
        <v>271</v>
      </c>
      <c r="C41" s="52">
        <f>IFERROR(C18/C34,0)</f>
        <v>0.21727322107550245</v>
      </c>
      <c r="D41" s="77" t="str">
        <f>IF(C41&lt;=5,"✓ Endurgreiðslutími &lt; 5 ár — ásættanlegur","⚠ Tekur yfir 5 ár að greiða upp — endurskodaðu")</f>
        <v>✓ Endurgreiðslutími &lt; 5 ár — ásættanlegur</v>
      </c>
      <c r="E41" s="77"/>
      <c r="F41" s="77"/>
      <c r="G41" s="77"/>
    </row>
    <row r="44" spans="1:7" ht="16" x14ac:dyDescent="0.2">
      <c r="A44" s="73" t="s">
        <v>272</v>
      </c>
      <c r="B44" s="73"/>
      <c r="C44" s="73"/>
      <c r="D44" s="73"/>
      <c r="E44" s="73"/>
      <c r="F44" s="73"/>
      <c r="G44" s="73"/>
    </row>
    <row r="45" spans="1:7" x14ac:dyDescent="0.2">
      <c r="A45" s="65" t="s">
        <v>273</v>
      </c>
      <c r="B45" s="65"/>
      <c r="C45" s="65"/>
      <c r="D45" s="65"/>
      <c r="E45" s="65"/>
      <c r="F45" s="65"/>
      <c r="G45" s="65"/>
    </row>
    <row r="46" spans="1:7" x14ac:dyDescent="0.2">
      <c r="B46" s="20" t="s">
        <v>274</v>
      </c>
      <c r="C46" s="20" t="s">
        <v>275</v>
      </c>
      <c r="D46" s="20" t="s">
        <v>276</v>
      </c>
      <c r="E46" s="20" t="s">
        <v>277</v>
      </c>
      <c r="F46" s="20" t="s">
        <v>278</v>
      </c>
    </row>
    <row r="47" spans="1:7" x14ac:dyDescent="0.2">
      <c r="B47" s="57" t="s">
        <v>279</v>
      </c>
      <c r="C47" s="54" t="s">
        <v>280</v>
      </c>
      <c r="D47" s="63">
        <f>(C25*0.8)-C33</f>
        <v>29100000</v>
      </c>
      <c r="E47" s="63">
        <f>D47-C34</f>
        <v>-26130000</v>
      </c>
      <c r="F47" s="89" t="str">
        <f>IF(D47&gt;0,"✓ Rekstur lifir","✗ Tap — endurskoda")</f>
        <v>✓ Rekstur lifir</v>
      </c>
      <c r="G47" s="89"/>
    </row>
    <row r="48" spans="1:7" x14ac:dyDescent="0.2">
      <c r="B48" s="57" t="s">
        <v>281</v>
      </c>
      <c r="C48" s="54" t="s">
        <v>282</v>
      </c>
      <c r="D48" s="63">
        <f>C25-(C33+C14*12*0.3)</f>
        <v>53610000</v>
      </c>
      <c r="E48" s="63">
        <f>D48-C34</f>
        <v>-1620000</v>
      </c>
      <c r="F48" s="89" t="str">
        <f>IF(D48&gt;0,"✓ Rekstur lifir","✗ Tap — endurskoda")</f>
        <v>✓ Rekstur lifir</v>
      </c>
      <c r="G48" s="89"/>
    </row>
    <row r="49" spans="1:7" x14ac:dyDescent="0.2">
      <c r="B49" s="57" t="s">
        <v>283</v>
      </c>
      <c r="C49" s="54" t="s">
        <v>284</v>
      </c>
      <c r="D49" s="63">
        <f>C25*1.1-C33</f>
        <v>68295000</v>
      </c>
      <c r="E49" s="63">
        <f>D49-C34</f>
        <v>13065000</v>
      </c>
      <c r="F49" s="89" t="str">
        <f>IF(D49&gt;0,"✓ Rekstur lifir","✗ Tap — endurskoda")</f>
        <v>✓ Rekstur lifir</v>
      </c>
      <c r="G49" s="89"/>
    </row>
    <row r="50" spans="1:7" x14ac:dyDescent="0.2">
      <c r="B50" s="57" t="s">
        <v>285</v>
      </c>
      <c r="C50" s="54" t="s">
        <v>286</v>
      </c>
      <c r="D50" s="63">
        <f>C25-(C33+C25*0.05)</f>
        <v>48697500</v>
      </c>
      <c r="E50" s="63">
        <f>D50-C34</f>
        <v>-6532500</v>
      </c>
      <c r="F50" s="89" t="str">
        <f>IF(D50&gt;0,"✓ Rekstur lifir","✗ Tap — endurskoda")</f>
        <v>✓ Rekstur lifir</v>
      </c>
      <c r="G50" s="89"/>
    </row>
    <row r="53" spans="1:7" x14ac:dyDescent="0.2">
      <c r="A53" s="75" t="s">
        <v>50</v>
      </c>
      <c r="B53" s="75"/>
      <c r="C53" s="75"/>
      <c r="D53" s="75"/>
      <c r="E53" s="75"/>
      <c r="F53" s="75"/>
      <c r="G53" s="75"/>
    </row>
  </sheetData>
  <mergeCells count="51">
    <mergeCell ref="F50:G50"/>
    <mergeCell ref="A53:G53"/>
    <mergeCell ref="A44:G44"/>
    <mergeCell ref="A45:G45"/>
    <mergeCell ref="F47:G47"/>
    <mergeCell ref="F48:G48"/>
    <mergeCell ref="F49:G49"/>
    <mergeCell ref="A37:G37"/>
    <mergeCell ref="D38:G38"/>
    <mergeCell ref="D39:G39"/>
    <mergeCell ref="D40:G40"/>
    <mergeCell ref="D41:G41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4:D24"/>
    <mergeCell ref="E24:G24"/>
    <mergeCell ref="C25:D25"/>
    <mergeCell ref="E25:G25"/>
    <mergeCell ref="C28:D28"/>
    <mergeCell ref="E28:G28"/>
    <mergeCell ref="F18:G18"/>
    <mergeCell ref="A20:G20"/>
    <mergeCell ref="C22:D22"/>
    <mergeCell ref="E22:G22"/>
    <mergeCell ref="C23:D23"/>
    <mergeCell ref="E23:G23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A1:G1"/>
    <mergeCell ref="A2:G2"/>
    <mergeCell ref="A4:G4"/>
    <mergeCell ref="A5:G5"/>
    <mergeCell ref="F7:G7"/>
  </mergeCells>
  <conditionalFormatting sqref="C34:G34">
    <cfRule type="expression" dxfId="7" priority="3">
      <formula>C34&lt;=0</formula>
    </cfRule>
    <cfRule type="expression" dxfId="6" priority="2">
      <formula>C34&gt;0</formula>
    </cfRule>
  </conditionalFormatting>
  <conditionalFormatting sqref="D47:D50">
    <cfRule type="expression" dxfId="5" priority="12">
      <formula>D47&gt;0</formula>
    </cfRule>
    <cfRule type="expression" dxfId="4" priority="13">
      <formula>D47&lt;=0</formula>
    </cfRule>
  </conditionalFormatting>
  <conditionalFormatting sqref="D38:G41">
    <cfRule type="expression" dxfId="3" priority="4">
      <formula>LEFT(D38,1)="✓"</formula>
    </cfRule>
    <cfRule type="expression" dxfId="2" priority="5">
      <formula>LEFT(D38,1)="⚠"</formula>
    </cfRule>
  </conditionalFormatting>
  <conditionalFormatting sqref="F47:G50">
    <cfRule type="expression" dxfId="1" priority="15">
      <formula>LEFT(F47,1)="✗"</formula>
    </cfRule>
    <cfRule type="expression" dxfId="0" priority="14">
      <formula>LEFT(F47,1)="✓"</formula>
    </cfRule>
  </conditionalFormatting>
  <pageMargins left="0.75" right="0.75" top="1" bottom="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Forsíða</vt:lpstr>
      <vt:lpstr>V1 — Hugmyndamótun</vt:lpstr>
      <vt:lpstr>V2 — Staðsetning</vt:lpstr>
      <vt:lpstr>V3 — Samkeppnisgreining</vt:lpstr>
      <vt:lpstr>V4 — Matseðill</vt:lpstr>
      <vt:lpstr>V5 — Fjárhagsáætlun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Hinrik Carl Ellertsson - MK</cp:lastModifiedBy>
  <cp:revision>0</cp:revision>
  <dcterms:created xsi:type="dcterms:W3CDTF">2026-03-15T17:59:13Z</dcterms:created>
  <dcterms:modified xsi:type="dcterms:W3CDTF">2026-03-15T18:17:00Z</dcterms:modified>
  <dc:language>en-US</dc:language>
</cp:coreProperties>
</file>