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xr:revisionPtr revIDLastSave="0" documentId="8_{FE046706-A524-4693-B8A4-546A1FF3E488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tart Here" sheetId="1" r:id="rId1"/>
    <sheet name="Assumptions" sheetId="2" r:id="rId2"/>
    <sheet name="Startup Costs" sheetId="3" r:id="rId3"/>
    <sheet name="P&amp;L Projections" sheetId="4" r:id="rId4"/>
    <sheet name="Break-Even" sheetId="5" r:id="rId5"/>
    <sheet name="Plan Worksheet" sheetId="6" r:id="rId6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5" l="1"/>
  <c r="B15" i="5"/>
  <c r="B9" i="5"/>
  <c r="B7" i="5"/>
  <c r="B5" i="5"/>
  <c r="B4" i="5"/>
  <c r="B6" i="5" s="1"/>
  <c r="B14" i="4"/>
  <c r="C14" i="4" s="1"/>
  <c r="D14" i="4" s="1"/>
  <c r="D10" i="4"/>
  <c r="C10" i="4"/>
  <c r="B10" i="4"/>
  <c r="D7" i="4"/>
  <c r="C7" i="4"/>
  <c r="B7" i="4"/>
  <c r="D6" i="4"/>
  <c r="C6" i="4"/>
  <c r="B6" i="4"/>
  <c r="D5" i="4"/>
  <c r="C5" i="4"/>
  <c r="B5" i="4"/>
  <c r="B20" i="3"/>
  <c r="B19" i="3"/>
  <c r="B21" i="3" s="1"/>
  <c r="B16" i="3"/>
  <c r="B22" i="3" l="1"/>
  <c r="B18" i="4"/>
  <c r="B13" i="4"/>
  <c r="B8" i="4"/>
  <c r="C18" i="4"/>
  <c r="C13" i="4"/>
  <c r="C8" i="4"/>
  <c r="D18" i="4"/>
  <c r="D13" i="4"/>
  <c r="D8" i="4"/>
  <c r="B10" i="5"/>
  <c r="B8" i="5"/>
  <c r="B11" i="5" s="1"/>
  <c r="B12" i="5" s="1"/>
  <c r="B13" i="5" s="1"/>
  <c r="B14" i="5" s="1"/>
  <c r="B16" i="5"/>
  <c r="B18" i="5"/>
  <c r="D9" i="4" l="1"/>
  <c r="C9" i="4"/>
  <c r="B9" i="4"/>
  <c r="B12" i="4" l="1"/>
  <c r="B15" i="4" s="1"/>
  <c r="B11" i="4"/>
  <c r="C12" i="4"/>
  <c r="C15" i="4" s="1"/>
  <c r="C11" i="4"/>
  <c r="D12" i="4"/>
  <c r="D15" i="4" s="1"/>
  <c r="D11" i="4"/>
  <c r="D16" i="4" l="1"/>
  <c r="D17" i="4" s="1"/>
  <c r="C16" i="4"/>
  <c r="C17" i="4" s="1"/>
  <c r="B16" i="4"/>
  <c r="B17" i="4" s="1"/>
</calcChain>
</file>

<file path=xl/sharedStrings.xml><?xml version="1.0" encoding="utf-8"?>
<sst xmlns="http://schemas.openxmlformats.org/spreadsheetml/2006/main" count="169" uniqueCount="152">
  <si>
    <t>Barbershop Business Plan Template</t>
  </si>
  <si>
    <t>Companion workbook to Zenoti's Barbershop Business Plan Template article | The Check-In</t>
  </si>
  <si>
    <t>HOW TO USE THIS WORKBOOK</t>
  </si>
  <si>
    <t>1.</t>
  </si>
  <si>
    <t>Open the Assumptions tab and replace the example numbers (blue text on yellow) with your own.</t>
  </si>
  <si>
    <t>2.</t>
  </si>
  <si>
    <t>Fill in your one-time costs on the Startup Costs tab — the funding surplus/gap calculates automatically.</t>
  </si>
  <si>
    <t>3.</t>
  </si>
  <si>
    <t>P&amp;L Projections builds your Year 1–3 forecast from your drivers: barbers x visits x ticket.</t>
  </si>
  <si>
    <t>4.</t>
  </si>
  <si>
    <t>Break-Even tells you the visits per month — and per barber per day — needed to cover costs.</t>
  </si>
  <si>
    <t>5.</t>
  </si>
  <si>
    <t>Draft the written sections of your plan on the Plan Worksheet tab, then transfer them into your final document.</t>
  </si>
  <si>
    <t>COLOR KEY</t>
  </si>
  <si>
    <t>Blue text / yellow fill</t>
  </si>
  <si>
    <t>Your inputs — change these</t>
  </si>
  <si>
    <t>Black text</t>
  </si>
  <si>
    <t>Formulas — calculated automatically, do not overwrite</t>
  </si>
  <si>
    <t>Green text</t>
  </si>
  <si>
    <t>Values pulled from another tab</t>
  </si>
  <si>
    <t>EXAMPLE SCENARIO</t>
  </si>
  <si>
    <t>Pre-filled with Crown &amp; Clipper Barber Co. — the fictional six-chair hybrid shop used throughout the article ($38 ticket, 50% commission, $85,000 raise, break-even ~563 visits/month) — so the workbook and the article tell the same story. Replace every input with figures researched for your market.</t>
  </si>
  <si>
    <t>Note</t>
  </si>
  <si>
    <t>Benchmarks referenced in notes come from the Zenoti 2026 Beauty &amp; Wellness Benchmark Report.</t>
  </si>
  <si>
    <t>Key Assumptions</t>
  </si>
  <si>
    <t>All blue/yellow cells are inputs. Every other tab calculates from this page.</t>
  </si>
  <si>
    <t>Year 1</t>
  </si>
  <si>
    <t>Year 2</t>
  </si>
  <si>
    <t>Year 3</t>
  </si>
  <si>
    <t>REVENUE DRIVERS</t>
  </si>
  <si>
    <t>Producing barbers (average)</t>
  </si>
  <si>
    <t>Service visits per year</t>
  </si>
  <si>
    <t>Build from: barbers x days x productive hours x utilization / service time</t>
  </si>
  <si>
    <t>Average service ticket ($)</t>
  </si>
  <si>
    <t>Benchmark: $34 median / $39 75th pct / $48 90th pct</t>
  </si>
  <si>
    <t>Retail sales (% of service revenue)</t>
  </si>
  <si>
    <t>Membership + gift card net revenue ($)</t>
  </si>
  <si>
    <t>Year 1 incremental net; folded into services from Year 2; gift card breakage Year 3</t>
  </si>
  <si>
    <t>CAPACITY (for utilization sanity check)</t>
  </si>
  <si>
    <t>Operating days per month</t>
  </si>
  <si>
    <t>Productive hours per barber per day</t>
  </si>
  <si>
    <t>Average service duration (minutes)</t>
  </si>
  <si>
    <t>VARIABLE COSTS</t>
  </si>
  <si>
    <t>Service commission (% of service revenue)</t>
  </si>
  <si>
    <t>Typical range 45-55%</t>
  </si>
  <si>
    <t>Retail commission to barbers (% of retail)</t>
  </si>
  <si>
    <t>Supplies cost per visit ($)</t>
  </si>
  <si>
    <t>Card processing (% of ticket)</t>
  </si>
  <si>
    <t>FIXED MONTHLY COSTS</t>
  </si>
  <si>
    <t>Rent ($)</t>
  </si>
  <si>
    <t>Software &amp; technology ($)</t>
  </si>
  <si>
    <t>Insurance ($)</t>
  </si>
  <si>
    <t>Utilities &amp; internet ($)</t>
  </si>
  <si>
    <t>Marketing ($)</t>
  </si>
  <si>
    <t>Supplies base / backbar ($)</t>
  </si>
  <si>
    <t>Admin &amp; accounting ($)</t>
  </si>
  <si>
    <t>Owner draw ($, used in break-even)</t>
  </si>
  <si>
    <t>Excluded from the P&amp;L (shown pre-owner-draw); included in break-even</t>
  </si>
  <si>
    <t>Annual fixed-cost growth</t>
  </si>
  <si>
    <t>FINANCING</t>
  </si>
  <si>
    <t>Loan amount ($)</t>
  </si>
  <si>
    <t>Crown &amp; Clipper example: $60K SBA loan</t>
  </si>
  <si>
    <t>Owner equity / savings ($)</t>
  </si>
  <si>
    <t>One-Time Startup Costs</t>
  </si>
  <si>
    <t>Enter your quotes in the blue/yellow cells. Totals and the funding surplus/gap calculate automatically.</t>
  </si>
  <si>
    <t>COST ITEM  /  AMOUNT</t>
  </si>
  <si>
    <t>Lease deposit &amp; first month's rent</t>
  </si>
  <si>
    <t>Build-out &amp; renovations</t>
  </si>
  <si>
    <t>Barber chairs &amp; stations</t>
  </si>
  <si>
    <t>Backbar, tools &amp; initial supplies</t>
  </si>
  <si>
    <t>Retail opening inventory</t>
  </si>
  <si>
    <t>POS hardware &amp; technology setup</t>
  </si>
  <si>
    <t>Signage &amp; interior branding</t>
  </si>
  <si>
    <t>Licenses, permits &amp; legal</t>
  </si>
  <si>
    <t>Insurance (first year premium)</t>
  </si>
  <si>
    <t>Pre-opening marketing &amp; launch</t>
  </si>
  <si>
    <t>Working capital reserve (3 months)</t>
  </si>
  <si>
    <t>TOTAL STARTUP COSTS</t>
  </si>
  <si>
    <t>FUNDING</t>
  </si>
  <si>
    <t>Loan amount</t>
  </si>
  <si>
    <t>Owner equity / savings</t>
  </si>
  <si>
    <t>Total funding</t>
  </si>
  <si>
    <t>Funding surplus / (gap)</t>
  </si>
  <si>
    <t>Keep a 10-15% build-out contingency on top of quoted costs.</t>
  </si>
  <si>
    <t>Three-Year P&amp;L Projection (pre-owner draw)</t>
  </si>
  <si>
    <t>Matches the Crown &amp; Clipper example in the article. Every line recalculates from the Assumptions tab.</t>
  </si>
  <si>
    <t>Producing barbers (avg)</t>
  </si>
  <si>
    <t>Service visits</t>
  </si>
  <si>
    <t>Average ticket</t>
  </si>
  <si>
    <t>Service revenue</t>
  </si>
  <si>
    <t>Retail revenue</t>
  </si>
  <si>
    <t>Membership + gift card net</t>
  </si>
  <si>
    <t>Y1 incremental net; folded into services from Y2; gift card breakage Y3</t>
  </si>
  <si>
    <t>TOTAL REVENUE</t>
  </si>
  <si>
    <t>Barber compensation (svc + retail comm.)</t>
  </si>
  <si>
    <t>Variable costs (supplies, processing)</t>
  </si>
  <si>
    <t>Fixed operating costs</t>
  </si>
  <si>
    <t>TOTAL EXPENSES</t>
  </si>
  <si>
    <t>OPERATING PROFIT (pre-owner draw)</t>
  </si>
  <si>
    <t>Operating margin</t>
  </si>
  <si>
    <t>Implied utilization (vs. capacity)</t>
  </si>
  <si>
    <t>Sanity check: stay near or below the 56% industry median in early years</t>
  </si>
  <si>
    <t>Break-Even Calculator</t>
  </si>
  <si>
    <t>Visits needed each month to cover fixed costs plus the owner draw — matches the article's worked example (~563 visits).</t>
  </si>
  <si>
    <t>Monthly fixed costs</t>
  </si>
  <si>
    <t>Rent, software, insurance, utilities, marketing, supplies base, admin</t>
  </si>
  <si>
    <t>Owner draw</t>
  </si>
  <si>
    <t>Total monthly fixed (incl. owner draw)</t>
  </si>
  <si>
    <t>Less: commission per visit</t>
  </si>
  <si>
    <t>Less: supplies per visit</t>
  </si>
  <si>
    <t>Less: card processing per visit</t>
  </si>
  <si>
    <t>CONTRIBUTION PER VISIT</t>
  </si>
  <si>
    <t>BREAK-EVEN VISITS PER MONTH</t>
  </si>
  <si>
    <t>Visits per week</t>
  </si>
  <si>
    <t>Visits per producing barber per day (5-day week)</t>
  </si>
  <si>
    <t>Monthly capacity (Year 1)</t>
  </si>
  <si>
    <t>Break-even utilization</t>
  </si>
  <si>
    <t>Article example: ~49% — below the 56% industry median</t>
  </si>
  <si>
    <t>Year 1 average monthly visits (ramp year)</t>
  </si>
  <si>
    <t>Year 1 average vs. break-even</t>
  </si>
  <si>
    <t>A negative number in a ramp year is normal — Crown &amp; Clipper crosses break-even in month 7 as utilization climbs</t>
  </si>
  <si>
    <t>Written Plan Worksheet</t>
  </si>
  <si>
    <t>Draft each section here, then transfer to your final business plan document. Full guidance and worked examples for every section are in the article.</t>
  </si>
  <si>
    <t>1. Executive summary</t>
  </si>
  <si>
    <t>One page: concept, location, model, funding ask, and the numbers that matter. Write it last.</t>
  </si>
  <si>
    <t>Type your answer here…</t>
  </si>
  <si>
    <t>2. Business description</t>
  </si>
  <si>
    <t>Legal structure, ownership, mission, and what makes the shop different.</t>
  </si>
  <si>
    <t>3. Market analysis</t>
  </si>
  <si>
    <t>Trade area, demographics, demand signals, and local competitors.</t>
  </si>
  <si>
    <t>4. Target customer</t>
  </si>
  <si>
    <t>Who you serve, how often they visit, what they spend, and why they choose you.</t>
  </si>
  <si>
    <t>5. Services &amp; pricing</t>
  </si>
  <si>
    <t>Menu, prices, average ticket target, and service duration standards.</t>
  </si>
  <si>
    <t>6. Marketing plan</t>
  </si>
  <si>
    <t>Pre-launch, launch, and ongoing channels with a monthly budget.</t>
  </si>
  <si>
    <t>7. Operations plan</t>
  </si>
  <si>
    <t>Walk-in / appointment / hybrid model, hours, daily workflow, suppliers.</t>
  </si>
  <si>
    <t>8. Staffing plan</t>
  </si>
  <si>
    <t>Employees vs. booth renters, commission structure, hiring and retention.</t>
  </si>
  <si>
    <t>9. Technology stack</t>
  </si>
  <si>
    <t>Booking, POS, payments, memberships, and reporting.</t>
  </si>
  <si>
    <t>10. Financial plan</t>
  </si>
  <si>
    <t>Funding sources, use of funds, and repayment plan.</t>
  </si>
  <si>
    <t>11. Startup costs</t>
  </si>
  <si>
    <t>Summarize from the Startup Costs tab.</t>
  </si>
  <si>
    <t>12. Revenue forecast</t>
  </si>
  <si>
    <t>Summarize from the P&amp;L Projections tab.</t>
  </si>
  <si>
    <t>13. Break-even analysis</t>
  </si>
  <si>
    <t>Summarize from the Break-Even tab — translate into visits per day per barber.</t>
  </si>
  <si>
    <t>14. Milestones &amp; risks</t>
  </si>
  <si>
    <t>90-day targets, Year 1 goals, key risks and mitigations.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</si>
</sst>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;&quot;($&quot;#,##0\);\-"/>
    <numFmt numFmtId="165" formatCode="0.0%"/>
    <numFmt numFmtId="166" formatCode="\$#,##0.00"/>
    <numFmt numFmtId="167" formatCode="\$#,##0;&quot;($&quot;#,##0\)"/>
    <numFmt numFmtId="168" formatCode="0.0"/>
    <numFmt numFmtId="169" formatCode="#,##0;\(#,##0\)"/>
  </numFmts>
  <fonts count="9">
    <font>
      <sz val="11"/>
      <color theme="1"/>
      <name val="Calibri"/>
      <family val="2"/>
      <charset val="1"/>
    </font>
    <font>
      <b/>
      <sz val="16"/>
      <color rgb="FFC6007E"/>
      <name val="Arial"/>
      <charset val="1"/>
    </font>
    <font>
      <i/>
      <sz val="10"/>
      <color rgb="FF555555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b/>
      <sz val="11"/>
      <color rgb="FFFFFFFF"/>
      <name val="Arial"/>
      <charset val="1"/>
    </font>
    <font>
      <sz val="11"/>
      <color rgb="FF0000FF"/>
      <name val="Arial"/>
      <charset val="1"/>
    </font>
    <font>
      <i/>
      <sz val="9"/>
      <color rgb="FF777777"/>
      <name val="Arial"/>
      <charset val="1"/>
    </font>
    <font>
      <sz val="11"/>
      <color rgb="FF008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9C4"/>
        <bgColor rgb="FFFFFF99"/>
      </patternFill>
    </fill>
    <fill>
      <patternFill patternType="solid">
        <fgColor rgb="FFFDF2F8"/>
        <bgColor rgb="FFF3F4F6"/>
      </patternFill>
    </fill>
    <fill>
      <patternFill patternType="solid">
        <fgColor rgb="FFF3F4F6"/>
        <bgColor rgb="FFFDF2F8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2" borderId="1" xfId="0" applyFont="1" applyFill="1" applyBorder="1"/>
    <xf numFmtId="0" fontId="5" fillId="2" borderId="0" xfId="0" applyFont="1" applyFill="1"/>
    <xf numFmtId="0" fontId="3" fillId="0" borderId="1" xfId="0" applyFont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0" fontId="7" fillId="0" borderId="0" xfId="0" applyFont="1"/>
    <xf numFmtId="164" fontId="6" fillId="3" borderId="1" xfId="0" applyNumberFormat="1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4" fontId="8" fillId="0" borderId="1" xfId="0" applyNumberFormat="1" applyFont="1" applyBorder="1"/>
    <xf numFmtId="167" fontId="4" fillId="4" borderId="1" xfId="0" applyNumberFormat="1" applyFont="1" applyFill="1" applyBorder="1"/>
    <xf numFmtId="168" fontId="3" fillId="0" borderId="1" xfId="0" applyNumberFormat="1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4" fillId="4" borderId="1" xfId="0" applyNumberFormat="1" applyFont="1" applyFill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4" fillId="4" borderId="1" xfId="0" applyNumberFormat="1" applyFont="1" applyFill="1" applyBorder="1"/>
    <xf numFmtId="3" fontId="4" fillId="4" borderId="1" xfId="0" applyNumberFormat="1" applyFont="1" applyFill="1" applyBorder="1"/>
    <xf numFmtId="169" fontId="4" fillId="4" borderId="1" xfId="0" applyNumberFormat="1" applyFont="1" applyFill="1" applyBorder="1"/>
    <xf numFmtId="0" fontId="4" fillId="5" borderId="1" xfId="0" applyFont="1" applyFill="1" applyBorder="1"/>
    <xf numFmtId="0" fontId="7" fillId="5" borderId="1" xfId="0" applyFont="1" applyFill="1" applyBorder="1"/>
    <xf numFmtId="0" fontId="0" fillId="0" borderId="1" xfId="0" applyBorder="1"/>
    <xf numFmtId="0" fontId="6" fillId="3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C6007E"/>
      <rgbColor rgb="FF008080"/>
      <rgbColor rgb="FFC0C0C0"/>
      <rgbColor rgb="FF777777"/>
      <rgbColor rgb="FF9999FF"/>
      <rgbColor rgb="FF993366"/>
      <rgbColor rgb="FFFFF9C4"/>
      <rgbColor rgb="FFF3F4F6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F2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showGridLines="0" tabSelected="1" zoomScaleNormal="100" workbookViewId="0"/>
  </sheetViews>
  <sheetFormatPr defaultColWidth="8.7109375" defaultRowHeight="15"/>
  <cols>
    <col min="1" max="1" width="24" customWidth="1"/>
    <col min="2" max="2" width="100" customWidth="1"/>
  </cols>
  <sheetData>
    <row r="1" spans="1:2" ht="19.5" customHeight="1">
      <c r="A1" s="1" t="s">
        <v>0</v>
      </c>
    </row>
    <row r="2" spans="1:2" ht="15" customHeight="1">
      <c r="A2" s="2" t="s">
        <v>1</v>
      </c>
    </row>
    <row r="4" spans="1:2" ht="15" customHeight="1">
      <c r="A4" s="3"/>
      <c r="B4" s="4"/>
    </row>
    <row r="5" spans="1:2" ht="15" customHeight="1">
      <c r="A5" s="5" t="s">
        <v>2</v>
      </c>
      <c r="B5" s="4"/>
    </row>
    <row r="6" spans="1:2" ht="15" customHeight="1">
      <c r="A6" s="3" t="s">
        <v>3</v>
      </c>
      <c r="B6" s="4" t="s">
        <v>4</v>
      </c>
    </row>
    <row r="7" spans="1:2" ht="15" customHeight="1">
      <c r="A7" s="3" t="s">
        <v>5</v>
      </c>
      <c r="B7" s="4" t="s">
        <v>6</v>
      </c>
    </row>
    <row r="8" spans="1:2" ht="15" customHeight="1">
      <c r="A8" s="3" t="s">
        <v>7</v>
      </c>
      <c r="B8" s="4" t="s">
        <v>8</v>
      </c>
    </row>
    <row r="9" spans="1:2" ht="15" customHeight="1">
      <c r="A9" s="3" t="s">
        <v>9</v>
      </c>
      <c r="B9" s="4" t="s">
        <v>10</v>
      </c>
    </row>
    <row r="10" spans="1:2" ht="26.25" customHeight="1">
      <c r="A10" s="3" t="s">
        <v>11</v>
      </c>
      <c r="B10" s="4" t="s">
        <v>12</v>
      </c>
    </row>
    <row r="11" spans="1:2" ht="15" customHeight="1">
      <c r="A11" s="3"/>
      <c r="B11" s="4"/>
    </row>
    <row r="12" spans="1:2" ht="15" customHeight="1">
      <c r="A12" s="5" t="s">
        <v>13</v>
      </c>
      <c r="B12" s="4"/>
    </row>
    <row r="13" spans="1:2" ht="15" customHeight="1">
      <c r="A13" s="5" t="s">
        <v>14</v>
      </c>
      <c r="B13" s="4" t="s">
        <v>15</v>
      </c>
    </row>
    <row r="14" spans="1:2" ht="15" customHeight="1">
      <c r="A14" s="5" t="s">
        <v>16</v>
      </c>
      <c r="B14" s="4" t="s">
        <v>17</v>
      </c>
    </row>
    <row r="15" spans="1:2" ht="15" customHeight="1">
      <c r="A15" s="5" t="s">
        <v>18</v>
      </c>
      <c r="B15" s="4" t="s">
        <v>19</v>
      </c>
    </row>
    <row r="16" spans="1:2" ht="15" customHeight="1">
      <c r="A16" s="3"/>
      <c r="B16" s="4"/>
    </row>
    <row r="17" spans="1:2" ht="39" customHeight="1">
      <c r="A17" s="5" t="s">
        <v>20</v>
      </c>
      <c r="B17" s="4" t="s">
        <v>21</v>
      </c>
    </row>
    <row r="18" spans="1:2" ht="15" customHeight="1">
      <c r="A18" s="3"/>
      <c r="B18" s="4"/>
    </row>
    <row r="19" spans="1:2" ht="15" customHeight="1">
      <c r="A19" s="5" t="s">
        <v>22</v>
      </c>
      <c r="B19" s="4" t="s">
        <v>23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Normal="100" workbookViewId="0"/>
  </sheetViews>
  <sheetFormatPr defaultColWidth="8.7109375" defaultRowHeight="15"/>
  <cols>
    <col min="1" max="1" width="40" customWidth="1"/>
    <col min="2" max="4" width="13" customWidth="1"/>
    <col min="5" max="5" width="58" customWidth="1"/>
  </cols>
  <sheetData>
    <row r="1" spans="1:5" ht="19.5" customHeight="1">
      <c r="A1" s="1" t="s">
        <v>24</v>
      </c>
    </row>
    <row r="2" spans="1:5" ht="15" customHeight="1">
      <c r="A2" s="2" t="s">
        <v>25</v>
      </c>
    </row>
    <row r="4" spans="1:5" ht="15" customHeight="1">
      <c r="A4" s="6"/>
      <c r="B4" s="6" t="s">
        <v>26</v>
      </c>
      <c r="C4" s="6" t="s">
        <v>27</v>
      </c>
      <c r="D4" s="6" t="s">
        <v>28</v>
      </c>
      <c r="E4" s="6"/>
    </row>
    <row r="5" spans="1:5" ht="15" customHeight="1">
      <c r="A5" s="7" t="s">
        <v>29</v>
      </c>
      <c r="B5" s="7"/>
      <c r="C5" s="7"/>
      <c r="D5" s="7"/>
      <c r="E5" s="7"/>
    </row>
    <row r="6" spans="1:5" ht="15" customHeight="1">
      <c r="A6" s="8" t="s">
        <v>30</v>
      </c>
      <c r="B6" s="9">
        <v>4</v>
      </c>
      <c r="C6" s="9">
        <v>4.5999999999999996</v>
      </c>
      <c r="D6" s="9">
        <v>5.2</v>
      </c>
    </row>
    <row r="7" spans="1:5" ht="15" customHeight="1">
      <c r="A7" s="8" t="s">
        <v>31</v>
      </c>
      <c r="B7" s="10">
        <v>6200</v>
      </c>
      <c r="C7" s="10">
        <v>8300</v>
      </c>
      <c r="D7" s="10">
        <v>9300</v>
      </c>
      <c r="E7" s="11" t="s">
        <v>32</v>
      </c>
    </row>
    <row r="8" spans="1:5" ht="15" customHeight="1">
      <c r="A8" s="8" t="s">
        <v>33</v>
      </c>
      <c r="B8" s="12">
        <v>38</v>
      </c>
      <c r="C8" s="12">
        <v>39</v>
      </c>
      <c r="D8" s="12">
        <v>41</v>
      </c>
      <c r="E8" s="11" t="s">
        <v>34</v>
      </c>
    </row>
    <row r="9" spans="1:5" ht="15" customHeight="1">
      <c r="A9" s="8" t="s">
        <v>35</v>
      </c>
      <c r="B9" s="13">
        <v>6.5000000000000002E-2</v>
      </c>
      <c r="C9" s="13">
        <v>7.4999999999999997E-2</v>
      </c>
      <c r="D9" s="13">
        <v>0.08</v>
      </c>
    </row>
    <row r="10" spans="1:5" ht="15" customHeight="1">
      <c r="A10" s="8" t="s">
        <v>36</v>
      </c>
      <c r="B10" s="12">
        <v>11000</v>
      </c>
      <c r="C10" s="12">
        <v>0</v>
      </c>
      <c r="D10" s="12">
        <v>8000</v>
      </c>
      <c r="E10" s="11" t="s">
        <v>37</v>
      </c>
    </row>
    <row r="12" spans="1:5" ht="15" customHeight="1">
      <c r="A12" s="7" t="s">
        <v>38</v>
      </c>
      <c r="B12" s="7"/>
      <c r="C12" s="7"/>
      <c r="D12" s="7"/>
      <c r="E12" s="7"/>
    </row>
    <row r="13" spans="1:5" ht="15" customHeight="1">
      <c r="A13" s="8" t="s">
        <v>39</v>
      </c>
      <c r="B13" s="9">
        <v>26</v>
      </c>
    </row>
    <row r="14" spans="1:5" ht="15" customHeight="1">
      <c r="A14" s="8" t="s">
        <v>40</v>
      </c>
      <c r="B14" s="9">
        <v>7.5</v>
      </c>
    </row>
    <row r="15" spans="1:5" ht="15" customHeight="1">
      <c r="A15" s="8" t="s">
        <v>41</v>
      </c>
      <c r="B15" s="9">
        <v>40</v>
      </c>
    </row>
    <row r="17" spans="1:5" ht="15" customHeight="1">
      <c r="A17" s="7" t="s">
        <v>42</v>
      </c>
      <c r="B17" s="7"/>
      <c r="C17" s="7"/>
      <c r="D17" s="7"/>
      <c r="E17" s="7"/>
    </row>
    <row r="18" spans="1:5" ht="15" customHeight="1">
      <c r="A18" s="8" t="s">
        <v>43</v>
      </c>
      <c r="B18" s="13">
        <v>0.5</v>
      </c>
      <c r="E18" s="11" t="s">
        <v>44</v>
      </c>
    </row>
    <row r="19" spans="1:5" ht="15" customHeight="1">
      <c r="A19" s="8" t="s">
        <v>45</v>
      </c>
      <c r="B19" s="13">
        <v>0.1</v>
      </c>
    </row>
    <row r="20" spans="1:5" ht="15" customHeight="1">
      <c r="A20" s="8" t="s">
        <v>46</v>
      </c>
      <c r="B20" s="14">
        <v>1.5</v>
      </c>
    </row>
    <row r="21" spans="1:5" ht="15" customHeight="1">
      <c r="A21" s="8" t="s">
        <v>47</v>
      </c>
      <c r="B21" s="13">
        <v>2.8000000000000001E-2</v>
      </c>
    </row>
    <row r="23" spans="1:5" ht="15" customHeight="1">
      <c r="A23" s="7" t="s">
        <v>48</v>
      </c>
      <c r="B23" s="7"/>
      <c r="C23" s="7"/>
      <c r="D23" s="7"/>
      <c r="E23" s="7"/>
    </row>
    <row r="24" spans="1:5" ht="15" customHeight="1">
      <c r="A24" s="8" t="s">
        <v>49</v>
      </c>
      <c r="B24" s="12">
        <v>4500</v>
      </c>
    </row>
    <row r="25" spans="1:5" ht="15" customHeight="1">
      <c r="A25" s="8" t="s">
        <v>50</v>
      </c>
      <c r="B25" s="12">
        <v>450</v>
      </c>
    </row>
    <row r="26" spans="1:5" ht="15" customHeight="1">
      <c r="A26" s="8" t="s">
        <v>51</v>
      </c>
      <c r="B26" s="12">
        <v>250</v>
      </c>
    </row>
    <row r="27" spans="1:5" ht="15" customHeight="1">
      <c r="A27" s="8" t="s">
        <v>52</v>
      </c>
      <c r="B27" s="12">
        <v>600</v>
      </c>
    </row>
    <row r="28" spans="1:5" ht="15" customHeight="1">
      <c r="A28" s="8" t="s">
        <v>53</v>
      </c>
      <c r="B28" s="12">
        <v>700</v>
      </c>
    </row>
    <row r="29" spans="1:5" ht="15" customHeight="1">
      <c r="A29" s="8" t="s">
        <v>54</v>
      </c>
      <c r="B29" s="12">
        <v>400</v>
      </c>
    </row>
    <row r="30" spans="1:5" ht="15" customHeight="1">
      <c r="A30" s="8" t="s">
        <v>55</v>
      </c>
      <c r="B30" s="12">
        <v>350</v>
      </c>
    </row>
    <row r="31" spans="1:5" ht="15" customHeight="1">
      <c r="A31" s="8" t="s">
        <v>56</v>
      </c>
      <c r="B31" s="12">
        <v>2000</v>
      </c>
      <c r="E31" s="11" t="s">
        <v>57</v>
      </c>
    </row>
    <row r="32" spans="1:5" ht="15" customHeight="1">
      <c r="A32" s="8" t="s">
        <v>58</v>
      </c>
      <c r="B32" s="13">
        <v>6.7000000000000004E-2</v>
      </c>
    </row>
    <row r="34" spans="1:5" ht="15" customHeight="1">
      <c r="A34" s="7" t="s">
        <v>59</v>
      </c>
      <c r="B34" s="7"/>
      <c r="C34" s="7"/>
      <c r="D34" s="7"/>
      <c r="E34" s="7"/>
    </row>
    <row r="35" spans="1:5" ht="15" customHeight="1">
      <c r="A35" s="8" t="s">
        <v>60</v>
      </c>
      <c r="B35" s="12">
        <v>60000</v>
      </c>
      <c r="E35" s="11" t="s">
        <v>61</v>
      </c>
    </row>
    <row r="36" spans="1:5" ht="15" customHeight="1">
      <c r="A36" s="8" t="s">
        <v>62</v>
      </c>
      <c r="B36" s="12">
        <v>25000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showGridLines="0" zoomScaleNormal="100" workbookViewId="0"/>
  </sheetViews>
  <sheetFormatPr defaultColWidth="8.7109375" defaultRowHeight="15"/>
  <cols>
    <col min="1" max="1" width="42" customWidth="1"/>
    <col min="2" max="2" width="16" customWidth="1"/>
    <col min="3" max="3" width="55" customWidth="1"/>
  </cols>
  <sheetData>
    <row r="1" spans="1:3" ht="19.5" customHeight="1">
      <c r="A1" s="1" t="s">
        <v>63</v>
      </c>
    </row>
    <row r="2" spans="1:3" ht="15" customHeight="1">
      <c r="A2" s="2" t="s">
        <v>64</v>
      </c>
    </row>
    <row r="4" spans="1:3" ht="15" customHeight="1">
      <c r="A4" s="7" t="s">
        <v>65</v>
      </c>
      <c r="B4" s="7"/>
      <c r="C4" s="7"/>
    </row>
    <row r="5" spans="1:3" ht="15" customHeight="1">
      <c r="A5" s="8" t="s">
        <v>66</v>
      </c>
      <c r="B5" s="12">
        <v>12600</v>
      </c>
    </row>
    <row r="6" spans="1:3" ht="15" customHeight="1">
      <c r="A6" s="8" t="s">
        <v>67</v>
      </c>
      <c r="B6" s="12">
        <v>22000</v>
      </c>
    </row>
    <row r="7" spans="1:3" ht="15" customHeight="1">
      <c r="A7" s="8" t="s">
        <v>68</v>
      </c>
      <c r="B7" s="12">
        <v>10800</v>
      </c>
    </row>
    <row r="8" spans="1:3" ht="15" customHeight="1">
      <c r="A8" s="8" t="s">
        <v>69</v>
      </c>
      <c r="B8" s="12">
        <v>4500</v>
      </c>
    </row>
    <row r="9" spans="1:3" ht="15" customHeight="1">
      <c r="A9" s="8" t="s">
        <v>70</v>
      </c>
      <c r="B9" s="12">
        <v>3000</v>
      </c>
    </row>
    <row r="10" spans="1:3" ht="15" customHeight="1">
      <c r="A10" s="8" t="s">
        <v>71</v>
      </c>
      <c r="B10" s="12">
        <v>2500</v>
      </c>
    </row>
    <row r="11" spans="1:3" ht="15" customHeight="1">
      <c r="A11" s="8" t="s">
        <v>72</v>
      </c>
      <c r="B11" s="12">
        <v>4000</v>
      </c>
    </row>
    <row r="12" spans="1:3" ht="15" customHeight="1">
      <c r="A12" s="8" t="s">
        <v>73</v>
      </c>
      <c r="B12" s="12">
        <v>2200</v>
      </c>
    </row>
    <row r="13" spans="1:3" ht="15" customHeight="1">
      <c r="A13" s="8" t="s">
        <v>74</v>
      </c>
      <c r="B13" s="12">
        <v>3600</v>
      </c>
    </row>
    <row r="14" spans="1:3" ht="15" customHeight="1">
      <c r="A14" s="8" t="s">
        <v>75</v>
      </c>
      <c r="B14" s="12">
        <v>3800</v>
      </c>
    </row>
    <row r="15" spans="1:3" ht="15" customHeight="1">
      <c r="A15" s="8" t="s">
        <v>76</v>
      </c>
      <c r="B15" s="12">
        <v>16000</v>
      </c>
    </row>
    <row r="16" spans="1:3" ht="15" customHeight="1">
      <c r="A16" s="15" t="s">
        <v>77</v>
      </c>
      <c r="B16" s="16">
        <f>SUM(B5:B15)</f>
        <v>85000</v>
      </c>
    </row>
    <row r="18" spans="1:3" ht="15" customHeight="1">
      <c r="A18" s="7" t="s">
        <v>78</v>
      </c>
      <c r="B18" s="7"/>
      <c r="C18" s="7"/>
    </row>
    <row r="19" spans="1:3" ht="15" customHeight="1">
      <c r="A19" s="8" t="s">
        <v>79</v>
      </c>
      <c r="B19" s="17">
        <f>Assumptions!B35</f>
        <v>60000</v>
      </c>
    </row>
    <row r="20" spans="1:3" ht="15" customHeight="1">
      <c r="A20" s="8" t="s">
        <v>80</v>
      </c>
      <c r="B20" s="17">
        <f>Assumptions!B36</f>
        <v>25000</v>
      </c>
    </row>
    <row r="21" spans="1:3" ht="15" customHeight="1">
      <c r="A21" s="15" t="s">
        <v>81</v>
      </c>
      <c r="B21" s="16">
        <f>B19+B20</f>
        <v>85000</v>
      </c>
    </row>
    <row r="22" spans="1:3" ht="15" customHeight="1">
      <c r="A22" s="15" t="s">
        <v>82</v>
      </c>
      <c r="B22" s="18">
        <f>B21-B16</f>
        <v>0</v>
      </c>
      <c r="C22" s="11" t="s">
        <v>83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showGridLines="0" zoomScaleNormal="100" workbookViewId="0"/>
  </sheetViews>
  <sheetFormatPr defaultColWidth="8.7109375" defaultRowHeight="15"/>
  <cols>
    <col min="1" max="1" width="42" customWidth="1"/>
    <col min="2" max="4" width="15" customWidth="1"/>
    <col min="5" max="5" width="52" customWidth="1"/>
  </cols>
  <sheetData>
    <row r="1" spans="1:5" ht="19.5" customHeight="1">
      <c r="A1" s="1" t="s">
        <v>84</v>
      </c>
    </row>
    <row r="2" spans="1:5" ht="15" customHeight="1">
      <c r="A2" s="2" t="s">
        <v>85</v>
      </c>
    </row>
    <row r="4" spans="1:5" ht="15" customHeight="1">
      <c r="A4" s="6"/>
      <c r="B4" s="6" t="s">
        <v>26</v>
      </c>
      <c r="C4" s="6" t="s">
        <v>27</v>
      </c>
      <c r="D4" s="6" t="s">
        <v>28</v>
      </c>
      <c r="E4" s="6"/>
    </row>
    <row r="5" spans="1:5" ht="15" customHeight="1">
      <c r="A5" s="8" t="s">
        <v>86</v>
      </c>
      <c r="B5" s="19">
        <f>Assumptions!B6</f>
        <v>4</v>
      </c>
      <c r="C5" s="19">
        <f>Assumptions!C6</f>
        <v>4.5999999999999996</v>
      </c>
      <c r="D5" s="19">
        <f>Assumptions!D6</f>
        <v>5.2</v>
      </c>
    </row>
    <row r="6" spans="1:5" ht="15" customHeight="1">
      <c r="A6" s="8" t="s">
        <v>87</v>
      </c>
      <c r="B6" s="20">
        <f>Assumptions!B7</f>
        <v>6200</v>
      </c>
      <c r="C6" s="20">
        <f>Assumptions!C7</f>
        <v>8300</v>
      </c>
      <c r="D6" s="20">
        <f>Assumptions!D7</f>
        <v>9300</v>
      </c>
    </row>
    <row r="7" spans="1:5" ht="15" customHeight="1">
      <c r="A7" s="8" t="s">
        <v>88</v>
      </c>
      <c r="B7" s="21">
        <f>Assumptions!B8</f>
        <v>38</v>
      </c>
      <c r="C7" s="21">
        <f>Assumptions!C8</f>
        <v>39</v>
      </c>
      <c r="D7" s="21">
        <f>Assumptions!D8</f>
        <v>41</v>
      </c>
    </row>
    <row r="8" spans="1:5" ht="15" customHeight="1">
      <c r="A8" s="8" t="s">
        <v>89</v>
      </c>
      <c r="B8" s="21">
        <f>B6*B7</f>
        <v>235600</v>
      </c>
      <c r="C8" s="21">
        <f>C6*C7</f>
        <v>323700</v>
      </c>
      <c r="D8" s="21">
        <f>D6*D7</f>
        <v>381300</v>
      </c>
    </row>
    <row r="9" spans="1:5" ht="15" customHeight="1">
      <c r="A9" s="8" t="s">
        <v>90</v>
      </c>
      <c r="B9" s="21">
        <f>B8*Assumptions!B9</f>
        <v>15314</v>
      </c>
      <c r="C9" s="21">
        <f>C8*Assumptions!C9</f>
        <v>24277.5</v>
      </c>
      <c r="D9" s="21">
        <f>D8*Assumptions!D9</f>
        <v>30504</v>
      </c>
    </row>
    <row r="10" spans="1:5" ht="15" customHeight="1">
      <c r="A10" s="8" t="s">
        <v>91</v>
      </c>
      <c r="B10" s="21">
        <f>Assumptions!B10</f>
        <v>11000</v>
      </c>
      <c r="C10" s="21">
        <f>Assumptions!C10</f>
        <v>0</v>
      </c>
      <c r="D10" s="21">
        <f>Assumptions!D10</f>
        <v>8000</v>
      </c>
      <c r="E10" s="11" t="s">
        <v>92</v>
      </c>
    </row>
    <row r="11" spans="1:5" ht="15" customHeight="1">
      <c r="A11" s="15" t="s">
        <v>93</v>
      </c>
      <c r="B11" s="16">
        <f>SUM(B8:B10)</f>
        <v>261914</v>
      </c>
      <c r="C11" s="16">
        <f>SUM(C8:C10)</f>
        <v>347977.5</v>
      </c>
      <c r="D11" s="16">
        <f>SUM(D8:D10)</f>
        <v>419804</v>
      </c>
    </row>
    <row r="12" spans="1:5" ht="15" customHeight="1">
      <c r="A12" s="8" t="s">
        <v>94</v>
      </c>
      <c r="B12" s="21">
        <f>B8*Assumptions!B18+B9*Assumptions!B19</f>
        <v>119331.4</v>
      </c>
      <c r="C12" s="21">
        <f>C8*Assumptions!B18+C9*Assumptions!B19</f>
        <v>164277.75</v>
      </c>
      <c r="D12" s="21">
        <f>D8*Assumptions!B18+D9*Assumptions!B19</f>
        <v>193700.4</v>
      </c>
    </row>
    <row r="13" spans="1:5" ht="15" customHeight="1">
      <c r="A13" s="8" t="s">
        <v>95</v>
      </c>
      <c r="B13" s="21">
        <f>B6*(Assumptions!B20+Assumptions!B21*B7)</f>
        <v>15896.800000000001</v>
      </c>
      <c r="C13" s="21">
        <f>C6*(Assumptions!B20+Assumptions!B21*C7)</f>
        <v>21513.600000000002</v>
      </c>
      <c r="D13" s="21">
        <f>D6*(Assumptions!B20+Assumptions!B21*D7)</f>
        <v>24626.400000000001</v>
      </c>
    </row>
    <row r="14" spans="1:5" ht="15" customHeight="1">
      <c r="A14" s="8" t="s">
        <v>96</v>
      </c>
      <c r="B14" s="21">
        <f>SUM(Assumptions!B24:B30)*12</f>
        <v>87000</v>
      </c>
      <c r="C14" s="21">
        <f>B14*(1+Assumptions!B32)</f>
        <v>92829</v>
      </c>
      <c r="D14" s="21">
        <f>C14*(1+Assumptions!B32)</f>
        <v>99048.542999999991</v>
      </c>
    </row>
    <row r="15" spans="1:5" ht="15" customHeight="1">
      <c r="A15" s="15" t="s">
        <v>97</v>
      </c>
      <c r="B15" s="16">
        <f>SUM(B12:B14)</f>
        <v>222228.19999999998</v>
      </c>
      <c r="C15" s="16">
        <f>SUM(C12:C14)</f>
        <v>278620.34999999998</v>
      </c>
      <c r="D15" s="16">
        <f>SUM(D12:D14)</f>
        <v>317375.34299999999</v>
      </c>
    </row>
    <row r="16" spans="1:5" ht="15" customHeight="1">
      <c r="A16" s="15" t="s">
        <v>98</v>
      </c>
      <c r="B16" s="16">
        <f>B11-B15</f>
        <v>39685.800000000017</v>
      </c>
      <c r="C16" s="16">
        <f>C11-C15</f>
        <v>69357.150000000023</v>
      </c>
      <c r="D16" s="16">
        <f>D11-D15</f>
        <v>102428.65700000001</v>
      </c>
    </row>
    <row r="17" spans="1:5" ht="15" customHeight="1">
      <c r="A17" s="15" t="s">
        <v>99</v>
      </c>
      <c r="B17" s="22">
        <f>IF(B11=0,0,B16/B11)</f>
        <v>0.15152225539680972</v>
      </c>
      <c r="C17" s="22">
        <f>IF(C11=0,0,C16/C11)</f>
        <v>0.19931504192081392</v>
      </c>
      <c r="D17" s="22">
        <f>IF(D11=0,0,D16/D11)</f>
        <v>0.24399161751674592</v>
      </c>
    </row>
    <row r="18" spans="1:5" ht="15" customHeight="1">
      <c r="A18" s="8" t="s">
        <v>100</v>
      </c>
      <c r="B18" s="23">
        <f>B6/(B5*Assumptions!B13*Assumptions!B14*60/Assumptions!B15*12)</f>
        <v>0.44159544159544162</v>
      </c>
      <c r="C18" s="23">
        <f>C6/(C5*Assumptions!B13*Assumptions!B14*60/Assumptions!B15*12)</f>
        <v>0.51405920971138364</v>
      </c>
      <c r="D18" s="23">
        <f>D6/(D5*Assumptions!B13*Assumptions!B14*60/Assumptions!B15*12)</f>
        <v>0.50953320184089401</v>
      </c>
      <c r="E18" s="11" t="s">
        <v>101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showGridLines="0" zoomScaleNormal="100" workbookViewId="0"/>
  </sheetViews>
  <sheetFormatPr defaultColWidth="8.7109375" defaultRowHeight="15"/>
  <cols>
    <col min="1" max="1" width="52" customWidth="1"/>
    <col min="2" max="2" width="16" customWidth="1"/>
    <col min="3" max="3" width="55" customWidth="1"/>
  </cols>
  <sheetData>
    <row r="1" spans="1:3" ht="19.5" customHeight="1">
      <c r="A1" s="1" t="s">
        <v>102</v>
      </c>
    </row>
    <row r="2" spans="1:3" ht="15" customHeight="1">
      <c r="A2" s="2" t="s">
        <v>103</v>
      </c>
    </row>
    <row r="4" spans="1:3" ht="15" customHeight="1">
      <c r="A4" s="8" t="s">
        <v>104</v>
      </c>
      <c r="B4" s="21">
        <f>SUM(Assumptions!B24:B30)</f>
        <v>7250</v>
      </c>
      <c r="C4" s="11" t="s">
        <v>105</v>
      </c>
    </row>
    <row r="5" spans="1:3" ht="15" customHeight="1">
      <c r="A5" s="8" t="s">
        <v>106</v>
      </c>
      <c r="B5" s="21">
        <f>Assumptions!B31</f>
        <v>2000</v>
      </c>
    </row>
    <row r="6" spans="1:3" ht="15" customHeight="1">
      <c r="A6" s="15" t="s">
        <v>107</v>
      </c>
      <c r="B6" s="16">
        <f>B4+B5</f>
        <v>9250</v>
      </c>
    </row>
    <row r="7" spans="1:3" ht="15" customHeight="1">
      <c r="A7" s="8" t="s">
        <v>88</v>
      </c>
      <c r="B7" s="21">
        <f>Assumptions!B8</f>
        <v>38</v>
      </c>
    </row>
    <row r="8" spans="1:3" ht="15" customHeight="1">
      <c r="A8" s="8" t="s">
        <v>108</v>
      </c>
      <c r="B8" s="24">
        <f>B7*Assumptions!B18</f>
        <v>19</v>
      </c>
    </row>
    <row r="9" spans="1:3" ht="15" customHeight="1">
      <c r="A9" s="8" t="s">
        <v>109</v>
      </c>
      <c r="B9" s="24">
        <f>Assumptions!B20</f>
        <v>1.5</v>
      </c>
    </row>
    <row r="10" spans="1:3" ht="15" customHeight="1">
      <c r="A10" s="8" t="s">
        <v>110</v>
      </c>
      <c r="B10" s="24">
        <f>B7*Assumptions!B21</f>
        <v>1.0640000000000001</v>
      </c>
    </row>
    <row r="11" spans="1:3" ht="15" customHeight="1">
      <c r="A11" s="15" t="s">
        <v>111</v>
      </c>
      <c r="B11" s="25">
        <f>B7-B8-B9-B10</f>
        <v>16.436</v>
      </c>
    </row>
    <row r="12" spans="1:3" ht="15" customHeight="1">
      <c r="A12" s="15" t="s">
        <v>112</v>
      </c>
      <c r="B12" s="26">
        <f>IF(B11&lt;=0,0,ROUNDUP(B6/B11,0))</f>
        <v>563</v>
      </c>
    </row>
    <row r="13" spans="1:3" ht="15" customHeight="1">
      <c r="A13" s="8" t="s">
        <v>113</v>
      </c>
      <c r="B13" s="20">
        <f>B12/4.33</f>
        <v>130.0230946882217</v>
      </c>
    </row>
    <row r="14" spans="1:3" ht="15" customHeight="1">
      <c r="A14" s="8" t="s">
        <v>114</v>
      </c>
      <c r="B14" s="19">
        <f>B13/Assumptions!B6/5</f>
        <v>6.5011547344110854</v>
      </c>
    </row>
    <row r="15" spans="1:3" ht="15" customHeight="1">
      <c r="A15" s="8" t="s">
        <v>115</v>
      </c>
      <c r="B15" s="20">
        <f>Assumptions!B6*Assumptions!B13*Assumptions!B14*60/Assumptions!B15</f>
        <v>1170</v>
      </c>
    </row>
    <row r="16" spans="1:3" ht="15" customHeight="1">
      <c r="A16" s="8" t="s">
        <v>116</v>
      </c>
      <c r="B16" s="23">
        <f>IF(B15=0,0,B12/B15)</f>
        <v>0.48119658119658121</v>
      </c>
      <c r="C16" s="11" t="s">
        <v>117</v>
      </c>
    </row>
    <row r="17" spans="1:3" ht="15" customHeight="1">
      <c r="A17" s="8" t="s">
        <v>118</v>
      </c>
      <c r="B17" s="20">
        <f>Assumptions!B7/12</f>
        <v>516.66666666666663</v>
      </c>
    </row>
    <row r="18" spans="1:3" ht="15" customHeight="1">
      <c r="A18" s="15" t="s">
        <v>119</v>
      </c>
      <c r="B18" s="27">
        <f>B17-B12</f>
        <v>-46.333333333333371</v>
      </c>
      <c r="C18" s="11" t="s">
        <v>120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1"/>
  <sheetViews>
    <sheetView showGridLines="0" zoomScaleNormal="100" workbookViewId="0"/>
  </sheetViews>
  <sheetFormatPr defaultColWidth="8.7109375" defaultRowHeight="15"/>
  <cols>
    <col min="1" max="1" width="34" customWidth="1"/>
    <col min="2" max="2" width="100" customWidth="1"/>
  </cols>
  <sheetData>
    <row r="1" spans="1:2" ht="19.5" customHeight="1">
      <c r="A1" s="1" t="s">
        <v>121</v>
      </c>
    </row>
    <row r="2" spans="1:2" ht="15" customHeight="1">
      <c r="A2" s="2" t="s">
        <v>122</v>
      </c>
    </row>
    <row r="4" spans="1:2" ht="15" customHeight="1">
      <c r="A4" s="28" t="s">
        <v>123</v>
      </c>
      <c r="B4" s="29" t="s">
        <v>124</v>
      </c>
    </row>
    <row r="5" spans="1:2" ht="60" customHeight="1">
      <c r="A5" s="30"/>
      <c r="B5" s="31" t="s">
        <v>125</v>
      </c>
    </row>
    <row r="6" spans="1:2" ht="15" customHeight="1">
      <c r="A6" s="28" t="s">
        <v>126</v>
      </c>
      <c r="B6" s="29" t="s">
        <v>127</v>
      </c>
    </row>
    <row r="7" spans="1:2" ht="60" customHeight="1">
      <c r="A7" s="30"/>
      <c r="B7" s="31" t="s">
        <v>125</v>
      </c>
    </row>
    <row r="8" spans="1:2" ht="15" customHeight="1">
      <c r="A8" s="28" t="s">
        <v>128</v>
      </c>
      <c r="B8" s="29" t="s">
        <v>129</v>
      </c>
    </row>
    <row r="9" spans="1:2" ht="60" customHeight="1">
      <c r="A9" s="30"/>
      <c r="B9" s="31" t="s">
        <v>125</v>
      </c>
    </row>
    <row r="10" spans="1:2" ht="15" customHeight="1">
      <c r="A10" s="28" t="s">
        <v>130</v>
      </c>
      <c r="B10" s="29" t="s">
        <v>131</v>
      </c>
    </row>
    <row r="11" spans="1:2" ht="60" customHeight="1">
      <c r="A11" s="30"/>
      <c r="B11" s="31" t="s">
        <v>125</v>
      </c>
    </row>
    <row r="12" spans="1:2" ht="15" customHeight="1">
      <c r="A12" s="28" t="s">
        <v>132</v>
      </c>
      <c r="B12" s="29" t="s">
        <v>133</v>
      </c>
    </row>
    <row r="13" spans="1:2" ht="60" customHeight="1">
      <c r="A13" s="30"/>
      <c r="B13" s="31" t="s">
        <v>125</v>
      </c>
    </row>
    <row r="14" spans="1:2" ht="15" customHeight="1">
      <c r="A14" s="28" t="s">
        <v>134</v>
      </c>
      <c r="B14" s="29" t="s">
        <v>135</v>
      </c>
    </row>
    <row r="15" spans="1:2" ht="60" customHeight="1">
      <c r="A15" s="30"/>
      <c r="B15" s="31" t="s">
        <v>125</v>
      </c>
    </row>
    <row r="16" spans="1:2" ht="15" customHeight="1">
      <c r="A16" s="28" t="s">
        <v>136</v>
      </c>
      <c r="B16" s="29" t="s">
        <v>137</v>
      </c>
    </row>
    <row r="17" spans="1:2" ht="60" customHeight="1">
      <c r="A17" s="30"/>
      <c r="B17" s="31" t="s">
        <v>125</v>
      </c>
    </row>
    <row r="18" spans="1:2" ht="15" customHeight="1">
      <c r="A18" s="28" t="s">
        <v>138</v>
      </c>
      <c r="B18" s="29" t="s">
        <v>139</v>
      </c>
    </row>
    <row r="19" spans="1:2" ht="60" customHeight="1">
      <c r="A19" s="30"/>
      <c r="B19" s="31" t="s">
        <v>125</v>
      </c>
    </row>
    <row r="20" spans="1:2" ht="15" customHeight="1">
      <c r="A20" s="28" t="s">
        <v>140</v>
      </c>
      <c r="B20" s="29" t="s">
        <v>141</v>
      </c>
    </row>
    <row r="21" spans="1:2" ht="60" customHeight="1">
      <c r="A21" s="30"/>
      <c r="B21" s="31" t="s">
        <v>125</v>
      </c>
    </row>
    <row r="22" spans="1:2" ht="15" customHeight="1">
      <c r="A22" s="28" t="s">
        <v>142</v>
      </c>
      <c r="B22" s="29" t="s">
        <v>143</v>
      </c>
    </row>
    <row r="23" spans="1:2" ht="60" customHeight="1">
      <c r="A23" s="30"/>
      <c r="B23" s="31" t="s">
        <v>125</v>
      </c>
    </row>
    <row r="24" spans="1:2" ht="15" customHeight="1">
      <c r="A24" s="28" t="s">
        <v>144</v>
      </c>
      <c r="B24" s="29" t="s">
        <v>145</v>
      </c>
    </row>
    <row r="25" spans="1:2" ht="60" customHeight="1">
      <c r="A25" s="30"/>
      <c r="B25" s="31" t="s">
        <v>125</v>
      </c>
    </row>
    <row r="26" spans="1:2" ht="15" customHeight="1">
      <c r="A26" s="28" t="s">
        <v>146</v>
      </c>
      <c r="B26" s="29" t="s">
        <v>147</v>
      </c>
    </row>
    <row r="27" spans="1:2" ht="60" customHeight="1">
      <c r="A27" s="30"/>
      <c r="B27" s="31" t="s">
        <v>125</v>
      </c>
    </row>
    <row r="28" spans="1:2" ht="15" customHeight="1">
      <c r="A28" s="28" t="s">
        <v>148</v>
      </c>
      <c r="B28" s="29" t="s">
        <v>149</v>
      </c>
    </row>
    <row r="29" spans="1:2" ht="60" customHeight="1">
      <c r="A29" s="30"/>
      <c r="B29" s="31" t="s">
        <v>125</v>
      </c>
    </row>
    <row r="30" spans="1:2" ht="15" customHeight="1">
      <c r="A30" s="28" t="s">
        <v>150</v>
      </c>
      <c r="B30" s="29" t="s">
        <v>151</v>
      </c>
    </row>
    <row r="31" spans="1:2" ht="60" customHeight="1">
      <c r="A31" s="30"/>
      <c r="B31" s="31" t="s">
        <v>125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2026-06-12T09:47:16Z</dcterms:created>
  <dcterms:modified xsi:type="dcterms:W3CDTF">2026-07-15T13:30:41Z</dcterms:modified>
  <cp:category/>
  <cp:contentStatus/>
</cp:coreProperties>
</file>