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informational-pipeline\data\reviews\lms-buyers-guide-2026-10-22\lms-requirements\final\"/>
    </mc:Choice>
  </mc:AlternateContent>
  <xr:revisionPtr revIDLastSave="0" documentId="13_ncr:1_{218A27A7-7D58-49E2-9C5B-9647BDF80DA4}" xr6:coauthVersionLast="47" xr6:coauthVersionMax="47" xr10:uidLastSave="{00000000-0000-0000-0000-000000000000}"/>
  <bookViews>
    <workbookView xWindow="-110" yWindow="-110" windowWidth="19420" windowHeight="11500" xr2:uid="{00000000-000D-0000-FFFF-FFFF00000000}"/>
  </bookViews>
  <sheets>
    <sheet name="How to use" sheetId="1" r:id="rId1"/>
    <sheet name="Requirements" sheetId="2" r:id="rId2"/>
    <sheet name="Scoring" sheetId="3" r:id="rId3"/>
    <sheet name="Summary" sheetId="4" r:id="rId4"/>
    <sheet name="Demo script" sheetId="5" r:id="rId5"/>
  </sheets>
  <calcPr calcId="181029"/>
</workbook>
</file>

<file path=xl/calcChain.xml><?xml version="1.0" encoding="utf-8"?>
<calcChain xmlns="http://schemas.openxmlformats.org/spreadsheetml/2006/main">
  <c r="B28" i="4" l="1"/>
  <c r="B27" i="4"/>
  <c r="B26" i="4"/>
  <c r="D4" i="4"/>
  <c r="D16" i="4" s="1"/>
  <c r="C4" i="4"/>
  <c r="C16" i="4" s="1"/>
  <c r="B4" i="4"/>
  <c r="B16" i="4" s="1"/>
  <c r="D66" i="3"/>
  <c r="C66" i="3"/>
  <c r="B66" i="3"/>
  <c r="A66" i="3"/>
  <c r="C65" i="3"/>
  <c r="B65" i="3"/>
  <c r="A65" i="3"/>
  <c r="C64" i="3"/>
  <c r="B64" i="3"/>
  <c r="A64" i="3"/>
  <c r="C63" i="3"/>
  <c r="B63" i="3"/>
  <c r="A63" i="3"/>
  <c r="C62" i="3"/>
  <c r="B62" i="3"/>
  <c r="A62" i="3"/>
  <c r="C61" i="3"/>
  <c r="B61" i="3"/>
  <c r="A61" i="3"/>
  <c r="C60" i="3"/>
  <c r="B60" i="3"/>
  <c r="A60" i="3"/>
  <c r="C59" i="3"/>
  <c r="B59" i="3"/>
  <c r="A59" i="3"/>
  <c r="C58" i="3"/>
  <c r="B58" i="3"/>
  <c r="A58" i="3"/>
  <c r="C57" i="3"/>
  <c r="B57" i="3"/>
  <c r="A57" i="3"/>
  <c r="C56" i="3"/>
  <c r="B56" i="3"/>
  <c r="A56" i="3"/>
  <c r="C55" i="3"/>
  <c r="B55" i="3"/>
  <c r="A55" i="3"/>
  <c r="C54" i="3"/>
  <c r="B54" i="3"/>
  <c r="A54" i="3"/>
  <c r="C53" i="3"/>
  <c r="B53" i="3"/>
  <c r="A53" i="3"/>
  <c r="C52" i="3"/>
  <c r="B52" i="3"/>
  <c r="A52" i="3"/>
  <c r="C51" i="3"/>
  <c r="B51" i="3"/>
  <c r="A51" i="3"/>
  <c r="C50" i="3"/>
  <c r="B50" i="3"/>
  <c r="A50" i="3"/>
  <c r="C49" i="3"/>
  <c r="B49" i="3"/>
  <c r="A49" i="3"/>
  <c r="C48" i="3"/>
  <c r="B48" i="3"/>
  <c r="A48" i="3"/>
  <c r="C47" i="3"/>
  <c r="B47" i="3"/>
  <c r="A47" i="3"/>
  <c r="C46" i="3"/>
  <c r="B46" i="3"/>
  <c r="A46" i="3"/>
  <c r="C45" i="3"/>
  <c r="B45" i="3"/>
  <c r="A45" i="3"/>
  <c r="C44" i="3"/>
  <c r="B44" i="3"/>
  <c r="A44" i="3"/>
  <c r="C43" i="3"/>
  <c r="B43" i="3"/>
  <c r="A43" i="3"/>
  <c r="C42" i="3"/>
  <c r="B42" i="3"/>
  <c r="A42" i="3"/>
  <c r="C41" i="3"/>
  <c r="B41" i="3"/>
  <c r="A41" i="3"/>
  <c r="C40" i="3"/>
  <c r="B40" i="3"/>
  <c r="A40" i="3"/>
  <c r="C39" i="3"/>
  <c r="B39" i="3"/>
  <c r="A39" i="3"/>
  <c r="C38" i="3"/>
  <c r="B38" i="3"/>
  <c r="A38" i="3"/>
  <c r="C37" i="3"/>
  <c r="B37" i="3"/>
  <c r="A37" i="3"/>
  <c r="C36" i="3"/>
  <c r="B36" i="3"/>
  <c r="A36" i="3"/>
  <c r="C35" i="3"/>
  <c r="B35" i="3"/>
  <c r="A35" i="3"/>
  <c r="C34" i="3"/>
  <c r="B34" i="3"/>
  <c r="A34" i="3"/>
  <c r="C33" i="3"/>
  <c r="B33" i="3"/>
  <c r="A33" i="3"/>
  <c r="C32" i="3"/>
  <c r="B32" i="3"/>
  <c r="A32" i="3"/>
  <c r="C31" i="3"/>
  <c r="B31" i="3"/>
  <c r="A31" i="3"/>
  <c r="C30" i="3"/>
  <c r="B30" i="3"/>
  <c r="A30" i="3"/>
  <c r="C29" i="3"/>
  <c r="B29" i="3"/>
  <c r="A29" i="3"/>
  <c r="C28" i="3"/>
  <c r="B28" i="3"/>
  <c r="A28" i="3"/>
  <c r="C27" i="3"/>
  <c r="B27" i="3"/>
  <c r="A27" i="3"/>
  <c r="C26" i="3"/>
  <c r="B26" i="3"/>
  <c r="A26" i="3"/>
  <c r="C25" i="3"/>
  <c r="B25" i="3"/>
  <c r="A25" i="3"/>
  <c r="C24" i="3"/>
  <c r="B24" i="3"/>
  <c r="A24" i="3"/>
  <c r="C23" i="3"/>
  <c r="B23" i="3"/>
  <c r="A23" i="3"/>
  <c r="C22" i="3"/>
  <c r="B22" i="3"/>
  <c r="A22" i="3"/>
  <c r="C21" i="3"/>
  <c r="B21" i="3"/>
  <c r="A21" i="3"/>
  <c r="C20" i="3"/>
  <c r="B20" i="3"/>
  <c r="A20" i="3"/>
  <c r="C19" i="3"/>
  <c r="B19" i="3"/>
  <c r="A19" i="3"/>
  <c r="C18" i="3"/>
  <c r="B18" i="3"/>
  <c r="A18" i="3"/>
  <c r="C17" i="3"/>
  <c r="B17" i="3"/>
  <c r="A17" i="3"/>
  <c r="C16" i="3"/>
  <c r="B16" i="3"/>
  <c r="A16" i="3"/>
  <c r="C15" i="3"/>
  <c r="B15" i="3"/>
  <c r="A15" i="3"/>
  <c r="C14" i="3"/>
  <c r="B14" i="3"/>
  <c r="A14" i="3"/>
  <c r="C13" i="3"/>
  <c r="B13" i="3"/>
  <c r="A13" i="3"/>
  <c r="C12" i="3"/>
  <c r="B12" i="3"/>
  <c r="A12" i="3"/>
  <c r="C11" i="3"/>
  <c r="B11" i="3"/>
  <c r="A11" i="3"/>
  <c r="C10" i="3"/>
  <c r="B10" i="3"/>
  <c r="A10" i="3"/>
  <c r="C9" i="3"/>
  <c r="B9" i="3"/>
  <c r="A9" i="3"/>
  <c r="C8" i="3"/>
  <c r="B8" i="3"/>
  <c r="A8" i="3"/>
  <c r="C7" i="3"/>
  <c r="B7" i="3"/>
  <c r="A7" i="3"/>
  <c r="C6" i="3"/>
  <c r="B6" i="3"/>
  <c r="A6" i="3"/>
  <c r="C5" i="3"/>
  <c r="P5" i="3" s="1"/>
  <c r="P6" i="3" s="1"/>
  <c r="P7" i="3" s="1"/>
  <c r="P8" i="3" s="1"/>
  <c r="P9" i="3" s="1"/>
  <c r="P10" i="3" s="1"/>
  <c r="P11" i="3" s="1"/>
  <c r="P12" i="3" s="1"/>
  <c r="P13" i="3" s="1"/>
  <c r="P14" i="3" s="1"/>
  <c r="P15" i="3" s="1"/>
  <c r="P16" i="3" s="1"/>
  <c r="P17" i="3" s="1"/>
  <c r="P18" i="3" s="1"/>
  <c r="P19" i="3" s="1"/>
  <c r="P20" i="3" s="1"/>
  <c r="P21" i="3" s="1"/>
  <c r="P22" i="3" s="1"/>
  <c r="P23" i="3" s="1"/>
  <c r="P24" i="3" s="1"/>
  <c r="P25" i="3" s="1"/>
  <c r="P26" i="3" s="1"/>
  <c r="P27" i="3" s="1"/>
  <c r="P28" i="3" s="1"/>
  <c r="P29" i="3" s="1"/>
  <c r="P30" i="3" s="1"/>
  <c r="P31" i="3" s="1"/>
  <c r="P32" i="3" s="1"/>
  <c r="P33" i="3" s="1"/>
  <c r="P34" i="3" s="1"/>
  <c r="P35" i="3" s="1"/>
  <c r="P36" i="3" s="1"/>
  <c r="P37" i="3" s="1"/>
  <c r="P38" i="3" s="1"/>
  <c r="P39" i="3" s="1"/>
  <c r="P40" i="3" s="1"/>
  <c r="P41" i="3" s="1"/>
  <c r="P42" i="3" s="1"/>
  <c r="P43" i="3" s="1"/>
  <c r="P44" i="3" s="1"/>
  <c r="P45" i="3" s="1"/>
  <c r="P46" i="3" s="1"/>
  <c r="P47" i="3" s="1"/>
  <c r="P48" i="3" s="1"/>
  <c r="P49" i="3" s="1"/>
  <c r="P50" i="3" s="1"/>
  <c r="P51" i="3" s="1"/>
  <c r="P52" i="3" s="1"/>
  <c r="P53" i="3" s="1"/>
  <c r="P54" i="3" s="1"/>
  <c r="P55" i="3" s="1"/>
  <c r="P56" i="3" s="1"/>
  <c r="P57" i="3" s="1"/>
  <c r="P58" i="3" s="1"/>
  <c r="P59" i="3" s="1"/>
  <c r="P60" i="3" s="1"/>
  <c r="B5" i="3"/>
  <c r="A5" i="3"/>
  <c r="H66" i="2"/>
  <c r="E66" i="2"/>
  <c r="H65" i="2"/>
  <c r="E65" i="2"/>
  <c r="D65" i="3" s="1"/>
  <c r="H64" i="2"/>
  <c r="E64" i="2"/>
  <c r="D64" i="3" s="1"/>
  <c r="H63" i="2"/>
  <c r="E63" i="2"/>
  <c r="D63" i="3" s="1"/>
  <c r="H62" i="2"/>
  <c r="E62" i="2"/>
  <c r="D62" i="3" s="1"/>
  <c r="H61" i="2"/>
  <c r="E61" i="2"/>
  <c r="D61" i="3" s="1"/>
  <c r="H60" i="2"/>
  <c r="E60" i="2"/>
  <c r="D60" i="3" s="1"/>
  <c r="H59" i="2"/>
  <c r="E59" i="2"/>
  <c r="D59" i="3" s="1"/>
  <c r="H58" i="2"/>
  <c r="E58" i="2"/>
  <c r="D58" i="3" s="1"/>
  <c r="H57" i="2"/>
  <c r="E57" i="2"/>
  <c r="D57" i="3" s="1"/>
  <c r="H56" i="2"/>
  <c r="E56" i="2"/>
  <c r="D56" i="3" s="1"/>
  <c r="H55" i="2"/>
  <c r="E55" i="2"/>
  <c r="D55" i="3" s="1"/>
  <c r="H54" i="2"/>
  <c r="E54" i="2"/>
  <c r="D54" i="3" s="1"/>
  <c r="H53" i="2"/>
  <c r="E53" i="2"/>
  <c r="D53" i="3" s="1"/>
  <c r="H52" i="2"/>
  <c r="E52" i="2"/>
  <c r="D52" i="3" s="1"/>
  <c r="H51" i="2"/>
  <c r="E51" i="2"/>
  <c r="D51" i="3" s="1"/>
  <c r="H50" i="2"/>
  <c r="E50" i="2"/>
  <c r="D50" i="3" s="1"/>
  <c r="H49" i="2"/>
  <c r="E49" i="2"/>
  <c r="D49" i="3" s="1"/>
  <c r="H48" i="2"/>
  <c r="E48" i="2"/>
  <c r="D48" i="3" s="1"/>
  <c r="H47" i="2"/>
  <c r="E47" i="2"/>
  <c r="D47" i="3" s="1"/>
  <c r="H46" i="2"/>
  <c r="E46" i="2"/>
  <c r="D46" i="3" s="1"/>
  <c r="H45" i="2"/>
  <c r="E45" i="2"/>
  <c r="D45" i="3" s="1"/>
  <c r="H44" i="2"/>
  <c r="E44" i="2"/>
  <c r="D44" i="3" s="1"/>
  <c r="H43" i="2"/>
  <c r="E43" i="2"/>
  <c r="D43" i="3" s="1"/>
  <c r="H42" i="2"/>
  <c r="E42" i="2"/>
  <c r="D42" i="3" s="1"/>
  <c r="H41" i="2"/>
  <c r="E41" i="2"/>
  <c r="D41" i="3" s="1"/>
  <c r="H40" i="2"/>
  <c r="E40" i="2"/>
  <c r="D40" i="3" s="1"/>
  <c r="H39" i="2"/>
  <c r="E39" i="2"/>
  <c r="D39" i="3" s="1"/>
  <c r="H38" i="2"/>
  <c r="E38" i="2"/>
  <c r="D38" i="3" s="1"/>
  <c r="H37" i="2"/>
  <c r="E37" i="2"/>
  <c r="D37" i="3" s="1"/>
  <c r="H36" i="2"/>
  <c r="E36" i="2"/>
  <c r="D36" i="3" s="1"/>
  <c r="H35" i="2"/>
  <c r="E35" i="2"/>
  <c r="D35" i="3" s="1"/>
  <c r="H34" i="2"/>
  <c r="E34" i="2"/>
  <c r="D34" i="3" s="1"/>
  <c r="H33" i="2"/>
  <c r="E33" i="2"/>
  <c r="D33" i="3" s="1"/>
  <c r="H32" i="2"/>
  <c r="E32" i="2"/>
  <c r="D32" i="3" s="1"/>
  <c r="H31" i="2"/>
  <c r="E31" i="2"/>
  <c r="D31" i="3" s="1"/>
  <c r="H30" i="2"/>
  <c r="E30" i="2"/>
  <c r="D30" i="3" s="1"/>
  <c r="H29" i="2"/>
  <c r="E29" i="2"/>
  <c r="D29" i="3" s="1"/>
  <c r="H28" i="2"/>
  <c r="E28" i="2"/>
  <c r="D28" i="3" s="1"/>
  <c r="H27" i="2"/>
  <c r="E27" i="2"/>
  <c r="D27" i="3" s="1"/>
  <c r="H26" i="2"/>
  <c r="E26" i="2"/>
  <c r="D26" i="3" s="1"/>
  <c r="H25" i="2"/>
  <c r="E25" i="2"/>
  <c r="D25" i="3" s="1"/>
  <c r="H24" i="2"/>
  <c r="E24" i="2"/>
  <c r="D24" i="3" s="1"/>
  <c r="H23" i="2"/>
  <c r="E23" i="2"/>
  <c r="D23" i="3" s="1"/>
  <c r="H22" i="2"/>
  <c r="E22" i="2"/>
  <c r="D22" i="3" s="1"/>
  <c r="H21" i="2"/>
  <c r="E21" i="2"/>
  <c r="D21" i="3" s="1"/>
  <c r="H20" i="2"/>
  <c r="E20" i="2"/>
  <c r="D20" i="3" s="1"/>
  <c r="H19" i="2"/>
  <c r="E19" i="2"/>
  <c r="D19" i="3" s="1"/>
  <c r="H18" i="2"/>
  <c r="E18" i="2"/>
  <c r="D18" i="3" s="1"/>
  <c r="H17" i="2"/>
  <c r="E17" i="2"/>
  <c r="D17" i="3" s="1"/>
  <c r="H16" i="2"/>
  <c r="E16" i="2"/>
  <c r="D16" i="3" s="1"/>
  <c r="H15" i="2"/>
  <c r="E15" i="2"/>
  <c r="D15" i="3" s="1"/>
  <c r="H14" i="2"/>
  <c r="E14" i="2"/>
  <c r="D14" i="3" s="1"/>
  <c r="H13" i="2"/>
  <c r="E13" i="2"/>
  <c r="D13" i="3" s="1"/>
  <c r="H12" i="2"/>
  <c r="E12" i="2"/>
  <c r="D12" i="3" s="1"/>
  <c r="H11" i="2"/>
  <c r="E11" i="2"/>
  <c r="D11" i="3" s="1"/>
  <c r="H10" i="2"/>
  <c r="E10" i="2"/>
  <c r="D10" i="3" s="1"/>
  <c r="H9" i="2"/>
  <c r="E9" i="2"/>
  <c r="D9" i="3" s="1"/>
  <c r="H8" i="2"/>
  <c r="E8" i="2"/>
  <c r="D8" i="3" s="1"/>
  <c r="H7" i="2"/>
  <c r="E7" i="2"/>
  <c r="D7" i="3" s="1"/>
  <c r="H6" i="2"/>
  <c r="E6" i="2"/>
  <c r="D6" i="3" s="1"/>
  <c r="H5" i="2"/>
  <c r="E5" i="2"/>
  <c r="D5" i="3" s="1"/>
  <c r="P61" i="3" l="1"/>
  <c r="P62" i="3" s="1"/>
  <c r="P63" i="3" s="1"/>
  <c r="P64" i="3" s="1"/>
  <c r="P65" i="3" s="1"/>
  <c r="P66" i="3" s="1"/>
  <c r="D14" i="4" s="1"/>
  <c r="D9" i="4"/>
  <c r="B29" i="4"/>
  <c r="C29" i="4"/>
  <c r="D29" i="4"/>
  <c r="B8" i="4"/>
  <c r="D8" i="4"/>
  <c r="C9" i="4"/>
  <c r="B9" i="4"/>
  <c r="C8" i="4"/>
  <c r="M5" i="3"/>
  <c r="M6" i="3" s="1"/>
  <c r="M7" i="3" s="1"/>
  <c r="M8" i="3" s="1"/>
  <c r="M9" i="3" s="1"/>
  <c r="M10" i="3" s="1"/>
  <c r="M11" i="3" s="1"/>
  <c r="M12" i="3" s="1"/>
  <c r="M13" i="3" s="1"/>
  <c r="M14" i="3" s="1"/>
  <c r="M15" i="3" s="1"/>
  <c r="M16" i="3" s="1"/>
  <c r="M17" i="3" s="1"/>
  <c r="M18" i="3" s="1"/>
  <c r="M19" i="3" s="1"/>
  <c r="M20" i="3" s="1"/>
  <c r="M21" i="3" s="1"/>
  <c r="M22" i="3" s="1"/>
  <c r="M23" i="3" s="1"/>
  <c r="M24" i="3" s="1"/>
  <c r="M25" i="3" s="1"/>
  <c r="M26" i="3" s="1"/>
  <c r="M27" i="3" s="1"/>
  <c r="M28" i="3" s="1"/>
  <c r="M29" i="3" s="1"/>
  <c r="M30" i="3" s="1"/>
  <c r="M31" i="3" s="1"/>
  <c r="M32" i="3" s="1"/>
  <c r="M33" i="3" s="1"/>
  <c r="M34" i="3" s="1"/>
  <c r="M35" i="3" s="1"/>
  <c r="M36" i="3" s="1"/>
  <c r="M37" i="3" s="1"/>
  <c r="M38" i="3" s="1"/>
  <c r="M39" i="3" s="1"/>
  <c r="M40" i="3" s="1"/>
  <c r="M41" i="3" s="1"/>
  <c r="M42" i="3" s="1"/>
  <c r="M43" i="3" s="1"/>
  <c r="M44" i="3" s="1"/>
  <c r="M45" i="3" s="1"/>
  <c r="M46" i="3" s="1"/>
  <c r="M47" i="3" s="1"/>
  <c r="M48" i="3" s="1"/>
  <c r="M49" i="3" s="1"/>
  <c r="M50" i="3" s="1"/>
  <c r="M51" i="3" s="1"/>
  <c r="M52" i="3" s="1"/>
  <c r="M53" i="3" s="1"/>
  <c r="M54" i="3" s="1"/>
  <c r="M55" i="3" s="1"/>
  <c r="M56" i="3" s="1"/>
  <c r="M57" i="3" s="1"/>
  <c r="M58" i="3" s="1"/>
  <c r="M59" i="3" s="1"/>
  <c r="M60" i="3" s="1"/>
  <c r="M61" i="3" s="1"/>
  <c r="M62" i="3" s="1"/>
  <c r="M63" i="3" s="1"/>
  <c r="M64" i="3" s="1"/>
  <c r="M65" i="3" s="1"/>
  <c r="M66" i="3" s="1"/>
  <c r="D13" i="4" s="1"/>
  <c r="N5" i="3"/>
  <c r="N6" i="3" s="1"/>
  <c r="N7" i="3" s="1"/>
  <c r="N8" i="3" s="1"/>
  <c r="N9" i="3" s="1"/>
  <c r="N10" i="3" s="1"/>
  <c r="N11" i="3" s="1"/>
  <c r="N12" i="3" s="1"/>
  <c r="N13" i="3" s="1"/>
  <c r="N14" i="3" s="1"/>
  <c r="N15" i="3" s="1"/>
  <c r="N16" i="3" s="1"/>
  <c r="N17" i="3" s="1"/>
  <c r="N18" i="3" s="1"/>
  <c r="N19" i="3" s="1"/>
  <c r="N20" i="3" s="1"/>
  <c r="N21" i="3" s="1"/>
  <c r="N22" i="3" s="1"/>
  <c r="N23" i="3" s="1"/>
  <c r="N24" i="3" s="1"/>
  <c r="N25" i="3" s="1"/>
  <c r="N26" i="3" s="1"/>
  <c r="N27" i="3" s="1"/>
  <c r="N28" i="3" s="1"/>
  <c r="N29" i="3" s="1"/>
  <c r="N30" i="3" s="1"/>
  <c r="N31" i="3" s="1"/>
  <c r="N32" i="3" s="1"/>
  <c r="N33" i="3" s="1"/>
  <c r="N34" i="3" s="1"/>
  <c r="N35" i="3" s="1"/>
  <c r="N36" i="3" s="1"/>
  <c r="N37" i="3" s="1"/>
  <c r="N38" i="3" s="1"/>
  <c r="N39" i="3" s="1"/>
  <c r="N40" i="3" s="1"/>
  <c r="N41" i="3" s="1"/>
  <c r="N42" i="3" s="1"/>
  <c r="N43" i="3" s="1"/>
  <c r="N44" i="3" s="1"/>
  <c r="N45" i="3" s="1"/>
  <c r="N46" i="3" s="1"/>
  <c r="N47" i="3" s="1"/>
  <c r="N48" i="3" s="1"/>
  <c r="N49" i="3" s="1"/>
  <c r="N50" i="3" s="1"/>
  <c r="N51" i="3" s="1"/>
  <c r="N52" i="3" s="1"/>
  <c r="N53" i="3" s="1"/>
  <c r="N54" i="3" s="1"/>
  <c r="N55" i="3" s="1"/>
  <c r="N56" i="3" s="1"/>
  <c r="N57" i="3" s="1"/>
  <c r="N58" i="3" s="1"/>
  <c r="N59" i="3" s="1"/>
  <c r="N60" i="3" s="1"/>
  <c r="N61" i="3" s="1"/>
  <c r="N62" i="3" s="1"/>
  <c r="N63" i="3" s="1"/>
  <c r="N64" i="3" s="1"/>
  <c r="N65" i="3" s="1"/>
  <c r="N66" i="3" s="1"/>
  <c r="B14" i="4" s="1"/>
  <c r="O5" i="3"/>
  <c r="O6" i="3" s="1"/>
  <c r="O7" i="3" s="1"/>
  <c r="O8" i="3" s="1"/>
  <c r="O9" i="3" s="1"/>
  <c r="O10" i="3" s="1"/>
  <c r="O11" i="3" s="1"/>
  <c r="O12" i="3" s="1"/>
  <c r="O13" i="3" s="1"/>
  <c r="O14" i="3" s="1"/>
  <c r="O15" i="3" s="1"/>
  <c r="O16" i="3" s="1"/>
  <c r="O17" i="3" s="1"/>
  <c r="O18" i="3" s="1"/>
  <c r="O19" i="3" s="1"/>
  <c r="O20" i="3" s="1"/>
  <c r="O21" i="3" s="1"/>
  <c r="O22" i="3" s="1"/>
  <c r="O23" i="3" s="1"/>
  <c r="O24" i="3" s="1"/>
  <c r="O25" i="3" s="1"/>
  <c r="O26" i="3" s="1"/>
  <c r="O27" i="3" s="1"/>
  <c r="O28" i="3" s="1"/>
  <c r="O29" i="3" s="1"/>
  <c r="O30" i="3" s="1"/>
  <c r="O31" i="3" s="1"/>
  <c r="O32" i="3" s="1"/>
  <c r="O33" i="3" s="1"/>
  <c r="O34" i="3" s="1"/>
  <c r="O35" i="3" s="1"/>
  <c r="O36" i="3" s="1"/>
  <c r="O37" i="3" s="1"/>
  <c r="O38" i="3" s="1"/>
  <c r="O39" i="3" s="1"/>
  <c r="O40" i="3" s="1"/>
  <c r="O41" i="3" s="1"/>
  <c r="O42" i="3" s="1"/>
  <c r="O43" i="3" s="1"/>
  <c r="O44" i="3" s="1"/>
  <c r="O45" i="3" s="1"/>
  <c r="O46" i="3" s="1"/>
  <c r="O47" i="3" s="1"/>
  <c r="O48" i="3" s="1"/>
  <c r="O49" i="3" s="1"/>
  <c r="O50" i="3" s="1"/>
  <c r="O51" i="3" s="1"/>
  <c r="O52" i="3" s="1"/>
  <c r="O53" i="3" s="1"/>
  <c r="O54" i="3" s="1"/>
  <c r="O55" i="3" s="1"/>
  <c r="O56" i="3" s="1"/>
  <c r="O57" i="3" s="1"/>
  <c r="O58" i="3" s="1"/>
  <c r="O59" i="3" s="1"/>
  <c r="O60" i="3" s="1"/>
  <c r="O61" i="3" s="1"/>
  <c r="O62" i="3" s="1"/>
  <c r="O63" i="3" s="1"/>
  <c r="O64" i="3" s="1"/>
  <c r="O65" i="3" s="1"/>
  <c r="O66" i="3" s="1"/>
  <c r="C14" i="4" s="1"/>
  <c r="K5" i="3"/>
  <c r="K6" i="3" s="1"/>
  <c r="K7" i="3" s="1"/>
  <c r="K8" i="3" s="1"/>
  <c r="K9" i="3" s="1"/>
  <c r="K10" i="3" s="1"/>
  <c r="K11" i="3" s="1"/>
  <c r="K12" i="3" s="1"/>
  <c r="K13" i="3" s="1"/>
  <c r="K14" i="3" s="1"/>
  <c r="K15" i="3" s="1"/>
  <c r="K16" i="3" s="1"/>
  <c r="K17" i="3" s="1"/>
  <c r="K18" i="3" s="1"/>
  <c r="K19" i="3" s="1"/>
  <c r="K20" i="3" s="1"/>
  <c r="K21" i="3" s="1"/>
  <c r="K22" i="3" s="1"/>
  <c r="K23" i="3" s="1"/>
  <c r="K24" i="3" s="1"/>
  <c r="K25" i="3" s="1"/>
  <c r="K26" i="3" s="1"/>
  <c r="K27" i="3" s="1"/>
  <c r="K28" i="3" s="1"/>
  <c r="K29" i="3" s="1"/>
  <c r="K30" i="3" s="1"/>
  <c r="K31" i="3" s="1"/>
  <c r="K32" i="3" s="1"/>
  <c r="K33" i="3" s="1"/>
  <c r="K34" i="3" s="1"/>
  <c r="K35" i="3" s="1"/>
  <c r="K36" i="3" s="1"/>
  <c r="K37" i="3" s="1"/>
  <c r="K38" i="3" s="1"/>
  <c r="K39" i="3" s="1"/>
  <c r="K40" i="3" s="1"/>
  <c r="K41" i="3" s="1"/>
  <c r="K42" i="3" s="1"/>
  <c r="K43" i="3" s="1"/>
  <c r="K44" i="3" s="1"/>
  <c r="K45" i="3" s="1"/>
  <c r="K46" i="3" s="1"/>
  <c r="K47" i="3" s="1"/>
  <c r="K48" i="3" s="1"/>
  <c r="K49" i="3" s="1"/>
  <c r="K50" i="3" s="1"/>
  <c r="K51" i="3" s="1"/>
  <c r="K52" i="3" s="1"/>
  <c r="K53" i="3" s="1"/>
  <c r="K54" i="3" s="1"/>
  <c r="K55" i="3" s="1"/>
  <c r="K56" i="3" s="1"/>
  <c r="K57" i="3" s="1"/>
  <c r="K58" i="3" s="1"/>
  <c r="K59" i="3" s="1"/>
  <c r="K60" i="3" s="1"/>
  <c r="K61" i="3" s="1"/>
  <c r="K62" i="3" s="1"/>
  <c r="K63" i="3" s="1"/>
  <c r="K64" i="3" s="1"/>
  <c r="K65" i="3" s="1"/>
  <c r="K66" i="3" s="1"/>
  <c r="B13" i="4" s="1"/>
  <c r="L5" i="3"/>
  <c r="L6" i="3" s="1"/>
  <c r="L7" i="3" s="1"/>
  <c r="L8" i="3" s="1"/>
  <c r="L9" i="3" s="1"/>
  <c r="L10" i="3" s="1"/>
  <c r="L11" i="3" s="1"/>
  <c r="L12" i="3" s="1"/>
  <c r="L13" i="3" s="1"/>
  <c r="L14" i="3" s="1"/>
  <c r="L15" i="3" s="1"/>
  <c r="L16" i="3" s="1"/>
  <c r="L17" i="3" s="1"/>
  <c r="L18" i="3" s="1"/>
  <c r="L19" i="3" s="1"/>
  <c r="L20" i="3" s="1"/>
  <c r="L21" i="3" s="1"/>
  <c r="L22" i="3" s="1"/>
  <c r="L23" i="3" s="1"/>
  <c r="L24" i="3" s="1"/>
  <c r="L25" i="3" s="1"/>
  <c r="L26" i="3" s="1"/>
  <c r="L27" i="3" s="1"/>
  <c r="L28" i="3" s="1"/>
  <c r="L29" i="3" s="1"/>
  <c r="L30" i="3" s="1"/>
  <c r="L31" i="3" s="1"/>
  <c r="L32" i="3" s="1"/>
  <c r="L33" i="3" s="1"/>
  <c r="L34" i="3" s="1"/>
  <c r="L35" i="3" s="1"/>
  <c r="L36" i="3" s="1"/>
  <c r="L37" i="3" s="1"/>
  <c r="L38" i="3" s="1"/>
  <c r="L39" i="3" s="1"/>
  <c r="L40" i="3" s="1"/>
  <c r="L41" i="3" s="1"/>
  <c r="L42" i="3" s="1"/>
  <c r="L43" i="3" s="1"/>
  <c r="L44" i="3" s="1"/>
  <c r="L45" i="3" s="1"/>
  <c r="L46" i="3" s="1"/>
  <c r="L47" i="3" s="1"/>
  <c r="L48" i="3" s="1"/>
  <c r="L49" i="3" s="1"/>
  <c r="L50" i="3" s="1"/>
  <c r="L51" i="3" s="1"/>
  <c r="L52" i="3" s="1"/>
  <c r="L53" i="3" s="1"/>
  <c r="L54" i="3" s="1"/>
  <c r="L55" i="3" s="1"/>
  <c r="L56" i="3" s="1"/>
  <c r="L57" i="3" s="1"/>
  <c r="L58" i="3" s="1"/>
  <c r="L59" i="3" s="1"/>
  <c r="L60" i="3" s="1"/>
  <c r="L61" i="3" s="1"/>
  <c r="L62" i="3" s="1"/>
  <c r="L63" i="3" s="1"/>
  <c r="L64" i="3" s="1"/>
  <c r="L65" i="3" s="1"/>
  <c r="L66" i="3" s="1"/>
  <c r="C13" i="4" s="1"/>
  <c r="B36" i="5"/>
  <c r="A36" i="5"/>
  <c r="D35" i="5"/>
  <c r="C35" i="5"/>
  <c r="B35" i="5"/>
  <c r="A35" i="5"/>
  <c r="D34" i="5"/>
  <c r="C34" i="5"/>
  <c r="B34" i="5"/>
  <c r="A34" i="5"/>
  <c r="B50" i="5"/>
  <c r="A50" i="5"/>
  <c r="D49" i="5"/>
  <c r="C49" i="5"/>
  <c r="B49" i="5"/>
  <c r="A49" i="5"/>
  <c r="D48" i="5"/>
  <c r="C48" i="5"/>
  <c r="B48" i="5"/>
  <c r="A48" i="5"/>
  <c r="D47" i="5"/>
  <c r="C47" i="5"/>
  <c r="B47" i="5"/>
  <c r="A47" i="5"/>
  <c r="D46" i="5"/>
  <c r="C46" i="5"/>
  <c r="B46" i="5"/>
  <c r="A46" i="5"/>
  <c r="D45" i="5"/>
  <c r="C45" i="5"/>
  <c r="B45" i="5"/>
  <c r="A45" i="5"/>
  <c r="D44" i="5"/>
  <c r="C44" i="5"/>
  <c r="B44" i="5"/>
  <c r="A44" i="5"/>
  <c r="D43" i="5"/>
  <c r="C43" i="5"/>
  <c r="B43" i="5"/>
  <c r="A43" i="5"/>
  <c r="D42" i="5"/>
  <c r="C42" i="5"/>
  <c r="B42" i="5"/>
  <c r="A42" i="5"/>
  <c r="D41" i="5"/>
  <c r="C41" i="5"/>
  <c r="B41" i="5"/>
  <c r="A41" i="5"/>
  <c r="D40" i="5"/>
  <c r="C40" i="5"/>
  <c r="B40" i="5"/>
  <c r="A40" i="5"/>
  <c r="D39" i="5"/>
  <c r="D33" i="5"/>
  <c r="C33" i="5"/>
  <c r="B33" i="5"/>
  <c r="A33" i="5"/>
  <c r="D32" i="5"/>
  <c r="C32" i="5"/>
  <c r="B32" i="5"/>
  <c r="A32" i="5"/>
  <c r="D31" i="5"/>
  <c r="C31" i="5"/>
  <c r="B31" i="5"/>
  <c r="A31" i="5"/>
  <c r="D30" i="5"/>
  <c r="C30" i="5"/>
  <c r="B30" i="5"/>
  <c r="A30" i="5"/>
  <c r="D29" i="5"/>
  <c r="C29" i="5"/>
  <c r="B29" i="5"/>
  <c r="A29" i="5"/>
  <c r="D28" i="5"/>
  <c r="C28" i="5"/>
  <c r="B28" i="5"/>
  <c r="A28" i="5"/>
  <c r="D27" i="5"/>
  <c r="C27" i="5"/>
  <c r="B27" i="5"/>
  <c r="A27" i="5"/>
  <c r="D26" i="5"/>
  <c r="C26" i="5"/>
  <c r="B26" i="5"/>
  <c r="A26" i="5"/>
  <c r="D25" i="5"/>
  <c r="C25" i="5"/>
  <c r="B25" i="5"/>
  <c r="A25" i="5"/>
  <c r="D24" i="5"/>
  <c r="C24" i="5"/>
  <c r="B24" i="5"/>
  <c r="A24" i="5"/>
  <c r="D23" i="5"/>
  <c r="C23" i="5"/>
  <c r="B23" i="5"/>
  <c r="A23" i="5"/>
  <c r="D22" i="5"/>
  <c r="C22" i="5"/>
  <c r="B22" i="5"/>
  <c r="A22" i="5"/>
  <c r="D21" i="5"/>
  <c r="C21" i="5"/>
  <c r="B21" i="5"/>
  <c r="A21" i="5"/>
  <c r="D20" i="5"/>
  <c r="C20" i="5"/>
  <c r="B20" i="5"/>
  <c r="A20" i="5"/>
  <c r="D19" i="5"/>
  <c r="C19" i="5"/>
  <c r="B19" i="5"/>
  <c r="A19" i="5"/>
  <c r="D18" i="5"/>
  <c r="C18" i="5"/>
  <c r="B18" i="5"/>
  <c r="A18" i="5"/>
  <c r="D17" i="5"/>
  <c r="C17" i="5"/>
  <c r="D66" i="5"/>
  <c r="B17" i="5"/>
  <c r="A17" i="5"/>
  <c r="D16" i="5"/>
  <c r="C16" i="5"/>
  <c r="B16" i="5"/>
  <c r="A16" i="5"/>
  <c r="D15" i="5"/>
  <c r="C15" i="5"/>
  <c r="B15" i="5"/>
  <c r="A15" i="5"/>
  <c r="D14" i="5"/>
  <c r="C14" i="5"/>
  <c r="B14" i="5"/>
  <c r="A14" i="5"/>
  <c r="D13" i="5"/>
  <c r="C13" i="5"/>
  <c r="B13" i="5"/>
  <c r="A13" i="5"/>
  <c r="D12" i="5"/>
  <c r="C12" i="5"/>
  <c r="B12" i="5"/>
  <c r="A12" i="5"/>
  <c r="D11" i="5"/>
  <c r="C11" i="5"/>
  <c r="B11" i="5"/>
  <c r="A11" i="5"/>
  <c r="D10" i="5"/>
  <c r="C10" i="5"/>
  <c r="B10" i="5"/>
  <c r="A10" i="5"/>
  <c r="D9" i="5"/>
  <c r="C9" i="5"/>
  <c r="B9" i="5"/>
  <c r="A9" i="5"/>
  <c r="D8" i="5"/>
  <c r="C8" i="5"/>
  <c r="B8" i="5"/>
  <c r="A8" i="5"/>
  <c r="D7" i="5"/>
  <c r="C7" i="5"/>
  <c r="B7" i="5"/>
  <c r="A7" i="5"/>
  <c r="D6" i="5"/>
  <c r="C6" i="5"/>
  <c r="B6" i="5"/>
  <c r="A6" i="5"/>
  <c r="C66" i="5"/>
  <c r="C5" i="5"/>
  <c r="B5" i="5"/>
  <c r="A5" i="5"/>
  <c r="B66" i="5"/>
  <c r="A66" i="5"/>
  <c r="D65" i="5"/>
  <c r="C65" i="5"/>
  <c r="B65" i="5"/>
  <c r="A65" i="5"/>
  <c r="D64" i="5"/>
  <c r="C64" i="5"/>
  <c r="B64" i="5"/>
  <c r="A64" i="5"/>
  <c r="D63" i="5"/>
  <c r="C63" i="5"/>
  <c r="B63" i="5"/>
  <c r="A63" i="5"/>
  <c r="D62" i="5"/>
  <c r="C62" i="5"/>
  <c r="B62" i="5"/>
  <c r="A62" i="5"/>
  <c r="D61" i="5"/>
  <c r="C61" i="5"/>
  <c r="B61" i="5"/>
  <c r="A61" i="5"/>
  <c r="D60" i="5"/>
  <c r="C60" i="5"/>
  <c r="B60" i="5"/>
  <c r="A60" i="5"/>
  <c r="D59" i="5"/>
  <c r="C59" i="5"/>
  <c r="B59" i="5"/>
  <c r="A59" i="5"/>
  <c r="D58" i="5"/>
  <c r="C58" i="5"/>
  <c r="B58" i="5"/>
  <c r="A58" i="5"/>
  <c r="D57" i="5"/>
  <c r="C57" i="5"/>
  <c r="B57" i="5"/>
  <c r="D5" i="5"/>
  <c r="A57" i="5"/>
  <c r="D56" i="5"/>
  <c r="C56" i="5"/>
  <c r="B56" i="5"/>
  <c r="A56" i="5"/>
  <c r="D55" i="5"/>
  <c r="C55" i="5"/>
  <c r="B55" i="5"/>
  <c r="A55" i="5"/>
  <c r="D54" i="5"/>
  <c r="C54" i="5"/>
  <c r="B54" i="5"/>
  <c r="A54" i="5"/>
  <c r="D53" i="5"/>
  <c r="C53" i="5"/>
  <c r="B53" i="5"/>
  <c r="A53" i="5"/>
  <c r="D52" i="5"/>
  <c r="C52" i="5"/>
  <c r="B52" i="5"/>
  <c r="A52" i="5"/>
  <c r="D51" i="5"/>
  <c r="C51" i="5"/>
  <c r="B51" i="5"/>
  <c r="A51" i="5"/>
  <c r="D50" i="5"/>
  <c r="C50" i="5"/>
  <c r="C39" i="5"/>
  <c r="B39" i="5"/>
  <c r="A39" i="5"/>
  <c r="D38" i="5"/>
  <c r="C38" i="5"/>
  <c r="B38" i="5"/>
  <c r="A38" i="5"/>
  <c r="D37" i="5"/>
  <c r="C37" i="5"/>
  <c r="B37" i="5"/>
  <c r="A37" i="5"/>
  <c r="D36" i="5"/>
  <c r="C36" i="5"/>
  <c r="C6" i="4"/>
  <c r="B10" i="4"/>
  <c r="C10" i="4"/>
  <c r="D10" i="4"/>
  <c r="B15" i="4"/>
  <c r="B11" i="4" s="1"/>
  <c r="B12" i="4" s="1"/>
  <c r="C15" i="4"/>
  <c r="C11" i="4" s="1"/>
  <c r="C12" i="4" s="1"/>
  <c r="D15" i="4"/>
  <c r="D11" i="4" s="1"/>
  <c r="D12" i="4" s="1"/>
  <c r="B6" i="4"/>
  <c r="D6" i="4"/>
  <c r="B17" i="4" l="1"/>
  <c r="B18" i="4"/>
  <c r="B19" i="4"/>
  <c r="B20" i="4"/>
  <c r="B21" i="4"/>
  <c r="B22" i="4"/>
  <c r="B23" i="4"/>
  <c r="B24" i="4"/>
  <c r="B5" i="4"/>
  <c r="B7" i="4" s="1"/>
  <c r="C17" i="4"/>
  <c r="C18" i="4"/>
  <c r="C19" i="4"/>
  <c r="C20" i="4"/>
  <c r="C21" i="4"/>
  <c r="C22" i="4"/>
  <c r="C23" i="4"/>
  <c r="C24" i="4"/>
  <c r="C5" i="4"/>
  <c r="C7" i="4" s="1"/>
  <c r="D17" i="4"/>
  <c r="D18" i="4"/>
  <c r="D19" i="4"/>
  <c r="D20" i="4"/>
  <c r="D21" i="4"/>
  <c r="D22" i="4"/>
  <c r="D23" i="4"/>
  <c r="D24" i="4"/>
  <c r="D5" i="4"/>
  <c r="D7" i="4" s="1"/>
</calcChain>
</file>

<file path=xl/sharedStrings.xml><?xml version="1.0" encoding="utf-8"?>
<sst xmlns="http://schemas.openxmlformats.org/spreadsheetml/2006/main" count="350" uniqueCount="243">
  <si>
    <t>LMS requirements and vendor evidence (v1.1)</t>
  </si>
  <si>
    <t>Yellow cells are yours to fill in. Grey cells work themselves out.</t>
  </si>
  <si>
    <t>Step</t>
  </si>
  <si>
    <t>What to do</t>
  </si>
  <si>
    <t>1. List what you need</t>
  </si>
  <si>
    <t>Choose Must, Should, Could or Not needed for each named requirement. Ten custom rows are included, 62 rows in total. Unknown or missing priorities block ranking. Keep requirement IDs and row order stable once scoring starts.</t>
  </si>
  <si>
    <t>2. Be strict with Must</t>
  </si>
  <si>
    <t>A Must is a condition of purchase, not just a higher weight. A 0 fails it; a 1 needs resolution; a 2 needs evidence. All Musts must score 3 before ranking. The weights 3, 2 and 1 are illustrative, not validated procurement standards.</t>
  </si>
  <si>
    <t>3. Run the demos from the script</t>
  </si>
  <si>
    <t>The Demo script lists all Musts. Freeze priorities first and save a separate copy per vendor: written notes do not move with dynamic row selections. Record evidence by requirement ID.</t>
  </si>
  <si>
    <t>4. Score each vendor</t>
  </si>
  <si>
    <t>Enter scores 0–3 or leave blank for not evaluated. Use Notes for the vendor name, plan, evidence, date, reviewer, dependencies and price. Cost and final specialist approvals remain separate from the score.</t>
  </si>
  <si>
    <t>5. Read the summary</t>
  </si>
  <si>
    <t>Percentages use the full maximum for every included requirement, so unscored items earn no points. Only complete, valid comparisons with every Must verified receive a rank. Eligible to compare is not permission to buy.</t>
  </si>
  <si>
    <t>Score</t>
  </si>
  <si>
    <t>Means</t>
  </si>
  <si>
    <t>0</t>
  </si>
  <si>
    <t>Does not meet the requirement, including roadmap-only promises.</t>
  </si>
  <si>
    <t>1</t>
  </si>
  <si>
    <t>Partly meets it or has an unresolved workaround.</t>
  </si>
  <si>
    <t>2</t>
  </si>
  <si>
    <t>Vendor claims it meets the requirement; required evidence is missing.</t>
  </si>
  <si>
    <t>3</t>
  </si>
  <si>
    <t>Meets the agreed acceptance test with reviewed evidence, including plan, dependencies and cost. A tested add-on may qualify.</t>
  </si>
  <si>
    <t>This example</t>
  </si>
  <si>
    <t>Fictional organisation: 400 staff in four offices, replacing spreadsheet-and-email records. Fictional vendor ratings illustrate unresolved requirements, not a recommendation. Version 1.1 changes score interpretation and prevents ranking while Musts remain unverified.</t>
  </si>
  <si>
    <t>Requirements</t>
  </si>
  <si>
    <t>Assign a valid priority to each named requirement. Keep IDs and row order stable; ten custom rows are included.</t>
  </si>
  <si>
    <t>ID</t>
  </si>
  <si>
    <t>Group</t>
  </si>
  <si>
    <t>Requirement</t>
  </si>
  <si>
    <t>Priority</t>
  </si>
  <si>
    <t>Weight</t>
  </si>
  <si>
    <t>What to ask the vendor or see in the demo</t>
  </si>
  <si>
    <t>L1</t>
  </si>
  <si>
    <t>Learners and access</t>
  </si>
  <si>
    <t>Learners sign in with our existing work accounts (single sign-on)</t>
  </si>
  <si>
    <t>Must</t>
  </si>
  <si>
    <t>Which identity providers do you support (Microsoft Entra ID, Google, Okta)? Is SSO in the plan you've quoted?</t>
  </si>
  <si>
    <t>L2</t>
  </si>
  <si>
    <t>Staff without a work email can still sign in</t>
  </si>
  <si>
    <t>Not needed</t>
  </si>
  <si>
    <t>How do frontline or casual staff without an email get access?</t>
  </si>
  <si>
    <t>L3</t>
  </si>
  <si>
    <t>Courses work on a phone</t>
  </si>
  <si>
    <t>Should</t>
  </si>
  <si>
    <t>Show a learner finishing a course on a phone, including the quiz.</t>
  </si>
  <si>
    <t>L4</t>
  </si>
  <si>
    <t>Learners see what's assigned and due when they sign in</t>
  </si>
  <si>
    <t>Show the learner's home screen with an overdue course.</t>
  </si>
  <si>
    <t>L5</t>
  </si>
  <si>
    <t>Meets our agreed accessibility target, including the journeys we use</t>
  </si>
  <si>
    <t>Provide a current report for the agreed WCAG level, scope and exceptions; test our content and assistive technology.</t>
  </si>
  <si>
    <t>L6</t>
  </si>
  <si>
    <t>The learner side is available in the languages our staff use</t>
  </si>
  <si>
    <t>Could</t>
  </si>
  <si>
    <t>Which interface languages are there, and can course content be translated?</t>
  </si>
  <si>
    <t>L7</t>
  </si>
  <si>
    <t>Our logo, colours and domain on the learner side</t>
  </si>
  <si>
    <t>Can we use our own domain and branding on the plan you've quoted?</t>
  </si>
  <si>
    <t>L8</t>
  </si>
  <si>
    <t>Courses work offline</t>
  </si>
  <si>
    <t>Show a course downloaded on a phone and finished without a connection.</t>
  </si>
  <si>
    <t>L9</t>
  </si>
  <si>
    <t>Badges, points or leaderboards</t>
  </si>
  <si>
    <t>Can we turn them off for some courses?</t>
  </si>
  <si>
    <t>C1</t>
  </si>
  <si>
    <t>Courses and content</t>
  </si>
  <si>
    <t>Imports our existing SCORM 1.2 and 2004 packages</t>
  </si>
  <si>
    <t>Upload one of our SCORM packages during the trial and check the completion comes back.</t>
  </si>
  <si>
    <t>C2</t>
  </si>
  <si>
    <t>Supports xAPI</t>
  </si>
  <si>
    <t>Which xAPI statements do you record, and is a learning record store included?</t>
  </si>
  <si>
    <t>C3</t>
  </si>
  <si>
    <t>Build courses inside the LMS without another tool</t>
  </si>
  <si>
    <t>Show building a short course with text, video and a quiz.</t>
  </si>
  <si>
    <t>C4</t>
  </si>
  <si>
    <t>Drafts courses from our own policies and documents with AI</t>
  </si>
  <si>
    <t>Show a course drafted from one of our documents, and how we check and edit it.</t>
  </si>
  <si>
    <t>C5</t>
  </si>
  <si>
    <t>Upload video, PDF and slides</t>
  </si>
  <si>
    <t>What file types and sizes are supported?</t>
  </si>
  <si>
    <t>C6</t>
  </si>
  <si>
    <t>Update a live course without losing learners' progress</t>
  </si>
  <si>
    <t>What happens to completions when we publish a new version?</t>
  </si>
  <si>
    <t>C7</t>
  </si>
  <si>
    <t>Learning paths with courses in a set order</t>
  </si>
  <si>
    <t>Show a path where course 2 opens only after course 1 is finished.</t>
  </si>
  <si>
    <t>C8</t>
  </si>
  <si>
    <t>Track face-to-face sessions and attendance</t>
  </si>
  <si>
    <t>How do we record attendance for an in-person session?</t>
  </si>
  <si>
    <t>A1</t>
  </si>
  <si>
    <t>Assessment and compliance</t>
  </si>
  <si>
    <t>Quizzes with a pass mark and limited attempts</t>
  </si>
  <si>
    <t>Show setting a pass mark of 80% and two attempts.</t>
  </si>
  <si>
    <t>A2</t>
  </si>
  <si>
    <t>Certificates issued automatically, with an expiry date</t>
  </si>
  <si>
    <t>Show a certificate that expires after 12 months.</t>
  </si>
  <si>
    <t>A3</t>
  </si>
  <si>
    <t>Recurring training that reassigns itself before it expires</t>
  </si>
  <si>
    <t>Show a yearly refresher that reassigns 30 days before expiry, with the reminder email.</t>
  </si>
  <si>
    <t>A4</t>
  </si>
  <si>
    <t>Learners acknowledge a policy and the date is kept</t>
  </si>
  <si>
    <t>How is a policy acknowledgement recorded and exported?</t>
  </si>
  <si>
    <t>A5</t>
  </si>
  <si>
    <t>A completion record that can't be changed without a trace</t>
  </si>
  <si>
    <t>Can an admin change a completion date, and is the change logged?</t>
  </si>
  <si>
    <t>A6</t>
  </si>
  <si>
    <t>Assessors sign off practical tasks</t>
  </si>
  <si>
    <t>Show a supervisor marking an observed task as competent.</t>
  </si>
  <si>
    <t>D1</t>
  </si>
  <si>
    <t>Administration</t>
  </si>
  <si>
    <t>Assign training by role, team or location automatically</t>
  </si>
  <si>
    <t>Show a new starter being enrolled in their role's training without anyone doing it.</t>
  </si>
  <si>
    <t>D2</t>
  </si>
  <si>
    <t>Bulk-add and update users from a spreadsheet</t>
  </si>
  <si>
    <t>Show importing 50 users from a CSV.</t>
  </si>
  <si>
    <t>D3</t>
  </si>
  <si>
    <t>Managers see and manage only their own team</t>
  </si>
  <si>
    <t>Show what a team manager can and can't see.</t>
  </si>
  <si>
    <t>D4</t>
  </si>
  <si>
    <t>Reminder emails before and after a due date</t>
  </si>
  <si>
    <t>Can we change the reminder wording and timing?</t>
  </si>
  <si>
    <t>D5</t>
  </si>
  <si>
    <t>Several admins with different permissions</t>
  </si>
  <si>
    <t>What admin roles are there, and can we make our own?</t>
  </si>
  <si>
    <t>D6</t>
  </si>
  <si>
    <t>Separate areas for business units or clients</t>
  </si>
  <si>
    <t>Can each one have its own courses, admins and branding?</t>
  </si>
  <si>
    <t>R1</t>
  </si>
  <si>
    <t>Reporting</t>
  </si>
  <si>
    <t>Completion and overdue reports by team and course</t>
  </si>
  <si>
    <t>Show the overdue report for one team, filtered by course.</t>
  </si>
  <si>
    <t>R2</t>
  </si>
  <si>
    <t>Scheduled reports emailed to managers</t>
  </si>
  <si>
    <t>Can a manager get a weekly overdue list without signing in?</t>
  </si>
  <si>
    <t>R3</t>
  </si>
  <si>
    <t>Export any report, or every completion at once, to Excel or CSV</t>
  </si>
  <si>
    <t>During the demo, export every completion of one course for the last two years and open it.</t>
  </si>
  <si>
    <t>R4</t>
  </si>
  <si>
    <t>Quiz results by question</t>
  </si>
  <si>
    <t>Show which question most learners got wrong.</t>
  </si>
  <si>
    <t>R5</t>
  </si>
  <si>
    <t>A compliance view: who's current, due soon and expired</t>
  </si>
  <si>
    <t>Show the expiry view for one certificate.</t>
  </si>
  <si>
    <t>I1</t>
  </si>
  <si>
    <t>Integrations and data</t>
  </si>
  <si>
    <t>Users sync from our HR system</t>
  </si>
  <si>
    <t>Which HR systems do you connect to, and how often does the sync run?</t>
  </si>
  <si>
    <t>I2</t>
  </si>
  <si>
    <t>Leavers lose access, but their records are kept</t>
  </si>
  <si>
    <t>What happens to a leaver's account and training history?</t>
  </si>
  <si>
    <t>I3</t>
  </si>
  <si>
    <t>An API for our own integrations</t>
  </si>
  <si>
    <t>Is the API documented publicly, and is it in our plan?</t>
  </si>
  <si>
    <t>I4</t>
  </si>
  <si>
    <t>Assignments and reminders in Teams or Slack</t>
  </si>
  <si>
    <t>Show a reminder arriving in Teams or Slack.</t>
  </si>
  <si>
    <t>I5</t>
  </si>
  <si>
    <t>We can export all our data and content if we leave</t>
  </si>
  <si>
    <t>In what format, at what cost, and how long does it take? Does our SCORM content keep working?</t>
  </si>
  <si>
    <t>I6</t>
  </si>
  <si>
    <t>Imports our existing training records</t>
  </si>
  <si>
    <t>Can you load our past completions and certificate dates, and who does the work?</t>
  </si>
  <si>
    <t>S1</t>
  </si>
  <si>
    <t>Security and privacy</t>
  </si>
  <si>
    <t>Data stored in our country or region</t>
  </si>
  <si>
    <t>Where is our data hosted, and can we choose the region?</t>
  </si>
  <si>
    <t>S2</t>
  </si>
  <si>
    <t>Provides the data-processing terms and controls our privacy review requires</t>
  </si>
  <si>
    <t>Which terms apply to our data, support access, subprocessors and international transfers?</t>
  </si>
  <si>
    <t>S3</t>
  </si>
  <si>
    <t>Independent security certification</t>
  </si>
  <si>
    <t>Is the certification for your company or only your hosting provider? Can we see the report?</t>
  </si>
  <si>
    <t>S4</t>
  </si>
  <si>
    <t>Completes our security questionnaire</t>
  </si>
  <si>
    <t>How long do you take to return a security questionnaire, and do you have a security pack?</t>
  </si>
  <si>
    <t>S5</t>
  </si>
  <si>
    <t>Our content isn't used to train AI models</t>
  </si>
  <si>
    <t>Which AI services process our content, and is any of it used for training? Is that in the contract?</t>
  </si>
  <si>
    <t>S6</t>
  </si>
  <si>
    <t>Admins sign in with multi-factor authentication</t>
  </si>
  <si>
    <t>Is MFA available for admin accounts, and can we enforce it?</t>
  </si>
  <si>
    <t>V1</t>
  </si>
  <si>
    <t>Vendor, support and contract</t>
  </si>
  <si>
    <t>Support hours that cover our working hours</t>
  </si>
  <si>
    <t>What are your support hours and response times in our time zone?</t>
  </si>
  <si>
    <t>V2</t>
  </si>
  <si>
    <t>Setup help and admin training included</t>
  </si>
  <si>
    <t>What does onboarding include, who runs it, and how long until we're live?</t>
  </si>
  <si>
    <t>V3</t>
  </si>
  <si>
    <t>Published uptime and a service level</t>
  </si>
  <si>
    <t>What uptime do you commit to in the contract, and where's the history?</t>
  </si>
  <si>
    <t>V4</t>
  </si>
  <si>
    <t>Pricing that fits our size for three years</t>
  </si>
  <si>
    <t>What will it cost at our size now and at 50% more learners? What rises at renewal?</t>
  </si>
  <si>
    <t>V5</t>
  </si>
  <si>
    <t>Contract terms we can live with</t>
  </si>
  <si>
    <t>What are the minimum term, the notice period and the cap on renewal increases?</t>
  </si>
  <si>
    <t>V6</t>
  </si>
  <si>
    <t>A trial or pilot with our own content</t>
  </si>
  <si>
    <t>Can we run one real course with real staff before we sign?</t>
  </si>
  <si>
    <t>U1</t>
  </si>
  <si>
    <t>U2</t>
  </si>
  <si>
    <t>U3</t>
  </si>
  <si>
    <t>U4</t>
  </si>
  <si>
    <t>U5</t>
  </si>
  <si>
    <t>U6</t>
  </si>
  <si>
    <t>U7</t>
  </si>
  <si>
    <t>U8</t>
  </si>
  <si>
    <t>U9</t>
  </si>
  <si>
    <t>U10</t>
  </si>
  <si>
    <t>Scoring</t>
  </si>
  <si>
    <t>0 fails; 1 partial/unresolved; 2 claimed, not yet verified; 3 meets the agreed acceptance test with evidence. Blank means not evaluated. Record vendor-specific evidence and costs in Notes.</t>
  </si>
  <si>
    <t>0 no  1 workaround  2 standard  3 seen working</t>
  </si>
  <si>
    <t>Vendor A</t>
  </si>
  <si>
    <t>Vendor B</t>
  </si>
  <si>
    <t>Vendor C</t>
  </si>
  <si>
    <t>Notes</t>
  </si>
  <si>
    <t>Summary</t>
  </si>
  <si>
    <t>No ranking until inputs are valid, every included row is scored and every Must has reviewed evidence (3). Final approval remains separate.</t>
  </si>
  <si>
    <t/>
  </si>
  <si>
    <t>Weighted score</t>
  </si>
  <si>
    <t>Full maximum points</t>
  </si>
  <si>
    <t>Score (provisional if incomplete)</t>
  </si>
  <si>
    <t>Musts it fails</t>
  </si>
  <si>
    <t>Partial / unresolved Musts</t>
  </si>
  <si>
    <t>Not scored yet</t>
  </si>
  <si>
    <t>Status</t>
  </si>
  <si>
    <t>Rank</t>
  </si>
  <si>
    <t>Fails these Musts</t>
  </si>
  <si>
    <t>Workarounds on</t>
  </si>
  <si>
    <t>Invalid scores</t>
  </si>
  <si>
    <t>Score by group</t>
  </si>
  <si>
    <t>Requirements in use</t>
  </si>
  <si>
    <t>Of which Musts</t>
  </si>
  <si>
    <t>Missing / invalid priorities</t>
  </si>
  <si>
    <t>Musts awaiting verification</t>
  </si>
  <si>
    <t>Demo script</t>
  </si>
  <si>
    <t>All Musts, up to 62. Freeze priorities and use one saved copy per vendor. Notes do not move when priorities change.</t>
  </si>
  <si>
    <t>No.</t>
  </si>
  <si>
    <t>Ask them to show</t>
  </si>
  <si>
    <t>Seen?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</si>
</sst>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5"/>
      <color rgb="FF1F2A44"/>
      <name val="Arial"/>
    </font>
    <font>
      <sz val="9"/>
      <color rgb="FF5A6270"/>
      <name val="Arial"/>
    </font>
    <font>
      <b/>
      <sz val="10"/>
      <color rgb="FFFFFFFF"/>
      <name val="Arial"/>
    </font>
    <font>
      <b/>
      <sz val="10"/>
      <color rgb="FF1A1A1A"/>
      <name val="Arial"/>
    </font>
    <font>
      <sz val="10"/>
      <color rgb="FF1A1A1A"/>
      <name val="Arial"/>
    </font>
    <font>
      <sz val="8"/>
      <color rgb="FF5A6270"/>
      <name val="Arial"/>
    </font>
  </fonts>
  <fills count="5">
    <fill>
      <patternFill patternType="none"/>
    </fill>
    <fill>
      <patternFill patternType="gray125"/>
    </fill>
    <fill>
      <patternFill patternType="solid">
        <fgColor rgb="FF1F2A44"/>
      </patternFill>
    </fill>
    <fill>
      <patternFill patternType="solid">
        <fgColor rgb="FFFFF6D5"/>
      </patternFill>
    </fill>
    <fill>
      <patternFill patternType="solid">
        <fgColor rgb="FFEEF0F4"/>
      </patternFill>
    </fill>
  </fills>
  <borders count="4">
    <border>
      <left/>
      <right/>
      <top/>
      <bottom/>
      <diagonal/>
    </border>
    <border>
      <left style="thin">
        <color rgb="FFC9CED8"/>
      </left>
      <right style="thin">
        <color rgb="FFC9CED8"/>
      </right>
      <top style="thin">
        <color rgb="FFC9CED8"/>
      </top>
      <bottom style="thin">
        <color rgb="FFC9CED8"/>
      </bottom>
      <diagonal/>
    </border>
    <border>
      <left/>
      <right/>
      <top style="thin">
        <color rgb="FFC9CED8"/>
      </top>
      <bottom style="thin">
        <color rgb="FFC9CED8"/>
      </bottom>
      <diagonal/>
    </border>
    <border>
      <left/>
      <right style="thin">
        <color rgb="FFC9CED8"/>
      </right>
      <top style="thin">
        <color rgb="FFC9CED8"/>
      </top>
      <bottom style="thin">
        <color rgb="FFC9CED8"/>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1" xfId="0" applyFont="1" applyFill="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4" fillId="0" borderId="1" xfId="0" applyFont="1" applyBorder="1" applyAlignment="1">
      <alignment horizontal="center" vertical="top"/>
    </xf>
    <xf numFmtId="0" fontId="4" fillId="0" borderId="1" xfId="0" applyFont="1" applyBorder="1" applyAlignment="1">
      <alignment vertical="top"/>
    </xf>
    <xf numFmtId="0" fontId="5" fillId="3" borderId="1" xfId="0" applyFont="1" applyFill="1" applyBorder="1" applyAlignment="1">
      <alignment vertical="top" wrapText="1"/>
    </xf>
    <xf numFmtId="0" fontId="5" fillId="3" borderId="1" xfId="0" applyFont="1" applyFill="1" applyBorder="1" applyAlignment="1">
      <alignment horizontal="center" vertical="top"/>
    </xf>
    <xf numFmtId="164" fontId="5" fillId="4" borderId="1" xfId="0" applyNumberFormat="1" applyFont="1" applyFill="1" applyBorder="1" applyAlignment="1">
      <alignment horizontal="center" vertical="top"/>
    </xf>
    <xf numFmtId="0" fontId="0" fillId="0" borderId="2" xfId="0" applyBorder="1"/>
    <xf numFmtId="0" fontId="0" fillId="0" borderId="3" xfId="0" applyBorder="1"/>
    <xf numFmtId="0" fontId="4" fillId="3" borderId="1" xfId="0" applyFont="1" applyFill="1" applyBorder="1" applyAlignment="1">
      <alignment horizontal="center" vertical="top" wrapText="1"/>
    </xf>
    <xf numFmtId="0" fontId="5" fillId="4" borderId="1" xfId="0" applyFont="1" applyFill="1" applyBorder="1" applyAlignment="1">
      <alignment vertical="top" wrapText="1"/>
    </xf>
    <xf numFmtId="0" fontId="5" fillId="4" borderId="1" xfId="0" applyFont="1" applyFill="1" applyBorder="1" applyAlignment="1">
      <alignment horizontal="center" vertical="top"/>
    </xf>
    <xf numFmtId="9" fontId="4" fillId="4" borderId="1" xfId="0" applyNumberFormat="1" applyFont="1" applyFill="1" applyBorder="1" applyAlignment="1">
      <alignment horizontal="center" vertical="top"/>
    </xf>
    <xf numFmtId="0" fontId="4" fillId="4" borderId="1" xfId="0" applyFont="1" applyFill="1" applyBorder="1" applyAlignment="1">
      <alignment horizontal="center" vertical="top" wrapText="1"/>
    </xf>
    <xf numFmtId="0" fontId="4" fillId="4" borderId="1" xfId="0" applyFont="1" applyFill="1" applyBorder="1" applyAlignment="1">
      <alignment horizontal="center" vertical="top"/>
    </xf>
    <xf numFmtId="9" fontId="5" fillId="4" borderId="1" xfId="0" applyNumberFormat="1" applyFont="1" applyFill="1" applyBorder="1" applyAlignment="1">
      <alignment horizontal="center" vertical="top"/>
    </xf>
    <xf numFmtId="0" fontId="5" fillId="4" borderId="1" xfId="0" applyFont="1" applyFill="1" applyBorder="1" applyAlignment="1">
      <alignment vertical="top"/>
    </xf>
    <xf numFmtId="0" fontId="6" fillId="0" borderId="1" xfId="0" applyFont="1" applyBorder="1" applyAlignment="1">
      <alignment vertical="top"/>
    </xf>
    <xf numFmtId="0" fontId="0" fillId="0" borderId="2" xfId="0" applyBorder="1"/>
    <xf numFmtId="0" fontId="0" fillId="0" borderId="3" xfId="0" applyBorder="1"/>
    <xf numFmtId="0" fontId="5" fillId="4" borderId="1" xfId="0" applyFont="1" applyFill="1" applyBorder="1" applyAlignment="1">
      <alignment vertical="top" wrapText="1"/>
    </xf>
  </cellXfs>
  <cellStyles count="1">
    <cellStyle name="Normal" xfId="0" builtinId="0"/>
  </cellStyles>
  <dxfs count="6">
    <dxf>
      <fill>
        <patternFill>
          <bgColor rgb="FFFCE1C4"/>
        </patternFill>
      </fill>
    </dxf>
    <dxf>
      <fill>
        <patternFill>
          <bgColor rgb="FFF4B6B0"/>
        </patternFill>
      </fill>
    </dxf>
    <dxf>
      <fill>
        <patternFill>
          <bgColor rgb="FFE3F1E7"/>
        </patternFill>
      </fill>
    </dxf>
    <dxf>
      <fill>
        <patternFill>
          <bgColor rgb="FFFCE1C4"/>
        </patternFill>
      </fill>
    </dxf>
    <dxf>
      <fill>
        <patternFill>
          <bgColor rgb="FFF4B6B0"/>
        </patternFill>
      </fill>
    </dxf>
    <dxf>
      <fill>
        <patternFill>
          <bgColor rgb="FFE3F1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tabSelected="1" workbookViewId="0"/>
  </sheetViews>
  <sheetFormatPr defaultRowHeight="14.5" x14ac:dyDescent="0.35"/>
  <cols>
    <col min="1" max="1" width="26" customWidth="1"/>
    <col min="2" max="2" width="110" customWidth="1"/>
  </cols>
  <sheetData>
    <row r="1" spans="1:2" ht="19" x14ac:dyDescent="0.4">
      <c r="A1" s="1" t="s">
        <v>0</v>
      </c>
    </row>
    <row r="2" spans="1:2" x14ac:dyDescent="0.35">
      <c r="A2" s="2" t="s">
        <v>1</v>
      </c>
    </row>
    <row r="4" spans="1:2" x14ac:dyDescent="0.35">
      <c r="A4" s="3" t="s">
        <v>2</v>
      </c>
      <c r="B4" s="3" t="s">
        <v>3</v>
      </c>
    </row>
    <row r="5" spans="1:2" ht="22.65" customHeight="1" x14ac:dyDescent="0.35">
      <c r="A5" s="4" t="s">
        <v>4</v>
      </c>
      <c r="B5" s="5" t="s">
        <v>5</v>
      </c>
    </row>
    <row r="6" spans="1:2" ht="22.65" customHeight="1" x14ac:dyDescent="0.35">
      <c r="A6" s="4" t="s">
        <v>6</v>
      </c>
      <c r="B6" s="5" t="s">
        <v>7</v>
      </c>
    </row>
    <row r="7" spans="1:2" ht="22.65" customHeight="1" x14ac:dyDescent="0.35">
      <c r="A7" s="4" t="s">
        <v>8</v>
      </c>
      <c r="B7" s="5" t="s">
        <v>9</v>
      </c>
    </row>
    <row r="8" spans="1:2" ht="22.65" customHeight="1" x14ac:dyDescent="0.35">
      <c r="A8" s="4" t="s">
        <v>10</v>
      </c>
      <c r="B8" s="5" t="s">
        <v>11</v>
      </c>
    </row>
    <row r="9" spans="1:2" ht="22.65" customHeight="1" x14ac:dyDescent="0.35">
      <c r="A9" s="4" t="s">
        <v>12</v>
      </c>
      <c r="B9" s="5" t="s">
        <v>13</v>
      </c>
    </row>
    <row r="11" spans="1:2" x14ac:dyDescent="0.35">
      <c r="A11" s="3" t="s">
        <v>14</v>
      </c>
      <c r="B11" s="3" t="s">
        <v>15</v>
      </c>
    </row>
    <row r="12" spans="1:2" x14ac:dyDescent="0.35">
      <c r="A12" s="6" t="s">
        <v>16</v>
      </c>
      <c r="B12" s="5" t="s">
        <v>17</v>
      </c>
    </row>
    <row r="13" spans="1:2" x14ac:dyDescent="0.35">
      <c r="A13" s="6" t="s">
        <v>18</v>
      </c>
      <c r="B13" s="5" t="s">
        <v>19</v>
      </c>
    </row>
    <row r="14" spans="1:2" x14ac:dyDescent="0.35">
      <c r="A14" s="6" t="s">
        <v>20</v>
      </c>
      <c r="B14" s="5" t="s">
        <v>21</v>
      </c>
    </row>
    <row r="15" spans="1:2" x14ac:dyDescent="0.35">
      <c r="A15" s="6" t="s">
        <v>22</v>
      </c>
      <c r="B15" s="5" t="s">
        <v>23</v>
      </c>
    </row>
    <row r="17" spans="1:2" ht="20" customHeight="1" x14ac:dyDescent="0.35">
      <c r="A17" s="7" t="s">
        <v>24</v>
      </c>
      <c r="B17" s="8" t="s">
        <v>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6"/>
  <sheetViews>
    <sheetView workbookViewId="0">
      <pane ySplit="4" topLeftCell="A5" activePane="bottomLeft" state="frozen"/>
      <selection pane="bottomLeft"/>
    </sheetView>
  </sheetViews>
  <sheetFormatPr defaultRowHeight="14.5" x14ac:dyDescent="0.35"/>
  <cols>
    <col min="1" max="1" width="6" customWidth="1"/>
    <col min="2" max="2" width="22" customWidth="1"/>
    <col min="3" max="3" width="52" customWidth="1"/>
    <col min="4" max="4" width="12" customWidth="1"/>
    <col min="5" max="5" width="8" customWidth="1"/>
    <col min="6" max="6" width="62" customWidth="1"/>
    <col min="8" max="8" width="13" hidden="1" customWidth="1"/>
  </cols>
  <sheetData>
    <row r="1" spans="1:8" ht="19" x14ac:dyDescent="0.4">
      <c r="A1" s="1" t="s">
        <v>26</v>
      </c>
    </row>
    <row r="2" spans="1:8" x14ac:dyDescent="0.35">
      <c r="A2" s="2" t="s">
        <v>27</v>
      </c>
    </row>
    <row r="4" spans="1:8" x14ac:dyDescent="0.35">
      <c r="A4" s="3" t="s">
        <v>28</v>
      </c>
      <c r="B4" s="3" t="s">
        <v>29</v>
      </c>
      <c r="C4" s="3" t="s">
        <v>30</v>
      </c>
      <c r="D4" s="3" t="s">
        <v>31</v>
      </c>
      <c r="E4" s="3" t="s">
        <v>32</v>
      </c>
      <c r="F4" s="3" t="s">
        <v>33</v>
      </c>
    </row>
    <row r="5" spans="1:8" ht="30" customHeight="1" x14ac:dyDescent="0.35">
      <c r="A5" s="7" t="s">
        <v>34</v>
      </c>
      <c r="B5" s="8" t="s">
        <v>35</v>
      </c>
      <c r="C5" s="8" t="s">
        <v>36</v>
      </c>
      <c r="D5" s="9" t="s">
        <v>37</v>
      </c>
      <c r="E5" s="10">
        <f t="shared" ref="E5:E36" si="0">IF(C5="",0,IF(D5="Must",3,IF(D5="Should",2,IF(D5="Could",1,0))))</f>
        <v>3</v>
      </c>
      <c r="F5" s="8" t="s">
        <v>38</v>
      </c>
      <c r="H5">
        <f>IF(AND(D5="Must",C5&lt;&gt;""),COUNTIFS($D$5:D5,"Must",$C$5:C5,"&lt;&gt;"),"")</f>
        <v>1</v>
      </c>
    </row>
    <row r="6" spans="1:8" ht="30" customHeight="1" x14ac:dyDescent="0.35">
      <c r="A6" s="7" t="s">
        <v>39</v>
      </c>
      <c r="B6" s="8" t="s">
        <v>35</v>
      </c>
      <c r="C6" s="8" t="s">
        <v>40</v>
      </c>
      <c r="D6" s="9" t="s">
        <v>41</v>
      </c>
      <c r="E6" s="10">
        <f t="shared" si="0"/>
        <v>0</v>
      </c>
      <c r="F6" s="8" t="s">
        <v>42</v>
      </c>
      <c r="H6" t="str">
        <f>IF(AND(D6="Must",C6&lt;&gt;""),COUNTIFS($D$5:D6,"Must",$C$5:C6,"&lt;&gt;"),"")</f>
        <v/>
      </c>
    </row>
    <row r="7" spans="1:8" ht="30" customHeight="1" x14ac:dyDescent="0.35">
      <c r="A7" s="7" t="s">
        <v>43</v>
      </c>
      <c r="B7" s="8" t="s">
        <v>35</v>
      </c>
      <c r="C7" s="8" t="s">
        <v>44</v>
      </c>
      <c r="D7" s="9" t="s">
        <v>45</v>
      </c>
      <c r="E7" s="10">
        <f t="shared" si="0"/>
        <v>2</v>
      </c>
      <c r="F7" s="8" t="s">
        <v>46</v>
      </c>
      <c r="H7" t="str">
        <f>IF(AND(D7="Must",C7&lt;&gt;""),COUNTIFS($D$5:D7,"Must",$C$5:C7,"&lt;&gt;"),"")</f>
        <v/>
      </c>
    </row>
    <row r="8" spans="1:8" ht="30" customHeight="1" x14ac:dyDescent="0.35">
      <c r="A8" s="7" t="s">
        <v>47</v>
      </c>
      <c r="B8" s="8" t="s">
        <v>35</v>
      </c>
      <c r="C8" s="8" t="s">
        <v>48</v>
      </c>
      <c r="D8" s="9" t="s">
        <v>45</v>
      </c>
      <c r="E8" s="10">
        <f t="shared" si="0"/>
        <v>2</v>
      </c>
      <c r="F8" s="8" t="s">
        <v>49</v>
      </c>
      <c r="H8" t="str">
        <f>IF(AND(D8="Must",C8&lt;&gt;""),COUNTIFS($D$5:D8,"Must",$C$5:C8,"&lt;&gt;"),"")</f>
        <v/>
      </c>
    </row>
    <row r="9" spans="1:8" ht="30" customHeight="1" x14ac:dyDescent="0.35">
      <c r="A9" s="7" t="s">
        <v>50</v>
      </c>
      <c r="B9" s="8" t="s">
        <v>35</v>
      </c>
      <c r="C9" s="8" t="s">
        <v>51</v>
      </c>
      <c r="D9" s="9" t="s">
        <v>45</v>
      </c>
      <c r="E9" s="10">
        <f t="shared" si="0"/>
        <v>2</v>
      </c>
      <c r="F9" s="8" t="s">
        <v>52</v>
      </c>
      <c r="H9" t="str">
        <f>IF(AND(D9="Must",C9&lt;&gt;""),COUNTIFS($D$5:D9,"Must",$C$5:C9,"&lt;&gt;"),"")</f>
        <v/>
      </c>
    </row>
    <row r="10" spans="1:8" ht="30" customHeight="1" x14ac:dyDescent="0.35">
      <c r="A10" s="7" t="s">
        <v>53</v>
      </c>
      <c r="B10" s="8" t="s">
        <v>35</v>
      </c>
      <c r="C10" s="8" t="s">
        <v>54</v>
      </c>
      <c r="D10" s="9" t="s">
        <v>55</v>
      </c>
      <c r="E10" s="10">
        <f t="shared" si="0"/>
        <v>1</v>
      </c>
      <c r="F10" s="8" t="s">
        <v>56</v>
      </c>
      <c r="H10" t="str">
        <f>IF(AND(D10="Must",C10&lt;&gt;""),COUNTIFS($D$5:D10,"Must",$C$5:C10,"&lt;&gt;"),"")</f>
        <v/>
      </c>
    </row>
    <row r="11" spans="1:8" ht="30" customHeight="1" x14ac:dyDescent="0.35">
      <c r="A11" s="7" t="s">
        <v>57</v>
      </c>
      <c r="B11" s="8" t="s">
        <v>35</v>
      </c>
      <c r="C11" s="8" t="s">
        <v>58</v>
      </c>
      <c r="D11" s="9" t="s">
        <v>55</v>
      </c>
      <c r="E11" s="10">
        <f t="shared" si="0"/>
        <v>1</v>
      </c>
      <c r="F11" s="8" t="s">
        <v>59</v>
      </c>
      <c r="H11" t="str">
        <f>IF(AND(D11="Must",C11&lt;&gt;""),COUNTIFS($D$5:D11,"Must",$C$5:C11,"&lt;&gt;"),"")</f>
        <v/>
      </c>
    </row>
    <row r="12" spans="1:8" ht="30" customHeight="1" x14ac:dyDescent="0.35">
      <c r="A12" s="7" t="s">
        <v>60</v>
      </c>
      <c r="B12" s="8" t="s">
        <v>35</v>
      </c>
      <c r="C12" s="8" t="s">
        <v>61</v>
      </c>
      <c r="D12" s="9" t="s">
        <v>41</v>
      </c>
      <c r="E12" s="10">
        <f t="shared" si="0"/>
        <v>0</v>
      </c>
      <c r="F12" s="8" t="s">
        <v>62</v>
      </c>
      <c r="H12" t="str">
        <f>IF(AND(D12="Must",C12&lt;&gt;""),COUNTIFS($D$5:D12,"Must",$C$5:C12,"&lt;&gt;"),"")</f>
        <v/>
      </c>
    </row>
    <row r="13" spans="1:8" ht="30" customHeight="1" x14ac:dyDescent="0.35">
      <c r="A13" s="7" t="s">
        <v>63</v>
      </c>
      <c r="B13" s="8" t="s">
        <v>35</v>
      </c>
      <c r="C13" s="8" t="s">
        <v>64</v>
      </c>
      <c r="D13" s="9" t="s">
        <v>41</v>
      </c>
      <c r="E13" s="10">
        <f t="shared" si="0"/>
        <v>0</v>
      </c>
      <c r="F13" s="8" t="s">
        <v>65</v>
      </c>
      <c r="H13" t="str">
        <f>IF(AND(D13="Must",C13&lt;&gt;""),COUNTIFS($D$5:D13,"Must",$C$5:C13,"&lt;&gt;"),"")</f>
        <v/>
      </c>
    </row>
    <row r="14" spans="1:8" ht="30" customHeight="1" x14ac:dyDescent="0.35">
      <c r="A14" s="7" t="s">
        <v>66</v>
      </c>
      <c r="B14" s="8" t="s">
        <v>67</v>
      </c>
      <c r="C14" s="8" t="s">
        <v>68</v>
      </c>
      <c r="D14" s="9" t="s">
        <v>45</v>
      </c>
      <c r="E14" s="10">
        <f t="shared" si="0"/>
        <v>2</v>
      </c>
      <c r="F14" s="8" t="s">
        <v>69</v>
      </c>
      <c r="H14" t="str">
        <f>IF(AND(D14="Must",C14&lt;&gt;""),COUNTIFS($D$5:D14,"Must",$C$5:C14,"&lt;&gt;"),"")</f>
        <v/>
      </c>
    </row>
    <row r="15" spans="1:8" ht="30" customHeight="1" x14ac:dyDescent="0.35">
      <c r="A15" s="7" t="s">
        <v>70</v>
      </c>
      <c r="B15" s="8" t="s">
        <v>67</v>
      </c>
      <c r="C15" s="8" t="s">
        <v>71</v>
      </c>
      <c r="D15" s="9" t="s">
        <v>55</v>
      </c>
      <c r="E15" s="10">
        <f t="shared" si="0"/>
        <v>1</v>
      </c>
      <c r="F15" s="8" t="s">
        <v>72</v>
      </c>
      <c r="H15" t="str">
        <f>IF(AND(D15="Must",C15&lt;&gt;""),COUNTIFS($D$5:D15,"Must",$C$5:C15,"&lt;&gt;"),"")</f>
        <v/>
      </c>
    </row>
    <row r="16" spans="1:8" ht="30" customHeight="1" x14ac:dyDescent="0.35">
      <c r="A16" s="7" t="s">
        <v>73</v>
      </c>
      <c r="B16" s="8" t="s">
        <v>67</v>
      </c>
      <c r="C16" s="8" t="s">
        <v>74</v>
      </c>
      <c r="D16" s="9" t="s">
        <v>45</v>
      </c>
      <c r="E16" s="10">
        <f t="shared" si="0"/>
        <v>2</v>
      </c>
      <c r="F16" s="8" t="s">
        <v>75</v>
      </c>
      <c r="H16" t="str">
        <f>IF(AND(D16="Must",C16&lt;&gt;""),COUNTIFS($D$5:D16,"Must",$C$5:C16,"&lt;&gt;"),"")</f>
        <v/>
      </c>
    </row>
    <row r="17" spans="1:8" ht="30" customHeight="1" x14ac:dyDescent="0.35">
      <c r="A17" s="7" t="s">
        <v>76</v>
      </c>
      <c r="B17" s="8" t="s">
        <v>67</v>
      </c>
      <c r="C17" s="8" t="s">
        <v>77</v>
      </c>
      <c r="D17" s="9" t="s">
        <v>55</v>
      </c>
      <c r="E17" s="10">
        <f t="shared" si="0"/>
        <v>1</v>
      </c>
      <c r="F17" s="8" t="s">
        <v>78</v>
      </c>
      <c r="H17" t="str">
        <f>IF(AND(D17="Must",C17&lt;&gt;""),COUNTIFS($D$5:D17,"Must",$C$5:C17,"&lt;&gt;"),"")</f>
        <v/>
      </c>
    </row>
    <row r="18" spans="1:8" ht="30" customHeight="1" x14ac:dyDescent="0.35">
      <c r="A18" s="7" t="s">
        <v>79</v>
      </c>
      <c r="B18" s="8" t="s">
        <v>67</v>
      </c>
      <c r="C18" s="8" t="s">
        <v>80</v>
      </c>
      <c r="D18" s="9" t="s">
        <v>45</v>
      </c>
      <c r="E18" s="10">
        <f t="shared" si="0"/>
        <v>2</v>
      </c>
      <c r="F18" s="8" t="s">
        <v>81</v>
      </c>
      <c r="H18" t="str">
        <f>IF(AND(D18="Must",C18&lt;&gt;""),COUNTIFS($D$5:D18,"Must",$C$5:C18,"&lt;&gt;"),"")</f>
        <v/>
      </c>
    </row>
    <row r="19" spans="1:8" ht="30" customHeight="1" x14ac:dyDescent="0.35">
      <c r="A19" s="7" t="s">
        <v>82</v>
      </c>
      <c r="B19" s="8" t="s">
        <v>67</v>
      </c>
      <c r="C19" s="8" t="s">
        <v>83</v>
      </c>
      <c r="D19" s="9" t="s">
        <v>45</v>
      </c>
      <c r="E19" s="10">
        <f t="shared" si="0"/>
        <v>2</v>
      </c>
      <c r="F19" s="8" t="s">
        <v>84</v>
      </c>
      <c r="H19" t="str">
        <f>IF(AND(D19="Must",C19&lt;&gt;""),COUNTIFS($D$5:D19,"Must",$C$5:C19,"&lt;&gt;"),"")</f>
        <v/>
      </c>
    </row>
    <row r="20" spans="1:8" ht="30" customHeight="1" x14ac:dyDescent="0.35">
      <c r="A20" s="7" t="s">
        <v>85</v>
      </c>
      <c r="B20" s="8" t="s">
        <v>67</v>
      </c>
      <c r="C20" s="8" t="s">
        <v>86</v>
      </c>
      <c r="D20" s="9" t="s">
        <v>45</v>
      </c>
      <c r="E20" s="10">
        <f t="shared" si="0"/>
        <v>2</v>
      </c>
      <c r="F20" s="8" t="s">
        <v>87</v>
      </c>
      <c r="H20" t="str">
        <f>IF(AND(D20="Must",C20&lt;&gt;""),COUNTIFS($D$5:D20,"Must",$C$5:C20,"&lt;&gt;"),"")</f>
        <v/>
      </c>
    </row>
    <row r="21" spans="1:8" ht="30" customHeight="1" x14ac:dyDescent="0.35">
      <c r="A21" s="7" t="s">
        <v>88</v>
      </c>
      <c r="B21" s="8" t="s">
        <v>67</v>
      </c>
      <c r="C21" s="8" t="s">
        <v>89</v>
      </c>
      <c r="D21" s="9" t="s">
        <v>55</v>
      </c>
      <c r="E21" s="10">
        <f t="shared" si="0"/>
        <v>1</v>
      </c>
      <c r="F21" s="8" t="s">
        <v>90</v>
      </c>
      <c r="H21" t="str">
        <f>IF(AND(D21="Must",C21&lt;&gt;""),COUNTIFS($D$5:D21,"Must",$C$5:C21,"&lt;&gt;"),"")</f>
        <v/>
      </c>
    </row>
    <row r="22" spans="1:8" ht="30" customHeight="1" x14ac:dyDescent="0.35">
      <c r="A22" s="7" t="s">
        <v>91</v>
      </c>
      <c r="B22" s="8" t="s">
        <v>92</v>
      </c>
      <c r="C22" s="8" t="s">
        <v>93</v>
      </c>
      <c r="D22" s="9" t="s">
        <v>37</v>
      </c>
      <c r="E22" s="10">
        <f t="shared" si="0"/>
        <v>3</v>
      </c>
      <c r="F22" s="8" t="s">
        <v>94</v>
      </c>
      <c r="H22">
        <f>IF(AND(D22="Must",C22&lt;&gt;""),COUNTIFS($D$5:D22,"Must",$C$5:C22,"&lt;&gt;"),"")</f>
        <v>2</v>
      </c>
    </row>
    <row r="23" spans="1:8" ht="30" customHeight="1" x14ac:dyDescent="0.35">
      <c r="A23" s="7" t="s">
        <v>95</v>
      </c>
      <c r="B23" s="8" t="s">
        <v>92</v>
      </c>
      <c r="C23" s="8" t="s">
        <v>96</v>
      </c>
      <c r="D23" s="9" t="s">
        <v>37</v>
      </c>
      <c r="E23" s="10">
        <f t="shared" si="0"/>
        <v>3</v>
      </c>
      <c r="F23" s="8" t="s">
        <v>97</v>
      </c>
      <c r="H23">
        <f>IF(AND(D23="Must",C23&lt;&gt;""),COUNTIFS($D$5:D23,"Must",$C$5:C23,"&lt;&gt;"),"")</f>
        <v>3</v>
      </c>
    </row>
    <row r="24" spans="1:8" ht="30" customHeight="1" x14ac:dyDescent="0.35">
      <c r="A24" s="7" t="s">
        <v>98</v>
      </c>
      <c r="B24" s="8" t="s">
        <v>92</v>
      </c>
      <c r="C24" s="8" t="s">
        <v>99</v>
      </c>
      <c r="D24" s="9" t="s">
        <v>37</v>
      </c>
      <c r="E24" s="10">
        <f t="shared" si="0"/>
        <v>3</v>
      </c>
      <c r="F24" s="8" t="s">
        <v>100</v>
      </c>
      <c r="H24">
        <f>IF(AND(D24="Must",C24&lt;&gt;""),COUNTIFS($D$5:D24,"Must",$C$5:C24,"&lt;&gt;"),"")</f>
        <v>4</v>
      </c>
    </row>
    <row r="25" spans="1:8" ht="30" customHeight="1" x14ac:dyDescent="0.35">
      <c r="A25" s="7" t="s">
        <v>101</v>
      </c>
      <c r="B25" s="8" t="s">
        <v>92</v>
      </c>
      <c r="C25" s="8" t="s">
        <v>102</v>
      </c>
      <c r="D25" s="9" t="s">
        <v>45</v>
      </c>
      <c r="E25" s="10">
        <f t="shared" si="0"/>
        <v>2</v>
      </c>
      <c r="F25" s="8" t="s">
        <v>103</v>
      </c>
      <c r="H25" t="str">
        <f>IF(AND(D25="Must",C25&lt;&gt;""),COUNTIFS($D$5:D25,"Must",$C$5:C25,"&lt;&gt;"),"")</f>
        <v/>
      </c>
    </row>
    <row r="26" spans="1:8" ht="30" customHeight="1" x14ac:dyDescent="0.35">
      <c r="A26" s="7" t="s">
        <v>104</v>
      </c>
      <c r="B26" s="8" t="s">
        <v>92</v>
      </c>
      <c r="C26" s="8" t="s">
        <v>105</v>
      </c>
      <c r="D26" s="9" t="s">
        <v>37</v>
      </c>
      <c r="E26" s="10">
        <f t="shared" si="0"/>
        <v>3</v>
      </c>
      <c r="F26" s="8" t="s">
        <v>106</v>
      </c>
      <c r="H26">
        <f>IF(AND(D26="Must",C26&lt;&gt;""),COUNTIFS($D$5:D26,"Must",$C$5:C26,"&lt;&gt;"),"")</f>
        <v>5</v>
      </c>
    </row>
    <row r="27" spans="1:8" ht="30" customHeight="1" x14ac:dyDescent="0.35">
      <c r="A27" s="7" t="s">
        <v>107</v>
      </c>
      <c r="B27" s="8" t="s">
        <v>92</v>
      </c>
      <c r="C27" s="8" t="s">
        <v>108</v>
      </c>
      <c r="D27" s="9" t="s">
        <v>41</v>
      </c>
      <c r="E27" s="10">
        <f t="shared" si="0"/>
        <v>0</v>
      </c>
      <c r="F27" s="8" t="s">
        <v>109</v>
      </c>
      <c r="H27" t="str">
        <f>IF(AND(D27="Must",C27&lt;&gt;""),COUNTIFS($D$5:D27,"Must",$C$5:C27,"&lt;&gt;"),"")</f>
        <v/>
      </c>
    </row>
    <row r="28" spans="1:8" ht="30" customHeight="1" x14ac:dyDescent="0.35">
      <c r="A28" s="7" t="s">
        <v>110</v>
      </c>
      <c r="B28" s="8" t="s">
        <v>111</v>
      </c>
      <c r="C28" s="8" t="s">
        <v>112</v>
      </c>
      <c r="D28" s="9" t="s">
        <v>45</v>
      </c>
      <c r="E28" s="10">
        <f t="shared" si="0"/>
        <v>2</v>
      </c>
      <c r="F28" s="8" t="s">
        <v>113</v>
      </c>
      <c r="H28" t="str">
        <f>IF(AND(D28="Must",C28&lt;&gt;""),COUNTIFS($D$5:D28,"Must",$C$5:C28,"&lt;&gt;"),"")</f>
        <v/>
      </c>
    </row>
    <row r="29" spans="1:8" ht="30" customHeight="1" x14ac:dyDescent="0.35">
      <c r="A29" s="7" t="s">
        <v>114</v>
      </c>
      <c r="B29" s="8" t="s">
        <v>111</v>
      </c>
      <c r="C29" s="8" t="s">
        <v>115</v>
      </c>
      <c r="D29" s="9" t="s">
        <v>37</v>
      </c>
      <c r="E29" s="10">
        <f t="shared" si="0"/>
        <v>3</v>
      </c>
      <c r="F29" s="8" t="s">
        <v>116</v>
      </c>
      <c r="H29">
        <f>IF(AND(D29="Must",C29&lt;&gt;""),COUNTIFS($D$5:D29,"Must",$C$5:C29,"&lt;&gt;"),"")</f>
        <v>6</v>
      </c>
    </row>
    <row r="30" spans="1:8" ht="30" customHeight="1" x14ac:dyDescent="0.35">
      <c r="A30" s="7" t="s">
        <v>117</v>
      </c>
      <c r="B30" s="8" t="s">
        <v>111</v>
      </c>
      <c r="C30" s="8" t="s">
        <v>118</v>
      </c>
      <c r="D30" s="9" t="s">
        <v>45</v>
      </c>
      <c r="E30" s="10">
        <f t="shared" si="0"/>
        <v>2</v>
      </c>
      <c r="F30" s="8" t="s">
        <v>119</v>
      </c>
      <c r="H30" t="str">
        <f>IF(AND(D30="Must",C30&lt;&gt;""),COUNTIFS($D$5:D30,"Must",$C$5:C30,"&lt;&gt;"),"")</f>
        <v/>
      </c>
    </row>
    <row r="31" spans="1:8" ht="30" customHeight="1" x14ac:dyDescent="0.35">
      <c r="A31" s="7" t="s">
        <v>120</v>
      </c>
      <c r="B31" s="8" t="s">
        <v>111</v>
      </c>
      <c r="C31" s="8" t="s">
        <v>121</v>
      </c>
      <c r="D31" s="9" t="s">
        <v>37</v>
      </c>
      <c r="E31" s="10">
        <f t="shared" si="0"/>
        <v>3</v>
      </c>
      <c r="F31" s="8" t="s">
        <v>122</v>
      </c>
      <c r="H31">
        <f>IF(AND(D31="Must",C31&lt;&gt;""),COUNTIFS($D$5:D31,"Must",$C$5:C31,"&lt;&gt;"),"")</f>
        <v>7</v>
      </c>
    </row>
    <row r="32" spans="1:8" ht="30" customHeight="1" x14ac:dyDescent="0.35">
      <c r="A32" s="7" t="s">
        <v>123</v>
      </c>
      <c r="B32" s="8" t="s">
        <v>111</v>
      </c>
      <c r="C32" s="8" t="s">
        <v>124</v>
      </c>
      <c r="D32" s="9" t="s">
        <v>45</v>
      </c>
      <c r="E32" s="10">
        <f t="shared" si="0"/>
        <v>2</v>
      </c>
      <c r="F32" s="8" t="s">
        <v>125</v>
      </c>
      <c r="H32" t="str">
        <f>IF(AND(D32="Must",C32&lt;&gt;""),COUNTIFS($D$5:D32,"Must",$C$5:C32,"&lt;&gt;"),"")</f>
        <v/>
      </c>
    </row>
    <row r="33" spans="1:8" ht="30" customHeight="1" x14ac:dyDescent="0.35">
      <c r="A33" s="7" t="s">
        <v>126</v>
      </c>
      <c r="B33" s="8" t="s">
        <v>111</v>
      </c>
      <c r="C33" s="8" t="s">
        <v>127</v>
      </c>
      <c r="D33" s="9" t="s">
        <v>41</v>
      </c>
      <c r="E33" s="10">
        <f t="shared" si="0"/>
        <v>0</v>
      </c>
      <c r="F33" s="8" t="s">
        <v>128</v>
      </c>
      <c r="H33" t="str">
        <f>IF(AND(D33="Must",C33&lt;&gt;""),COUNTIFS($D$5:D33,"Must",$C$5:C33,"&lt;&gt;"),"")</f>
        <v/>
      </c>
    </row>
    <row r="34" spans="1:8" ht="30" customHeight="1" x14ac:dyDescent="0.35">
      <c r="A34" s="7" t="s">
        <v>129</v>
      </c>
      <c r="B34" s="8" t="s">
        <v>130</v>
      </c>
      <c r="C34" s="8" t="s">
        <v>131</v>
      </c>
      <c r="D34" s="9" t="s">
        <v>37</v>
      </c>
      <c r="E34" s="10">
        <f t="shared" si="0"/>
        <v>3</v>
      </c>
      <c r="F34" s="8" t="s">
        <v>132</v>
      </c>
      <c r="H34">
        <f>IF(AND(D34="Must",C34&lt;&gt;""),COUNTIFS($D$5:D34,"Must",$C$5:C34,"&lt;&gt;"),"")</f>
        <v>8</v>
      </c>
    </row>
    <row r="35" spans="1:8" ht="30" customHeight="1" x14ac:dyDescent="0.35">
      <c r="A35" s="7" t="s">
        <v>133</v>
      </c>
      <c r="B35" s="8" t="s">
        <v>130</v>
      </c>
      <c r="C35" s="8" t="s">
        <v>134</v>
      </c>
      <c r="D35" s="9" t="s">
        <v>45</v>
      </c>
      <c r="E35" s="10">
        <f t="shared" si="0"/>
        <v>2</v>
      </c>
      <c r="F35" s="8" t="s">
        <v>135</v>
      </c>
      <c r="H35" t="str">
        <f>IF(AND(D35="Must",C35&lt;&gt;""),COUNTIFS($D$5:D35,"Must",$C$5:C35,"&lt;&gt;"),"")</f>
        <v/>
      </c>
    </row>
    <row r="36" spans="1:8" ht="30" customHeight="1" x14ac:dyDescent="0.35">
      <c r="A36" s="7" t="s">
        <v>136</v>
      </c>
      <c r="B36" s="8" t="s">
        <v>130</v>
      </c>
      <c r="C36" s="8" t="s">
        <v>137</v>
      </c>
      <c r="D36" s="9" t="s">
        <v>37</v>
      </c>
      <c r="E36" s="10">
        <f t="shared" si="0"/>
        <v>3</v>
      </c>
      <c r="F36" s="8" t="s">
        <v>138</v>
      </c>
      <c r="H36">
        <f>IF(AND(D36="Must",C36&lt;&gt;""),COUNTIFS($D$5:D36,"Must",$C$5:C36,"&lt;&gt;"),"")</f>
        <v>9</v>
      </c>
    </row>
    <row r="37" spans="1:8" ht="30" customHeight="1" x14ac:dyDescent="0.35">
      <c r="A37" s="7" t="s">
        <v>139</v>
      </c>
      <c r="B37" s="8" t="s">
        <v>130</v>
      </c>
      <c r="C37" s="8" t="s">
        <v>140</v>
      </c>
      <c r="D37" s="9" t="s">
        <v>55</v>
      </c>
      <c r="E37" s="10">
        <f t="shared" ref="E37:E66" si="1">IF(C37="",0,IF(D37="Must",3,IF(D37="Should",2,IF(D37="Could",1,0))))</f>
        <v>1</v>
      </c>
      <c r="F37" s="8" t="s">
        <v>141</v>
      </c>
      <c r="H37" t="str">
        <f>IF(AND(D37="Must",C37&lt;&gt;""),COUNTIFS($D$5:D37,"Must",$C$5:C37,"&lt;&gt;"),"")</f>
        <v/>
      </c>
    </row>
    <row r="38" spans="1:8" ht="30" customHeight="1" x14ac:dyDescent="0.35">
      <c r="A38" s="7" t="s">
        <v>142</v>
      </c>
      <c r="B38" s="8" t="s">
        <v>130</v>
      </c>
      <c r="C38" s="8" t="s">
        <v>143</v>
      </c>
      <c r="D38" s="9" t="s">
        <v>37</v>
      </c>
      <c r="E38" s="10">
        <f t="shared" si="1"/>
        <v>3</v>
      </c>
      <c r="F38" s="8" t="s">
        <v>144</v>
      </c>
      <c r="H38">
        <f>IF(AND(D38="Must",C38&lt;&gt;""),COUNTIFS($D$5:D38,"Must",$C$5:C38,"&lt;&gt;"),"")</f>
        <v>10</v>
      </c>
    </row>
    <row r="39" spans="1:8" ht="30" customHeight="1" x14ac:dyDescent="0.35">
      <c r="A39" s="7" t="s">
        <v>145</v>
      </c>
      <c r="B39" s="8" t="s">
        <v>146</v>
      </c>
      <c r="C39" s="8" t="s">
        <v>147</v>
      </c>
      <c r="D39" s="9" t="s">
        <v>37</v>
      </c>
      <c r="E39" s="10">
        <f t="shared" si="1"/>
        <v>3</v>
      </c>
      <c r="F39" s="8" t="s">
        <v>148</v>
      </c>
      <c r="H39">
        <f>IF(AND(D39="Must",C39&lt;&gt;""),COUNTIFS($D$5:D39,"Must",$C$5:C39,"&lt;&gt;"),"")</f>
        <v>11</v>
      </c>
    </row>
    <row r="40" spans="1:8" ht="30" customHeight="1" x14ac:dyDescent="0.35">
      <c r="A40" s="7" t="s">
        <v>149</v>
      </c>
      <c r="B40" s="8" t="s">
        <v>146</v>
      </c>
      <c r="C40" s="8" t="s">
        <v>150</v>
      </c>
      <c r="D40" s="9" t="s">
        <v>37</v>
      </c>
      <c r="E40" s="10">
        <f t="shared" si="1"/>
        <v>3</v>
      </c>
      <c r="F40" s="8" t="s">
        <v>151</v>
      </c>
      <c r="H40">
        <f>IF(AND(D40="Must",C40&lt;&gt;""),COUNTIFS($D$5:D40,"Must",$C$5:C40,"&lt;&gt;"),"")</f>
        <v>12</v>
      </c>
    </row>
    <row r="41" spans="1:8" ht="30" customHeight="1" x14ac:dyDescent="0.35">
      <c r="A41" s="7" t="s">
        <v>152</v>
      </c>
      <c r="B41" s="8" t="s">
        <v>146</v>
      </c>
      <c r="C41" s="8" t="s">
        <v>153</v>
      </c>
      <c r="D41" s="9" t="s">
        <v>55</v>
      </c>
      <c r="E41" s="10">
        <f t="shared" si="1"/>
        <v>1</v>
      </c>
      <c r="F41" s="8" t="s">
        <v>154</v>
      </c>
      <c r="H41" t="str">
        <f>IF(AND(D41="Must",C41&lt;&gt;""),COUNTIFS($D$5:D41,"Must",$C$5:C41,"&lt;&gt;"),"")</f>
        <v/>
      </c>
    </row>
    <row r="42" spans="1:8" ht="30" customHeight="1" x14ac:dyDescent="0.35">
      <c r="A42" s="7" t="s">
        <v>155</v>
      </c>
      <c r="B42" s="8" t="s">
        <v>146</v>
      </c>
      <c r="C42" s="8" t="s">
        <v>156</v>
      </c>
      <c r="D42" s="9" t="s">
        <v>55</v>
      </c>
      <c r="E42" s="10">
        <f t="shared" si="1"/>
        <v>1</v>
      </c>
      <c r="F42" s="8" t="s">
        <v>157</v>
      </c>
      <c r="H42" t="str">
        <f>IF(AND(D42="Must",C42&lt;&gt;""),COUNTIFS($D$5:D42,"Must",$C$5:C42,"&lt;&gt;"),"")</f>
        <v/>
      </c>
    </row>
    <row r="43" spans="1:8" ht="30" customHeight="1" x14ac:dyDescent="0.35">
      <c r="A43" s="7" t="s">
        <v>158</v>
      </c>
      <c r="B43" s="8" t="s">
        <v>146</v>
      </c>
      <c r="C43" s="8" t="s">
        <v>159</v>
      </c>
      <c r="D43" s="9" t="s">
        <v>37</v>
      </c>
      <c r="E43" s="10">
        <f t="shared" si="1"/>
        <v>3</v>
      </c>
      <c r="F43" s="8" t="s">
        <v>160</v>
      </c>
      <c r="H43">
        <f>IF(AND(D43="Must",C43&lt;&gt;""),COUNTIFS($D$5:D43,"Must",$C$5:C43,"&lt;&gt;"),"")</f>
        <v>13</v>
      </c>
    </row>
    <row r="44" spans="1:8" ht="30" customHeight="1" x14ac:dyDescent="0.35">
      <c r="A44" s="7" t="s">
        <v>161</v>
      </c>
      <c r="B44" s="8" t="s">
        <v>146</v>
      </c>
      <c r="C44" s="8" t="s">
        <v>162</v>
      </c>
      <c r="D44" s="9" t="s">
        <v>37</v>
      </c>
      <c r="E44" s="10">
        <f t="shared" si="1"/>
        <v>3</v>
      </c>
      <c r="F44" s="8" t="s">
        <v>163</v>
      </c>
      <c r="H44">
        <f>IF(AND(D44="Must",C44&lt;&gt;""),COUNTIFS($D$5:D44,"Must",$C$5:C44,"&lt;&gt;"),"")</f>
        <v>14</v>
      </c>
    </row>
    <row r="45" spans="1:8" ht="30" customHeight="1" x14ac:dyDescent="0.35">
      <c r="A45" s="7" t="s">
        <v>164</v>
      </c>
      <c r="B45" s="8" t="s">
        <v>165</v>
      </c>
      <c r="C45" s="8" t="s">
        <v>166</v>
      </c>
      <c r="D45" s="9" t="s">
        <v>37</v>
      </c>
      <c r="E45" s="10">
        <f t="shared" si="1"/>
        <v>3</v>
      </c>
      <c r="F45" s="8" t="s">
        <v>167</v>
      </c>
      <c r="H45">
        <f>IF(AND(D45="Must",C45&lt;&gt;""),COUNTIFS($D$5:D45,"Must",$C$5:C45,"&lt;&gt;"),"")</f>
        <v>15</v>
      </c>
    </row>
    <row r="46" spans="1:8" ht="30" customHeight="1" x14ac:dyDescent="0.35">
      <c r="A46" s="7" t="s">
        <v>168</v>
      </c>
      <c r="B46" s="8" t="s">
        <v>165</v>
      </c>
      <c r="C46" s="8" t="s">
        <v>169</v>
      </c>
      <c r="D46" s="9" t="s">
        <v>37</v>
      </c>
      <c r="E46" s="10">
        <f t="shared" si="1"/>
        <v>3</v>
      </c>
      <c r="F46" s="8" t="s">
        <v>170</v>
      </c>
      <c r="H46">
        <f>IF(AND(D46="Must",C46&lt;&gt;""),COUNTIFS($D$5:D46,"Must",$C$5:C46,"&lt;&gt;"),"")</f>
        <v>16</v>
      </c>
    </row>
    <row r="47" spans="1:8" ht="30" customHeight="1" x14ac:dyDescent="0.35">
      <c r="A47" s="7" t="s">
        <v>171</v>
      </c>
      <c r="B47" s="8" t="s">
        <v>165</v>
      </c>
      <c r="C47" s="8" t="s">
        <v>172</v>
      </c>
      <c r="D47" s="9" t="s">
        <v>45</v>
      </c>
      <c r="E47" s="10">
        <f t="shared" si="1"/>
        <v>2</v>
      </c>
      <c r="F47" s="8" t="s">
        <v>173</v>
      </c>
      <c r="H47" t="str">
        <f>IF(AND(D47="Must",C47&lt;&gt;""),COUNTIFS($D$5:D47,"Must",$C$5:C47,"&lt;&gt;"),"")</f>
        <v/>
      </c>
    </row>
    <row r="48" spans="1:8" ht="30" customHeight="1" x14ac:dyDescent="0.35">
      <c r="A48" s="7" t="s">
        <v>174</v>
      </c>
      <c r="B48" s="8" t="s">
        <v>165</v>
      </c>
      <c r="C48" s="8" t="s">
        <v>175</v>
      </c>
      <c r="D48" s="9" t="s">
        <v>37</v>
      </c>
      <c r="E48" s="10">
        <f t="shared" si="1"/>
        <v>3</v>
      </c>
      <c r="F48" s="8" t="s">
        <v>176</v>
      </c>
      <c r="H48">
        <f>IF(AND(D48="Must",C48&lt;&gt;""),COUNTIFS($D$5:D48,"Must",$C$5:C48,"&lt;&gt;"),"")</f>
        <v>17</v>
      </c>
    </row>
    <row r="49" spans="1:8" ht="30" customHeight="1" x14ac:dyDescent="0.35">
      <c r="A49" s="7" t="s">
        <v>177</v>
      </c>
      <c r="B49" s="8" t="s">
        <v>165</v>
      </c>
      <c r="C49" s="8" t="s">
        <v>178</v>
      </c>
      <c r="D49" s="9" t="s">
        <v>37</v>
      </c>
      <c r="E49" s="10">
        <f t="shared" si="1"/>
        <v>3</v>
      </c>
      <c r="F49" s="8" t="s">
        <v>179</v>
      </c>
      <c r="H49">
        <f>IF(AND(D49="Must",C49&lt;&gt;""),COUNTIFS($D$5:D49,"Must",$C$5:C49,"&lt;&gt;"),"")</f>
        <v>18</v>
      </c>
    </row>
    <row r="50" spans="1:8" ht="30" customHeight="1" x14ac:dyDescent="0.35">
      <c r="A50" s="7" t="s">
        <v>180</v>
      </c>
      <c r="B50" s="8" t="s">
        <v>165</v>
      </c>
      <c r="C50" s="8" t="s">
        <v>181</v>
      </c>
      <c r="D50" s="9" t="s">
        <v>45</v>
      </c>
      <c r="E50" s="10">
        <f t="shared" si="1"/>
        <v>2</v>
      </c>
      <c r="F50" s="8" t="s">
        <v>182</v>
      </c>
      <c r="H50" t="str">
        <f>IF(AND(D50="Must",C50&lt;&gt;""),COUNTIFS($D$5:D50,"Must",$C$5:C50,"&lt;&gt;"),"")</f>
        <v/>
      </c>
    </row>
    <row r="51" spans="1:8" ht="30" customHeight="1" x14ac:dyDescent="0.35">
      <c r="A51" s="7" t="s">
        <v>183</v>
      </c>
      <c r="B51" s="8" t="s">
        <v>184</v>
      </c>
      <c r="C51" s="8" t="s">
        <v>185</v>
      </c>
      <c r="D51" s="9" t="s">
        <v>45</v>
      </c>
      <c r="E51" s="10">
        <f t="shared" si="1"/>
        <v>2</v>
      </c>
      <c r="F51" s="8" t="s">
        <v>186</v>
      </c>
      <c r="H51" t="str">
        <f>IF(AND(D51="Must",C51&lt;&gt;""),COUNTIFS($D$5:D51,"Must",$C$5:C51,"&lt;&gt;"),"")</f>
        <v/>
      </c>
    </row>
    <row r="52" spans="1:8" ht="30" customHeight="1" x14ac:dyDescent="0.35">
      <c r="A52" s="7" t="s">
        <v>187</v>
      </c>
      <c r="B52" s="8" t="s">
        <v>184</v>
      </c>
      <c r="C52" s="8" t="s">
        <v>188</v>
      </c>
      <c r="D52" s="9" t="s">
        <v>45</v>
      </c>
      <c r="E52" s="10">
        <f t="shared" si="1"/>
        <v>2</v>
      </c>
      <c r="F52" s="8" t="s">
        <v>189</v>
      </c>
      <c r="H52" t="str">
        <f>IF(AND(D52="Must",C52&lt;&gt;""),COUNTIFS($D$5:D52,"Must",$C$5:C52,"&lt;&gt;"),"")</f>
        <v/>
      </c>
    </row>
    <row r="53" spans="1:8" ht="30" customHeight="1" x14ac:dyDescent="0.35">
      <c r="A53" s="7" t="s">
        <v>190</v>
      </c>
      <c r="B53" s="8" t="s">
        <v>184</v>
      </c>
      <c r="C53" s="8" t="s">
        <v>191</v>
      </c>
      <c r="D53" s="9" t="s">
        <v>45</v>
      </c>
      <c r="E53" s="10">
        <f t="shared" si="1"/>
        <v>2</v>
      </c>
      <c r="F53" s="8" t="s">
        <v>192</v>
      </c>
      <c r="H53" t="str">
        <f>IF(AND(D53="Must",C53&lt;&gt;""),COUNTIFS($D$5:D53,"Must",$C$5:C53,"&lt;&gt;"),"")</f>
        <v/>
      </c>
    </row>
    <row r="54" spans="1:8" ht="30" customHeight="1" x14ac:dyDescent="0.35">
      <c r="A54" s="7" t="s">
        <v>193</v>
      </c>
      <c r="B54" s="8" t="s">
        <v>184</v>
      </c>
      <c r="C54" s="8" t="s">
        <v>194</v>
      </c>
      <c r="D54" s="9" t="s">
        <v>37</v>
      </c>
      <c r="E54" s="10">
        <f t="shared" si="1"/>
        <v>3</v>
      </c>
      <c r="F54" s="8" t="s">
        <v>195</v>
      </c>
      <c r="H54">
        <f>IF(AND(D54="Must",C54&lt;&gt;""),COUNTIFS($D$5:D54,"Must",$C$5:C54,"&lt;&gt;"),"")</f>
        <v>19</v>
      </c>
    </row>
    <row r="55" spans="1:8" ht="30" customHeight="1" x14ac:dyDescent="0.35">
      <c r="A55" s="7" t="s">
        <v>196</v>
      </c>
      <c r="B55" s="8" t="s">
        <v>184</v>
      </c>
      <c r="C55" s="8" t="s">
        <v>197</v>
      </c>
      <c r="D55" s="9" t="s">
        <v>45</v>
      </c>
      <c r="E55" s="10">
        <f t="shared" si="1"/>
        <v>2</v>
      </c>
      <c r="F55" s="8" t="s">
        <v>198</v>
      </c>
      <c r="H55" t="str">
        <f>IF(AND(D55="Must",C55&lt;&gt;""),COUNTIFS($D$5:D55,"Must",$C$5:C55,"&lt;&gt;"),"")</f>
        <v/>
      </c>
    </row>
    <row r="56" spans="1:8" ht="30" customHeight="1" x14ac:dyDescent="0.35">
      <c r="A56" s="7" t="s">
        <v>199</v>
      </c>
      <c r="B56" s="8" t="s">
        <v>184</v>
      </c>
      <c r="C56" s="8" t="s">
        <v>200</v>
      </c>
      <c r="D56" s="9" t="s">
        <v>45</v>
      </c>
      <c r="E56" s="10">
        <f t="shared" si="1"/>
        <v>2</v>
      </c>
      <c r="F56" s="8" t="s">
        <v>201</v>
      </c>
      <c r="H56" t="str">
        <f>IF(AND(D56="Must",C56&lt;&gt;""),COUNTIFS($D$5:D56,"Must",$C$5:C56,"&lt;&gt;"),"")</f>
        <v/>
      </c>
    </row>
    <row r="57" spans="1:8" ht="30" customHeight="1" x14ac:dyDescent="0.35">
      <c r="A57" s="7" t="s">
        <v>202</v>
      </c>
      <c r="B57" s="8"/>
      <c r="C57" s="8"/>
      <c r="D57" s="9"/>
      <c r="E57" s="10">
        <f t="shared" si="1"/>
        <v>0</v>
      </c>
      <c r="F57" s="8"/>
      <c r="H57" t="str">
        <f>IF(AND(D57="Must",C57&lt;&gt;""),COUNTIFS($D$5:D57,"Must",$C$5:C57,"&lt;&gt;"),"")</f>
        <v/>
      </c>
    </row>
    <row r="58" spans="1:8" ht="30" customHeight="1" x14ac:dyDescent="0.35">
      <c r="A58" s="7" t="s">
        <v>203</v>
      </c>
      <c r="B58" s="8"/>
      <c r="C58" s="8"/>
      <c r="D58" s="9"/>
      <c r="E58" s="10">
        <f t="shared" si="1"/>
        <v>0</v>
      </c>
      <c r="F58" s="8"/>
      <c r="H58" t="str">
        <f>IF(AND(D58="Must",C58&lt;&gt;""),COUNTIFS($D$5:D58,"Must",$C$5:C58,"&lt;&gt;"),"")</f>
        <v/>
      </c>
    </row>
    <row r="59" spans="1:8" ht="30" customHeight="1" x14ac:dyDescent="0.35">
      <c r="A59" s="7" t="s">
        <v>204</v>
      </c>
      <c r="B59" s="8"/>
      <c r="C59" s="8"/>
      <c r="D59" s="9"/>
      <c r="E59" s="10">
        <f t="shared" si="1"/>
        <v>0</v>
      </c>
      <c r="F59" s="8"/>
      <c r="H59" t="str">
        <f>IF(AND(D59="Must",C59&lt;&gt;""),COUNTIFS($D$5:D59,"Must",$C$5:C59,"&lt;&gt;"),"")</f>
        <v/>
      </c>
    </row>
    <row r="60" spans="1:8" ht="30" customHeight="1" x14ac:dyDescent="0.35">
      <c r="A60" s="7" t="s">
        <v>205</v>
      </c>
      <c r="B60" s="8"/>
      <c r="C60" s="8"/>
      <c r="D60" s="9"/>
      <c r="E60" s="10">
        <f t="shared" si="1"/>
        <v>0</v>
      </c>
      <c r="F60" s="8"/>
      <c r="H60" t="str">
        <f>IF(AND(D60="Must",C60&lt;&gt;""),COUNTIFS($D$5:D60,"Must",$C$5:C60,"&lt;&gt;"),"")</f>
        <v/>
      </c>
    </row>
    <row r="61" spans="1:8" ht="30" customHeight="1" x14ac:dyDescent="0.35">
      <c r="A61" s="7" t="s">
        <v>206</v>
      </c>
      <c r="B61" s="8"/>
      <c r="C61" s="8"/>
      <c r="D61" s="9"/>
      <c r="E61" s="10">
        <f t="shared" si="1"/>
        <v>0</v>
      </c>
      <c r="F61" s="8"/>
      <c r="H61" t="str">
        <f>IF(AND(D61="Must",C61&lt;&gt;""),COUNTIFS($D$5:D61,"Must",$C$5:C61,"&lt;&gt;"),"")</f>
        <v/>
      </c>
    </row>
    <row r="62" spans="1:8" ht="30" customHeight="1" x14ac:dyDescent="0.35">
      <c r="A62" s="7" t="s">
        <v>207</v>
      </c>
      <c r="B62" s="8"/>
      <c r="C62" s="8"/>
      <c r="D62" s="9"/>
      <c r="E62" s="10">
        <f t="shared" si="1"/>
        <v>0</v>
      </c>
      <c r="F62" s="8"/>
      <c r="H62" t="str">
        <f>IF(AND(D62="Must",C62&lt;&gt;""),COUNTIFS($D$5:D62,"Must",$C$5:C62,"&lt;&gt;"),"")</f>
        <v/>
      </c>
    </row>
    <row r="63" spans="1:8" ht="30" customHeight="1" x14ac:dyDescent="0.35">
      <c r="A63" s="7" t="s">
        <v>208</v>
      </c>
      <c r="B63" s="8"/>
      <c r="C63" s="8"/>
      <c r="D63" s="9"/>
      <c r="E63" s="10">
        <f t="shared" si="1"/>
        <v>0</v>
      </c>
      <c r="F63" s="8"/>
      <c r="H63" t="str">
        <f>IF(AND(D63="Must",C63&lt;&gt;""),COUNTIFS($D$5:D63,"Must",$C$5:C63,"&lt;&gt;"),"")</f>
        <v/>
      </c>
    </row>
    <row r="64" spans="1:8" ht="30" customHeight="1" x14ac:dyDescent="0.35">
      <c r="A64" s="7" t="s">
        <v>209</v>
      </c>
      <c r="B64" s="8"/>
      <c r="C64" s="8"/>
      <c r="D64" s="9"/>
      <c r="E64" s="10">
        <f t="shared" si="1"/>
        <v>0</v>
      </c>
      <c r="F64" s="8"/>
      <c r="H64" t="str">
        <f>IF(AND(D64="Must",C64&lt;&gt;""),COUNTIFS($D$5:D64,"Must",$C$5:C64,"&lt;&gt;"),"")</f>
        <v/>
      </c>
    </row>
    <row r="65" spans="1:8" ht="30" customHeight="1" x14ac:dyDescent="0.35">
      <c r="A65" s="7" t="s">
        <v>210</v>
      </c>
      <c r="B65" s="8"/>
      <c r="C65" s="8"/>
      <c r="D65" s="9"/>
      <c r="E65" s="10">
        <f t="shared" si="1"/>
        <v>0</v>
      </c>
      <c r="F65" s="8"/>
      <c r="H65" t="str">
        <f>IF(AND(D65="Must",C65&lt;&gt;""),COUNTIFS($D$5:D65,"Must",$C$5:C65,"&lt;&gt;"),"")</f>
        <v/>
      </c>
    </row>
    <row r="66" spans="1:8" ht="30" customHeight="1" x14ac:dyDescent="0.35">
      <c r="A66" s="7" t="s">
        <v>211</v>
      </c>
      <c r="B66" s="8"/>
      <c r="C66" s="8"/>
      <c r="D66" s="9"/>
      <c r="E66" s="10">
        <f t="shared" si="1"/>
        <v>0</v>
      </c>
      <c r="F66" s="8"/>
      <c r="H66" t="str">
        <f>IF(AND(D66="Must",C66&lt;&gt;""),COUNTIFS($D$5:D66,"Must",$C$5:C66,"&lt;&gt;"),"")</f>
        <v/>
      </c>
    </row>
  </sheetData>
  <conditionalFormatting sqref="D5:D66">
    <cfRule type="expression" dxfId="5" priority="1">
      <formula>D5="Must"</formula>
    </cfRule>
  </conditionalFormatting>
  <dataValidations count="2">
    <dataValidation type="list" allowBlank="1" sqref="D5:D66" xr:uid="{00000000-0002-0000-0100-000000000000}">
      <formula1>"Must,Should,Could,Not needed"</formula1>
    </dataValidation>
    <dataValidation type="list" allowBlank="1" sqref="B5:B66" xr:uid="{00000000-0002-0000-0100-000001000000}">
      <formula1>"Learners and access,Courses and content,Assessment and compliance,Administration,Reporting,Integrations and data,Security and privacy,Vendor, support and contract"</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6"/>
  <sheetViews>
    <sheetView workbookViewId="0">
      <pane xSplit="2" ySplit="4" topLeftCell="C5" activePane="bottomRight" state="frozen"/>
      <selection pane="topRight"/>
      <selection pane="bottomLeft"/>
      <selection pane="bottomRight" activeCell="C5" sqref="C5"/>
    </sheetView>
  </sheetViews>
  <sheetFormatPr defaultRowHeight="14.5" x14ac:dyDescent="0.35"/>
  <cols>
    <col min="1" max="1" width="6" customWidth="1"/>
    <col min="2" max="2" width="52" customWidth="1"/>
    <col min="3" max="3" width="11" customWidth="1"/>
    <col min="4" max="4" width="8" customWidth="1"/>
    <col min="5" max="7" width="13" customWidth="1"/>
    <col min="8" max="8" width="40" customWidth="1"/>
    <col min="11" max="16" width="13" hidden="1" customWidth="1"/>
  </cols>
  <sheetData>
    <row r="1" spans="1:16" ht="19" x14ac:dyDescent="0.4">
      <c r="A1" s="1" t="s">
        <v>212</v>
      </c>
    </row>
    <row r="2" spans="1:16" x14ac:dyDescent="0.35">
      <c r="A2" s="2" t="s">
        <v>213</v>
      </c>
    </row>
    <row r="3" spans="1:16" x14ac:dyDescent="0.35">
      <c r="E3" s="21" t="s">
        <v>214</v>
      </c>
      <c r="F3" s="22"/>
      <c r="G3" s="22"/>
      <c r="H3" s="23"/>
    </row>
    <row r="4" spans="1:16" x14ac:dyDescent="0.35">
      <c r="A4" s="3" t="s">
        <v>28</v>
      </c>
      <c r="B4" s="3" t="s">
        <v>30</v>
      </c>
      <c r="C4" s="3" t="s">
        <v>31</v>
      </c>
      <c r="D4" s="3" t="s">
        <v>32</v>
      </c>
      <c r="E4" s="13" t="s">
        <v>215</v>
      </c>
      <c r="F4" s="13" t="s">
        <v>216</v>
      </c>
      <c r="G4" s="13" t="s">
        <v>217</v>
      </c>
      <c r="H4" s="3" t="s">
        <v>218</v>
      </c>
    </row>
    <row r="5" spans="1:16" ht="30" customHeight="1" x14ac:dyDescent="0.35">
      <c r="A5" s="7" t="str">
        <f>Requirements!A5</f>
        <v>L1</v>
      </c>
      <c r="B5" s="14" t="str">
        <f>IF(Requirements!C5="","",Requirements!C5)</f>
        <v>Learners sign in with our existing work accounts (single sign-on)</v>
      </c>
      <c r="C5" s="15" t="str">
        <f>IF(Requirements!D5="","",Requirements!D5)</f>
        <v>Must</v>
      </c>
      <c r="D5" s="10">
        <f>Requirements!E5</f>
        <v>3</v>
      </c>
      <c r="E5" s="9">
        <v>3</v>
      </c>
      <c r="F5" s="9">
        <v>3</v>
      </c>
      <c r="G5" s="9">
        <v>2</v>
      </c>
      <c r="H5" s="8"/>
      <c r="K5" t="str">
        <f>IF(AND($C5="Must",ISNUMBER(E5),E5=0),$A5&amp;", ","")</f>
        <v/>
      </c>
      <c r="L5" t="str">
        <f>IF(AND($C5="Must",ISNUMBER(F5),F5=0),$A5&amp;", ","")</f>
        <v/>
      </c>
      <c r="M5" t="str">
        <f>IF(AND($C5="Must",ISNUMBER(G5),G5=0),$A5&amp;", ","")</f>
        <v/>
      </c>
      <c r="N5" t="str">
        <f>IF(AND($C5="Must",ISNUMBER(E5),E5=1),$A5&amp;", ","")</f>
        <v/>
      </c>
      <c r="O5" t="str">
        <f>IF(AND($C5="Must",ISNUMBER(F5),F5=1),$A5&amp;", ","")</f>
        <v/>
      </c>
      <c r="P5" t="str">
        <f>IF(AND($C5="Must",ISNUMBER(G5),G5=1),$A5&amp;", ","")</f>
        <v/>
      </c>
    </row>
    <row r="6" spans="1:16" ht="30" customHeight="1" x14ac:dyDescent="0.35">
      <c r="A6" s="7" t="str">
        <f>Requirements!A6</f>
        <v>L2</v>
      </c>
      <c r="B6" s="14" t="str">
        <f>IF(Requirements!C6="","",Requirements!C6)</f>
        <v>Staff without a work email can still sign in</v>
      </c>
      <c r="C6" s="15" t="str">
        <f>IF(Requirements!D6="","",Requirements!D6)</f>
        <v>Not needed</v>
      </c>
      <c r="D6" s="10">
        <f>Requirements!E6</f>
        <v>0</v>
      </c>
      <c r="E6" s="9"/>
      <c r="F6" s="9"/>
      <c r="G6" s="9"/>
      <c r="H6" s="8"/>
      <c r="K6" t="str">
        <f t="shared" ref="K6:K37" si="0">K5&amp;IF(AND($C6="Must",ISNUMBER(E6),E6=0),$A6&amp;", ","")</f>
        <v/>
      </c>
      <c r="L6" t="str">
        <f t="shared" ref="L6:L37" si="1">L5&amp;IF(AND($C6="Must",ISNUMBER(F6),F6=0),$A6&amp;", ","")</f>
        <v/>
      </c>
      <c r="M6" t="str">
        <f t="shared" ref="M6:M37" si="2">M5&amp;IF(AND($C6="Must",ISNUMBER(G6),G6=0),$A6&amp;", ","")</f>
        <v/>
      </c>
      <c r="N6" t="str">
        <f t="shared" ref="N6:N37" si="3">N5&amp;IF(AND($C6="Must",ISNUMBER(E6),E6=1),$A6&amp;", ","")</f>
        <v/>
      </c>
      <c r="O6" t="str">
        <f t="shared" ref="O6:O37" si="4">O5&amp;IF(AND($C6="Must",ISNUMBER(F6),F6=1),$A6&amp;", ","")</f>
        <v/>
      </c>
      <c r="P6" t="str">
        <f t="shared" ref="P6:P37" si="5">P5&amp;IF(AND($C6="Must",ISNUMBER(G6),G6=1),$A6&amp;", ","")</f>
        <v/>
      </c>
    </row>
    <row r="7" spans="1:16" ht="30" customHeight="1" x14ac:dyDescent="0.35">
      <c r="A7" s="7" t="str">
        <f>Requirements!A7</f>
        <v>L3</v>
      </c>
      <c r="B7" s="14" t="str">
        <f>IF(Requirements!C7="","",Requirements!C7)</f>
        <v>Courses work on a phone</v>
      </c>
      <c r="C7" s="15" t="str">
        <f>IF(Requirements!D7="","",Requirements!D7)</f>
        <v>Should</v>
      </c>
      <c r="D7" s="10">
        <f>Requirements!E7</f>
        <v>2</v>
      </c>
      <c r="E7" s="9">
        <v>3</v>
      </c>
      <c r="F7" s="9">
        <v>2</v>
      </c>
      <c r="G7" s="9">
        <v>2</v>
      </c>
      <c r="H7" s="8"/>
      <c r="K7" t="str">
        <f t="shared" si="0"/>
        <v/>
      </c>
      <c r="L7" t="str">
        <f t="shared" si="1"/>
        <v/>
      </c>
      <c r="M7" t="str">
        <f t="shared" si="2"/>
        <v/>
      </c>
      <c r="N7" t="str">
        <f t="shared" si="3"/>
        <v/>
      </c>
      <c r="O7" t="str">
        <f t="shared" si="4"/>
        <v/>
      </c>
      <c r="P7" t="str">
        <f t="shared" si="5"/>
        <v/>
      </c>
    </row>
    <row r="8" spans="1:16" ht="30" customHeight="1" x14ac:dyDescent="0.35">
      <c r="A8" s="7" t="str">
        <f>Requirements!A8</f>
        <v>L4</v>
      </c>
      <c r="B8" s="14" t="str">
        <f>IF(Requirements!C8="","",Requirements!C8)</f>
        <v>Learners see what's assigned and due when they sign in</v>
      </c>
      <c r="C8" s="15" t="str">
        <f>IF(Requirements!D8="","",Requirements!D8)</f>
        <v>Should</v>
      </c>
      <c r="D8" s="10">
        <f>Requirements!E8</f>
        <v>2</v>
      </c>
      <c r="E8" s="9">
        <v>3</v>
      </c>
      <c r="F8" s="9">
        <v>3</v>
      </c>
      <c r="G8" s="9">
        <v>2</v>
      </c>
      <c r="H8" s="8"/>
      <c r="K8" t="str">
        <f t="shared" si="0"/>
        <v/>
      </c>
      <c r="L8" t="str">
        <f t="shared" si="1"/>
        <v/>
      </c>
      <c r="M8" t="str">
        <f t="shared" si="2"/>
        <v/>
      </c>
      <c r="N8" t="str">
        <f t="shared" si="3"/>
        <v/>
      </c>
      <c r="O8" t="str">
        <f t="shared" si="4"/>
        <v/>
      </c>
      <c r="P8" t="str">
        <f t="shared" si="5"/>
        <v/>
      </c>
    </row>
    <row r="9" spans="1:16" ht="30" customHeight="1" x14ac:dyDescent="0.35">
      <c r="A9" s="7" t="str">
        <f>Requirements!A9</f>
        <v>L5</v>
      </c>
      <c r="B9" s="14" t="str">
        <f>IF(Requirements!C9="","",Requirements!C9)</f>
        <v>Meets our agreed accessibility target, including the journeys we use</v>
      </c>
      <c r="C9" s="15" t="str">
        <f>IF(Requirements!D9="","",Requirements!D9)</f>
        <v>Should</v>
      </c>
      <c r="D9" s="10">
        <f>Requirements!E9</f>
        <v>2</v>
      </c>
      <c r="E9" s="9">
        <v>2</v>
      </c>
      <c r="F9" s="9">
        <v>2</v>
      </c>
      <c r="G9" s="9">
        <v>0</v>
      </c>
      <c r="H9" s="8"/>
      <c r="K9" t="str">
        <f t="shared" si="0"/>
        <v/>
      </c>
      <c r="L9" t="str">
        <f t="shared" si="1"/>
        <v/>
      </c>
      <c r="M9" t="str">
        <f t="shared" si="2"/>
        <v/>
      </c>
      <c r="N9" t="str">
        <f t="shared" si="3"/>
        <v/>
      </c>
      <c r="O9" t="str">
        <f t="shared" si="4"/>
        <v/>
      </c>
      <c r="P9" t="str">
        <f t="shared" si="5"/>
        <v/>
      </c>
    </row>
    <row r="10" spans="1:16" ht="30" customHeight="1" x14ac:dyDescent="0.35">
      <c r="A10" s="7" t="str">
        <f>Requirements!A10</f>
        <v>L6</v>
      </c>
      <c r="B10" s="14" t="str">
        <f>IF(Requirements!C10="","",Requirements!C10)</f>
        <v>The learner side is available in the languages our staff use</v>
      </c>
      <c r="C10" s="15" t="str">
        <f>IF(Requirements!D10="","",Requirements!D10)</f>
        <v>Could</v>
      </c>
      <c r="D10" s="10">
        <f>Requirements!E10</f>
        <v>1</v>
      </c>
      <c r="E10" s="9">
        <v>1</v>
      </c>
      <c r="F10" s="9">
        <v>2</v>
      </c>
      <c r="G10" s="9">
        <v>2</v>
      </c>
      <c r="H10" s="8"/>
      <c r="K10" t="str">
        <f t="shared" si="0"/>
        <v/>
      </c>
      <c r="L10" t="str">
        <f t="shared" si="1"/>
        <v/>
      </c>
      <c r="M10" t="str">
        <f t="shared" si="2"/>
        <v/>
      </c>
      <c r="N10" t="str">
        <f t="shared" si="3"/>
        <v/>
      </c>
      <c r="O10" t="str">
        <f t="shared" si="4"/>
        <v/>
      </c>
      <c r="P10" t="str">
        <f t="shared" si="5"/>
        <v/>
      </c>
    </row>
    <row r="11" spans="1:16" ht="30" customHeight="1" x14ac:dyDescent="0.35">
      <c r="A11" s="7" t="str">
        <f>Requirements!A11</f>
        <v>L7</v>
      </c>
      <c r="B11" s="14" t="str">
        <f>IF(Requirements!C11="","",Requirements!C11)</f>
        <v>Our logo, colours and domain on the learner side</v>
      </c>
      <c r="C11" s="15" t="str">
        <f>IF(Requirements!D11="","",Requirements!D11)</f>
        <v>Could</v>
      </c>
      <c r="D11" s="10">
        <f>Requirements!E11</f>
        <v>1</v>
      </c>
      <c r="E11" s="9">
        <v>2</v>
      </c>
      <c r="F11" s="9">
        <v>2</v>
      </c>
      <c r="G11" s="9">
        <v>1</v>
      </c>
      <c r="H11" s="8"/>
      <c r="K11" t="str">
        <f t="shared" si="0"/>
        <v/>
      </c>
      <c r="L11" t="str">
        <f t="shared" si="1"/>
        <v/>
      </c>
      <c r="M11" t="str">
        <f t="shared" si="2"/>
        <v/>
      </c>
      <c r="N11" t="str">
        <f t="shared" si="3"/>
        <v/>
      </c>
      <c r="O11" t="str">
        <f t="shared" si="4"/>
        <v/>
      </c>
      <c r="P11" t="str">
        <f t="shared" si="5"/>
        <v/>
      </c>
    </row>
    <row r="12" spans="1:16" ht="30" customHeight="1" x14ac:dyDescent="0.35">
      <c r="A12" s="7" t="str">
        <f>Requirements!A12</f>
        <v>L8</v>
      </c>
      <c r="B12" s="14" t="str">
        <f>IF(Requirements!C12="","",Requirements!C12)</f>
        <v>Courses work offline</v>
      </c>
      <c r="C12" s="15" t="str">
        <f>IF(Requirements!D12="","",Requirements!D12)</f>
        <v>Not needed</v>
      </c>
      <c r="D12" s="10">
        <f>Requirements!E12</f>
        <v>0</v>
      </c>
      <c r="E12" s="9"/>
      <c r="F12" s="9"/>
      <c r="G12" s="9"/>
      <c r="H12" s="8"/>
      <c r="K12" t="str">
        <f t="shared" si="0"/>
        <v/>
      </c>
      <c r="L12" t="str">
        <f t="shared" si="1"/>
        <v/>
      </c>
      <c r="M12" t="str">
        <f t="shared" si="2"/>
        <v/>
      </c>
      <c r="N12" t="str">
        <f t="shared" si="3"/>
        <v/>
      </c>
      <c r="O12" t="str">
        <f t="shared" si="4"/>
        <v/>
      </c>
      <c r="P12" t="str">
        <f t="shared" si="5"/>
        <v/>
      </c>
    </row>
    <row r="13" spans="1:16" ht="30" customHeight="1" x14ac:dyDescent="0.35">
      <c r="A13" s="7" t="str">
        <f>Requirements!A13</f>
        <v>L9</v>
      </c>
      <c r="B13" s="14" t="str">
        <f>IF(Requirements!C13="","",Requirements!C13)</f>
        <v>Badges, points or leaderboards</v>
      </c>
      <c r="C13" s="15" t="str">
        <f>IF(Requirements!D13="","",Requirements!D13)</f>
        <v>Not needed</v>
      </c>
      <c r="D13" s="10">
        <f>Requirements!E13</f>
        <v>0</v>
      </c>
      <c r="E13" s="9"/>
      <c r="F13" s="9"/>
      <c r="G13" s="9"/>
      <c r="H13" s="8"/>
      <c r="K13" t="str">
        <f t="shared" si="0"/>
        <v/>
      </c>
      <c r="L13" t="str">
        <f t="shared" si="1"/>
        <v/>
      </c>
      <c r="M13" t="str">
        <f t="shared" si="2"/>
        <v/>
      </c>
      <c r="N13" t="str">
        <f t="shared" si="3"/>
        <v/>
      </c>
      <c r="O13" t="str">
        <f t="shared" si="4"/>
        <v/>
      </c>
      <c r="P13" t="str">
        <f t="shared" si="5"/>
        <v/>
      </c>
    </row>
    <row r="14" spans="1:16" ht="30" customHeight="1" x14ac:dyDescent="0.35">
      <c r="A14" s="7" t="str">
        <f>Requirements!A14</f>
        <v>C1</v>
      </c>
      <c r="B14" s="14" t="str">
        <f>IF(Requirements!C14="","",Requirements!C14)</f>
        <v>Imports our existing SCORM 1.2 and 2004 packages</v>
      </c>
      <c r="C14" s="15" t="str">
        <f>IF(Requirements!D14="","",Requirements!D14)</f>
        <v>Should</v>
      </c>
      <c r="D14" s="10">
        <f>Requirements!E14</f>
        <v>2</v>
      </c>
      <c r="E14" s="9">
        <v>3</v>
      </c>
      <c r="F14" s="9">
        <v>3</v>
      </c>
      <c r="G14" s="9">
        <v>2</v>
      </c>
      <c r="H14" s="8"/>
      <c r="K14" t="str">
        <f t="shared" si="0"/>
        <v/>
      </c>
      <c r="L14" t="str">
        <f t="shared" si="1"/>
        <v/>
      </c>
      <c r="M14" t="str">
        <f t="shared" si="2"/>
        <v/>
      </c>
      <c r="N14" t="str">
        <f t="shared" si="3"/>
        <v/>
      </c>
      <c r="O14" t="str">
        <f t="shared" si="4"/>
        <v/>
      </c>
      <c r="P14" t="str">
        <f t="shared" si="5"/>
        <v/>
      </c>
    </row>
    <row r="15" spans="1:16" ht="30" customHeight="1" x14ac:dyDescent="0.35">
      <c r="A15" s="7" t="str">
        <f>Requirements!A15</f>
        <v>C2</v>
      </c>
      <c r="B15" s="14" t="str">
        <f>IF(Requirements!C15="","",Requirements!C15)</f>
        <v>Supports xAPI</v>
      </c>
      <c r="C15" s="15" t="str">
        <f>IF(Requirements!D15="","",Requirements!D15)</f>
        <v>Could</v>
      </c>
      <c r="D15" s="10">
        <f>Requirements!E15</f>
        <v>1</v>
      </c>
      <c r="E15" s="9">
        <v>0</v>
      </c>
      <c r="F15" s="9">
        <v>2</v>
      </c>
      <c r="G15" s="9">
        <v>1</v>
      </c>
      <c r="H15" s="8"/>
      <c r="K15" t="str">
        <f t="shared" si="0"/>
        <v/>
      </c>
      <c r="L15" t="str">
        <f t="shared" si="1"/>
        <v/>
      </c>
      <c r="M15" t="str">
        <f t="shared" si="2"/>
        <v/>
      </c>
      <c r="N15" t="str">
        <f t="shared" si="3"/>
        <v/>
      </c>
      <c r="O15" t="str">
        <f t="shared" si="4"/>
        <v/>
      </c>
      <c r="P15" t="str">
        <f t="shared" si="5"/>
        <v/>
      </c>
    </row>
    <row r="16" spans="1:16" ht="30" customHeight="1" x14ac:dyDescent="0.35">
      <c r="A16" s="7" t="str">
        <f>Requirements!A16</f>
        <v>C3</v>
      </c>
      <c r="B16" s="14" t="str">
        <f>IF(Requirements!C16="","",Requirements!C16)</f>
        <v>Build courses inside the LMS without another tool</v>
      </c>
      <c r="C16" s="15" t="str">
        <f>IF(Requirements!D16="","",Requirements!D16)</f>
        <v>Should</v>
      </c>
      <c r="D16" s="10">
        <f>Requirements!E16</f>
        <v>2</v>
      </c>
      <c r="E16" s="9">
        <v>3</v>
      </c>
      <c r="F16" s="9">
        <v>2</v>
      </c>
      <c r="G16" s="9">
        <v>2</v>
      </c>
      <c r="H16" s="8"/>
      <c r="K16" t="str">
        <f t="shared" si="0"/>
        <v/>
      </c>
      <c r="L16" t="str">
        <f t="shared" si="1"/>
        <v/>
      </c>
      <c r="M16" t="str">
        <f t="shared" si="2"/>
        <v/>
      </c>
      <c r="N16" t="str">
        <f t="shared" si="3"/>
        <v/>
      </c>
      <c r="O16" t="str">
        <f t="shared" si="4"/>
        <v/>
      </c>
      <c r="P16" t="str">
        <f t="shared" si="5"/>
        <v/>
      </c>
    </row>
    <row r="17" spans="1:16" ht="30" customHeight="1" x14ac:dyDescent="0.35">
      <c r="A17" s="7" t="str">
        <f>Requirements!A17</f>
        <v>C4</v>
      </c>
      <c r="B17" s="14" t="str">
        <f>IF(Requirements!C17="","",Requirements!C17)</f>
        <v>Drafts courses from our own policies and documents with AI</v>
      </c>
      <c r="C17" s="15" t="str">
        <f>IF(Requirements!D17="","",Requirements!D17)</f>
        <v>Could</v>
      </c>
      <c r="D17" s="10">
        <f>Requirements!E17</f>
        <v>1</v>
      </c>
      <c r="E17" s="9">
        <v>3</v>
      </c>
      <c r="F17" s="9">
        <v>0</v>
      </c>
      <c r="G17" s="9">
        <v>0</v>
      </c>
      <c r="H17" s="8"/>
      <c r="K17" t="str">
        <f t="shared" si="0"/>
        <v/>
      </c>
      <c r="L17" t="str">
        <f t="shared" si="1"/>
        <v/>
      </c>
      <c r="M17" t="str">
        <f t="shared" si="2"/>
        <v/>
      </c>
      <c r="N17" t="str">
        <f t="shared" si="3"/>
        <v/>
      </c>
      <c r="O17" t="str">
        <f t="shared" si="4"/>
        <v/>
      </c>
      <c r="P17" t="str">
        <f t="shared" si="5"/>
        <v/>
      </c>
    </row>
    <row r="18" spans="1:16" ht="30" customHeight="1" x14ac:dyDescent="0.35">
      <c r="A18" s="7" t="str">
        <f>Requirements!A18</f>
        <v>C5</v>
      </c>
      <c r="B18" s="14" t="str">
        <f>IF(Requirements!C18="","",Requirements!C18)</f>
        <v>Upload video, PDF and slides</v>
      </c>
      <c r="C18" s="15" t="str">
        <f>IF(Requirements!D18="","",Requirements!D18)</f>
        <v>Should</v>
      </c>
      <c r="D18" s="10">
        <f>Requirements!E18</f>
        <v>2</v>
      </c>
      <c r="E18" s="9">
        <v>2</v>
      </c>
      <c r="F18" s="9">
        <v>2</v>
      </c>
      <c r="G18" s="9">
        <v>2</v>
      </c>
      <c r="H18" s="8"/>
      <c r="K18" t="str">
        <f t="shared" si="0"/>
        <v/>
      </c>
      <c r="L18" t="str">
        <f t="shared" si="1"/>
        <v/>
      </c>
      <c r="M18" t="str">
        <f t="shared" si="2"/>
        <v/>
      </c>
      <c r="N18" t="str">
        <f t="shared" si="3"/>
        <v/>
      </c>
      <c r="O18" t="str">
        <f t="shared" si="4"/>
        <v/>
      </c>
      <c r="P18" t="str">
        <f t="shared" si="5"/>
        <v/>
      </c>
    </row>
    <row r="19" spans="1:16" ht="30" customHeight="1" x14ac:dyDescent="0.35">
      <c r="A19" s="7" t="str">
        <f>Requirements!A19</f>
        <v>C6</v>
      </c>
      <c r="B19" s="14" t="str">
        <f>IF(Requirements!C19="","",Requirements!C19)</f>
        <v>Update a live course without losing learners' progress</v>
      </c>
      <c r="C19" s="15" t="str">
        <f>IF(Requirements!D19="","",Requirements!D19)</f>
        <v>Should</v>
      </c>
      <c r="D19" s="10">
        <f>Requirements!E19</f>
        <v>2</v>
      </c>
      <c r="E19" s="9">
        <v>2</v>
      </c>
      <c r="F19" s="9">
        <v>2</v>
      </c>
      <c r="G19" s="9">
        <v>2</v>
      </c>
      <c r="H19" s="8"/>
      <c r="K19" t="str">
        <f t="shared" si="0"/>
        <v/>
      </c>
      <c r="L19" t="str">
        <f t="shared" si="1"/>
        <v/>
      </c>
      <c r="M19" t="str">
        <f t="shared" si="2"/>
        <v/>
      </c>
      <c r="N19" t="str">
        <f t="shared" si="3"/>
        <v/>
      </c>
      <c r="O19" t="str">
        <f t="shared" si="4"/>
        <v/>
      </c>
      <c r="P19" t="str">
        <f t="shared" si="5"/>
        <v/>
      </c>
    </row>
    <row r="20" spans="1:16" ht="30" customHeight="1" x14ac:dyDescent="0.35">
      <c r="A20" s="7" t="str">
        <f>Requirements!A20</f>
        <v>C7</v>
      </c>
      <c r="B20" s="14" t="str">
        <f>IF(Requirements!C20="","",Requirements!C20)</f>
        <v>Learning paths with courses in a set order</v>
      </c>
      <c r="C20" s="15" t="str">
        <f>IF(Requirements!D20="","",Requirements!D20)</f>
        <v>Should</v>
      </c>
      <c r="D20" s="10">
        <f>Requirements!E20</f>
        <v>2</v>
      </c>
      <c r="E20" s="9">
        <v>2</v>
      </c>
      <c r="F20" s="9">
        <v>2</v>
      </c>
      <c r="G20" s="9">
        <v>1</v>
      </c>
      <c r="H20" s="8"/>
      <c r="K20" t="str">
        <f t="shared" si="0"/>
        <v/>
      </c>
      <c r="L20" t="str">
        <f t="shared" si="1"/>
        <v/>
      </c>
      <c r="M20" t="str">
        <f t="shared" si="2"/>
        <v/>
      </c>
      <c r="N20" t="str">
        <f t="shared" si="3"/>
        <v/>
      </c>
      <c r="O20" t="str">
        <f t="shared" si="4"/>
        <v/>
      </c>
      <c r="P20" t="str">
        <f t="shared" si="5"/>
        <v/>
      </c>
    </row>
    <row r="21" spans="1:16" ht="30" customHeight="1" x14ac:dyDescent="0.35">
      <c r="A21" s="7" t="str">
        <f>Requirements!A21</f>
        <v>C8</v>
      </c>
      <c r="B21" s="14" t="str">
        <f>IF(Requirements!C21="","",Requirements!C21)</f>
        <v>Track face-to-face sessions and attendance</v>
      </c>
      <c r="C21" s="15" t="str">
        <f>IF(Requirements!D21="","",Requirements!D21)</f>
        <v>Could</v>
      </c>
      <c r="D21" s="10">
        <f>Requirements!E21</f>
        <v>1</v>
      </c>
      <c r="E21" s="9">
        <v>1</v>
      </c>
      <c r="F21" s="9">
        <v>2</v>
      </c>
      <c r="G21" s="9">
        <v>2</v>
      </c>
      <c r="H21" s="8"/>
      <c r="K21" t="str">
        <f t="shared" si="0"/>
        <v/>
      </c>
      <c r="L21" t="str">
        <f t="shared" si="1"/>
        <v/>
      </c>
      <c r="M21" t="str">
        <f t="shared" si="2"/>
        <v/>
      </c>
      <c r="N21" t="str">
        <f t="shared" si="3"/>
        <v/>
      </c>
      <c r="O21" t="str">
        <f t="shared" si="4"/>
        <v/>
      </c>
      <c r="P21" t="str">
        <f t="shared" si="5"/>
        <v/>
      </c>
    </row>
    <row r="22" spans="1:16" ht="30" customHeight="1" x14ac:dyDescent="0.35">
      <c r="A22" s="7" t="str">
        <f>Requirements!A22</f>
        <v>A1</v>
      </c>
      <c r="B22" s="14" t="str">
        <f>IF(Requirements!C22="","",Requirements!C22)</f>
        <v>Quizzes with a pass mark and limited attempts</v>
      </c>
      <c r="C22" s="15" t="str">
        <f>IF(Requirements!D22="","",Requirements!D22)</f>
        <v>Must</v>
      </c>
      <c r="D22" s="10">
        <f>Requirements!E22</f>
        <v>3</v>
      </c>
      <c r="E22" s="9">
        <v>3</v>
      </c>
      <c r="F22" s="9">
        <v>3</v>
      </c>
      <c r="G22" s="9">
        <v>2</v>
      </c>
      <c r="H22" s="8"/>
      <c r="K22" t="str">
        <f t="shared" si="0"/>
        <v/>
      </c>
      <c r="L22" t="str">
        <f t="shared" si="1"/>
        <v/>
      </c>
      <c r="M22" t="str">
        <f t="shared" si="2"/>
        <v/>
      </c>
      <c r="N22" t="str">
        <f t="shared" si="3"/>
        <v/>
      </c>
      <c r="O22" t="str">
        <f t="shared" si="4"/>
        <v/>
      </c>
      <c r="P22" t="str">
        <f t="shared" si="5"/>
        <v/>
      </c>
    </row>
    <row r="23" spans="1:16" ht="30" customHeight="1" x14ac:dyDescent="0.35">
      <c r="A23" s="7" t="str">
        <f>Requirements!A23</f>
        <v>A2</v>
      </c>
      <c r="B23" s="14" t="str">
        <f>IF(Requirements!C23="","",Requirements!C23)</f>
        <v>Certificates issued automatically, with an expiry date</v>
      </c>
      <c r="C23" s="15" t="str">
        <f>IF(Requirements!D23="","",Requirements!D23)</f>
        <v>Must</v>
      </c>
      <c r="D23" s="10">
        <f>Requirements!E23</f>
        <v>3</v>
      </c>
      <c r="E23" s="9">
        <v>3</v>
      </c>
      <c r="F23" s="9">
        <v>2</v>
      </c>
      <c r="G23" s="9">
        <v>2</v>
      </c>
      <c r="H23" s="8"/>
      <c r="K23" t="str">
        <f t="shared" si="0"/>
        <v/>
      </c>
      <c r="L23" t="str">
        <f t="shared" si="1"/>
        <v/>
      </c>
      <c r="M23" t="str">
        <f t="shared" si="2"/>
        <v/>
      </c>
      <c r="N23" t="str">
        <f t="shared" si="3"/>
        <v/>
      </c>
      <c r="O23" t="str">
        <f t="shared" si="4"/>
        <v/>
      </c>
      <c r="P23" t="str">
        <f t="shared" si="5"/>
        <v/>
      </c>
    </row>
    <row r="24" spans="1:16" ht="30" customHeight="1" x14ac:dyDescent="0.35">
      <c r="A24" s="7" t="str">
        <f>Requirements!A24</f>
        <v>A3</v>
      </c>
      <c r="B24" s="14" t="str">
        <f>IF(Requirements!C24="","",Requirements!C24)</f>
        <v>Recurring training that reassigns itself before it expires</v>
      </c>
      <c r="C24" s="15" t="str">
        <f>IF(Requirements!D24="","",Requirements!D24)</f>
        <v>Must</v>
      </c>
      <c r="D24" s="10">
        <f>Requirements!E24</f>
        <v>3</v>
      </c>
      <c r="E24" s="9">
        <v>1</v>
      </c>
      <c r="F24" s="9">
        <v>3</v>
      </c>
      <c r="G24" s="9">
        <v>0</v>
      </c>
      <c r="H24" s="8"/>
      <c r="K24" t="str">
        <f t="shared" si="0"/>
        <v/>
      </c>
      <c r="L24" t="str">
        <f t="shared" si="1"/>
        <v/>
      </c>
      <c r="M24" t="str">
        <f t="shared" si="2"/>
        <v xml:space="preserve">A3, </v>
      </c>
      <c r="N24" t="str">
        <f t="shared" si="3"/>
        <v xml:space="preserve">A3, </v>
      </c>
      <c r="O24" t="str">
        <f t="shared" si="4"/>
        <v/>
      </c>
      <c r="P24" t="str">
        <f t="shared" si="5"/>
        <v/>
      </c>
    </row>
    <row r="25" spans="1:16" ht="30" customHeight="1" x14ac:dyDescent="0.35">
      <c r="A25" s="7" t="str">
        <f>Requirements!A25</f>
        <v>A4</v>
      </c>
      <c r="B25" s="14" t="str">
        <f>IF(Requirements!C25="","",Requirements!C25)</f>
        <v>Learners acknowledge a policy and the date is kept</v>
      </c>
      <c r="C25" s="15" t="str">
        <f>IF(Requirements!D25="","",Requirements!D25)</f>
        <v>Should</v>
      </c>
      <c r="D25" s="10">
        <f>Requirements!E25</f>
        <v>2</v>
      </c>
      <c r="E25" s="9">
        <v>2</v>
      </c>
      <c r="F25" s="9">
        <v>2</v>
      </c>
      <c r="G25" s="9">
        <v>1</v>
      </c>
      <c r="H25" s="8"/>
      <c r="K25" t="str">
        <f t="shared" si="0"/>
        <v/>
      </c>
      <c r="L25" t="str">
        <f t="shared" si="1"/>
        <v/>
      </c>
      <c r="M25" t="str">
        <f t="shared" si="2"/>
        <v xml:space="preserve">A3, </v>
      </c>
      <c r="N25" t="str">
        <f t="shared" si="3"/>
        <v xml:space="preserve">A3, </v>
      </c>
      <c r="O25" t="str">
        <f t="shared" si="4"/>
        <v/>
      </c>
      <c r="P25" t="str">
        <f t="shared" si="5"/>
        <v/>
      </c>
    </row>
    <row r="26" spans="1:16" ht="30" customHeight="1" x14ac:dyDescent="0.35">
      <c r="A26" s="7" t="str">
        <f>Requirements!A26</f>
        <v>A5</v>
      </c>
      <c r="B26" s="14" t="str">
        <f>IF(Requirements!C26="","",Requirements!C26)</f>
        <v>A completion record that can't be changed without a trace</v>
      </c>
      <c r="C26" s="15" t="str">
        <f>IF(Requirements!D26="","",Requirements!D26)</f>
        <v>Must</v>
      </c>
      <c r="D26" s="10">
        <f>Requirements!E26</f>
        <v>3</v>
      </c>
      <c r="E26" s="9">
        <v>2</v>
      </c>
      <c r="F26" s="9">
        <v>2</v>
      </c>
      <c r="G26" s="9">
        <v>2</v>
      </c>
      <c r="H26" s="8"/>
      <c r="K26" t="str">
        <f t="shared" si="0"/>
        <v/>
      </c>
      <c r="L26" t="str">
        <f t="shared" si="1"/>
        <v/>
      </c>
      <c r="M26" t="str">
        <f t="shared" si="2"/>
        <v xml:space="preserve">A3, </v>
      </c>
      <c r="N26" t="str">
        <f t="shared" si="3"/>
        <v xml:space="preserve">A3, </v>
      </c>
      <c r="O26" t="str">
        <f t="shared" si="4"/>
        <v/>
      </c>
      <c r="P26" t="str">
        <f t="shared" si="5"/>
        <v/>
      </c>
    </row>
    <row r="27" spans="1:16" ht="30" customHeight="1" x14ac:dyDescent="0.35">
      <c r="A27" s="7" t="str">
        <f>Requirements!A27</f>
        <v>A6</v>
      </c>
      <c r="B27" s="14" t="str">
        <f>IF(Requirements!C27="","",Requirements!C27)</f>
        <v>Assessors sign off practical tasks</v>
      </c>
      <c r="C27" s="15" t="str">
        <f>IF(Requirements!D27="","",Requirements!D27)</f>
        <v>Not needed</v>
      </c>
      <c r="D27" s="10">
        <f>Requirements!E27</f>
        <v>0</v>
      </c>
      <c r="E27" s="9"/>
      <c r="F27" s="9"/>
      <c r="G27" s="9"/>
      <c r="H27" s="8"/>
      <c r="K27" t="str">
        <f t="shared" si="0"/>
        <v/>
      </c>
      <c r="L27" t="str">
        <f t="shared" si="1"/>
        <v/>
      </c>
      <c r="M27" t="str">
        <f t="shared" si="2"/>
        <v xml:space="preserve">A3, </v>
      </c>
      <c r="N27" t="str">
        <f t="shared" si="3"/>
        <v xml:space="preserve">A3, </v>
      </c>
      <c r="O27" t="str">
        <f t="shared" si="4"/>
        <v/>
      </c>
      <c r="P27" t="str">
        <f t="shared" si="5"/>
        <v/>
      </c>
    </row>
    <row r="28" spans="1:16" ht="30" customHeight="1" x14ac:dyDescent="0.35">
      <c r="A28" s="7" t="str">
        <f>Requirements!A28</f>
        <v>D1</v>
      </c>
      <c r="B28" s="14" t="str">
        <f>IF(Requirements!C28="","",Requirements!C28)</f>
        <v>Assign training by role, team or location automatically</v>
      </c>
      <c r="C28" s="15" t="str">
        <f>IF(Requirements!D28="","",Requirements!D28)</f>
        <v>Should</v>
      </c>
      <c r="D28" s="10">
        <f>Requirements!E28</f>
        <v>2</v>
      </c>
      <c r="E28" s="9">
        <v>2</v>
      </c>
      <c r="F28" s="9">
        <v>3</v>
      </c>
      <c r="G28" s="9">
        <v>1</v>
      </c>
      <c r="H28" s="8"/>
      <c r="K28" t="str">
        <f t="shared" si="0"/>
        <v/>
      </c>
      <c r="L28" t="str">
        <f t="shared" si="1"/>
        <v/>
      </c>
      <c r="M28" t="str">
        <f t="shared" si="2"/>
        <v xml:space="preserve">A3, </v>
      </c>
      <c r="N28" t="str">
        <f t="shared" si="3"/>
        <v xml:space="preserve">A3, </v>
      </c>
      <c r="O28" t="str">
        <f t="shared" si="4"/>
        <v/>
      </c>
      <c r="P28" t="str">
        <f t="shared" si="5"/>
        <v/>
      </c>
    </row>
    <row r="29" spans="1:16" ht="30" customHeight="1" x14ac:dyDescent="0.35">
      <c r="A29" s="7" t="str">
        <f>Requirements!A29</f>
        <v>D2</v>
      </c>
      <c r="B29" s="14" t="str">
        <f>IF(Requirements!C29="","",Requirements!C29)</f>
        <v>Bulk-add and update users from a spreadsheet</v>
      </c>
      <c r="C29" s="15" t="str">
        <f>IF(Requirements!D29="","",Requirements!D29)</f>
        <v>Must</v>
      </c>
      <c r="D29" s="10">
        <f>Requirements!E29</f>
        <v>3</v>
      </c>
      <c r="E29" s="9">
        <v>3</v>
      </c>
      <c r="F29" s="9">
        <v>2</v>
      </c>
      <c r="G29" s="9">
        <v>2</v>
      </c>
      <c r="H29" s="8"/>
      <c r="K29" t="str">
        <f t="shared" si="0"/>
        <v/>
      </c>
      <c r="L29" t="str">
        <f t="shared" si="1"/>
        <v/>
      </c>
      <c r="M29" t="str">
        <f t="shared" si="2"/>
        <v xml:space="preserve">A3, </v>
      </c>
      <c r="N29" t="str">
        <f t="shared" si="3"/>
        <v xml:space="preserve">A3, </v>
      </c>
      <c r="O29" t="str">
        <f t="shared" si="4"/>
        <v/>
      </c>
      <c r="P29" t="str">
        <f t="shared" si="5"/>
        <v/>
      </c>
    </row>
    <row r="30" spans="1:16" ht="30" customHeight="1" x14ac:dyDescent="0.35">
      <c r="A30" s="7" t="str">
        <f>Requirements!A30</f>
        <v>D3</v>
      </c>
      <c r="B30" s="14" t="str">
        <f>IF(Requirements!C30="","",Requirements!C30)</f>
        <v>Managers see and manage only their own team</v>
      </c>
      <c r="C30" s="15" t="str">
        <f>IF(Requirements!D30="","",Requirements!D30)</f>
        <v>Should</v>
      </c>
      <c r="D30" s="10">
        <f>Requirements!E30</f>
        <v>2</v>
      </c>
      <c r="E30" s="9">
        <v>2</v>
      </c>
      <c r="F30" s="9">
        <v>3</v>
      </c>
      <c r="G30" s="9">
        <v>2</v>
      </c>
      <c r="H30" s="8"/>
      <c r="K30" t="str">
        <f t="shared" si="0"/>
        <v/>
      </c>
      <c r="L30" t="str">
        <f t="shared" si="1"/>
        <v/>
      </c>
      <c r="M30" t="str">
        <f t="shared" si="2"/>
        <v xml:space="preserve">A3, </v>
      </c>
      <c r="N30" t="str">
        <f t="shared" si="3"/>
        <v xml:space="preserve">A3, </v>
      </c>
      <c r="O30" t="str">
        <f t="shared" si="4"/>
        <v/>
      </c>
      <c r="P30" t="str">
        <f t="shared" si="5"/>
        <v/>
      </c>
    </row>
    <row r="31" spans="1:16" ht="30" customHeight="1" x14ac:dyDescent="0.35">
      <c r="A31" s="7" t="str">
        <f>Requirements!A31</f>
        <v>D4</v>
      </c>
      <c r="B31" s="14" t="str">
        <f>IF(Requirements!C31="","",Requirements!C31)</f>
        <v>Reminder emails before and after a due date</v>
      </c>
      <c r="C31" s="15" t="str">
        <f>IF(Requirements!D31="","",Requirements!D31)</f>
        <v>Must</v>
      </c>
      <c r="D31" s="10">
        <f>Requirements!E31</f>
        <v>3</v>
      </c>
      <c r="E31" s="9">
        <v>3</v>
      </c>
      <c r="F31" s="9">
        <v>2</v>
      </c>
      <c r="G31" s="9">
        <v>2</v>
      </c>
      <c r="H31" s="8"/>
      <c r="K31" t="str">
        <f t="shared" si="0"/>
        <v/>
      </c>
      <c r="L31" t="str">
        <f t="shared" si="1"/>
        <v/>
      </c>
      <c r="M31" t="str">
        <f t="shared" si="2"/>
        <v xml:space="preserve">A3, </v>
      </c>
      <c r="N31" t="str">
        <f t="shared" si="3"/>
        <v xml:space="preserve">A3, </v>
      </c>
      <c r="O31" t="str">
        <f t="shared" si="4"/>
        <v/>
      </c>
      <c r="P31" t="str">
        <f t="shared" si="5"/>
        <v/>
      </c>
    </row>
    <row r="32" spans="1:16" ht="30" customHeight="1" x14ac:dyDescent="0.35">
      <c r="A32" s="7" t="str">
        <f>Requirements!A32</f>
        <v>D5</v>
      </c>
      <c r="B32" s="14" t="str">
        <f>IF(Requirements!C32="","",Requirements!C32)</f>
        <v>Several admins with different permissions</v>
      </c>
      <c r="C32" s="15" t="str">
        <f>IF(Requirements!D32="","",Requirements!D32)</f>
        <v>Should</v>
      </c>
      <c r="D32" s="10">
        <f>Requirements!E32</f>
        <v>2</v>
      </c>
      <c r="E32" s="9">
        <v>2</v>
      </c>
      <c r="F32" s="9">
        <v>2</v>
      </c>
      <c r="G32" s="9">
        <v>1</v>
      </c>
      <c r="H32" s="8"/>
      <c r="K32" t="str">
        <f t="shared" si="0"/>
        <v/>
      </c>
      <c r="L32" t="str">
        <f t="shared" si="1"/>
        <v/>
      </c>
      <c r="M32" t="str">
        <f t="shared" si="2"/>
        <v xml:space="preserve">A3, </v>
      </c>
      <c r="N32" t="str">
        <f t="shared" si="3"/>
        <v xml:space="preserve">A3, </v>
      </c>
      <c r="O32" t="str">
        <f t="shared" si="4"/>
        <v/>
      </c>
      <c r="P32" t="str">
        <f t="shared" si="5"/>
        <v/>
      </c>
    </row>
    <row r="33" spans="1:16" ht="30" customHeight="1" x14ac:dyDescent="0.35">
      <c r="A33" s="7" t="str">
        <f>Requirements!A33</f>
        <v>D6</v>
      </c>
      <c r="B33" s="14" t="str">
        <f>IF(Requirements!C33="","",Requirements!C33)</f>
        <v>Separate areas for business units or clients</v>
      </c>
      <c r="C33" s="15" t="str">
        <f>IF(Requirements!D33="","",Requirements!D33)</f>
        <v>Not needed</v>
      </c>
      <c r="D33" s="10">
        <f>Requirements!E33</f>
        <v>0</v>
      </c>
      <c r="E33" s="9"/>
      <c r="F33" s="9"/>
      <c r="G33" s="9"/>
      <c r="H33" s="8"/>
      <c r="K33" t="str">
        <f t="shared" si="0"/>
        <v/>
      </c>
      <c r="L33" t="str">
        <f t="shared" si="1"/>
        <v/>
      </c>
      <c r="M33" t="str">
        <f t="shared" si="2"/>
        <v xml:space="preserve">A3, </v>
      </c>
      <c r="N33" t="str">
        <f t="shared" si="3"/>
        <v xml:space="preserve">A3, </v>
      </c>
      <c r="O33" t="str">
        <f t="shared" si="4"/>
        <v/>
      </c>
      <c r="P33" t="str">
        <f t="shared" si="5"/>
        <v/>
      </c>
    </row>
    <row r="34" spans="1:16" ht="30" customHeight="1" x14ac:dyDescent="0.35">
      <c r="A34" s="7" t="str">
        <f>Requirements!A34</f>
        <v>R1</v>
      </c>
      <c r="B34" s="14" t="str">
        <f>IF(Requirements!C34="","",Requirements!C34)</f>
        <v>Completion and overdue reports by team and course</v>
      </c>
      <c r="C34" s="15" t="str">
        <f>IF(Requirements!D34="","",Requirements!D34)</f>
        <v>Must</v>
      </c>
      <c r="D34" s="10">
        <f>Requirements!E34</f>
        <v>3</v>
      </c>
      <c r="E34" s="9">
        <v>3</v>
      </c>
      <c r="F34" s="9">
        <v>3</v>
      </c>
      <c r="G34" s="9">
        <v>2</v>
      </c>
      <c r="H34" s="8"/>
      <c r="K34" t="str">
        <f t="shared" si="0"/>
        <v/>
      </c>
      <c r="L34" t="str">
        <f t="shared" si="1"/>
        <v/>
      </c>
      <c r="M34" t="str">
        <f t="shared" si="2"/>
        <v xml:space="preserve">A3, </v>
      </c>
      <c r="N34" t="str">
        <f t="shared" si="3"/>
        <v xml:space="preserve">A3, </v>
      </c>
      <c r="O34" t="str">
        <f t="shared" si="4"/>
        <v/>
      </c>
      <c r="P34" t="str">
        <f t="shared" si="5"/>
        <v/>
      </c>
    </row>
    <row r="35" spans="1:16" ht="30" customHeight="1" x14ac:dyDescent="0.35">
      <c r="A35" s="7" t="str">
        <f>Requirements!A35</f>
        <v>R2</v>
      </c>
      <c r="B35" s="14" t="str">
        <f>IF(Requirements!C35="","",Requirements!C35)</f>
        <v>Scheduled reports emailed to managers</v>
      </c>
      <c r="C35" s="15" t="str">
        <f>IF(Requirements!D35="","",Requirements!D35)</f>
        <v>Should</v>
      </c>
      <c r="D35" s="10">
        <f>Requirements!E35</f>
        <v>2</v>
      </c>
      <c r="E35" s="9">
        <v>1</v>
      </c>
      <c r="F35" s="9">
        <v>2</v>
      </c>
      <c r="G35" s="9">
        <v>2</v>
      </c>
      <c r="H35" s="8"/>
      <c r="K35" t="str">
        <f t="shared" si="0"/>
        <v/>
      </c>
      <c r="L35" t="str">
        <f t="shared" si="1"/>
        <v/>
      </c>
      <c r="M35" t="str">
        <f t="shared" si="2"/>
        <v xml:space="preserve">A3, </v>
      </c>
      <c r="N35" t="str">
        <f t="shared" si="3"/>
        <v xml:space="preserve">A3, </v>
      </c>
      <c r="O35" t="str">
        <f t="shared" si="4"/>
        <v/>
      </c>
      <c r="P35" t="str">
        <f t="shared" si="5"/>
        <v/>
      </c>
    </row>
    <row r="36" spans="1:16" ht="30" customHeight="1" x14ac:dyDescent="0.35">
      <c r="A36" s="7" t="str">
        <f>Requirements!A36</f>
        <v>R3</v>
      </c>
      <c r="B36" s="14" t="str">
        <f>IF(Requirements!C36="","",Requirements!C36)</f>
        <v>Export any report, or every completion at once, to Excel or CSV</v>
      </c>
      <c r="C36" s="15" t="str">
        <f>IF(Requirements!D36="","",Requirements!D36)</f>
        <v>Must</v>
      </c>
      <c r="D36" s="10">
        <f>Requirements!E36</f>
        <v>3</v>
      </c>
      <c r="E36" s="9">
        <v>3</v>
      </c>
      <c r="F36" s="9">
        <v>2</v>
      </c>
      <c r="G36" s="9">
        <v>2</v>
      </c>
      <c r="H36" s="8"/>
      <c r="K36" t="str">
        <f t="shared" si="0"/>
        <v/>
      </c>
      <c r="L36" t="str">
        <f t="shared" si="1"/>
        <v/>
      </c>
      <c r="M36" t="str">
        <f t="shared" si="2"/>
        <v xml:space="preserve">A3, </v>
      </c>
      <c r="N36" t="str">
        <f t="shared" si="3"/>
        <v xml:space="preserve">A3, </v>
      </c>
      <c r="O36" t="str">
        <f t="shared" si="4"/>
        <v/>
      </c>
      <c r="P36" t="str">
        <f t="shared" si="5"/>
        <v/>
      </c>
    </row>
    <row r="37" spans="1:16" ht="30" customHeight="1" x14ac:dyDescent="0.35">
      <c r="A37" s="7" t="str">
        <f>Requirements!A37</f>
        <v>R4</v>
      </c>
      <c r="B37" s="14" t="str">
        <f>IF(Requirements!C37="","",Requirements!C37)</f>
        <v>Quiz results by question</v>
      </c>
      <c r="C37" s="15" t="str">
        <f>IF(Requirements!D37="","",Requirements!D37)</f>
        <v>Could</v>
      </c>
      <c r="D37" s="10">
        <f>Requirements!E37</f>
        <v>1</v>
      </c>
      <c r="E37" s="9">
        <v>2</v>
      </c>
      <c r="F37" s="9">
        <v>1</v>
      </c>
      <c r="G37" s="9">
        <v>1</v>
      </c>
      <c r="H37" s="8"/>
      <c r="K37" t="str">
        <f t="shared" si="0"/>
        <v/>
      </c>
      <c r="L37" t="str">
        <f t="shared" si="1"/>
        <v/>
      </c>
      <c r="M37" t="str">
        <f t="shared" si="2"/>
        <v xml:space="preserve">A3, </v>
      </c>
      <c r="N37" t="str">
        <f t="shared" si="3"/>
        <v xml:space="preserve">A3, </v>
      </c>
      <c r="O37" t="str">
        <f t="shared" si="4"/>
        <v/>
      </c>
      <c r="P37" t="str">
        <f t="shared" si="5"/>
        <v/>
      </c>
    </row>
    <row r="38" spans="1:16" ht="30" customHeight="1" x14ac:dyDescent="0.35">
      <c r="A38" s="7" t="str">
        <f>Requirements!A38</f>
        <v>R5</v>
      </c>
      <c r="B38" s="14" t="str">
        <f>IF(Requirements!C38="","",Requirements!C38)</f>
        <v>A compliance view: who's current, due soon and expired</v>
      </c>
      <c r="C38" s="15" t="str">
        <f>IF(Requirements!D38="","",Requirements!D38)</f>
        <v>Must</v>
      </c>
      <c r="D38" s="10">
        <f>Requirements!E38</f>
        <v>3</v>
      </c>
      <c r="E38" s="9">
        <v>2</v>
      </c>
      <c r="F38" s="9">
        <v>3</v>
      </c>
      <c r="G38" s="9">
        <v>1</v>
      </c>
      <c r="H38" s="8"/>
      <c r="K38" t="str">
        <f t="shared" ref="K38:K66" si="6">K37&amp;IF(AND($C38="Must",ISNUMBER(E38),E38=0),$A38&amp;", ","")</f>
        <v/>
      </c>
      <c r="L38" t="str">
        <f t="shared" ref="L38:L66" si="7">L37&amp;IF(AND($C38="Must",ISNUMBER(F38),F38=0),$A38&amp;", ","")</f>
        <v/>
      </c>
      <c r="M38" t="str">
        <f t="shared" ref="M38:M66" si="8">M37&amp;IF(AND($C38="Must",ISNUMBER(G38),G38=0),$A38&amp;", ","")</f>
        <v xml:space="preserve">A3, </v>
      </c>
      <c r="N38" t="str">
        <f t="shared" ref="N38:N66" si="9">N37&amp;IF(AND($C38="Must",ISNUMBER(E38),E38=1),$A38&amp;", ","")</f>
        <v xml:space="preserve">A3, </v>
      </c>
      <c r="O38" t="str">
        <f t="shared" ref="O38:O66" si="10">O37&amp;IF(AND($C38="Must",ISNUMBER(F38),F38=1),$A38&amp;", ","")</f>
        <v/>
      </c>
      <c r="P38" t="str">
        <f t="shared" ref="P38:P66" si="11">P37&amp;IF(AND($C38="Must",ISNUMBER(G38),G38=1),$A38&amp;", ","")</f>
        <v xml:space="preserve">R5, </v>
      </c>
    </row>
    <row r="39" spans="1:16" ht="30" customHeight="1" x14ac:dyDescent="0.35">
      <c r="A39" s="7" t="str">
        <f>Requirements!A39</f>
        <v>I1</v>
      </c>
      <c r="B39" s="14" t="str">
        <f>IF(Requirements!C39="","",Requirements!C39)</f>
        <v>Users sync from our HR system</v>
      </c>
      <c r="C39" s="15" t="str">
        <f>IF(Requirements!D39="","",Requirements!D39)</f>
        <v>Must</v>
      </c>
      <c r="D39" s="10">
        <f>Requirements!E39</f>
        <v>3</v>
      </c>
      <c r="E39" s="9">
        <v>2</v>
      </c>
      <c r="F39" s="9">
        <v>2</v>
      </c>
      <c r="G39" s="9">
        <v>2</v>
      </c>
      <c r="H39" s="8"/>
      <c r="K39" t="str">
        <f t="shared" si="6"/>
        <v/>
      </c>
      <c r="L39" t="str">
        <f t="shared" si="7"/>
        <v/>
      </c>
      <c r="M39" t="str">
        <f t="shared" si="8"/>
        <v xml:space="preserve">A3, </v>
      </c>
      <c r="N39" t="str">
        <f t="shared" si="9"/>
        <v xml:space="preserve">A3, </v>
      </c>
      <c r="O39" t="str">
        <f t="shared" si="10"/>
        <v/>
      </c>
      <c r="P39" t="str">
        <f t="shared" si="11"/>
        <v xml:space="preserve">R5, </v>
      </c>
    </row>
    <row r="40" spans="1:16" ht="30" customHeight="1" x14ac:dyDescent="0.35">
      <c r="A40" s="7" t="str">
        <f>Requirements!A40</f>
        <v>I2</v>
      </c>
      <c r="B40" s="14" t="str">
        <f>IF(Requirements!C40="","",Requirements!C40)</f>
        <v>Leavers lose access, but their records are kept</v>
      </c>
      <c r="C40" s="15" t="str">
        <f>IF(Requirements!D40="","",Requirements!D40)</f>
        <v>Must</v>
      </c>
      <c r="D40" s="10">
        <f>Requirements!E40</f>
        <v>3</v>
      </c>
      <c r="E40" s="9">
        <v>2</v>
      </c>
      <c r="F40" s="9">
        <v>2</v>
      </c>
      <c r="G40" s="9">
        <v>2</v>
      </c>
      <c r="H40" s="8"/>
      <c r="K40" t="str">
        <f t="shared" si="6"/>
        <v/>
      </c>
      <c r="L40" t="str">
        <f t="shared" si="7"/>
        <v/>
      </c>
      <c r="M40" t="str">
        <f t="shared" si="8"/>
        <v xml:space="preserve">A3, </v>
      </c>
      <c r="N40" t="str">
        <f t="shared" si="9"/>
        <v xml:space="preserve">A3, </v>
      </c>
      <c r="O40" t="str">
        <f t="shared" si="10"/>
        <v/>
      </c>
      <c r="P40" t="str">
        <f t="shared" si="11"/>
        <v xml:space="preserve">R5, </v>
      </c>
    </row>
    <row r="41" spans="1:16" ht="30" customHeight="1" x14ac:dyDescent="0.35">
      <c r="A41" s="7" t="str">
        <f>Requirements!A41</f>
        <v>I3</v>
      </c>
      <c r="B41" s="14" t="str">
        <f>IF(Requirements!C41="","",Requirements!C41)</f>
        <v>An API for our own integrations</v>
      </c>
      <c r="C41" s="15" t="str">
        <f>IF(Requirements!D41="","",Requirements!D41)</f>
        <v>Could</v>
      </c>
      <c r="D41" s="10">
        <f>Requirements!E41</f>
        <v>1</v>
      </c>
      <c r="E41" s="9">
        <v>2</v>
      </c>
      <c r="F41" s="9">
        <v>2</v>
      </c>
      <c r="G41" s="9">
        <v>1</v>
      </c>
      <c r="H41" s="8"/>
      <c r="K41" t="str">
        <f t="shared" si="6"/>
        <v/>
      </c>
      <c r="L41" t="str">
        <f t="shared" si="7"/>
        <v/>
      </c>
      <c r="M41" t="str">
        <f t="shared" si="8"/>
        <v xml:space="preserve">A3, </v>
      </c>
      <c r="N41" t="str">
        <f t="shared" si="9"/>
        <v xml:space="preserve">A3, </v>
      </c>
      <c r="O41" t="str">
        <f t="shared" si="10"/>
        <v/>
      </c>
      <c r="P41" t="str">
        <f t="shared" si="11"/>
        <v xml:space="preserve">R5, </v>
      </c>
    </row>
    <row r="42" spans="1:16" ht="30" customHeight="1" x14ac:dyDescent="0.35">
      <c r="A42" s="7" t="str">
        <f>Requirements!A42</f>
        <v>I4</v>
      </c>
      <c r="B42" s="14" t="str">
        <f>IF(Requirements!C42="","",Requirements!C42)</f>
        <v>Assignments and reminders in Teams or Slack</v>
      </c>
      <c r="C42" s="15" t="str">
        <f>IF(Requirements!D42="","",Requirements!D42)</f>
        <v>Could</v>
      </c>
      <c r="D42" s="10">
        <f>Requirements!E42</f>
        <v>1</v>
      </c>
      <c r="E42" s="9">
        <v>2</v>
      </c>
      <c r="F42" s="9">
        <v>1</v>
      </c>
      <c r="G42" s="9">
        <v>0</v>
      </c>
      <c r="H42" s="8"/>
      <c r="K42" t="str">
        <f t="shared" si="6"/>
        <v/>
      </c>
      <c r="L42" t="str">
        <f t="shared" si="7"/>
        <v/>
      </c>
      <c r="M42" t="str">
        <f t="shared" si="8"/>
        <v xml:space="preserve">A3, </v>
      </c>
      <c r="N42" t="str">
        <f t="shared" si="9"/>
        <v xml:space="preserve">A3, </v>
      </c>
      <c r="O42" t="str">
        <f t="shared" si="10"/>
        <v/>
      </c>
      <c r="P42" t="str">
        <f t="shared" si="11"/>
        <v xml:space="preserve">R5, </v>
      </c>
    </row>
    <row r="43" spans="1:16" ht="30" customHeight="1" x14ac:dyDescent="0.35">
      <c r="A43" s="7" t="str">
        <f>Requirements!A43</f>
        <v>I5</v>
      </c>
      <c r="B43" s="14" t="str">
        <f>IF(Requirements!C43="","",Requirements!C43)</f>
        <v>We can export all our data and content if we leave</v>
      </c>
      <c r="C43" s="15" t="str">
        <f>IF(Requirements!D43="","",Requirements!D43)</f>
        <v>Must</v>
      </c>
      <c r="D43" s="10">
        <f>Requirements!E43</f>
        <v>3</v>
      </c>
      <c r="E43" s="9">
        <v>2</v>
      </c>
      <c r="F43" s="9">
        <v>2</v>
      </c>
      <c r="G43" s="9">
        <v>2</v>
      </c>
      <c r="H43" s="8"/>
      <c r="K43" t="str">
        <f t="shared" si="6"/>
        <v/>
      </c>
      <c r="L43" t="str">
        <f t="shared" si="7"/>
        <v/>
      </c>
      <c r="M43" t="str">
        <f t="shared" si="8"/>
        <v xml:space="preserve">A3, </v>
      </c>
      <c r="N43" t="str">
        <f t="shared" si="9"/>
        <v xml:space="preserve">A3, </v>
      </c>
      <c r="O43" t="str">
        <f t="shared" si="10"/>
        <v/>
      </c>
      <c r="P43" t="str">
        <f t="shared" si="11"/>
        <v xml:space="preserve">R5, </v>
      </c>
    </row>
    <row r="44" spans="1:16" ht="30" customHeight="1" x14ac:dyDescent="0.35">
      <c r="A44" s="7" t="str">
        <f>Requirements!A44</f>
        <v>I6</v>
      </c>
      <c r="B44" s="14" t="str">
        <f>IF(Requirements!C44="","",Requirements!C44)</f>
        <v>Imports our existing training records</v>
      </c>
      <c r="C44" s="15" t="str">
        <f>IF(Requirements!D44="","",Requirements!D44)</f>
        <v>Must</v>
      </c>
      <c r="D44" s="10">
        <f>Requirements!E44</f>
        <v>3</v>
      </c>
      <c r="E44" s="9">
        <v>2</v>
      </c>
      <c r="F44" s="9"/>
      <c r="G44" s="9">
        <v>2</v>
      </c>
      <c r="H44" s="8"/>
      <c r="K44" t="str">
        <f t="shared" si="6"/>
        <v/>
      </c>
      <c r="L44" t="str">
        <f t="shared" si="7"/>
        <v/>
      </c>
      <c r="M44" t="str">
        <f t="shared" si="8"/>
        <v xml:space="preserve">A3, </v>
      </c>
      <c r="N44" t="str">
        <f t="shared" si="9"/>
        <v xml:space="preserve">A3, </v>
      </c>
      <c r="O44" t="str">
        <f t="shared" si="10"/>
        <v/>
      </c>
      <c r="P44" t="str">
        <f t="shared" si="11"/>
        <v xml:space="preserve">R5, </v>
      </c>
    </row>
    <row r="45" spans="1:16" ht="30" customHeight="1" x14ac:dyDescent="0.35">
      <c r="A45" s="7" t="str">
        <f>Requirements!A45</f>
        <v>S1</v>
      </c>
      <c r="B45" s="14" t="str">
        <f>IF(Requirements!C45="","",Requirements!C45)</f>
        <v>Data stored in our country or region</v>
      </c>
      <c r="C45" s="15" t="str">
        <f>IF(Requirements!D45="","",Requirements!D45)</f>
        <v>Must</v>
      </c>
      <c r="D45" s="10">
        <f>Requirements!E45</f>
        <v>3</v>
      </c>
      <c r="E45" s="9">
        <v>2</v>
      </c>
      <c r="F45" s="9">
        <v>2</v>
      </c>
      <c r="G45" s="9">
        <v>2</v>
      </c>
      <c r="H45" s="8"/>
      <c r="K45" t="str">
        <f t="shared" si="6"/>
        <v/>
      </c>
      <c r="L45" t="str">
        <f t="shared" si="7"/>
        <v/>
      </c>
      <c r="M45" t="str">
        <f t="shared" si="8"/>
        <v xml:space="preserve">A3, </v>
      </c>
      <c r="N45" t="str">
        <f t="shared" si="9"/>
        <v xml:space="preserve">A3, </v>
      </c>
      <c r="O45" t="str">
        <f t="shared" si="10"/>
        <v/>
      </c>
      <c r="P45" t="str">
        <f t="shared" si="11"/>
        <v xml:space="preserve">R5, </v>
      </c>
    </row>
    <row r="46" spans="1:16" ht="30" customHeight="1" x14ac:dyDescent="0.35">
      <c r="A46" s="7" t="str">
        <f>Requirements!A46</f>
        <v>S2</v>
      </c>
      <c r="B46" s="14" t="str">
        <f>IF(Requirements!C46="","",Requirements!C46)</f>
        <v>Provides the data-processing terms and controls our privacy review requires</v>
      </c>
      <c r="C46" s="15" t="str">
        <f>IF(Requirements!D46="","",Requirements!D46)</f>
        <v>Must</v>
      </c>
      <c r="D46" s="10">
        <f>Requirements!E46</f>
        <v>3</v>
      </c>
      <c r="E46" s="9">
        <v>2</v>
      </c>
      <c r="F46" s="9">
        <v>2</v>
      </c>
      <c r="G46" s="9">
        <v>2</v>
      </c>
      <c r="H46" s="8"/>
      <c r="K46" t="str">
        <f t="shared" si="6"/>
        <v/>
      </c>
      <c r="L46" t="str">
        <f t="shared" si="7"/>
        <v/>
      </c>
      <c r="M46" t="str">
        <f t="shared" si="8"/>
        <v xml:space="preserve">A3, </v>
      </c>
      <c r="N46" t="str">
        <f t="shared" si="9"/>
        <v xml:space="preserve">A3, </v>
      </c>
      <c r="O46" t="str">
        <f t="shared" si="10"/>
        <v/>
      </c>
      <c r="P46" t="str">
        <f t="shared" si="11"/>
        <v xml:space="preserve">R5, </v>
      </c>
    </row>
    <row r="47" spans="1:16" ht="30" customHeight="1" x14ac:dyDescent="0.35">
      <c r="A47" s="7" t="str">
        <f>Requirements!A47</f>
        <v>S3</v>
      </c>
      <c r="B47" s="14" t="str">
        <f>IF(Requirements!C47="","",Requirements!C47)</f>
        <v>Independent security certification</v>
      </c>
      <c r="C47" s="15" t="str">
        <f>IF(Requirements!D47="","",Requirements!D47)</f>
        <v>Should</v>
      </c>
      <c r="D47" s="10">
        <f>Requirements!E47</f>
        <v>2</v>
      </c>
      <c r="E47" s="9">
        <v>1</v>
      </c>
      <c r="F47" s="9">
        <v>2</v>
      </c>
      <c r="G47" s="9">
        <v>2</v>
      </c>
      <c r="H47" s="8"/>
      <c r="K47" t="str">
        <f t="shared" si="6"/>
        <v/>
      </c>
      <c r="L47" t="str">
        <f t="shared" si="7"/>
        <v/>
      </c>
      <c r="M47" t="str">
        <f t="shared" si="8"/>
        <v xml:space="preserve">A3, </v>
      </c>
      <c r="N47" t="str">
        <f t="shared" si="9"/>
        <v xml:space="preserve">A3, </v>
      </c>
      <c r="O47" t="str">
        <f t="shared" si="10"/>
        <v/>
      </c>
      <c r="P47" t="str">
        <f t="shared" si="11"/>
        <v xml:space="preserve">R5, </v>
      </c>
    </row>
    <row r="48" spans="1:16" ht="30" customHeight="1" x14ac:dyDescent="0.35">
      <c r="A48" s="7" t="str">
        <f>Requirements!A48</f>
        <v>S4</v>
      </c>
      <c r="B48" s="14" t="str">
        <f>IF(Requirements!C48="","",Requirements!C48)</f>
        <v>Completes our security questionnaire</v>
      </c>
      <c r="C48" s="15" t="str">
        <f>IF(Requirements!D48="","",Requirements!D48)</f>
        <v>Must</v>
      </c>
      <c r="D48" s="10">
        <f>Requirements!E48</f>
        <v>3</v>
      </c>
      <c r="E48" s="9">
        <v>2</v>
      </c>
      <c r="F48" s="9">
        <v>2</v>
      </c>
      <c r="G48" s="9">
        <v>1</v>
      </c>
      <c r="H48" s="8"/>
      <c r="K48" t="str">
        <f t="shared" si="6"/>
        <v/>
      </c>
      <c r="L48" t="str">
        <f t="shared" si="7"/>
        <v/>
      </c>
      <c r="M48" t="str">
        <f t="shared" si="8"/>
        <v xml:space="preserve">A3, </v>
      </c>
      <c r="N48" t="str">
        <f t="shared" si="9"/>
        <v xml:space="preserve">A3, </v>
      </c>
      <c r="O48" t="str">
        <f t="shared" si="10"/>
        <v/>
      </c>
      <c r="P48" t="str">
        <f t="shared" si="11"/>
        <v xml:space="preserve">R5, S4, </v>
      </c>
    </row>
    <row r="49" spans="1:16" ht="30" customHeight="1" x14ac:dyDescent="0.35">
      <c r="A49" s="7" t="str">
        <f>Requirements!A49</f>
        <v>S5</v>
      </c>
      <c r="B49" s="14" t="str">
        <f>IF(Requirements!C49="","",Requirements!C49)</f>
        <v>Our content isn't used to train AI models</v>
      </c>
      <c r="C49" s="15" t="str">
        <f>IF(Requirements!D49="","",Requirements!D49)</f>
        <v>Must</v>
      </c>
      <c r="D49" s="10">
        <f>Requirements!E49</f>
        <v>3</v>
      </c>
      <c r="E49" s="9">
        <v>2</v>
      </c>
      <c r="F49" s="9">
        <v>2</v>
      </c>
      <c r="G49" s="9">
        <v>2</v>
      </c>
      <c r="H49" s="8"/>
      <c r="K49" t="str">
        <f t="shared" si="6"/>
        <v/>
      </c>
      <c r="L49" t="str">
        <f t="shared" si="7"/>
        <v/>
      </c>
      <c r="M49" t="str">
        <f t="shared" si="8"/>
        <v xml:space="preserve">A3, </v>
      </c>
      <c r="N49" t="str">
        <f t="shared" si="9"/>
        <v xml:space="preserve">A3, </v>
      </c>
      <c r="O49" t="str">
        <f t="shared" si="10"/>
        <v/>
      </c>
      <c r="P49" t="str">
        <f t="shared" si="11"/>
        <v xml:space="preserve">R5, S4, </v>
      </c>
    </row>
    <row r="50" spans="1:16" ht="30" customHeight="1" x14ac:dyDescent="0.35">
      <c r="A50" s="7" t="str">
        <f>Requirements!A50</f>
        <v>S6</v>
      </c>
      <c r="B50" s="14" t="str">
        <f>IF(Requirements!C50="","",Requirements!C50)</f>
        <v>Admins sign in with multi-factor authentication</v>
      </c>
      <c r="C50" s="15" t="str">
        <f>IF(Requirements!D50="","",Requirements!D50)</f>
        <v>Should</v>
      </c>
      <c r="D50" s="10">
        <f>Requirements!E50</f>
        <v>2</v>
      </c>
      <c r="E50" s="9">
        <v>2</v>
      </c>
      <c r="F50" s="9">
        <v>2</v>
      </c>
      <c r="G50" s="9">
        <v>2</v>
      </c>
      <c r="H50" s="8"/>
      <c r="K50" t="str">
        <f t="shared" si="6"/>
        <v/>
      </c>
      <c r="L50" t="str">
        <f t="shared" si="7"/>
        <v/>
      </c>
      <c r="M50" t="str">
        <f t="shared" si="8"/>
        <v xml:space="preserve">A3, </v>
      </c>
      <c r="N50" t="str">
        <f t="shared" si="9"/>
        <v xml:space="preserve">A3, </v>
      </c>
      <c r="O50" t="str">
        <f t="shared" si="10"/>
        <v/>
      </c>
      <c r="P50" t="str">
        <f t="shared" si="11"/>
        <v xml:space="preserve">R5, S4, </v>
      </c>
    </row>
    <row r="51" spans="1:16" ht="30" customHeight="1" x14ac:dyDescent="0.35">
      <c r="A51" s="7" t="str">
        <f>Requirements!A51</f>
        <v>V1</v>
      </c>
      <c r="B51" s="14" t="str">
        <f>IF(Requirements!C51="","",Requirements!C51)</f>
        <v>Support hours that cover our working hours</v>
      </c>
      <c r="C51" s="15" t="str">
        <f>IF(Requirements!D51="","",Requirements!D51)</f>
        <v>Should</v>
      </c>
      <c r="D51" s="10">
        <f>Requirements!E51</f>
        <v>2</v>
      </c>
      <c r="E51" s="9">
        <v>2</v>
      </c>
      <c r="F51" s="9">
        <v>2</v>
      </c>
      <c r="G51" s="9">
        <v>1</v>
      </c>
      <c r="H51" s="8"/>
      <c r="K51" t="str">
        <f t="shared" si="6"/>
        <v/>
      </c>
      <c r="L51" t="str">
        <f t="shared" si="7"/>
        <v/>
      </c>
      <c r="M51" t="str">
        <f t="shared" si="8"/>
        <v xml:space="preserve">A3, </v>
      </c>
      <c r="N51" t="str">
        <f t="shared" si="9"/>
        <v xml:space="preserve">A3, </v>
      </c>
      <c r="O51" t="str">
        <f t="shared" si="10"/>
        <v/>
      </c>
      <c r="P51" t="str">
        <f t="shared" si="11"/>
        <v xml:space="preserve">R5, S4, </v>
      </c>
    </row>
    <row r="52" spans="1:16" ht="30" customHeight="1" x14ac:dyDescent="0.35">
      <c r="A52" s="7" t="str">
        <f>Requirements!A52</f>
        <v>V2</v>
      </c>
      <c r="B52" s="14" t="str">
        <f>IF(Requirements!C52="","",Requirements!C52)</f>
        <v>Setup help and admin training included</v>
      </c>
      <c r="C52" s="15" t="str">
        <f>IF(Requirements!D52="","",Requirements!D52)</f>
        <v>Should</v>
      </c>
      <c r="D52" s="10">
        <f>Requirements!E52</f>
        <v>2</v>
      </c>
      <c r="E52" s="9">
        <v>3</v>
      </c>
      <c r="F52" s="9">
        <v>2</v>
      </c>
      <c r="G52" s="9">
        <v>1</v>
      </c>
      <c r="H52" s="8"/>
      <c r="K52" t="str">
        <f t="shared" si="6"/>
        <v/>
      </c>
      <c r="L52" t="str">
        <f t="shared" si="7"/>
        <v/>
      </c>
      <c r="M52" t="str">
        <f t="shared" si="8"/>
        <v xml:space="preserve">A3, </v>
      </c>
      <c r="N52" t="str">
        <f t="shared" si="9"/>
        <v xml:space="preserve">A3, </v>
      </c>
      <c r="O52" t="str">
        <f t="shared" si="10"/>
        <v/>
      </c>
      <c r="P52" t="str">
        <f t="shared" si="11"/>
        <v xml:space="preserve">R5, S4, </v>
      </c>
    </row>
    <row r="53" spans="1:16" ht="30" customHeight="1" x14ac:dyDescent="0.35">
      <c r="A53" s="7" t="str">
        <f>Requirements!A53</f>
        <v>V3</v>
      </c>
      <c r="B53" s="14" t="str">
        <f>IF(Requirements!C53="","",Requirements!C53)</f>
        <v>Published uptime and a service level</v>
      </c>
      <c r="C53" s="15" t="str">
        <f>IF(Requirements!D53="","",Requirements!D53)</f>
        <v>Should</v>
      </c>
      <c r="D53" s="10">
        <f>Requirements!E53</f>
        <v>2</v>
      </c>
      <c r="E53" s="9">
        <v>2</v>
      </c>
      <c r="F53" s="9">
        <v>2</v>
      </c>
      <c r="G53" s="9">
        <v>1</v>
      </c>
      <c r="H53" s="8"/>
      <c r="K53" t="str">
        <f t="shared" si="6"/>
        <v/>
      </c>
      <c r="L53" t="str">
        <f t="shared" si="7"/>
        <v/>
      </c>
      <c r="M53" t="str">
        <f t="shared" si="8"/>
        <v xml:space="preserve">A3, </v>
      </c>
      <c r="N53" t="str">
        <f t="shared" si="9"/>
        <v xml:space="preserve">A3, </v>
      </c>
      <c r="O53" t="str">
        <f t="shared" si="10"/>
        <v/>
      </c>
      <c r="P53" t="str">
        <f t="shared" si="11"/>
        <v xml:space="preserve">R5, S4, </v>
      </c>
    </row>
    <row r="54" spans="1:16" ht="30" customHeight="1" x14ac:dyDescent="0.35">
      <c r="A54" s="7" t="str">
        <f>Requirements!A54</f>
        <v>V4</v>
      </c>
      <c r="B54" s="14" t="str">
        <f>IF(Requirements!C54="","",Requirements!C54)</f>
        <v>Pricing that fits our size for three years</v>
      </c>
      <c r="C54" s="15" t="str">
        <f>IF(Requirements!D54="","",Requirements!D54)</f>
        <v>Must</v>
      </c>
      <c r="D54" s="10">
        <f>Requirements!E54</f>
        <v>3</v>
      </c>
      <c r="E54" s="9">
        <v>2</v>
      </c>
      <c r="F54" s="9">
        <v>1</v>
      </c>
      <c r="G54" s="9">
        <v>2</v>
      </c>
      <c r="H54" s="8"/>
      <c r="K54" t="str">
        <f t="shared" si="6"/>
        <v/>
      </c>
      <c r="L54" t="str">
        <f t="shared" si="7"/>
        <v/>
      </c>
      <c r="M54" t="str">
        <f t="shared" si="8"/>
        <v xml:space="preserve">A3, </v>
      </c>
      <c r="N54" t="str">
        <f t="shared" si="9"/>
        <v xml:space="preserve">A3, </v>
      </c>
      <c r="O54" t="str">
        <f t="shared" si="10"/>
        <v xml:space="preserve">V4, </v>
      </c>
      <c r="P54" t="str">
        <f t="shared" si="11"/>
        <v xml:space="preserve">R5, S4, </v>
      </c>
    </row>
    <row r="55" spans="1:16" ht="30" customHeight="1" x14ac:dyDescent="0.35">
      <c r="A55" s="7" t="str">
        <f>Requirements!A55</f>
        <v>V5</v>
      </c>
      <c r="B55" s="14" t="str">
        <f>IF(Requirements!C55="","",Requirements!C55)</f>
        <v>Contract terms we can live with</v>
      </c>
      <c r="C55" s="15" t="str">
        <f>IF(Requirements!D55="","",Requirements!D55)</f>
        <v>Should</v>
      </c>
      <c r="D55" s="10">
        <f>Requirements!E55</f>
        <v>2</v>
      </c>
      <c r="E55" s="9">
        <v>2</v>
      </c>
      <c r="F55" s="9">
        <v>1</v>
      </c>
      <c r="G55" s="9">
        <v>2</v>
      </c>
      <c r="H55" s="8"/>
      <c r="K55" t="str">
        <f t="shared" si="6"/>
        <v/>
      </c>
      <c r="L55" t="str">
        <f t="shared" si="7"/>
        <v/>
      </c>
      <c r="M55" t="str">
        <f t="shared" si="8"/>
        <v xml:space="preserve">A3, </v>
      </c>
      <c r="N55" t="str">
        <f t="shared" si="9"/>
        <v xml:space="preserve">A3, </v>
      </c>
      <c r="O55" t="str">
        <f t="shared" si="10"/>
        <v xml:space="preserve">V4, </v>
      </c>
      <c r="P55" t="str">
        <f t="shared" si="11"/>
        <v xml:space="preserve">R5, S4, </v>
      </c>
    </row>
    <row r="56" spans="1:16" ht="30" customHeight="1" x14ac:dyDescent="0.35">
      <c r="A56" s="7" t="str">
        <f>Requirements!A56</f>
        <v>V6</v>
      </c>
      <c r="B56" s="14" t="str">
        <f>IF(Requirements!C56="","",Requirements!C56)</f>
        <v>A trial or pilot with our own content</v>
      </c>
      <c r="C56" s="15" t="str">
        <f>IF(Requirements!D56="","",Requirements!D56)</f>
        <v>Should</v>
      </c>
      <c r="D56" s="10">
        <f>Requirements!E56</f>
        <v>2</v>
      </c>
      <c r="E56" s="9">
        <v>3</v>
      </c>
      <c r="F56" s="9">
        <v>2</v>
      </c>
      <c r="G56" s="9">
        <v>0</v>
      </c>
      <c r="H56" s="8"/>
      <c r="K56" t="str">
        <f t="shared" si="6"/>
        <v/>
      </c>
      <c r="L56" t="str">
        <f t="shared" si="7"/>
        <v/>
      </c>
      <c r="M56" t="str">
        <f t="shared" si="8"/>
        <v xml:space="preserve">A3, </v>
      </c>
      <c r="N56" t="str">
        <f t="shared" si="9"/>
        <v xml:space="preserve">A3, </v>
      </c>
      <c r="O56" t="str">
        <f t="shared" si="10"/>
        <v xml:space="preserve">V4, </v>
      </c>
      <c r="P56" t="str">
        <f t="shared" si="11"/>
        <v xml:space="preserve">R5, S4, </v>
      </c>
    </row>
    <row r="57" spans="1:16" ht="30" customHeight="1" x14ac:dyDescent="0.35">
      <c r="A57" s="7" t="str">
        <f>Requirements!A57</f>
        <v>U1</v>
      </c>
      <c r="B57" s="14" t="str">
        <f>IF(Requirements!C57="","",Requirements!C57)</f>
        <v/>
      </c>
      <c r="C57" s="15" t="str">
        <f>IF(Requirements!D57="","",Requirements!D57)</f>
        <v/>
      </c>
      <c r="D57" s="10">
        <f>Requirements!E57</f>
        <v>0</v>
      </c>
      <c r="E57" s="9"/>
      <c r="F57" s="9"/>
      <c r="G57" s="9"/>
      <c r="H57" s="8"/>
      <c r="K57" t="str">
        <f t="shared" si="6"/>
        <v/>
      </c>
      <c r="L57" t="str">
        <f t="shared" si="7"/>
        <v/>
      </c>
      <c r="M57" t="str">
        <f t="shared" si="8"/>
        <v xml:space="preserve">A3, </v>
      </c>
      <c r="N57" t="str">
        <f t="shared" si="9"/>
        <v xml:space="preserve">A3, </v>
      </c>
      <c r="O57" t="str">
        <f t="shared" si="10"/>
        <v xml:space="preserve">V4, </v>
      </c>
      <c r="P57" t="str">
        <f t="shared" si="11"/>
        <v xml:space="preserve">R5, S4, </v>
      </c>
    </row>
    <row r="58" spans="1:16" ht="30" customHeight="1" x14ac:dyDescent="0.35">
      <c r="A58" s="7" t="str">
        <f>Requirements!A58</f>
        <v>U2</v>
      </c>
      <c r="B58" s="14" t="str">
        <f>IF(Requirements!C58="","",Requirements!C58)</f>
        <v/>
      </c>
      <c r="C58" s="15" t="str">
        <f>IF(Requirements!D58="","",Requirements!D58)</f>
        <v/>
      </c>
      <c r="D58" s="10">
        <f>Requirements!E58</f>
        <v>0</v>
      </c>
      <c r="E58" s="9"/>
      <c r="F58" s="9"/>
      <c r="G58" s="9"/>
      <c r="H58" s="8"/>
      <c r="K58" t="str">
        <f t="shared" si="6"/>
        <v/>
      </c>
      <c r="L58" t="str">
        <f t="shared" si="7"/>
        <v/>
      </c>
      <c r="M58" t="str">
        <f t="shared" si="8"/>
        <v xml:space="preserve">A3, </v>
      </c>
      <c r="N58" t="str">
        <f t="shared" si="9"/>
        <v xml:space="preserve">A3, </v>
      </c>
      <c r="O58" t="str">
        <f t="shared" si="10"/>
        <v xml:space="preserve">V4, </v>
      </c>
      <c r="P58" t="str">
        <f t="shared" si="11"/>
        <v xml:space="preserve">R5, S4, </v>
      </c>
    </row>
    <row r="59" spans="1:16" ht="30" customHeight="1" x14ac:dyDescent="0.35">
      <c r="A59" s="7" t="str">
        <f>Requirements!A59</f>
        <v>U3</v>
      </c>
      <c r="B59" s="14" t="str">
        <f>IF(Requirements!C59="","",Requirements!C59)</f>
        <v/>
      </c>
      <c r="C59" s="15" t="str">
        <f>IF(Requirements!D59="","",Requirements!D59)</f>
        <v/>
      </c>
      <c r="D59" s="10">
        <f>Requirements!E59</f>
        <v>0</v>
      </c>
      <c r="E59" s="9"/>
      <c r="F59" s="9"/>
      <c r="G59" s="9"/>
      <c r="H59" s="8"/>
      <c r="K59" t="str">
        <f t="shared" si="6"/>
        <v/>
      </c>
      <c r="L59" t="str">
        <f t="shared" si="7"/>
        <v/>
      </c>
      <c r="M59" t="str">
        <f t="shared" si="8"/>
        <v xml:space="preserve">A3, </v>
      </c>
      <c r="N59" t="str">
        <f t="shared" si="9"/>
        <v xml:space="preserve">A3, </v>
      </c>
      <c r="O59" t="str">
        <f t="shared" si="10"/>
        <v xml:space="preserve">V4, </v>
      </c>
      <c r="P59" t="str">
        <f t="shared" si="11"/>
        <v xml:space="preserve">R5, S4, </v>
      </c>
    </row>
    <row r="60" spans="1:16" ht="30" customHeight="1" x14ac:dyDescent="0.35">
      <c r="A60" s="7" t="str">
        <f>Requirements!A60</f>
        <v>U4</v>
      </c>
      <c r="B60" s="14" t="str">
        <f>IF(Requirements!C60="","",Requirements!C60)</f>
        <v/>
      </c>
      <c r="C60" s="15" t="str">
        <f>IF(Requirements!D60="","",Requirements!D60)</f>
        <v/>
      </c>
      <c r="D60" s="10">
        <f>Requirements!E60</f>
        <v>0</v>
      </c>
      <c r="E60" s="9"/>
      <c r="F60" s="9"/>
      <c r="G60" s="9"/>
      <c r="H60" s="8"/>
      <c r="K60" t="str">
        <f t="shared" si="6"/>
        <v/>
      </c>
      <c r="L60" t="str">
        <f t="shared" si="7"/>
        <v/>
      </c>
      <c r="M60" t="str">
        <f t="shared" si="8"/>
        <v xml:space="preserve">A3, </v>
      </c>
      <c r="N60" t="str">
        <f t="shared" si="9"/>
        <v xml:space="preserve">A3, </v>
      </c>
      <c r="O60" t="str">
        <f t="shared" si="10"/>
        <v xml:space="preserve">V4, </v>
      </c>
      <c r="P60" t="str">
        <f t="shared" si="11"/>
        <v xml:space="preserve">R5, S4, </v>
      </c>
    </row>
    <row r="61" spans="1:16" ht="30" customHeight="1" x14ac:dyDescent="0.35">
      <c r="A61" s="7" t="str">
        <f>Requirements!A61</f>
        <v>U5</v>
      </c>
      <c r="B61" s="14" t="str">
        <f>IF(Requirements!C61="","",Requirements!C61)</f>
        <v/>
      </c>
      <c r="C61" s="15" t="str">
        <f>IF(Requirements!D61="","",Requirements!D61)</f>
        <v/>
      </c>
      <c r="D61" s="10">
        <f>Requirements!E61</f>
        <v>0</v>
      </c>
      <c r="E61" s="9"/>
      <c r="F61" s="9"/>
      <c r="G61" s="9"/>
      <c r="H61" s="8"/>
      <c r="K61" t="str">
        <f t="shared" si="6"/>
        <v/>
      </c>
      <c r="L61" t="str">
        <f t="shared" si="7"/>
        <v/>
      </c>
      <c r="M61" t="str">
        <f t="shared" si="8"/>
        <v xml:space="preserve">A3, </v>
      </c>
      <c r="N61" t="str">
        <f t="shared" si="9"/>
        <v xml:space="preserve">A3, </v>
      </c>
      <c r="O61" t="str">
        <f t="shared" si="10"/>
        <v xml:space="preserve">V4, </v>
      </c>
      <c r="P61" t="str">
        <f t="shared" si="11"/>
        <v xml:space="preserve">R5, S4, </v>
      </c>
    </row>
    <row r="62" spans="1:16" ht="30" customHeight="1" x14ac:dyDescent="0.35">
      <c r="A62" s="7" t="str">
        <f>Requirements!A62</f>
        <v>U6</v>
      </c>
      <c r="B62" s="14" t="str">
        <f>IF(Requirements!C62="","",Requirements!C62)</f>
        <v/>
      </c>
      <c r="C62" s="15" t="str">
        <f>IF(Requirements!D62="","",Requirements!D62)</f>
        <v/>
      </c>
      <c r="D62" s="10">
        <f>Requirements!E62</f>
        <v>0</v>
      </c>
      <c r="E62" s="9"/>
      <c r="F62" s="9"/>
      <c r="G62" s="9"/>
      <c r="H62" s="8"/>
      <c r="K62" t="str">
        <f t="shared" si="6"/>
        <v/>
      </c>
      <c r="L62" t="str">
        <f t="shared" si="7"/>
        <v/>
      </c>
      <c r="M62" t="str">
        <f t="shared" si="8"/>
        <v xml:space="preserve">A3, </v>
      </c>
      <c r="N62" t="str">
        <f t="shared" si="9"/>
        <v xml:space="preserve">A3, </v>
      </c>
      <c r="O62" t="str">
        <f t="shared" si="10"/>
        <v xml:space="preserve">V4, </v>
      </c>
      <c r="P62" t="str">
        <f t="shared" si="11"/>
        <v xml:space="preserve">R5, S4, </v>
      </c>
    </row>
    <row r="63" spans="1:16" ht="30" customHeight="1" x14ac:dyDescent="0.35">
      <c r="A63" s="7" t="str">
        <f>Requirements!A63</f>
        <v>U7</v>
      </c>
      <c r="B63" s="14" t="str">
        <f>IF(Requirements!C63="","",Requirements!C63)</f>
        <v/>
      </c>
      <c r="C63" s="15" t="str">
        <f>IF(Requirements!D63="","",Requirements!D63)</f>
        <v/>
      </c>
      <c r="D63" s="10">
        <f>Requirements!E63</f>
        <v>0</v>
      </c>
      <c r="E63" s="9"/>
      <c r="F63" s="9"/>
      <c r="G63" s="9"/>
      <c r="H63" s="8"/>
      <c r="K63" t="str">
        <f t="shared" si="6"/>
        <v/>
      </c>
      <c r="L63" t="str">
        <f t="shared" si="7"/>
        <v/>
      </c>
      <c r="M63" t="str">
        <f t="shared" si="8"/>
        <v xml:space="preserve">A3, </v>
      </c>
      <c r="N63" t="str">
        <f t="shared" si="9"/>
        <v xml:space="preserve">A3, </v>
      </c>
      <c r="O63" t="str">
        <f t="shared" si="10"/>
        <v xml:space="preserve">V4, </v>
      </c>
      <c r="P63" t="str">
        <f t="shared" si="11"/>
        <v xml:space="preserve">R5, S4, </v>
      </c>
    </row>
    <row r="64" spans="1:16" ht="30" customHeight="1" x14ac:dyDescent="0.35">
      <c r="A64" s="7" t="str">
        <f>Requirements!A64</f>
        <v>U8</v>
      </c>
      <c r="B64" s="14" t="str">
        <f>IF(Requirements!C64="","",Requirements!C64)</f>
        <v/>
      </c>
      <c r="C64" s="15" t="str">
        <f>IF(Requirements!D64="","",Requirements!D64)</f>
        <v/>
      </c>
      <c r="D64" s="10">
        <f>Requirements!E64</f>
        <v>0</v>
      </c>
      <c r="E64" s="9"/>
      <c r="F64" s="9"/>
      <c r="G64" s="9"/>
      <c r="H64" s="8"/>
      <c r="K64" t="str">
        <f t="shared" si="6"/>
        <v/>
      </c>
      <c r="L64" t="str">
        <f t="shared" si="7"/>
        <v/>
      </c>
      <c r="M64" t="str">
        <f t="shared" si="8"/>
        <v xml:space="preserve">A3, </v>
      </c>
      <c r="N64" t="str">
        <f t="shared" si="9"/>
        <v xml:space="preserve">A3, </v>
      </c>
      <c r="O64" t="str">
        <f t="shared" si="10"/>
        <v xml:space="preserve">V4, </v>
      </c>
      <c r="P64" t="str">
        <f t="shared" si="11"/>
        <v xml:space="preserve">R5, S4, </v>
      </c>
    </row>
    <row r="65" spans="1:16" ht="30" customHeight="1" x14ac:dyDescent="0.35">
      <c r="A65" s="7" t="str">
        <f>Requirements!A65</f>
        <v>U9</v>
      </c>
      <c r="B65" s="14" t="str">
        <f>IF(Requirements!C65="","",Requirements!C65)</f>
        <v/>
      </c>
      <c r="C65" s="15" t="str">
        <f>IF(Requirements!D65="","",Requirements!D65)</f>
        <v/>
      </c>
      <c r="D65" s="10">
        <f>Requirements!E65</f>
        <v>0</v>
      </c>
      <c r="E65" s="9"/>
      <c r="F65" s="9"/>
      <c r="G65" s="9"/>
      <c r="H65" s="8"/>
      <c r="K65" t="str">
        <f t="shared" si="6"/>
        <v/>
      </c>
      <c r="L65" t="str">
        <f t="shared" si="7"/>
        <v/>
      </c>
      <c r="M65" t="str">
        <f t="shared" si="8"/>
        <v xml:space="preserve">A3, </v>
      </c>
      <c r="N65" t="str">
        <f t="shared" si="9"/>
        <v xml:space="preserve">A3, </v>
      </c>
      <c r="O65" t="str">
        <f t="shared" si="10"/>
        <v xml:space="preserve">V4, </v>
      </c>
      <c r="P65" t="str">
        <f t="shared" si="11"/>
        <v xml:space="preserve">R5, S4, </v>
      </c>
    </row>
    <row r="66" spans="1:16" ht="30" customHeight="1" x14ac:dyDescent="0.35">
      <c r="A66" s="7" t="str">
        <f>Requirements!A66</f>
        <v>U10</v>
      </c>
      <c r="B66" s="14" t="str">
        <f>IF(Requirements!C66="","",Requirements!C66)</f>
        <v/>
      </c>
      <c r="C66" s="15" t="str">
        <f>IF(Requirements!D66="","",Requirements!D66)</f>
        <v/>
      </c>
      <c r="D66" s="10">
        <f>Requirements!E66</f>
        <v>0</v>
      </c>
      <c r="E66" s="9"/>
      <c r="F66" s="9"/>
      <c r="G66" s="9"/>
      <c r="H66" s="8"/>
      <c r="K66" t="str">
        <f t="shared" si="6"/>
        <v/>
      </c>
      <c r="L66" t="str">
        <f t="shared" si="7"/>
        <v/>
      </c>
      <c r="M66" t="str">
        <f t="shared" si="8"/>
        <v xml:space="preserve">A3, </v>
      </c>
      <c r="N66" t="str">
        <f t="shared" si="9"/>
        <v xml:space="preserve">A3, </v>
      </c>
      <c r="O66" t="str">
        <f t="shared" si="10"/>
        <v xml:space="preserve">V4, </v>
      </c>
      <c r="P66" t="str">
        <f t="shared" si="11"/>
        <v xml:space="preserve">R5, S4, </v>
      </c>
    </row>
  </sheetData>
  <mergeCells count="1">
    <mergeCell ref="E3:H3"/>
  </mergeCells>
  <conditionalFormatting sqref="E5:G66">
    <cfRule type="expression" dxfId="4" priority="1">
      <formula>AND($C5="Must",ISNUMBER(E5),E5=0)</formula>
    </cfRule>
    <cfRule type="expression" dxfId="3" priority="2">
      <formula>AND($C5="Must",ISNUMBER(E5),E5=1)</formula>
    </cfRule>
  </conditionalFormatting>
  <dataValidations count="1">
    <dataValidation type="whole" allowBlank="1" showErrorMessage="1" errorTitle="Score 0 to 3" error="Use 0, 1, 2 or 3." sqref="E5:G66" xr:uid="{00000000-0002-0000-0200-000000000000}">
      <formula1>0</formula1>
      <formula2>3</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9"/>
  <sheetViews>
    <sheetView workbookViewId="0"/>
  </sheetViews>
  <sheetFormatPr defaultRowHeight="14.5" x14ac:dyDescent="0.35"/>
  <cols>
    <col min="1" max="1" width="30" customWidth="1"/>
    <col min="2" max="4" width="26" customWidth="1"/>
  </cols>
  <sheetData>
    <row r="1" spans="1:4" ht="19" x14ac:dyDescent="0.4">
      <c r="A1" s="1" t="s">
        <v>219</v>
      </c>
    </row>
    <row r="2" spans="1:4" x14ac:dyDescent="0.35">
      <c r="A2" s="2" t="s">
        <v>220</v>
      </c>
    </row>
    <row r="4" spans="1:4" x14ac:dyDescent="0.35">
      <c r="A4" s="3" t="s">
        <v>221</v>
      </c>
      <c r="B4" s="3" t="str">
        <f>IF(Scoring!E4="","Vendor 1",Scoring!E4)</f>
        <v>Vendor A</v>
      </c>
      <c r="C4" s="3" t="str">
        <f>IF(Scoring!F4="","Vendor 2",Scoring!F4)</f>
        <v>Vendor B</v>
      </c>
      <c r="D4" s="3" t="str">
        <f>IF(Scoring!G4="","Vendor 3",Scoring!G4)</f>
        <v>Vendor C</v>
      </c>
    </row>
    <row r="5" spans="1:4" ht="14.65" customHeight="1" x14ac:dyDescent="0.35">
      <c r="A5" s="7" t="s">
        <v>222</v>
      </c>
      <c r="B5" s="10">
        <f>IF(B15&gt;0,"",SUMPRODUCT(Scoring!$D$5:$D$66,Scoring!$E$5:$E$66))</f>
        <v>233</v>
      </c>
      <c r="C5" s="10">
        <f>IF(C15&gt;0,"",SUMPRODUCT(Scoring!$D$5:$D$66,Scoring!$F$5:$F$66))</f>
        <v>218</v>
      </c>
      <c r="D5" s="10">
        <f>IF(D15&gt;0,"",SUMPRODUCT(Scoring!$D$5:$D$66,Scoring!$G$5:$G$66))</f>
        <v>168</v>
      </c>
    </row>
    <row r="6" spans="1:4" ht="14.65" customHeight="1" x14ac:dyDescent="0.35">
      <c r="A6" s="7" t="s">
        <v>223</v>
      </c>
      <c r="B6" s="10">
        <f>3*SUM(Scoring!$D$5:$D$66)</f>
        <v>315</v>
      </c>
      <c r="C6" s="10">
        <f>3*SUM(Scoring!$D$5:$D$66)</f>
        <v>315</v>
      </c>
      <c r="D6" s="10">
        <f>3*SUM(Scoring!$D$5:$D$66)</f>
        <v>315</v>
      </c>
    </row>
    <row r="7" spans="1:4" ht="14.65" customHeight="1" x14ac:dyDescent="0.35">
      <c r="A7" s="7" t="s">
        <v>224</v>
      </c>
      <c r="B7" s="16">
        <f>IF(OR(B6=0,B15&gt;0),"",B5/B6)</f>
        <v>0.73968253968253972</v>
      </c>
      <c r="C7" s="16">
        <f>IF(OR(C6=0,C15&gt;0),"",C5/C6)</f>
        <v>0.69206349206349205</v>
      </c>
      <c r="D7" s="16">
        <f>IF(OR(D6=0,D15&gt;0),"",D5/D6)</f>
        <v>0.53333333333333333</v>
      </c>
    </row>
    <row r="8" spans="1:4" ht="14.65" customHeight="1" x14ac:dyDescent="0.35">
      <c r="A8" s="7" t="s">
        <v>225</v>
      </c>
      <c r="B8" s="15">
        <f>SUMPRODUCT(--(Scoring!$C$5:$C$66="Must"),--ISNUMBER(Scoring!$E$5:$E$66),--(Scoring!$E$5:$E$66=0))</f>
        <v>0</v>
      </c>
      <c r="C8" s="15">
        <f>SUMPRODUCT(--(Scoring!$C$5:$C$66="Must"),--ISNUMBER(Scoring!$F$5:$F$66),--(Scoring!$F$5:$F$66=0))</f>
        <v>0</v>
      </c>
      <c r="D8" s="15">
        <f>SUMPRODUCT(--(Scoring!$C$5:$C$66="Must"),--ISNUMBER(Scoring!$G$5:$G$66),--(Scoring!$G$5:$G$66=0))</f>
        <v>1</v>
      </c>
    </row>
    <row r="9" spans="1:4" ht="14.65" customHeight="1" x14ac:dyDescent="0.35">
      <c r="A9" s="7" t="s">
        <v>226</v>
      </c>
      <c r="B9" s="15">
        <f>SUMPRODUCT(--(Scoring!$C$5:$C$66="Must"),--ISNUMBER(Scoring!$E$5:$E$66),--(Scoring!$E$5:$E$66=1))</f>
        <v>1</v>
      </c>
      <c r="C9" s="15">
        <f>SUMPRODUCT(--(Scoring!$C$5:$C$66="Must"),--ISNUMBER(Scoring!$F$5:$F$66),--(Scoring!$F$5:$F$66=1))</f>
        <v>1</v>
      </c>
      <c r="D9" s="15">
        <f>SUMPRODUCT(--(Scoring!$C$5:$C$66="Must"),--ISNUMBER(Scoring!$G$5:$G$66),--(Scoring!$G$5:$G$66=1))</f>
        <v>2</v>
      </c>
    </row>
    <row r="10" spans="1:4" ht="14.65" customHeight="1" x14ac:dyDescent="0.35">
      <c r="A10" s="7" t="s">
        <v>227</v>
      </c>
      <c r="B10" s="15">
        <f>SUMPRODUCT(--(Scoring!$D$5:$D$66&gt;0))-SUMPRODUCT(--(Scoring!$D$5:$D$66&gt;0),--(Scoring!$E$5:$E$66&lt;&gt;""))</f>
        <v>0</v>
      </c>
      <c r="C10" s="15">
        <f>SUMPRODUCT(--(Scoring!$D$5:$D$66&gt;0))-SUMPRODUCT(--(Scoring!$D$5:$D$66&gt;0),--(Scoring!$F$5:$F$66&lt;&gt;""))</f>
        <v>1</v>
      </c>
      <c r="D10" s="15">
        <f>SUMPRODUCT(--(Scoring!$D$5:$D$66&gt;0))-SUMPRODUCT(--(Scoring!$D$5:$D$66&gt;0),--(Scoring!$G$5:$G$66&lt;&gt;""))</f>
        <v>0</v>
      </c>
    </row>
    <row r="11" spans="1:4" ht="14.65" customHeight="1" x14ac:dyDescent="0.35">
      <c r="A11" s="7" t="s">
        <v>228</v>
      </c>
      <c r="B11" s="17" t="str">
        <f>IF($B$28&gt;0,"Set valid priorities",IF($B$26=0,"Set priorities first",IF(B15&gt;0,"Fix invalid scores",IF(B8&gt;0,"Out: fails Must",IF(B10&gt;0,"Incomplete: "&amp;B10&amp;" unscored",IF(B29&gt;0,"Verify/resolve "&amp;B29&amp;" Musts","Eligible to compare"))))))</f>
        <v>Verify/resolve 12 Musts</v>
      </c>
      <c r="C11" s="17" t="str">
        <f>IF($B$28&gt;0,"Set valid priorities",IF($B$26=0,"Set priorities first",IF(C15&gt;0,"Fix invalid scores",IF(C8&gt;0,"Out: fails Must",IF(C10&gt;0,"Incomplete: "&amp;C10&amp;" unscored",IF(C29&gt;0,"Verify/resolve "&amp;C29&amp;" Musts","Eligible to compare"))))))</f>
        <v>Incomplete: 1 unscored</v>
      </c>
      <c r="D11" s="17" t="str">
        <f>IF($B$28&gt;0,"Set valid priorities",IF($B$26=0,"Set priorities first",IF(D15&gt;0,"Fix invalid scores",IF(D8&gt;0,"Out: fails Must",IF(D10&gt;0,"Incomplete: "&amp;D10&amp;" unscored",IF(D29&gt;0,"Verify/resolve "&amp;D29&amp;" Musts","Eligible to compare"))))))</f>
        <v>Out: fails Must</v>
      </c>
    </row>
    <row r="12" spans="1:4" ht="14.65" customHeight="1" x14ac:dyDescent="0.35">
      <c r="A12" s="7" t="s">
        <v>229</v>
      </c>
      <c r="B12" s="18" t="str">
        <f>IF(B11&lt;&gt;"Eligible to compare","",1+COUNTIFS($B$11:$D$11,"Eligible to compare",$B$7:$D$7,"&gt;"&amp;B7))</f>
        <v/>
      </c>
      <c r="C12" s="18" t="str">
        <f>IF(C11&lt;&gt;"Eligible to compare","",1+COUNTIFS($B$11:$D$11,"Eligible to compare",$B$7:$D$7,"&gt;"&amp;C7))</f>
        <v/>
      </c>
      <c r="D12" s="18" t="str">
        <f>IF(D11&lt;&gt;"Eligible to compare","",1+COUNTIFS($B$11:$D$11,"Eligible to compare",$B$7:$D$7,"&gt;"&amp;D7))</f>
        <v/>
      </c>
    </row>
    <row r="13" spans="1:4" ht="22.65" customHeight="1" x14ac:dyDescent="0.35">
      <c r="A13" s="7" t="s">
        <v>230</v>
      </c>
      <c r="B13" s="14" t="str">
        <f>IF(Scoring!K66="","",LEFT(Scoring!K66,LEN(Scoring!K66)-2))</f>
        <v/>
      </c>
      <c r="C13" s="14" t="str">
        <f>IF(Scoring!L66="","",LEFT(Scoring!L66,LEN(Scoring!L66)-2))</f>
        <v/>
      </c>
      <c r="D13" s="14" t="str">
        <f>IF(Scoring!M66="","",LEFT(Scoring!M66,LEN(Scoring!M66)-2))</f>
        <v>A3</v>
      </c>
    </row>
    <row r="14" spans="1:4" ht="22.65" customHeight="1" x14ac:dyDescent="0.35">
      <c r="A14" s="7" t="s">
        <v>231</v>
      </c>
      <c r="B14" s="14" t="str">
        <f>IF(Scoring!N66="","",LEFT(Scoring!N66,LEN(Scoring!N66)-2))</f>
        <v>A3</v>
      </c>
      <c r="C14" s="14" t="str">
        <f>IF(Scoring!O66="","",LEFT(Scoring!O66,LEN(Scoring!O66)-2))</f>
        <v>V4</v>
      </c>
      <c r="D14" s="14" t="str">
        <f>IF(Scoring!P66="","",LEFT(Scoring!P66,LEN(Scoring!P66)-2))</f>
        <v>R5, S4</v>
      </c>
    </row>
    <row r="15" spans="1:4" x14ac:dyDescent="0.35">
      <c r="A15" t="s">
        <v>232</v>
      </c>
      <c r="B15">
        <f>SUMPRODUCT(--(Scoring!$D$5:$D$66&gt;0),--(Scoring!$E$5:$E$66&lt;&gt;""))-SUMPRODUCT(--(Scoring!$D$5:$D$66&gt;0),--ISNUMBER(Scoring!$E$5:$E$66),--(((Scoring!$E$5:$E$66=0)+(Scoring!$E$5:$E$66=1)+(Scoring!$E$5:$E$66=2)+(Scoring!$E$5:$E$66=3))&gt;0))</f>
        <v>0</v>
      </c>
      <c r="C15">
        <f>SUMPRODUCT(--(Scoring!$D$5:$D$66&gt;0),--(Scoring!$F$5:$F$66&lt;&gt;""))-SUMPRODUCT(--(Scoring!$D$5:$D$66&gt;0),--ISNUMBER(Scoring!$F$5:$F$66),--(((Scoring!$F$5:$F$66=0)+(Scoring!$F$5:$F$66=1)+(Scoring!$F$5:$F$66=2)+(Scoring!$F$5:$F$66=3))&gt;0))</f>
        <v>0</v>
      </c>
      <c r="D15">
        <f>SUMPRODUCT(--(Scoring!$D$5:$D$66&gt;0),--(Scoring!$G$5:$G$66&lt;&gt;""))-SUMPRODUCT(--(Scoring!$D$5:$D$66&gt;0),--ISNUMBER(Scoring!$G$5:$G$66),--(((Scoring!$G$5:$G$66=0)+(Scoring!$G$5:$G$66=1)+(Scoring!$G$5:$G$66=2)+(Scoring!$G$5:$G$66=3))&gt;0))</f>
        <v>0</v>
      </c>
    </row>
    <row r="16" spans="1:4" x14ac:dyDescent="0.35">
      <c r="A16" s="3" t="s">
        <v>233</v>
      </c>
      <c r="B16" s="3" t="str">
        <f>B4</f>
        <v>Vendor A</v>
      </c>
      <c r="C16" s="3" t="str">
        <f>C4</f>
        <v>Vendor B</v>
      </c>
      <c r="D16" s="3" t="str">
        <f>D4</f>
        <v>Vendor C</v>
      </c>
    </row>
    <row r="17" spans="1:4" x14ac:dyDescent="0.35">
      <c r="A17" s="7" t="s">
        <v>35</v>
      </c>
      <c r="B17" s="19">
        <f>IF(OR(B15&gt;0,3*SUMPRODUCT(--(Requirements!$B$5:$B$66="Learners and access"),Scoring!$D$5:$D$66)=0),"",SUMPRODUCT(--(Requirements!$B$5:$B$66="Learners and access"),Scoring!$D$5:$D$66,Scoring!$E$5:$E$66)/(3*SUMPRODUCT(--(Requirements!$B$5:$B$66="Learners and access"),Scoring!$D$5:$D$66)))</f>
        <v>0.84848484848484851</v>
      </c>
      <c r="C17" s="19">
        <f>IF(OR(C15&gt;0,3*SUMPRODUCT(--(Requirements!$B$5:$B$66="Learners and access"),Scoring!$D$5:$D$66)=0),"",SUMPRODUCT(--(Requirements!$B$5:$B$66="Learners and access"),Scoring!$D$5:$D$66,Scoring!$F$5:$F$66)/(3*SUMPRODUCT(--(Requirements!$B$5:$B$66="Learners and access"),Scoring!$D$5:$D$66)))</f>
        <v>0.81818181818181823</v>
      </c>
      <c r="D17" s="19">
        <f>IF(OR(D15&gt;0,3*SUMPRODUCT(--(Requirements!$B$5:$B$66="Learners and access"),Scoring!$D$5:$D$66)=0),"",SUMPRODUCT(--(Requirements!$B$5:$B$66="Learners and access"),Scoring!$D$5:$D$66,Scoring!$G$5:$G$66)/(3*SUMPRODUCT(--(Requirements!$B$5:$B$66="Learners and access"),Scoring!$D$5:$D$66)))</f>
        <v>0.51515151515151514</v>
      </c>
    </row>
    <row r="18" spans="1:4" x14ac:dyDescent="0.35">
      <c r="A18" s="7" t="s">
        <v>67</v>
      </c>
      <c r="B18" s="19">
        <f>IF(OR(B15&gt;0,3*SUMPRODUCT(--(Requirements!$B$5:$B$66="Courses and content"),Scoring!$D$5:$D$66)=0),"",SUMPRODUCT(--(Requirements!$B$5:$B$66="Courses and content"),Scoring!$D$5:$D$66,Scoring!$E$5:$E$66)/(3*SUMPRODUCT(--(Requirements!$B$5:$B$66="Courses and content"),Scoring!$D$5:$D$66)))</f>
        <v>0.71794871794871795</v>
      </c>
      <c r="C18" s="19">
        <f>IF(OR(C15&gt;0,3*SUMPRODUCT(--(Requirements!$B$5:$B$66="Courses and content"),Scoring!$D$5:$D$66)=0),"",SUMPRODUCT(--(Requirements!$B$5:$B$66="Courses and content"),Scoring!$D$5:$D$66,Scoring!$F$5:$F$66)/(3*SUMPRODUCT(--(Requirements!$B$5:$B$66="Courses and content"),Scoring!$D$5:$D$66)))</f>
        <v>0.66666666666666663</v>
      </c>
      <c r="D18" s="19">
        <f>IF(OR(D15&gt;0,3*SUMPRODUCT(--(Requirements!$B$5:$B$66="Courses and content"),Scoring!$D$5:$D$66)=0),"",SUMPRODUCT(--(Requirements!$B$5:$B$66="Courses and content"),Scoring!$D$5:$D$66,Scoring!$G$5:$G$66)/(3*SUMPRODUCT(--(Requirements!$B$5:$B$66="Courses and content"),Scoring!$D$5:$D$66)))</f>
        <v>0.53846153846153844</v>
      </c>
    </row>
    <row r="19" spans="1:4" x14ac:dyDescent="0.35">
      <c r="A19" s="7" t="s">
        <v>92</v>
      </c>
      <c r="B19" s="19">
        <f>IF(OR(B15&gt;0,3*SUMPRODUCT(--(Requirements!$B$5:$B$66="Assessment and compliance"),Scoring!$D$5:$D$66)=0),"",SUMPRODUCT(--(Requirements!$B$5:$B$66="Assessment and compliance"),Scoring!$D$5:$D$66,Scoring!$E$5:$E$66)/(3*SUMPRODUCT(--(Requirements!$B$5:$B$66="Assessment and compliance"),Scoring!$D$5:$D$66)))</f>
        <v>0.73809523809523814</v>
      </c>
      <c r="C19" s="19">
        <f>IF(OR(C15&gt;0,3*SUMPRODUCT(--(Requirements!$B$5:$B$66="Assessment and compliance"),Scoring!$D$5:$D$66)=0),"",SUMPRODUCT(--(Requirements!$B$5:$B$66="Assessment and compliance"),Scoring!$D$5:$D$66,Scoring!$F$5:$F$66)/(3*SUMPRODUCT(--(Requirements!$B$5:$B$66="Assessment and compliance"),Scoring!$D$5:$D$66)))</f>
        <v>0.80952380952380953</v>
      </c>
      <c r="D19" s="19">
        <f>IF(OR(D15&gt;0,3*SUMPRODUCT(--(Requirements!$B$5:$B$66="Assessment and compliance"),Scoring!$D$5:$D$66)=0),"",SUMPRODUCT(--(Requirements!$B$5:$B$66="Assessment and compliance"),Scoring!$D$5:$D$66,Scoring!$G$5:$G$66)/(3*SUMPRODUCT(--(Requirements!$B$5:$B$66="Assessment and compliance"),Scoring!$D$5:$D$66)))</f>
        <v>0.47619047619047616</v>
      </c>
    </row>
    <row r="20" spans="1:4" x14ac:dyDescent="0.35">
      <c r="A20" s="7" t="s">
        <v>111</v>
      </c>
      <c r="B20" s="19">
        <f>IF(OR(B15&gt;0,3*SUMPRODUCT(--(Requirements!$B$5:$B$66="Administration"),Scoring!$D$5:$D$66)=0),"",SUMPRODUCT(--(Requirements!$B$5:$B$66="Administration"),Scoring!$D$5:$D$66,Scoring!$E$5:$E$66)/(3*SUMPRODUCT(--(Requirements!$B$5:$B$66="Administration"),Scoring!$D$5:$D$66)))</f>
        <v>0.83333333333333337</v>
      </c>
      <c r="C20" s="19">
        <f>IF(OR(C15&gt;0,3*SUMPRODUCT(--(Requirements!$B$5:$B$66="Administration"),Scoring!$D$5:$D$66)=0),"",SUMPRODUCT(--(Requirements!$B$5:$B$66="Administration"),Scoring!$D$5:$D$66,Scoring!$F$5:$F$66)/(3*SUMPRODUCT(--(Requirements!$B$5:$B$66="Administration"),Scoring!$D$5:$D$66)))</f>
        <v>0.77777777777777779</v>
      </c>
      <c r="D20" s="19">
        <f>IF(OR(D15&gt;0,3*SUMPRODUCT(--(Requirements!$B$5:$B$66="Administration"),Scoring!$D$5:$D$66)=0),"",SUMPRODUCT(--(Requirements!$B$5:$B$66="Administration"),Scoring!$D$5:$D$66,Scoring!$G$5:$G$66)/(3*SUMPRODUCT(--(Requirements!$B$5:$B$66="Administration"),Scoring!$D$5:$D$66)))</f>
        <v>0.55555555555555558</v>
      </c>
    </row>
    <row r="21" spans="1:4" x14ac:dyDescent="0.35">
      <c r="A21" s="7" t="s">
        <v>130</v>
      </c>
      <c r="B21" s="19">
        <f>IF(OR(B15&gt;0,3*SUMPRODUCT(--(Requirements!$B$5:$B$66="Reporting"),Scoring!$D$5:$D$66)=0),"",SUMPRODUCT(--(Requirements!$B$5:$B$66="Reporting"),Scoring!$D$5:$D$66,Scoring!$E$5:$E$66)/(3*SUMPRODUCT(--(Requirements!$B$5:$B$66="Reporting"),Scoring!$D$5:$D$66)))</f>
        <v>0.77777777777777779</v>
      </c>
      <c r="C21" s="19">
        <f>IF(OR(C15&gt;0,3*SUMPRODUCT(--(Requirements!$B$5:$B$66="Reporting"),Scoring!$D$5:$D$66)=0),"",SUMPRODUCT(--(Requirements!$B$5:$B$66="Reporting"),Scoring!$D$5:$D$66,Scoring!$F$5:$F$66)/(3*SUMPRODUCT(--(Requirements!$B$5:$B$66="Reporting"),Scoring!$D$5:$D$66)))</f>
        <v>0.80555555555555558</v>
      </c>
      <c r="D21" s="19">
        <f>IF(OR(D15&gt;0,3*SUMPRODUCT(--(Requirements!$B$5:$B$66="Reporting"),Scoring!$D$5:$D$66)=0),"",SUMPRODUCT(--(Requirements!$B$5:$B$66="Reporting"),Scoring!$D$5:$D$66,Scoring!$G$5:$G$66)/(3*SUMPRODUCT(--(Requirements!$B$5:$B$66="Reporting"),Scoring!$D$5:$D$66)))</f>
        <v>0.55555555555555558</v>
      </c>
    </row>
    <row r="22" spans="1:4" x14ac:dyDescent="0.35">
      <c r="A22" s="7" t="s">
        <v>146</v>
      </c>
      <c r="B22" s="19">
        <f>IF(OR(B15&gt;0,3*SUMPRODUCT(--(Requirements!$B$5:$B$66="Integrations and data"),Scoring!$D$5:$D$66)=0),"",SUMPRODUCT(--(Requirements!$B$5:$B$66="Integrations and data"),Scoring!$D$5:$D$66,Scoring!$E$5:$E$66)/(3*SUMPRODUCT(--(Requirements!$B$5:$B$66="Integrations and data"),Scoring!$D$5:$D$66)))</f>
        <v>0.66666666666666663</v>
      </c>
      <c r="C22" s="19">
        <f>IF(OR(C15&gt;0,3*SUMPRODUCT(--(Requirements!$B$5:$B$66="Integrations and data"),Scoring!$D$5:$D$66)=0),"",SUMPRODUCT(--(Requirements!$B$5:$B$66="Integrations and data"),Scoring!$D$5:$D$66,Scoring!$F$5:$F$66)/(3*SUMPRODUCT(--(Requirements!$B$5:$B$66="Integrations and data"),Scoring!$D$5:$D$66)))</f>
        <v>0.5</v>
      </c>
      <c r="D22" s="19">
        <f>IF(OR(D15&gt;0,3*SUMPRODUCT(--(Requirements!$B$5:$B$66="Integrations and data"),Scoring!$D$5:$D$66)=0),"",SUMPRODUCT(--(Requirements!$B$5:$B$66="Integrations and data"),Scoring!$D$5:$D$66,Scoring!$G$5:$G$66)/(3*SUMPRODUCT(--(Requirements!$B$5:$B$66="Integrations and data"),Scoring!$D$5:$D$66)))</f>
        <v>0.59523809523809523</v>
      </c>
    </row>
    <row r="23" spans="1:4" x14ac:dyDescent="0.35">
      <c r="A23" s="7" t="s">
        <v>165</v>
      </c>
      <c r="B23" s="19">
        <f>IF(OR(B15&gt;0,3*SUMPRODUCT(--(Requirements!$B$5:$B$66="Security and privacy"),Scoring!$D$5:$D$66)=0),"",SUMPRODUCT(--(Requirements!$B$5:$B$66="Security and privacy"),Scoring!$D$5:$D$66,Scoring!$E$5:$E$66)/(3*SUMPRODUCT(--(Requirements!$B$5:$B$66="Security and privacy"),Scoring!$D$5:$D$66)))</f>
        <v>0.625</v>
      </c>
      <c r="C23" s="19">
        <f>IF(OR(C15&gt;0,3*SUMPRODUCT(--(Requirements!$B$5:$B$66="Security and privacy"),Scoring!$D$5:$D$66)=0),"",SUMPRODUCT(--(Requirements!$B$5:$B$66="Security and privacy"),Scoring!$D$5:$D$66,Scoring!$F$5:$F$66)/(3*SUMPRODUCT(--(Requirements!$B$5:$B$66="Security and privacy"),Scoring!$D$5:$D$66)))</f>
        <v>0.66666666666666663</v>
      </c>
      <c r="D23" s="19">
        <f>IF(OR(D15&gt;0,3*SUMPRODUCT(--(Requirements!$B$5:$B$66="Security and privacy"),Scoring!$D$5:$D$66)=0),"",SUMPRODUCT(--(Requirements!$B$5:$B$66="Security and privacy"),Scoring!$D$5:$D$66,Scoring!$G$5:$G$66)/(3*SUMPRODUCT(--(Requirements!$B$5:$B$66="Security and privacy"),Scoring!$D$5:$D$66)))</f>
        <v>0.60416666666666663</v>
      </c>
    </row>
    <row r="24" spans="1:4" x14ac:dyDescent="0.35">
      <c r="A24" s="7" t="s">
        <v>184</v>
      </c>
      <c r="B24" s="19">
        <f>IF(OR(B15&gt;0,3*SUMPRODUCT(--(Requirements!$B$5:$B$66="Vendor, support and contract"),Scoring!$D$5:$D$66)=0),"",SUMPRODUCT(--(Requirements!$B$5:$B$66="Vendor, support and contract"),Scoring!$D$5:$D$66,Scoring!$E$5:$E$66)/(3*SUMPRODUCT(--(Requirements!$B$5:$B$66="Vendor, support and contract"),Scoring!$D$5:$D$66)))</f>
        <v>0.76923076923076927</v>
      </c>
      <c r="C24" s="19">
        <f>IF(OR(C15&gt;0,3*SUMPRODUCT(--(Requirements!$B$5:$B$66="Vendor, support and contract"),Scoring!$D$5:$D$66)=0),"",SUMPRODUCT(--(Requirements!$B$5:$B$66="Vendor, support and contract"),Scoring!$D$5:$D$66,Scoring!$F$5:$F$66)/(3*SUMPRODUCT(--(Requirements!$B$5:$B$66="Vendor, support and contract"),Scoring!$D$5:$D$66)))</f>
        <v>0.53846153846153844</v>
      </c>
      <c r="D24" s="19">
        <f>IF(OR(D15&gt;0,3*SUMPRODUCT(--(Requirements!$B$5:$B$66="Vendor, support and contract"),Scoring!$D$5:$D$66)=0),"",SUMPRODUCT(--(Requirements!$B$5:$B$66="Vendor, support and contract"),Scoring!$D$5:$D$66,Scoring!$G$5:$G$66)/(3*SUMPRODUCT(--(Requirements!$B$5:$B$66="Vendor, support and contract"),Scoring!$D$5:$D$66)))</f>
        <v>0.41025641025641024</v>
      </c>
    </row>
    <row r="26" spans="1:4" x14ac:dyDescent="0.35">
      <c r="A26" s="7" t="s">
        <v>234</v>
      </c>
      <c r="B26" s="15">
        <f>(COUNTIF(Requirements!$D$5:$D$66,"Must")+COUNTIF(Requirements!$D$5:$D$66,"Should")+COUNTIF(Requirements!$D$5:$D$66,"Could"))</f>
        <v>47</v>
      </c>
    </row>
    <row r="27" spans="1:4" x14ac:dyDescent="0.35">
      <c r="A27" s="7" t="s">
        <v>235</v>
      </c>
      <c r="B27" s="15">
        <f>COUNTIFS(Requirements!$D$5:$D$66,"Must",Requirements!$C$5:$C$66,"?*")</f>
        <v>19</v>
      </c>
    </row>
    <row r="28" spans="1:4" x14ac:dyDescent="0.35">
      <c r="A28" s="7" t="s">
        <v>236</v>
      </c>
      <c r="B28" s="24">
        <f>SUMPRODUCT(--(Requirements!$C$5:$C$66&lt;&gt;""),--(Requirements!$D$5:$D$66&lt;&gt;"Must"),--(Requirements!$D$5:$D$66&lt;&gt;"Should"),--(Requirements!$D$5:$D$66&lt;&gt;"Could"),--(Requirements!$D$5:$D$66&lt;&gt;"Not needed"))+SUMPRODUCT(--(Requirements!$C$5:$C$66=""),--(Requirements!$D$5:$D$66&lt;&gt;""))</f>
        <v>0</v>
      </c>
      <c r="C28" s="22"/>
      <c r="D28" s="23"/>
    </row>
    <row r="29" spans="1:4" x14ac:dyDescent="0.35">
      <c r="A29" s="7" t="s">
        <v>237</v>
      </c>
      <c r="B29" s="14">
        <f>SUMPRODUCT(--(Scoring!$C$5:$C$66="Must"),--(Scoring!$E$5:$E$66&lt;&gt;3))</f>
        <v>12</v>
      </c>
      <c r="C29" s="11">
        <f>SUMPRODUCT(--(Scoring!$C$5:$C$66="Must"),--(Scoring!$F$5:$F$66&lt;&gt;3))</f>
        <v>14</v>
      </c>
      <c r="D29" s="12">
        <f>SUMPRODUCT(--(Scoring!$C$5:$C$66="Must"),--(Scoring!$G$5:$G$66&lt;&gt;3))</f>
        <v>19</v>
      </c>
    </row>
  </sheetData>
  <mergeCells count="1">
    <mergeCell ref="B28:D28"/>
  </mergeCells>
  <conditionalFormatting sqref="B11:D11">
    <cfRule type="expression" dxfId="2" priority="1">
      <formula>B11="In"</formula>
    </cfRule>
    <cfRule type="expression" dxfId="1" priority="2">
      <formula>LEFT(B11,3)="Out"</formula>
    </cfRule>
    <cfRule type="expression" dxfId="0" priority="3">
      <formula>LEFT(B11,5)="Score"</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6"/>
  <sheetViews>
    <sheetView workbookViewId="0"/>
  </sheetViews>
  <sheetFormatPr defaultRowHeight="14.5" x14ac:dyDescent="0.35"/>
  <cols>
    <col min="1" max="2" width="6" customWidth="1"/>
    <col min="3" max="3" width="44" customWidth="1"/>
    <col min="4" max="4" width="56" customWidth="1"/>
    <col min="5" max="5" width="9" customWidth="1"/>
    <col min="6" max="6" width="30" customWidth="1"/>
  </cols>
  <sheetData>
    <row r="1" spans="1:6" ht="19" x14ac:dyDescent="0.4">
      <c r="A1" s="1" t="s">
        <v>238</v>
      </c>
    </row>
    <row r="2" spans="1:6" x14ac:dyDescent="0.35">
      <c r="A2" s="2" t="s">
        <v>239</v>
      </c>
    </row>
    <row r="4" spans="1:6" x14ac:dyDescent="0.35">
      <c r="A4" s="3" t="s">
        <v>240</v>
      </c>
      <c r="B4" s="3" t="s">
        <v>28</v>
      </c>
      <c r="C4" s="3" t="s">
        <v>30</v>
      </c>
      <c r="D4" s="3" t="s">
        <v>241</v>
      </c>
      <c r="E4" s="3" t="s">
        <v>242</v>
      </c>
      <c r="F4" s="3" t="s">
        <v>218</v>
      </c>
    </row>
    <row r="5" spans="1:6" ht="20" customHeight="1" x14ac:dyDescent="0.35">
      <c r="A5" s="18">
        <f>IF(ISNUMBER(MATCH(1,Requirements!$H$5:$H$66,0)),1,"")</f>
        <v>1</v>
      </c>
      <c r="B5" s="20" t="str">
        <f>IFERROR(INDEX(Requirements!$A$5:$A$66,MATCH(1,Requirements!$H$5:$H$66,0)),"")</f>
        <v>L1</v>
      </c>
      <c r="C5" s="14" t="str">
        <f>IFERROR(INDEX(Requirements!$C$5:$C$66,MATCH(1,Requirements!$H$5:$H$66,0)),"")</f>
        <v>Learners sign in with our existing work accounts (single sign-on)</v>
      </c>
      <c r="D5" s="14" t="str">
        <f>IFERROR(INDEX(Requirements!$F$5:$F$66,MATCH(1,Requirements!$H$5:$H$66,0))&amp;"","")</f>
        <v>Which identity providers do you support (Microsoft Entra ID, Google, Okta)? Is SSO in the plan you've quoted?</v>
      </c>
      <c r="E5" s="9"/>
      <c r="F5" s="8"/>
    </row>
    <row r="6" spans="1:6" ht="20" customHeight="1" x14ac:dyDescent="0.35">
      <c r="A6" s="18">
        <f>IF(ISNUMBER(MATCH(2,Requirements!$H$5:$H$66,0)),2,"")</f>
        <v>2</v>
      </c>
      <c r="B6" s="20" t="str">
        <f>IFERROR(INDEX(Requirements!$A$5:$A$66,MATCH(2,Requirements!$H$5:$H$66,0)),"")</f>
        <v>A1</v>
      </c>
      <c r="C6" s="14" t="str">
        <f>IFERROR(INDEX(Requirements!$C$5:$C$66,MATCH(2,Requirements!$H$5:$H$66,0)),"")</f>
        <v>Quizzes with a pass mark and limited attempts</v>
      </c>
      <c r="D6" s="14" t="str">
        <f>IFERROR(INDEX(Requirements!$F$5:$F$66,MATCH(2,Requirements!$H$5:$H$66,0))&amp;"","")</f>
        <v>Show setting a pass mark of 80% and two attempts.</v>
      </c>
      <c r="E6" s="9"/>
      <c r="F6" s="8"/>
    </row>
    <row r="7" spans="1:6" ht="20" customHeight="1" x14ac:dyDescent="0.35">
      <c r="A7" s="18">
        <f>IF(ISNUMBER(MATCH(3,Requirements!$H$5:$H$66,0)),3,"")</f>
        <v>3</v>
      </c>
      <c r="B7" s="20" t="str">
        <f>IFERROR(INDEX(Requirements!$A$5:$A$66,MATCH(3,Requirements!$H$5:$H$66,0)),"")</f>
        <v>A2</v>
      </c>
      <c r="C7" s="14" t="str">
        <f>IFERROR(INDEX(Requirements!$C$5:$C$66,MATCH(3,Requirements!$H$5:$H$66,0)),"")</f>
        <v>Certificates issued automatically, with an expiry date</v>
      </c>
      <c r="D7" s="14" t="str">
        <f>IFERROR(INDEX(Requirements!$F$5:$F$66,MATCH(3,Requirements!$H$5:$H$66,0))&amp;"","")</f>
        <v>Show a certificate that expires after 12 months.</v>
      </c>
      <c r="E7" s="9"/>
      <c r="F7" s="8"/>
    </row>
    <row r="8" spans="1:6" ht="20" customHeight="1" x14ac:dyDescent="0.35">
      <c r="A8" s="18">
        <f>IF(ISNUMBER(MATCH(4,Requirements!$H$5:$H$66,0)),4,"")</f>
        <v>4</v>
      </c>
      <c r="B8" s="20" t="str">
        <f>IFERROR(INDEX(Requirements!$A$5:$A$66,MATCH(4,Requirements!$H$5:$H$66,0)),"")</f>
        <v>A3</v>
      </c>
      <c r="C8" s="14" t="str">
        <f>IFERROR(INDEX(Requirements!$C$5:$C$66,MATCH(4,Requirements!$H$5:$H$66,0)),"")</f>
        <v>Recurring training that reassigns itself before it expires</v>
      </c>
      <c r="D8" s="14" t="str">
        <f>IFERROR(INDEX(Requirements!$F$5:$F$66,MATCH(4,Requirements!$H$5:$H$66,0))&amp;"","")</f>
        <v>Show a yearly refresher that reassigns 30 days before expiry, with the reminder email.</v>
      </c>
      <c r="E8" s="9"/>
      <c r="F8" s="8"/>
    </row>
    <row r="9" spans="1:6" ht="20" customHeight="1" x14ac:dyDescent="0.35">
      <c r="A9" s="18">
        <f>IF(ISNUMBER(MATCH(5,Requirements!$H$5:$H$66,0)),5,"")</f>
        <v>5</v>
      </c>
      <c r="B9" s="20" t="str">
        <f>IFERROR(INDEX(Requirements!$A$5:$A$66,MATCH(5,Requirements!$H$5:$H$66,0)),"")</f>
        <v>A5</v>
      </c>
      <c r="C9" s="14" t="str">
        <f>IFERROR(INDEX(Requirements!$C$5:$C$66,MATCH(5,Requirements!$H$5:$H$66,0)),"")</f>
        <v>A completion record that can't be changed without a trace</v>
      </c>
      <c r="D9" s="14" t="str">
        <f>IFERROR(INDEX(Requirements!$F$5:$F$66,MATCH(5,Requirements!$H$5:$H$66,0))&amp;"","")</f>
        <v>Can an admin change a completion date, and is the change logged?</v>
      </c>
      <c r="E9" s="9"/>
      <c r="F9" s="8"/>
    </row>
    <row r="10" spans="1:6" ht="20" customHeight="1" x14ac:dyDescent="0.35">
      <c r="A10" s="18">
        <f>IF(ISNUMBER(MATCH(6,Requirements!$H$5:$H$66,0)),6,"")</f>
        <v>6</v>
      </c>
      <c r="B10" s="20" t="str">
        <f>IFERROR(INDEX(Requirements!$A$5:$A$66,MATCH(6,Requirements!$H$5:$H$66,0)),"")</f>
        <v>D2</v>
      </c>
      <c r="C10" s="14" t="str">
        <f>IFERROR(INDEX(Requirements!$C$5:$C$66,MATCH(6,Requirements!$H$5:$H$66,0)),"")</f>
        <v>Bulk-add and update users from a spreadsheet</v>
      </c>
      <c r="D10" s="14" t="str">
        <f>IFERROR(INDEX(Requirements!$F$5:$F$66,MATCH(6,Requirements!$H$5:$H$66,0))&amp;"","")</f>
        <v>Show importing 50 users from a CSV.</v>
      </c>
      <c r="E10" s="9"/>
      <c r="F10" s="8"/>
    </row>
    <row r="11" spans="1:6" ht="20" customHeight="1" x14ac:dyDescent="0.35">
      <c r="A11" s="18">
        <f>IF(ISNUMBER(MATCH(7,Requirements!$H$5:$H$66,0)),7,"")</f>
        <v>7</v>
      </c>
      <c r="B11" s="20" t="str">
        <f>IFERROR(INDEX(Requirements!$A$5:$A$66,MATCH(7,Requirements!$H$5:$H$66,0)),"")</f>
        <v>D4</v>
      </c>
      <c r="C11" s="14" t="str">
        <f>IFERROR(INDEX(Requirements!$C$5:$C$66,MATCH(7,Requirements!$H$5:$H$66,0)),"")</f>
        <v>Reminder emails before and after a due date</v>
      </c>
      <c r="D11" s="14" t="str">
        <f>IFERROR(INDEX(Requirements!$F$5:$F$66,MATCH(7,Requirements!$H$5:$H$66,0))&amp;"","")</f>
        <v>Can we change the reminder wording and timing?</v>
      </c>
      <c r="E11" s="9"/>
      <c r="F11" s="8"/>
    </row>
    <row r="12" spans="1:6" ht="20" customHeight="1" x14ac:dyDescent="0.35">
      <c r="A12" s="18">
        <f>IF(ISNUMBER(MATCH(8,Requirements!$H$5:$H$66,0)),8,"")</f>
        <v>8</v>
      </c>
      <c r="B12" s="20" t="str">
        <f>IFERROR(INDEX(Requirements!$A$5:$A$66,MATCH(8,Requirements!$H$5:$H$66,0)),"")</f>
        <v>R1</v>
      </c>
      <c r="C12" s="14" t="str">
        <f>IFERROR(INDEX(Requirements!$C$5:$C$66,MATCH(8,Requirements!$H$5:$H$66,0)),"")</f>
        <v>Completion and overdue reports by team and course</v>
      </c>
      <c r="D12" s="14" t="str">
        <f>IFERROR(INDEX(Requirements!$F$5:$F$66,MATCH(8,Requirements!$H$5:$H$66,0))&amp;"","")</f>
        <v>Show the overdue report for one team, filtered by course.</v>
      </c>
      <c r="E12" s="9"/>
      <c r="F12" s="8"/>
    </row>
    <row r="13" spans="1:6" ht="20" customHeight="1" x14ac:dyDescent="0.35">
      <c r="A13" s="18">
        <f>IF(ISNUMBER(MATCH(9,Requirements!$H$5:$H$66,0)),9,"")</f>
        <v>9</v>
      </c>
      <c r="B13" s="20" t="str">
        <f>IFERROR(INDEX(Requirements!$A$5:$A$66,MATCH(9,Requirements!$H$5:$H$66,0)),"")</f>
        <v>R3</v>
      </c>
      <c r="C13" s="14" t="str">
        <f>IFERROR(INDEX(Requirements!$C$5:$C$66,MATCH(9,Requirements!$H$5:$H$66,0)),"")</f>
        <v>Export any report, or every completion at once, to Excel or CSV</v>
      </c>
      <c r="D13" s="14" t="str">
        <f>IFERROR(INDEX(Requirements!$F$5:$F$66,MATCH(9,Requirements!$H$5:$H$66,0))&amp;"","")</f>
        <v>During the demo, export every completion of one course for the last two years and open it.</v>
      </c>
      <c r="E13" s="9"/>
      <c r="F13" s="8"/>
    </row>
    <row r="14" spans="1:6" ht="20" customHeight="1" x14ac:dyDescent="0.35">
      <c r="A14" s="18">
        <f>IF(ISNUMBER(MATCH(10,Requirements!$H$5:$H$66,0)),10,"")</f>
        <v>10</v>
      </c>
      <c r="B14" s="20" t="str">
        <f>IFERROR(INDEX(Requirements!$A$5:$A$66,MATCH(10,Requirements!$H$5:$H$66,0)),"")</f>
        <v>R5</v>
      </c>
      <c r="C14" s="14" t="str">
        <f>IFERROR(INDEX(Requirements!$C$5:$C$66,MATCH(10,Requirements!$H$5:$H$66,0)),"")</f>
        <v>A compliance view: who's current, due soon and expired</v>
      </c>
      <c r="D14" s="14" t="str">
        <f>IFERROR(INDEX(Requirements!$F$5:$F$66,MATCH(10,Requirements!$H$5:$H$66,0))&amp;"","")</f>
        <v>Show the expiry view for one certificate.</v>
      </c>
      <c r="E14" s="9"/>
      <c r="F14" s="8"/>
    </row>
    <row r="15" spans="1:6" ht="20" customHeight="1" x14ac:dyDescent="0.35">
      <c r="A15" s="18">
        <f>IF(ISNUMBER(MATCH(11,Requirements!$H$5:$H$66,0)),11,"")</f>
        <v>11</v>
      </c>
      <c r="B15" s="20" t="str">
        <f>IFERROR(INDEX(Requirements!$A$5:$A$66,MATCH(11,Requirements!$H$5:$H$66,0)),"")</f>
        <v>I1</v>
      </c>
      <c r="C15" s="14" t="str">
        <f>IFERROR(INDEX(Requirements!$C$5:$C$66,MATCH(11,Requirements!$H$5:$H$66,0)),"")</f>
        <v>Users sync from our HR system</v>
      </c>
      <c r="D15" s="14" t="str">
        <f>IFERROR(INDEX(Requirements!$F$5:$F$66,MATCH(11,Requirements!$H$5:$H$66,0))&amp;"","")</f>
        <v>Which HR systems do you connect to, and how often does the sync run?</v>
      </c>
      <c r="E15" s="9"/>
      <c r="F15" s="8"/>
    </row>
    <row r="16" spans="1:6" ht="20" customHeight="1" x14ac:dyDescent="0.35">
      <c r="A16" s="18">
        <f>IF(ISNUMBER(MATCH(12,Requirements!$H$5:$H$66,0)),12,"")</f>
        <v>12</v>
      </c>
      <c r="B16" s="20" t="str">
        <f>IFERROR(INDEX(Requirements!$A$5:$A$66,MATCH(12,Requirements!$H$5:$H$66,0)),"")</f>
        <v>I2</v>
      </c>
      <c r="C16" s="14" t="str">
        <f>IFERROR(INDEX(Requirements!$C$5:$C$66,MATCH(12,Requirements!$H$5:$H$66,0)),"")</f>
        <v>Leavers lose access, but their records are kept</v>
      </c>
      <c r="D16" s="14" t="str">
        <f>IFERROR(INDEX(Requirements!$F$5:$F$66,MATCH(12,Requirements!$H$5:$H$66,0))&amp;"","")</f>
        <v>What happens to a leaver's account and training history?</v>
      </c>
      <c r="E16" s="9"/>
      <c r="F16" s="8"/>
    </row>
    <row r="17" spans="1:6" ht="20" customHeight="1" x14ac:dyDescent="0.35">
      <c r="A17" s="18">
        <f>IF(ISNUMBER(MATCH(13,Requirements!$H$5:$H$66,0)),13,"")</f>
        <v>13</v>
      </c>
      <c r="B17" s="20" t="str">
        <f>IFERROR(INDEX(Requirements!$A$5:$A$66,MATCH(13,Requirements!$H$5:$H$66,0)),"")</f>
        <v>I5</v>
      </c>
      <c r="C17" s="14" t="str">
        <f>IFERROR(INDEX(Requirements!$C$5:$C$66,MATCH(13,Requirements!$H$5:$H$66,0)),"")</f>
        <v>We can export all our data and content if we leave</v>
      </c>
      <c r="D17" s="14" t="str">
        <f>IFERROR(INDEX(Requirements!$F$5:$F$66,MATCH(13,Requirements!$H$5:$H$66,0))&amp;"","")</f>
        <v>In what format, at what cost, and how long does it take? Does our SCORM content keep working?</v>
      </c>
      <c r="E17" s="9"/>
      <c r="F17" s="8"/>
    </row>
    <row r="18" spans="1:6" ht="20" customHeight="1" x14ac:dyDescent="0.35">
      <c r="A18" s="18">
        <f>IF(ISNUMBER(MATCH(14,Requirements!$H$5:$H$66,0)),14,"")</f>
        <v>14</v>
      </c>
      <c r="B18" s="20" t="str">
        <f>IFERROR(INDEX(Requirements!$A$5:$A$66,MATCH(14,Requirements!$H$5:$H$66,0)),"")</f>
        <v>I6</v>
      </c>
      <c r="C18" s="14" t="str">
        <f>IFERROR(INDEX(Requirements!$C$5:$C$66,MATCH(14,Requirements!$H$5:$H$66,0)),"")</f>
        <v>Imports our existing training records</v>
      </c>
      <c r="D18" s="14" t="str">
        <f>IFERROR(INDEX(Requirements!$F$5:$F$66,MATCH(14,Requirements!$H$5:$H$66,0))&amp;"","")</f>
        <v>Can you load our past completions and certificate dates, and who does the work?</v>
      </c>
      <c r="E18" s="9"/>
      <c r="F18" s="8"/>
    </row>
    <row r="19" spans="1:6" ht="20" customHeight="1" x14ac:dyDescent="0.35">
      <c r="A19" s="18">
        <f>IF(ISNUMBER(MATCH(15,Requirements!$H$5:$H$66,0)),15,"")</f>
        <v>15</v>
      </c>
      <c r="B19" s="20" t="str">
        <f>IFERROR(INDEX(Requirements!$A$5:$A$66,MATCH(15,Requirements!$H$5:$H$66,0)),"")</f>
        <v>S1</v>
      </c>
      <c r="C19" s="14" t="str">
        <f>IFERROR(INDEX(Requirements!$C$5:$C$66,MATCH(15,Requirements!$H$5:$H$66,0)),"")</f>
        <v>Data stored in our country or region</v>
      </c>
      <c r="D19" s="14" t="str">
        <f>IFERROR(INDEX(Requirements!$F$5:$F$66,MATCH(15,Requirements!$H$5:$H$66,0))&amp;"","")</f>
        <v>Where is our data hosted, and can we choose the region?</v>
      </c>
      <c r="E19" s="9"/>
      <c r="F19" s="8"/>
    </row>
    <row r="20" spans="1:6" ht="20" customHeight="1" x14ac:dyDescent="0.35">
      <c r="A20" s="18">
        <f>IF(ISNUMBER(MATCH(16,Requirements!$H$5:$H$66,0)),16,"")</f>
        <v>16</v>
      </c>
      <c r="B20" s="20" t="str">
        <f>IFERROR(INDEX(Requirements!$A$5:$A$66,MATCH(16,Requirements!$H$5:$H$66,0)),"")</f>
        <v>S2</v>
      </c>
      <c r="C20" s="14" t="str">
        <f>IFERROR(INDEX(Requirements!$C$5:$C$66,MATCH(16,Requirements!$H$5:$H$66,0)),"")</f>
        <v>Provides the data-processing terms and controls our privacy review requires</v>
      </c>
      <c r="D20" s="14" t="str">
        <f>IFERROR(INDEX(Requirements!$F$5:$F$66,MATCH(16,Requirements!$H$5:$H$66,0))&amp;"","")</f>
        <v>Which terms apply to our data, support access, subprocessors and international transfers?</v>
      </c>
      <c r="E20" s="9"/>
      <c r="F20" s="8"/>
    </row>
    <row r="21" spans="1:6" ht="20" customHeight="1" x14ac:dyDescent="0.35">
      <c r="A21" s="18">
        <f>IF(ISNUMBER(MATCH(17,Requirements!$H$5:$H$66,0)),17,"")</f>
        <v>17</v>
      </c>
      <c r="B21" s="20" t="str">
        <f>IFERROR(INDEX(Requirements!$A$5:$A$66,MATCH(17,Requirements!$H$5:$H$66,0)),"")</f>
        <v>S4</v>
      </c>
      <c r="C21" s="14" t="str">
        <f>IFERROR(INDEX(Requirements!$C$5:$C$66,MATCH(17,Requirements!$H$5:$H$66,0)),"")</f>
        <v>Completes our security questionnaire</v>
      </c>
      <c r="D21" s="14" t="str">
        <f>IFERROR(INDEX(Requirements!$F$5:$F$66,MATCH(17,Requirements!$H$5:$H$66,0))&amp;"","")</f>
        <v>How long do you take to return a security questionnaire, and do you have a security pack?</v>
      </c>
      <c r="E21" s="9"/>
      <c r="F21" s="8"/>
    </row>
    <row r="22" spans="1:6" ht="20" customHeight="1" x14ac:dyDescent="0.35">
      <c r="A22" s="18">
        <f>IF(ISNUMBER(MATCH(18,Requirements!$H$5:$H$66,0)),18,"")</f>
        <v>18</v>
      </c>
      <c r="B22" s="20" t="str">
        <f>IFERROR(INDEX(Requirements!$A$5:$A$66,MATCH(18,Requirements!$H$5:$H$66,0)),"")</f>
        <v>S5</v>
      </c>
      <c r="C22" s="14" t="str">
        <f>IFERROR(INDEX(Requirements!$C$5:$C$66,MATCH(18,Requirements!$H$5:$H$66,0)),"")</f>
        <v>Our content isn't used to train AI models</v>
      </c>
      <c r="D22" s="14" t="str">
        <f>IFERROR(INDEX(Requirements!$F$5:$F$66,MATCH(18,Requirements!$H$5:$H$66,0))&amp;"","")</f>
        <v>Which AI services process our content, and is any of it used for training? Is that in the contract?</v>
      </c>
      <c r="E22" s="9"/>
      <c r="F22" s="8"/>
    </row>
    <row r="23" spans="1:6" ht="20" customHeight="1" x14ac:dyDescent="0.35">
      <c r="A23" s="18">
        <f>IF(ISNUMBER(MATCH(19,Requirements!$H$5:$H$66,0)),19,"")</f>
        <v>19</v>
      </c>
      <c r="B23" s="20" t="str">
        <f>IFERROR(INDEX(Requirements!$A$5:$A$66,MATCH(19,Requirements!$H$5:$H$66,0)),"")</f>
        <v>V4</v>
      </c>
      <c r="C23" s="14" t="str">
        <f>IFERROR(INDEX(Requirements!$C$5:$C$66,MATCH(19,Requirements!$H$5:$H$66,0)),"")</f>
        <v>Pricing that fits our size for three years</v>
      </c>
      <c r="D23" s="14" t="str">
        <f>IFERROR(INDEX(Requirements!$F$5:$F$66,MATCH(19,Requirements!$H$5:$H$66,0))&amp;"","")</f>
        <v>What will it cost at our size now and at 50% more learners? What rises at renewal?</v>
      </c>
      <c r="E23" s="9"/>
      <c r="F23" s="8"/>
    </row>
    <row r="24" spans="1:6" ht="20" customHeight="1" x14ac:dyDescent="0.35">
      <c r="A24" s="18" t="str">
        <f>IF(ISNUMBER(MATCH(20,Requirements!$H$5:$H$66,0)),20,"")</f>
        <v/>
      </c>
      <c r="B24" s="20" t="str">
        <f>IFERROR(INDEX(Requirements!$A$5:$A$66,MATCH(20,Requirements!$H$5:$H$66,0)),"")</f>
        <v/>
      </c>
      <c r="C24" s="14" t="str">
        <f>IFERROR(INDEX(Requirements!$C$5:$C$66,MATCH(20,Requirements!$H$5:$H$66,0)),"")</f>
        <v/>
      </c>
      <c r="D24" s="14" t="str">
        <f>IFERROR(INDEX(Requirements!$F$5:$F$66,MATCH(20,Requirements!$H$5:$H$66,0))&amp;"","")</f>
        <v/>
      </c>
      <c r="E24" s="9"/>
      <c r="F24" s="8"/>
    </row>
    <row r="25" spans="1:6" ht="20" customHeight="1" x14ac:dyDescent="0.35">
      <c r="A25" s="18" t="str">
        <f>IF(ISNUMBER(MATCH(21,Requirements!$H$5:$H$66,0)),21,"")</f>
        <v/>
      </c>
      <c r="B25" s="20" t="str">
        <f>IFERROR(INDEX(Requirements!$A$5:$A$66,MATCH(21,Requirements!$H$5:$H$66,0)),"")</f>
        <v/>
      </c>
      <c r="C25" s="14" t="str">
        <f>IFERROR(INDEX(Requirements!$C$5:$C$66,MATCH(21,Requirements!$H$5:$H$66,0)),"")</f>
        <v/>
      </c>
      <c r="D25" s="14" t="str">
        <f>IFERROR(INDEX(Requirements!$F$5:$F$66,MATCH(21,Requirements!$H$5:$H$66,0))&amp;"","")</f>
        <v/>
      </c>
      <c r="E25" s="9"/>
      <c r="F25" s="8"/>
    </row>
    <row r="26" spans="1:6" ht="20" customHeight="1" x14ac:dyDescent="0.35">
      <c r="A26" s="18" t="str">
        <f>IF(ISNUMBER(MATCH(22,Requirements!$H$5:$H$66,0)),22,"")</f>
        <v/>
      </c>
      <c r="B26" s="20" t="str">
        <f>IFERROR(INDEX(Requirements!$A$5:$A$66,MATCH(22,Requirements!$H$5:$H$66,0)),"")</f>
        <v/>
      </c>
      <c r="C26" s="14" t="str">
        <f>IFERROR(INDEX(Requirements!$C$5:$C$66,MATCH(22,Requirements!$H$5:$H$66,0)),"")</f>
        <v/>
      </c>
      <c r="D26" s="14" t="str">
        <f>IFERROR(INDEX(Requirements!$F$5:$F$66,MATCH(22,Requirements!$H$5:$H$66,0))&amp;"","")</f>
        <v/>
      </c>
      <c r="E26" s="9"/>
      <c r="F26" s="8"/>
    </row>
    <row r="27" spans="1:6" ht="20" customHeight="1" x14ac:dyDescent="0.35">
      <c r="A27" s="18" t="str">
        <f>IF(ISNUMBER(MATCH(23,Requirements!$H$5:$H$66,0)),23,"")</f>
        <v/>
      </c>
      <c r="B27" s="20" t="str">
        <f>IFERROR(INDEX(Requirements!$A$5:$A$66,MATCH(23,Requirements!$H$5:$H$66,0)),"")</f>
        <v/>
      </c>
      <c r="C27" s="14" t="str">
        <f>IFERROR(INDEX(Requirements!$C$5:$C$66,MATCH(23,Requirements!$H$5:$H$66,0)),"")</f>
        <v/>
      </c>
      <c r="D27" s="14" t="str">
        <f>IFERROR(INDEX(Requirements!$F$5:$F$66,MATCH(23,Requirements!$H$5:$H$66,0))&amp;"","")</f>
        <v/>
      </c>
      <c r="E27" s="9"/>
      <c r="F27" s="8"/>
    </row>
    <row r="28" spans="1:6" ht="20" customHeight="1" x14ac:dyDescent="0.35">
      <c r="A28" s="18" t="str">
        <f>IF(ISNUMBER(MATCH(24,Requirements!$H$5:$H$66,0)),24,"")</f>
        <v/>
      </c>
      <c r="B28" s="20" t="str">
        <f>IFERROR(INDEX(Requirements!$A$5:$A$66,MATCH(24,Requirements!$H$5:$H$66,0)),"")</f>
        <v/>
      </c>
      <c r="C28" s="14" t="str">
        <f>IFERROR(INDEX(Requirements!$C$5:$C$66,MATCH(24,Requirements!$H$5:$H$66,0)),"")</f>
        <v/>
      </c>
      <c r="D28" s="14" t="str">
        <f>IFERROR(INDEX(Requirements!$F$5:$F$66,MATCH(24,Requirements!$H$5:$H$66,0))&amp;"","")</f>
        <v/>
      </c>
      <c r="E28" s="9"/>
      <c r="F28" s="8"/>
    </row>
    <row r="29" spans="1:6" ht="20" customHeight="1" x14ac:dyDescent="0.35">
      <c r="A29" s="18" t="str">
        <f>IF(ISNUMBER(MATCH(25,Requirements!$H$5:$H$66,0)),25,"")</f>
        <v/>
      </c>
      <c r="B29" s="20" t="str">
        <f>IFERROR(INDEX(Requirements!$A$5:$A$66,MATCH(25,Requirements!$H$5:$H$66,0)),"")</f>
        <v/>
      </c>
      <c r="C29" s="14" t="str">
        <f>IFERROR(INDEX(Requirements!$C$5:$C$66,MATCH(25,Requirements!$H$5:$H$66,0)),"")</f>
        <v/>
      </c>
      <c r="D29" s="14" t="str">
        <f>IFERROR(INDEX(Requirements!$F$5:$F$66,MATCH(25,Requirements!$H$5:$H$66,0))&amp;"","")</f>
        <v/>
      </c>
      <c r="E29" s="9"/>
      <c r="F29" s="8"/>
    </row>
    <row r="30" spans="1:6" ht="36.65" customHeight="1" x14ac:dyDescent="0.35">
      <c r="A30" s="18" t="str">
        <f>IF(ISNUMBER(MATCH(26,Requirements!$H$5:$H$66,0)),26,"")</f>
        <v/>
      </c>
      <c r="B30" s="20" t="str">
        <f>IFERROR(INDEX(Requirements!$A$5:$A$66,MATCH(26,Requirements!$H$5:$H$66,0))&amp;"","")</f>
        <v/>
      </c>
      <c r="C30" s="14" t="str">
        <f>IFERROR(INDEX(Requirements!$C$5:$C$66,MATCH(26,Requirements!$H$5:$H$66,0))&amp;"","")</f>
        <v/>
      </c>
      <c r="D30" s="14" t="str">
        <f>IFERROR(INDEX(Requirements!$F$5:$F$66,MATCH(26,Requirements!$H$5:$H$66,0))&amp;"","")</f>
        <v/>
      </c>
      <c r="E30" s="9"/>
      <c r="F30" s="8"/>
    </row>
    <row r="31" spans="1:6" ht="36.65" customHeight="1" x14ac:dyDescent="0.35">
      <c r="A31" s="18" t="str">
        <f>IF(ISNUMBER(MATCH(27,Requirements!$H$5:$H$66,0)),27,"")</f>
        <v/>
      </c>
      <c r="B31" s="20" t="str">
        <f>IFERROR(INDEX(Requirements!$A$5:$A$66,MATCH(27,Requirements!$H$5:$H$66,0))&amp;"","")</f>
        <v/>
      </c>
      <c r="C31" s="14" t="str">
        <f>IFERROR(INDEX(Requirements!$C$5:$C$66,MATCH(27,Requirements!$H$5:$H$66,0))&amp;"","")</f>
        <v/>
      </c>
      <c r="D31" s="14" t="str">
        <f>IFERROR(INDEX(Requirements!$F$5:$F$66,MATCH(27,Requirements!$H$5:$H$66,0))&amp;"","")</f>
        <v/>
      </c>
      <c r="E31" s="9"/>
      <c r="F31" s="8"/>
    </row>
    <row r="32" spans="1:6" ht="36.65" customHeight="1" x14ac:dyDescent="0.35">
      <c r="A32" s="18" t="str">
        <f>IF(ISNUMBER(MATCH(28,Requirements!$H$5:$H$66,0)),28,"")</f>
        <v/>
      </c>
      <c r="B32" s="20" t="str">
        <f>IFERROR(INDEX(Requirements!$A$5:$A$66,MATCH(28,Requirements!$H$5:$H$66,0))&amp;"","")</f>
        <v/>
      </c>
      <c r="C32" s="14" t="str">
        <f>IFERROR(INDEX(Requirements!$C$5:$C$66,MATCH(28,Requirements!$H$5:$H$66,0))&amp;"","")</f>
        <v/>
      </c>
      <c r="D32" s="14" t="str">
        <f>IFERROR(INDEX(Requirements!$F$5:$F$66,MATCH(28,Requirements!$H$5:$H$66,0))&amp;"","")</f>
        <v/>
      </c>
      <c r="E32" s="9"/>
      <c r="F32" s="8"/>
    </row>
    <row r="33" spans="1:6" ht="36.65" customHeight="1" x14ac:dyDescent="0.35">
      <c r="A33" s="18" t="str">
        <f>IF(ISNUMBER(MATCH(29,Requirements!$H$5:$H$66,0)),29,"")</f>
        <v/>
      </c>
      <c r="B33" s="20" t="str">
        <f>IFERROR(INDEX(Requirements!$A$5:$A$66,MATCH(29,Requirements!$H$5:$H$66,0))&amp;"","")</f>
        <v/>
      </c>
      <c r="C33" s="14" t="str">
        <f>IFERROR(INDEX(Requirements!$C$5:$C$66,MATCH(29,Requirements!$H$5:$H$66,0))&amp;"","")</f>
        <v/>
      </c>
      <c r="D33" s="14" t="str">
        <f>IFERROR(INDEX(Requirements!$F$5:$F$66,MATCH(29,Requirements!$H$5:$H$66,0))&amp;"","")</f>
        <v/>
      </c>
      <c r="E33" s="9"/>
      <c r="F33" s="8"/>
    </row>
    <row r="34" spans="1:6" ht="36.65" customHeight="1" x14ac:dyDescent="0.35">
      <c r="A34" s="18" t="str">
        <f>IF(ISNUMBER(MATCH(30,Requirements!$H$5:$H$66,0)),30,"")</f>
        <v/>
      </c>
      <c r="B34" s="20" t="str">
        <f>IFERROR(INDEX(Requirements!$A$5:$A$66,MATCH(30,Requirements!$H$5:$H$66,0))&amp;"","")</f>
        <v/>
      </c>
      <c r="C34" s="14" t="str">
        <f>IFERROR(INDEX(Requirements!$C$5:$C$66,MATCH(30,Requirements!$H$5:$H$66,0))&amp;"","")</f>
        <v/>
      </c>
      <c r="D34" s="14" t="str">
        <f>IFERROR(INDEX(Requirements!$F$5:$F$66,MATCH(30,Requirements!$H$5:$H$66,0))&amp;"","")</f>
        <v/>
      </c>
      <c r="E34" s="9"/>
      <c r="F34" s="8"/>
    </row>
    <row r="35" spans="1:6" ht="36.65" customHeight="1" x14ac:dyDescent="0.35">
      <c r="A35" s="18" t="str">
        <f>IF(ISNUMBER(MATCH(31,Requirements!$H$5:$H$66,0)),31,"")</f>
        <v/>
      </c>
      <c r="B35" s="20" t="str">
        <f>IFERROR(INDEX(Requirements!$A$5:$A$66,MATCH(31,Requirements!$H$5:$H$66,0))&amp;"","")</f>
        <v/>
      </c>
      <c r="C35" s="14" t="str">
        <f>IFERROR(INDEX(Requirements!$C$5:$C$66,MATCH(31,Requirements!$H$5:$H$66,0))&amp;"","")</f>
        <v/>
      </c>
      <c r="D35" s="14" t="str">
        <f>IFERROR(INDEX(Requirements!$F$5:$F$66,MATCH(31,Requirements!$H$5:$H$66,0))&amp;"","")</f>
        <v/>
      </c>
      <c r="E35" s="9"/>
      <c r="F35" s="8"/>
    </row>
    <row r="36" spans="1:6" ht="36.65" customHeight="1" x14ac:dyDescent="0.35">
      <c r="A36" s="18" t="str">
        <f>IF(ISNUMBER(MATCH(32,Requirements!$H$5:$H$66,0)),32,"")</f>
        <v/>
      </c>
      <c r="B36" s="20" t="str">
        <f>IFERROR(INDEX(Requirements!$A$5:$A$66,MATCH(32,Requirements!$H$5:$H$66,0))&amp;"","")</f>
        <v/>
      </c>
      <c r="C36" s="14" t="str">
        <f>IFERROR(INDEX(Requirements!$C$5:$C$66,MATCH(32,Requirements!$H$5:$H$66,0))&amp;"","")</f>
        <v/>
      </c>
      <c r="D36" s="14" t="str">
        <f>IFERROR(INDEX(Requirements!$F$5:$F$66,MATCH(32,Requirements!$H$5:$H$66,0))&amp;"","")</f>
        <v/>
      </c>
      <c r="E36" s="9"/>
      <c r="F36" s="8"/>
    </row>
    <row r="37" spans="1:6" ht="36.65" customHeight="1" x14ac:dyDescent="0.35">
      <c r="A37" s="18" t="str">
        <f>IF(ISNUMBER(MATCH(33,Requirements!$H$5:$H$66,0)),33,"")</f>
        <v/>
      </c>
      <c r="B37" s="20" t="str">
        <f>IFERROR(INDEX(Requirements!$A$5:$A$66,MATCH(33,Requirements!$H$5:$H$66,0))&amp;"","")</f>
        <v/>
      </c>
      <c r="C37" s="14" t="str">
        <f>IFERROR(INDEX(Requirements!$C$5:$C$66,MATCH(33,Requirements!$H$5:$H$66,0))&amp;"","")</f>
        <v/>
      </c>
      <c r="D37" s="14" t="str">
        <f>IFERROR(INDEX(Requirements!$F$5:$F$66,MATCH(33,Requirements!$H$5:$H$66,0))&amp;"","")</f>
        <v/>
      </c>
      <c r="E37" s="9"/>
      <c r="F37" s="8"/>
    </row>
    <row r="38" spans="1:6" ht="36.65" customHeight="1" x14ac:dyDescent="0.35">
      <c r="A38" s="18" t="str">
        <f>IF(ISNUMBER(MATCH(34,Requirements!$H$5:$H$66,0)),34,"")</f>
        <v/>
      </c>
      <c r="B38" s="20" t="str">
        <f>IFERROR(INDEX(Requirements!$A$5:$A$66,MATCH(34,Requirements!$H$5:$H$66,0))&amp;"","")</f>
        <v/>
      </c>
      <c r="C38" s="14" t="str">
        <f>IFERROR(INDEX(Requirements!$C$5:$C$66,MATCH(34,Requirements!$H$5:$H$66,0))&amp;"","")</f>
        <v/>
      </c>
      <c r="D38" s="14" t="str">
        <f>IFERROR(INDEX(Requirements!$F$5:$F$66,MATCH(34,Requirements!$H$5:$H$66,0))&amp;"","")</f>
        <v/>
      </c>
      <c r="E38" s="9"/>
      <c r="F38" s="8"/>
    </row>
    <row r="39" spans="1:6" ht="36.65" customHeight="1" x14ac:dyDescent="0.35">
      <c r="A39" s="18" t="str">
        <f>IF(ISNUMBER(MATCH(35,Requirements!$H$5:$H$66,0)),35,"")</f>
        <v/>
      </c>
      <c r="B39" s="20" t="str">
        <f>IFERROR(INDEX(Requirements!$A$5:$A$66,MATCH(35,Requirements!$H$5:$H$66,0))&amp;"","")</f>
        <v/>
      </c>
      <c r="C39" s="14" t="str">
        <f>IFERROR(INDEX(Requirements!$C$5:$C$66,MATCH(35,Requirements!$H$5:$H$66,0))&amp;"","")</f>
        <v/>
      </c>
      <c r="D39" s="14" t="str">
        <f>IFERROR(INDEX(Requirements!$F$5:$F$66,MATCH(35,Requirements!$H$5:$H$66,0))&amp;"","")</f>
        <v/>
      </c>
      <c r="E39" s="9"/>
      <c r="F39" s="8"/>
    </row>
    <row r="40" spans="1:6" ht="36.65" customHeight="1" x14ac:dyDescent="0.35">
      <c r="A40" s="18" t="str">
        <f>IF(ISNUMBER(MATCH(36,Requirements!$H$5:$H$66,0)),36,"")</f>
        <v/>
      </c>
      <c r="B40" s="20" t="str">
        <f>IFERROR(INDEX(Requirements!$A$5:$A$66,MATCH(36,Requirements!$H$5:$H$66,0))&amp;"","")</f>
        <v/>
      </c>
      <c r="C40" s="14" t="str">
        <f>IFERROR(INDEX(Requirements!$C$5:$C$66,MATCH(36,Requirements!$H$5:$H$66,0))&amp;"","")</f>
        <v/>
      </c>
      <c r="D40" s="14" t="str">
        <f>IFERROR(INDEX(Requirements!$F$5:$F$66,MATCH(36,Requirements!$H$5:$H$66,0))&amp;"","")</f>
        <v/>
      </c>
      <c r="E40" s="9"/>
      <c r="F40" s="8"/>
    </row>
    <row r="41" spans="1:6" ht="36.65" customHeight="1" x14ac:dyDescent="0.35">
      <c r="A41" s="18" t="str">
        <f>IF(ISNUMBER(MATCH(37,Requirements!$H$5:$H$66,0)),37,"")</f>
        <v/>
      </c>
      <c r="B41" s="20" t="str">
        <f>IFERROR(INDEX(Requirements!$A$5:$A$66,MATCH(37,Requirements!$H$5:$H$66,0))&amp;"","")</f>
        <v/>
      </c>
      <c r="C41" s="14" t="str">
        <f>IFERROR(INDEX(Requirements!$C$5:$C$66,MATCH(37,Requirements!$H$5:$H$66,0))&amp;"","")</f>
        <v/>
      </c>
      <c r="D41" s="14" t="str">
        <f>IFERROR(INDEX(Requirements!$F$5:$F$66,MATCH(37,Requirements!$H$5:$H$66,0))&amp;"","")</f>
        <v/>
      </c>
      <c r="E41" s="9"/>
      <c r="F41" s="8"/>
    </row>
    <row r="42" spans="1:6" ht="36.65" customHeight="1" x14ac:dyDescent="0.35">
      <c r="A42" s="18" t="str">
        <f>IF(ISNUMBER(MATCH(38,Requirements!$H$5:$H$66,0)),38,"")</f>
        <v/>
      </c>
      <c r="B42" s="20" t="str">
        <f>IFERROR(INDEX(Requirements!$A$5:$A$66,MATCH(38,Requirements!$H$5:$H$66,0))&amp;"","")</f>
        <v/>
      </c>
      <c r="C42" s="14" t="str">
        <f>IFERROR(INDEX(Requirements!$C$5:$C$66,MATCH(38,Requirements!$H$5:$H$66,0))&amp;"","")</f>
        <v/>
      </c>
      <c r="D42" s="14" t="str">
        <f>IFERROR(INDEX(Requirements!$F$5:$F$66,MATCH(38,Requirements!$H$5:$H$66,0))&amp;"","")</f>
        <v/>
      </c>
      <c r="E42" s="9"/>
      <c r="F42" s="8"/>
    </row>
    <row r="43" spans="1:6" ht="36.65" customHeight="1" x14ac:dyDescent="0.35">
      <c r="A43" s="18" t="str">
        <f>IF(ISNUMBER(MATCH(39,Requirements!$H$5:$H$66,0)),39,"")</f>
        <v/>
      </c>
      <c r="B43" s="20" t="str">
        <f>IFERROR(INDEX(Requirements!$A$5:$A$66,MATCH(39,Requirements!$H$5:$H$66,0))&amp;"","")</f>
        <v/>
      </c>
      <c r="C43" s="14" t="str">
        <f>IFERROR(INDEX(Requirements!$C$5:$C$66,MATCH(39,Requirements!$H$5:$H$66,0))&amp;"","")</f>
        <v/>
      </c>
      <c r="D43" s="14" t="str">
        <f>IFERROR(INDEX(Requirements!$F$5:$F$66,MATCH(39,Requirements!$H$5:$H$66,0))&amp;"","")</f>
        <v/>
      </c>
      <c r="E43" s="9"/>
      <c r="F43" s="8"/>
    </row>
    <row r="44" spans="1:6" ht="36.65" customHeight="1" x14ac:dyDescent="0.35">
      <c r="A44" s="18" t="str">
        <f>IF(ISNUMBER(MATCH(40,Requirements!$H$5:$H$66,0)),40,"")</f>
        <v/>
      </c>
      <c r="B44" s="20" t="str">
        <f>IFERROR(INDEX(Requirements!$A$5:$A$66,MATCH(40,Requirements!$H$5:$H$66,0))&amp;"","")</f>
        <v/>
      </c>
      <c r="C44" s="14" t="str">
        <f>IFERROR(INDEX(Requirements!$C$5:$C$66,MATCH(40,Requirements!$H$5:$H$66,0))&amp;"","")</f>
        <v/>
      </c>
      <c r="D44" s="14" t="str">
        <f>IFERROR(INDEX(Requirements!$F$5:$F$66,MATCH(40,Requirements!$H$5:$H$66,0))&amp;"","")</f>
        <v/>
      </c>
      <c r="E44" s="9"/>
      <c r="F44" s="8"/>
    </row>
    <row r="45" spans="1:6" ht="36.65" customHeight="1" x14ac:dyDescent="0.35">
      <c r="A45" s="18" t="str">
        <f>IF(ISNUMBER(MATCH(41,Requirements!$H$5:$H$66,0)),41,"")</f>
        <v/>
      </c>
      <c r="B45" s="20" t="str">
        <f>IFERROR(INDEX(Requirements!$A$5:$A$66,MATCH(41,Requirements!$H$5:$H$66,0))&amp;"","")</f>
        <v/>
      </c>
      <c r="C45" s="14" t="str">
        <f>IFERROR(INDEX(Requirements!$C$5:$C$66,MATCH(41,Requirements!$H$5:$H$66,0))&amp;"","")</f>
        <v/>
      </c>
      <c r="D45" s="14" t="str">
        <f>IFERROR(INDEX(Requirements!$F$5:$F$66,MATCH(41,Requirements!$H$5:$H$66,0))&amp;"","")</f>
        <v/>
      </c>
      <c r="E45" s="9"/>
      <c r="F45" s="8"/>
    </row>
    <row r="46" spans="1:6" ht="36.65" customHeight="1" x14ac:dyDescent="0.35">
      <c r="A46" s="18" t="str">
        <f>IF(ISNUMBER(MATCH(42,Requirements!$H$5:$H$66,0)),42,"")</f>
        <v/>
      </c>
      <c r="B46" s="20" t="str">
        <f>IFERROR(INDEX(Requirements!$A$5:$A$66,MATCH(42,Requirements!$H$5:$H$66,0))&amp;"","")</f>
        <v/>
      </c>
      <c r="C46" s="14" t="str">
        <f>IFERROR(INDEX(Requirements!$C$5:$C$66,MATCH(42,Requirements!$H$5:$H$66,0))&amp;"","")</f>
        <v/>
      </c>
      <c r="D46" s="14" t="str">
        <f>IFERROR(INDEX(Requirements!$F$5:$F$66,MATCH(42,Requirements!$H$5:$H$66,0))&amp;"","")</f>
        <v/>
      </c>
      <c r="E46" s="9"/>
      <c r="F46" s="8"/>
    </row>
    <row r="47" spans="1:6" ht="36.65" customHeight="1" x14ac:dyDescent="0.35">
      <c r="A47" s="18" t="str">
        <f>IF(ISNUMBER(MATCH(43,Requirements!$H$5:$H$66,0)),43,"")</f>
        <v/>
      </c>
      <c r="B47" s="20" t="str">
        <f>IFERROR(INDEX(Requirements!$A$5:$A$66,MATCH(43,Requirements!$H$5:$H$66,0))&amp;"","")</f>
        <v/>
      </c>
      <c r="C47" s="14" t="str">
        <f>IFERROR(INDEX(Requirements!$C$5:$C$66,MATCH(43,Requirements!$H$5:$H$66,0))&amp;"","")</f>
        <v/>
      </c>
      <c r="D47" s="14" t="str">
        <f>IFERROR(INDEX(Requirements!$F$5:$F$66,MATCH(43,Requirements!$H$5:$H$66,0))&amp;"","")</f>
        <v/>
      </c>
      <c r="E47" s="9"/>
      <c r="F47" s="8"/>
    </row>
    <row r="48" spans="1:6" ht="36.65" customHeight="1" x14ac:dyDescent="0.35">
      <c r="A48" s="18" t="str">
        <f>IF(ISNUMBER(MATCH(44,Requirements!$H$5:$H$66,0)),44,"")</f>
        <v/>
      </c>
      <c r="B48" s="20" t="str">
        <f>IFERROR(INDEX(Requirements!$A$5:$A$66,MATCH(44,Requirements!$H$5:$H$66,0))&amp;"","")</f>
        <v/>
      </c>
      <c r="C48" s="14" t="str">
        <f>IFERROR(INDEX(Requirements!$C$5:$C$66,MATCH(44,Requirements!$H$5:$H$66,0))&amp;"","")</f>
        <v/>
      </c>
      <c r="D48" s="14" t="str">
        <f>IFERROR(INDEX(Requirements!$F$5:$F$66,MATCH(44,Requirements!$H$5:$H$66,0))&amp;"","")</f>
        <v/>
      </c>
      <c r="E48" s="9"/>
      <c r="F48" s="8"/>
    </row>
    <row r="49" spans="1:6" ht="36.65" customHeight="1" x14ac:dyDescent="0.35">
      <c r="A49" s="18" t="str">
        <f>IF(ISNUMBER(MATCH(45,Requirements!$H$5:$H$66,0)),45,"")</f>
        <v/>
      </c>
      <c r="B49" s="20" t="str">
        <f>IFERROR(INDEX(Requirements!$A$5:$A$66,MATCH(45,Requirements!$H$5:$H$66,0))&amp;"","")</f>
        <v/>
      </c>
      <c r="C49" s="14" t="str">
        <f>IFERROR(INDEX(Requirements!$C$5:$C$66,MATCH(45,Requirements!$H$5:$H$66,0))&amp;"","")</f>
        <v/>
      </c>
      <c r="D49" s="14" t="str">
        <f>IFERROR(INDEX(Requirements!$F$5:$F$66,MATCH(45,Requirements!$H$5:$H$66,0))&amp;"","")</f>
        <v/>
      </c>
      <c r="E49" s="9"/>
      <c r="F49" s="8"/>
    </row>
    <row r="50" spans="1:6" ht="36.65" customHeight="1" x14ac:dyDescent="0.35">
      <c r="A50" s="18" t="str">
        <f>IF(ISNUMBER(MATCH(46,Requirements!$H$5:$H$66,0)),46,"")</f>
        <v/>
      </c>
      <c r="B50" s="20" t="str">
        <f>IFERROR(INDEX(Requirements!$A$5:$A$66,MATCH(46,Requirements!$H$5:$H$66,0))&amp;"","")</f>
        <v/>
      </c>
      <c r="C50" s="14" t="str">
        <f>IFERROR(INDEX(Requirements!$C$5:$C$66,MATCH(46,Requirements!$H$5:$H$66,0))&amp;"","")</f>
        <v/>
      </c>
      <c r="D50" s="14" t="str">
        <f>IFERROR(INDEX(Requirements!$F$5:$F$66,MATCH(46,Requirements!$H$5:$H$66,0))&amp;"","")</f>
        <v/>
      </c>
      <c r="E50" s="9"/>
      <c r="F50" s="8"/>
    </row>
    <row r="51" spans="1:6" ht="36.65" customHeight="1" x14ac:dyDescent="0.35">
      <c r="A51" s="18" t="str">
        <f>IF(ISNUMBER(MATCH(47,Requirements!$H$5:$H$66,0)),47,"")</f>
        <v/>
      </c>
      <c r="B51" s="20" t="str">
        <f>IFERROR(INDEX(Requirements!$A$5:$A$66,MATCH(47,Requirements!$H$5:$H$66,0))&amp;"","")</f>
        <v/>
      </c>
      <c r="C51" s="14" t="str">
        <f>IFERROR(INDEX(Requirements!$C$5:$C$66,MATCH(47,Requirements!$H$5:$H$66,0))&amp;"","")</f>
        <v/>
      </c>
      <c r="D51" s="14" t="str">
        <f>IFERROR(INDEX(Requirements!$F$5:$F$66,MATCH(47,Requirements!$H$5:$H$66,0))&amp;"","")</f>
        <v/>
      </c>
      <c r="E51" s="9"/>
      <c r="F51" s="8"/>
    </row>
    <row r="52" spans="1:6" ht="36.65" customHeight="1" x14ac:dyDescent="0.35">
      <c r="A52" s="18" t="str">
        <f>IF(ISNUMBER(MATCH(48,Requirements!$H$5:$H$66,0)),48,"")</f>
        <v/>
      </c>
      <c r="B52" s="20" t="str">
        <f>IFERROR(INDEX(Requirements!$A$5:$A$66,MATCH(48,Requirements!$H$5:$H$66,0))&amp;"","")</f>
        <v/>
      </c>
      <c r="C52" s="14" t="str">
        <f>IFERROR(INDEX(Requirements!$C$5:$C$66,MATCH(48,Requirements!$H$5:$H$66,0))&amp;"","")</f>
        <v/>
      </c>
      <c r="D52" s="14" t="str">
        <f>IFERROR(INDEX(Requirements!$F$5:$F$66,MATCH(48,Requirements!$H$5:$H$66,0))&amp;"","")</f>
        <v/>
      </c>
      <c r="E52" s="9"/>
      <c r="F52" s="8"/>
    </row>
    <row r="53" spans="1:6" ht="36.65" customHeight="1" x14ac:dyDescent="0.35">
      <c r="A53" s="18" t="str">
        <f>IF(ISNUMBER(MATCH(49,Requirements!$H$5:$H$66,0)),49,"")</f>
        <v/>
      </c>
      <c r="B53" s="20" t="str">
        <f>IFERROR(INDEX(Requirements!$A$5:$A$66,MATCH(49,Requirements!$H$5:$H$66,0))&amp;"","")</f>
        <v/>
      </c>
      <c r="C53" s="14" t="str">
        <f>IFERROR(INDEX(Requirements!$C$5:$C$66,MATCH(49,Requirements!$H$5:$H$66,0))&amp;"","")</f>
        <v/>
      </c>
      <c r="D53" s="14" t="str">
        <f>IFERROR(INDEX(Requirements!$F$5:$F$66,MATCH(49,Requirements!$H$5:$H$66,0))&amp;"","")</f>
        <v/>
      </c>
      <c r="E53" s="9"/>
      <c r="F53" s="8"/>
    </row>
    <row r="54" spans="1:6" ht="36.65" customHeight="1" x14ac:dyDescent="0.35">
      <c r="A54" s="18" t="str">
        <f>IF(ISNUMBER(MATCH(50,Requirements!$H$5:$H$66,0)),50,"")</f>
        <v/>
      </c>
      <c r="B54" s="20" t="str">
        <f>IFERROR(INDEX(Requirements!$A$5:$A$66,MATCH(50,Requirements!$H$5:$H$66,0))&amp;"","")</f>
        <v/>
      </c>
      <c r="C54" s="14" t="str">
        <f>IFERROR(INDEX(Requirements!$C$5:$C$66,MATCH(50,Requirements!$H$5:$H$66,0))&amp;"","")</f>
        <v/>
      </c>
      <c r="D54" s="14" t="str">
        <f>IFERROR(INDEX(Requirements!$F$5:$F$66,MATCH(50,Requirements!$H$5:$H$66,0))&amp;"","")</f>
        <v/>
      </c>
      <c r="E54" s="9"/>
      <c r="F54" s="8"/>
    </row>
    <row r="55" spans="1:6" ht="36.65" customHeight="1" x14ac:dyDescent="0.35">
      <c r="A55" s="18" t="str">
        <f>IF(ISNUMBER(MATCH(51,Requirements!$H$5:$H$66,0)),51,"")</f>
        <v/>
      </c>
      <c r="B55" s="20" t="str">
        <f>IFERROR(INDEX(Requirements!$A$5:$A$66,MATCH(51,Requirements!$H$5:$H$66,0))&amp;"","")</f>
        <v/>
      </c>
      <c r="C55" s="14" t="str">
        <f>IFERROR(INDEX(Requirements!$C$5:$C$66,MATCH(51,Requirements!$H$5:$H$66,0))&amp;"","")</f>
        <v/>
      </c>
      <c r="D55" s="14" t="str">
        <f>IFERROR(INDEX(Requirements!$F$5:$F$66,MATCH(51,Requirements!$H$5:$H$66,0))&amp;"","")</f>
        <v/>
      </c>
      <c r="E55" s="9"/>
      <c r="F55" s="8"/>
    </row>
    <row r="56" spans="1:6" ht="36.65" customHeight="1" x14ac:dyDescent="0.35">
      <c r="A56" s="18" t="str">
        <f>IF(ISNUMBER(MATCH(52,Requirements!$H$5:$H$66,0)),52,"")</f>
        <v/>
      </c>
      <c r="B56" s="20" t="str">
        <f>IFERROR(INDEX(Requirements!$A$5:$A$66,MATCH(52,Requirements!$H$5:$H$66,0))&amp;"","")</f>
        <v/>
      </c>
      <c r="C56" s="14" t="str">
        <f>IFERROR(INDEX(Requirements!$C$5:$C$66,MATCH(52,Requirements!$H$5:$H$66,0))&amp;"","")</f>
        <v/>
      </c>
      <c r="D56" s="14" t="str">
        <f>IFERROR(INDEX(Requirements!$F$5:$F$66,MATCH(52,Requirements!$H$5:$H$66,0))&amp;"","")</f>
        <v/>
      </c>
      <c r="E56" s="9"/>
      <c r="F56" s="8"/>
    </row>
    <row r="57" spans="1:6" ht="36.65" customHeight="1" x14ac:dyDescent="0.35">
      <c r="A57" s="18" t="str">
        <f>IF(ISNUMBER(MATCH(53,Requirements!$H$5:$H$66,0)),53,"")</f>
        <v/>
      </c>
      <c r="B57" s="20" t="str">
        <f>IFERROR(INDEX(Requirements!$A$5:$A$66,MATCH(53,Requirements!$H$5:$H$66,0))&amp;"","")</f>
        <v/>
      </c>
      <c r="C57" s="14" t="str">
        <f>IFERROR(INDEX(Requirements!$C$5:$C$66,MATCH(53,Requirements!$H$5:$H$66,0))&amp;"","")</f>
        <v/>
      </c>
      <c r="D57" s="14" t="str">
        <f>IFERROR(INDEX(Requirements!$F$5:$F$66,MATCH(53,Requirements!$H$5:$H$66,0))&amp;"","")</f>
        <v/>
      </c>
      <c r="E57" s="9"/>
      <c r="F57" s="8"/>
    </row>
    <row r="58" spans="1:6" ht="36.65" customHeight="1" x14ac:dyDescent="0.35">
      <c r="A58" s="18" t="str">
        <f>IF(ISNUMBER(MATCH(54,Requirements!$H$5:$H$66,0)),54,"")</f>
        <v/>
      </c>
      <c r="B58" s="20" t="str">
        <f>IFERROR(INDEX(Requirements!$A$5:$A$66,MATCH(54,Requirements!$H$5:$H$66,0))&amp;"","")</f>
        <v/>
      </c>
      <c r="C58" s="14" t="str">
        <f>IFERROR(INDEX(Requirements!$C$5:$C$66,MATCH(54,Requirements!$H$5:$H$66,0))&amp;"","")</f>
        <v/>
      </c>
      <c r="D58" s="14" t="str">
        <f>IFERROR(INDEX(Requirements!$F$5:$F$66,MATCH(54,Requirements!$H$5:$H$66,0))&amp;"","")</f>
        <v/>
      </c>
      <c r="E58" s="9"/>
      <c r="F58" s="8"/>
    </row>
    <row r="59" spans="1:6" ht="36.65" customHeight="1" x14ac:dyDescent="0.35">
      <c r="A59" s="18" t="str">
        <f>IF(ISNUMBER(MATCH(55,Requirements!$H$5:$H$66,0)),55,"")</f>
        <v/>
      </c>
      <c r="B59" s="20" t="str">
        <f>IFERROR(INDEX(Requirements!$A$5:$A$66,MATCH(55,Requirements!$H$5:$H$66,0))&amp;"","")</f>
        <v/>
      </c>
      <c r="C59" s="14" t="str">
        <f>IFERROR(INDEX(Requirements!$C$5:$C$66,MATCH(55,Requirements!$H$5:$H$66,0))&amp;"","")</f>
        <v/>
      </c>
      <c r="D59" s="14" t="str">
        <f>IFERROR(INDEX(Requirements!$F$5:$F$66,MATCH(55,Requirements!$H$5:$H$66,0))&amp;"","")</f>
        <v/>
      </c>
      <c r="E59" s="9"/>
      <c r="F59" s="8"/>
    </row>
    <row r="60" spans="1:6" ht="36.65" customHeight="1" x14ac:dyDescent="0.35">
      <c r="A60" s="18" t="str">
        <f>IF(ISNUMBER(MATCH(56,Requirements!$H$5:$H$66,0)),56,"")</f>
        <v/>
      </c>
      <c r="B60" s="20" t="str">
        <f>IFERROR(INDEX(Requirements!$A$5:$A$66,MATCH(56,Requirements!$H$5:$H$66,0))&amp;"","")</f>
        <v/>
      </c>
      <c r="C60" s="14" t="str">
        <f>IFERROR(INDEX(Requirements!$C$5:$C$66,MATCH(56,Requirements!$H$5:$H$66,0))&amp;"","")</f>
        <v/>
      </c>
      <c r="D60" s="14" t="str">
        <f>IFERROR(INDEX(Requirements!$F$5:$F$66,MATCH(56,Requirements!$H$5:$H$66,0))&amp;"","")</f>
        <v/>
      </c>
      <c r="E60" s="9"/>
      <c r="F60" s="8"/>
    </row>
    <row r="61" spans="1:6" ht="36.65" customHeight="1" x14ac:dyDescent="0.35">
      <c r="A61" s="18" t="str">
        <f>IF(ISNUMBER(MATCH(57,Requirements!$H$5:$H$66,0)),57,"")</f>
        <v/>
      </c>
      <c r="B61" s="20" t="str">
        <f>IFERROR(INDEX(Requirements!$A$5:$A$66,MATCH(57,Requirements!$H$5:$H$66,0))&amp;"","")</f>
        <v/>
      </c>
      <c r="C61" s="14" t="str">
        <f>IFERROR(INDEX(Requirements!$C$5:$C$66,MATCH(57,Requirements!$H$5:$H$66,0))&amp;"","")</f>
        <v/>
      </c>
      <c r="D61" s="14" t="str">
        <f>IFERROR(INDEX(Requirements!$F$5:$F$66,MATCH(57,Requirements!$H$5:$H$66,0))&amp;"","")</f>
        <v/>
      </c>
      <c r="E61" s="9"/>
      <c r="F61" s="8"/>
    </row>
    <row r="62" spans="1:6" ht="36.65" customHeight="1" x14ac:dyDescent="0.35">
      <c r="A62" s="18" t="str">
        <f>IF(ISNUMBER(MATCH(58,Requirements!$H$5:$H$66,0)),58,"")</f>
        <v/>
      </c>
      <c r="B62" s="20" t="str">
        <f>IFERROR(INDEX(Requirements!$A$5:$A$66,MATCH(58,Requirements!$H$5:$H$66,0))&amp;"","")</f>
        <v/>
      </c>
      <c r="C62" s="14" t="str">
        <f>IFERROR(INDEX(Requirements!$C$5:$C$66,MATCH(58,Requirements!$H$5:$H$66,0))&amp;"","")</f>
        <v/>
      </c>
      <c r="D62" s="14" t="str">
        <f>IFERROR(INDEX(Requirements!$F$5:$F$66,MATCH(58,Requirements!$H$5:$H$66,0))&amp;"","")</f>
        <v/>
      </c>
      <c r="E62" s="9"/>
      <c r="F62" s="8"/>
    </row>
    <row r="63" spans="1:6" ht="36.65" customHeight="1" x14ac:dyDescent="0.35">
      <c r="A63" s="18" t="str">
        <f>IF(ISNUMBER(MATCH(59,Requirements!$H$5:$H$66,0)),59,"")</f>
        <v/>
      </c>
      <c r="B63" s="20" t="str">
        <f>IFERROR(INDEX(Requirements!$A$5:$A$66,MATCH(59,Requirements!$H$5:$H$66,0))&amp;"","")</f>
        <v/>
      </c>
      <c r="C63" s="14" t="str">
        <f>IFERROR(INDEX(Requirements!$C$5:$C$66,MATCH(59,Requirements!$H$5:$H$66,0))&amp;"","")</f>
        <v/>
      </c>
      <c r="D63" s="14" t="str">
        <f>IFERROR(INDEX(Requirements!$F$5:$F$66,MATCH(59,Requirements!$H$5:$H$66,0))&amp;"","")</f>
        <v/>
      </c>
      <c r="E63" s="9"/>
      <c r="F63" s="8"/>
    </row>
    <row r="64" spans="1:6" ht="36.65" customHeight="1" x14ac:dyDescent="0.35">
      <c r="A64" s="18" t="str">
        <f>IF(ISNUMBER(MATCH(60,Requirements!$H$5:$H$66,0)),60,"")</f>
        <v/>
      </c>
      <c r="B64" s="20" t="str">
        <f>IFERROR(INDEX(Requirements!$A$5:$A$66,MATCH(60,Requirements!$H$5:$H$66,0))&amp;"","")</f>
        <v/>
      </c>
      <c r="C64" s="14" t="str">
        <f>IFERROR(INDEX(Requirements!$C$5:$C$66,MATCH(60,Requirements!$H$5:$H$66,0))&amp;"","")</f>
        <v/>
      </c>
      <c r="D64" s="14" t="str">
        <f>IFERROR(INDEX(Requirements!$F$5:$F$66,MATCH(60,Requirements!$H$5:$H$66,0))&amp;"","")</f>
        <v/>
      </c>
      <c r="E64" s="9"/>
      <c r="F64" s="8"/>
    </row>
    <row r="65" spans="1:6" ht="36.65" customHeight="1" x14ac:dyDescent="0.35">
      <c r="A65" s="18" t="str">
        <f>IF(ISNUMBER(MATCH(61,Requirements!$H$5:$H$66,0)),61,"")</f>
        <v/>
      </c>
      <c r="B65" s="20" t="str">
        <f>IFERROR(INDEX(Requirements!$A$5:$A$66,MATCH(61,Requirements!$H$5:$H$66,0))&amp;"","")</f>
        <v/>
      </c>
      <c r="C65" s="14" t="str">
        <f>IFERROR(INDEX(Requirements!$C$5:$C$66,MATCH(61,Requirements!$H$5:$H$66,0))&amp;"","")</f>
        <v/>
      </c>
      <c r="D65" s="14" t="str">
        <f>IFERROR(INDEX(Requirements!$F$5:$F$66,MATCH(61,Requirements!$H$5:$H$66,0))&amp;"","")</f>
        <v/>
      </c>
      <c r="E65" s="9"/>
      <c r="F65" s="8"/>
    </row>
    <row r="66" spans="1:6" ht="36.65" customHeight="1" x14ac:dyDescent="0.35">
      <c r="A66" s="18" t="str">
        <f>IF(ISNUMBER(MATCH(62,Requirements!$H$5:$H$66,0)),62,"")</f>
        <v/>
      </c>
      <c r="B66" s="20" t="str">
        <f>IFERROR(INDEX(Requirements!$A$5:$A$66,MATCH(62,Requirements!$H$5:$H$66,0))&amp;"","")</f>
        <v/>
      </c>
      <c r="C66" s="14" t="str">
        <f>IFERROR(INDEX(Requirements!$C$5:$C$66,MATCH(62,Requirements!$H$5:$H$66,0))&amp;"","")</f>
        <v/>
      </c>
      <c r="D66" s="14" t="str">
        <f>IFERROR(INDEX(Requirements!$F$5:$F$66,MATCH(62,Requirements!$H$5:$H$66,0))&amp;"","")</f>
        <v/>
      </c>
      <c r="E66" s="9"/>
      <c r="F66" s="8"/>
    </row>
  </sheetData>
  <dataValidations count="1">
    <dataValidation type="list" allowBlank="1" sqref="E5:E29" xr:uid="{00000000-0002-0000-0400-000000000000}">
      <formula1>"Yes,Partly,No"</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How to use</vt:lpstr>
      <vt:lpstr>Requirements</vt:lpstr>
      <vt:lpstr>Scoring</vt:lpstr>
      <vt:lpstr>Summary</vt:lpstr>
      <vt:lpstr>Demo script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Parshad Desai</cp:lastModifiedBy>
  <dcterms:modified xsi:type="dcterms:W3CDTF">2026-10-22T03:24:34Z</dcterms:modified>
</cp:coreProperties>
</file>