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3.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drawings/drawing4.xml" ContentType="application/vnd.openxmlformats-officedocument.drawing+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drawings/drawing5.xml" ContentType="application/vnd.openxmlformats-officedocument.drawing+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drawings/drawing6.xml" ContentType="application/vnd.openxmlformats-officedocument.drawing+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drawings/drawing7.xml" ContentType="application/vnd.openxmlformats-officedocument.drawing+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codeName="ThisWorkbook" defaultThemeVersion="166925"/>
  <mc:AlternateContent xmlns:mc="http://schemas.openxmlformats.org/markup-compatibility/2006">
    <mc:Choice Requires="x15">
      <x15ac:absPath xmlns:x15ac="http://schemas.microsoft.com/office/spreadsheetml/2010/11/ac" url="/Users/stephanie/Documents/Sciencegeekgirl/@CLIENTS/PhysTEC/1-PTEPA/PTEPA Public Release/"/>
    </mc:Choice>
  </mc:AlternateContent>
  <xr:revisionPtr revIDLastSave="0" documentId="13_ncr:1_{07B02D9D-A17D-B44D-A232-C3FBB4A3A811}" xr6:coauthVersionLast="46" xr6:coauthVersionMax="46" xr10:uidLastSave="{00000000-0000-0000-0000-000000000000}"/>
  <workbookProtection lockStructure="1"/>
  <bookViews>
    <workbookView xWindow="4900" yWindow="460" windowWidth="29820" windowHeight="19180" tabRatio="949" xr2:uid="{2B0E449A-F45E-4B87-B5E2-8D2692C026A1}"/>
  </bookViews>
  <sheets>
    <sheet name="Intro" sheetId="40" r:id="rId1"/>
    <sheet name="Instructions" sheetId="41" r:id="rId2"/>
    <sheet name="1-Institution" sheetId="20" r:id="rId3"/>
    <sheet name="2-Leadership" sheetId="21" r:id="rId4"/>
    <sheet name="3-Recruitment" sheetId="29" r:id="rId5"/>
    <sheet name="4-Knowledge &amp; Skills" sheetId="30" r:id="rId6"/>
    <sheet name="5-Mentoring" sheetId="22" r:id="rId7"/>
    <sheet name="6-Assessment" sheetId="24" r:id="rId8"/>
    <sheet name="Overview" sheetId="38" r:id="rId9"/>
    <sheet name="Report" sheetId="14" r:id="rId10"/>
    <sheet name="Action Plan" sheetId="36" state="hidden" r:id="rId11"/>
    <sheet name="Annual Review" sheetId="43" r:id="rId12"/>
    <sheet name="Raw" sheetId="18" state="hidden" r:id="rId13"/>
    <sheet name="Heat Map" sheetId="26" state="hidden" r:id="rId14"/>
    <sheet name="Developer guide" sheetId="31" state="hidden" r:id="rId15"/>
  </sheets>
  <definedNames>
    <definedName name="Res1A" localSheetId="11">'Annual Review'!$H$7:$H$12</definedName>
    <definedName name="Res1A">Report!$H$6:$H$11</definedName>
    <definedName name="Res1B" localSheetId="11">'Annual Review'!$H$14:$H$16</definedName>
    <definedName name="Res1B">Report!$H$13:$H$15</definedName>
    <definedName name="Res1C" localSheetId="11">'Annual Review'!$H$18:$H$22</definedName>
    <definedName name="Res1C">Report!$H$17:$H$21</definedName>
    <definedName name="Res2A" localSheetId="11">'Annual Review'!$H$26:$H$29</definedName>
    <definedName name="Res2A">Report!$H$25:$H$28</definedName>
    <definedName name="Res2B" localSheetId="11">'Annual Review'!$H$31:$H$39</definedName>
    <definedName name="Res2B">Report!$H$30:$H$38</definedName>
    <definedName name="Res2C" localSheetId="11">'Annual Review'!$H$41:$H$48</definedName>
    <definedName name="Res2C">Report!$H$40:$H$47</definedName>
    <definedName name="Res3A" localSheetId="11">'Annual Review'!$H$52:$H$56</definedName>
    <definedName name="Res3A">Report!$H$51:$H$55</definedName>
    <definedName name="Res3B" localSheetId="11">'Annual Review'!$H$58:$H$62</definedName>
    <definedName name="Res3B">Report!$H$57:$H$61</definedName>
    <definedName name="Res3C" localSheetId="11">'Annual Review'!$H$64:$H$68</definedName>
    <definedName name="Res3C">Report!$H$63:$H$67</definedName>
    <definedName name="Res3D" localSheetId="11">'Annual Review'!$H$70:$H$73</definedName>
    <definedName name="Res3D">Report!$H$69:$H$72</definedName>
    <definedName name="Res4A" localSheetId="11">'Annual Review'!$H$77:$H$79</definedName>
    <definedName name="Res4A">Report!$H$76:$H$78</definedName>
    <definedName name="Res4B" localSheetId="11">'Annual Review'!$H$81:$H$85</definedName>
    <definedName name="Res4B">Report!$H$80:$H$84</definedName>
    <definedName name="Res4C" localSheetId="11">'Annual Review'!$H$87:$H$90</definedName>
    <definedName name="Res4C">Report!$H$86:$H$89</definedName>
    <definedName name="Res5A" localSheetId="11">'Annual Review'!$H$94:$H$95</definedName>
    <definedName name="Res5A">Report!$H$93:$H$94</definedName>
    <definedName name="Res5B" localSheetId="11">'Annual Review'!$H$97:$H$101</definedName>
    <definedName name="Res5B">Report!$H$96:$H$100</definedName>
    <definedName name="Res5C" localSheetId="11">'Annual Review'!$H$103:$H$106</definedName>
    <definedName name="Res5C">Report!$H$102:$H$105</definedName>
    <definedName name="Res6A" localSheetId="11">'Annual Review'!$H$110:$H$113</definedName>
    <definedName name="Res6A">Report!$H$109:$H$112</definedName>
    <definedName name="Res6B" localSheetId="11">'Annual Review'!$H$115:$H$118</definedName>
    <definedName name="Res6B">Report!$H$114:$H$117</definedName>
    <definedName name="Res6C" localSheetId="11">'Annual Review'!$H$120:$H$123</definedName>
    <definedName name="Res6C">Report!$H$119:$H$122</definedName>
  </definedNames>
  <calcPr calcId="191029"/>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8" i="43" l="1"/>
  <c r="K92" i="43"/>
  <c r="K50" i="43"/>
  <c r="H7" i="43" l="1"/>
  <c r="D7" i="43" s="1"/>
  <c r="I31" i="43"/>
  <c r="I24" i="43"/>
  <c r="I26" i="43"/>
  <c r="I27" i="43"/>
  <c r="I28" i="43"/>
  <c r="I29" i="43"/>
  <c r="I32" i="43"/>
  <c r="I33" i="43"/>
  <c r="I34" i="43"/>
  <c r="I35" i="43"/>
  <c r="I36" i="43"/>
  <c r="I37" i="43"/>
  <c r="I38" i="43"/>
  <c r="I39" i="43"/>
  <c r="I41" i="43"/>
  <c r="I42" i="43"/>
  <c r="I43" i="43"/>
  <c r="I44" i="43"/>
  <c r="I45" i="43"/>
  <c r="I46" i="43"/>
  <c r="I47" i="43"/>
  <c r="I48" i="43"/>
  <c r="I50" i="43"/>
  <c r="I52" i="43"/>
  <c r="I53" i="43"/>
  <c r="I54" i="43"/>
  <c r="I55" i="43"/>
  <c r="I56" i="43"/>
  <c r="I58" i="43"/>
  <c r="I59" i="43"/>
  <c r="I60" i="43"/>
  <c r="I61" i="43"/>
  <c r="I62" i="43"/>
  <c r="I64" i="43"/>
  <c r="I65" i="43"/>
  <c r="I66" i="43"/>
  <c r="I67" i="43"/>
  <c r="I68" i="43"/>
  <c r="I70" i="43"/>
  <c r="I71" i="43"/>
  <c r="I72" i="43"/>
  <c r="I73" i="43"/>
  <c r="I75" i="43"/>
  <c r="I77" i="43"/>
  <c r="I78" i="43"/>
  <c r="I79" i="43"/>
  <c r="I81" i="43"/>
  <c r="I82" i="43"/>
  <c r="I83" i="43"/>
  <c r="I84" i="43"/>
  <c r="I85" i="43"/>
  <c r="I87" i="43"/>
  <c r="I88" i="43"/>
  <c r="I89" i="43"/>
  <c r="I90" i="43"/>
  <c r="I92" i="43"/>
  <c r="I94" i="43"/>
  <c r="I95" i="43"/>
  <c r="I97" i="43"/>
  <c r="I98" i="43"/>
  <c r="I99" i="43"/>
  <c r="I100" i="43"/>
  <c r="I101" i="43"/>
  <c r="I103" i="43"/>
  <c r="I104" i="43"/>
  <c r="I105" i="43"/>
  <c r="I106" i="43"/>
  <c r="I108" i="43"/>
  <c r="I110" i="43"/>
  <c r="I111" i="43"/>
  <c r="I112" i="43"/>
  <c r="I113" i="43"/>
  <c r="I115" i="43"/>
  <c r="I116" i="43"/>
  <c r="I117" i="43"/>
  <c r="I118" i="43"/>
  <c r="I120" i="43"/>
  <c r="I121" i="43"/>
  <c r="I122" i="43"/>
  <c r="I123" i="43"/>
  <c r="I8" i="43"/>
  <c r="I9" i="43"/>
  <c r="I10" i="43"/>
  <c r="I11" i="43"/>
  <c r="I12" i="43"/>
  <c r="I14" i="43"/>
  <c r="I15" i="43"/>
  <c r="I16" i="43"/>
  <c r="I18" i="43"/>
  <c r="I19" i="43"/>
  <c r="I20" i="43"/>
  <c r="I21" i="43"/>
  <c r="I22" i="43"/>
  <c r="K75" i="43" l="1"/>
  <c r="K24" i="43"/>
  <c r="AF28" i="43"/>
  <c r="AE28" i="43"/>
  <c r="AD28" i="43"/>
  <c r="AC28" i="43"/>
  <c r="AB28" i="43"/>
  <c r="AA28" i="43"/>
  <c r="AF27" i="43"/>
  <c r="AE27" i="43"/>
  <c r="AD27" i="43"/>
  <c r="AC27" i="43"/>
  <c r="AB27" i="43"/>
  <c r="AA27" i="43"/>
  <c r="AF26" i="43"/>
  <c r="AE26" i="43"/>
  <c r="AD26" i="43"/>
  <c r="AC26" i="43"/>
  <c r="AB26" i="43"/>
  <c r="AA26" i="43"/>
  <c r="AF25" i="43"/>
  <c r="AE25" i="43"/>
  <c r="AD25" i="43"/>
  <c r="AC25" i="43"/>
  <c r="AB25" i="43"/>
  <c r="AA25" i="43"/>
  <c r="AF24" i="43"/>
  <c r="AE24" i="43"/>
  <c r="AD24" i="43"/>
  <c r="AC24" i="43"/>
  <c r="AB24" i="43"/>
  <c r="AA24" i="43"/>
  <c r="AF23" i="43"/>
  <c r="AE23" i="43"/>
  <c r="AD23" i="43"/>
  <c r="AC23" i="43"/>
  <c r="AB23" i="43"/>
  <c r="AA23" i="43"/>
  <c r="AF22" i="43"/>
  <c r="AE22" i="43"/>
  <c r="AD22" i="43"/>
  <c r="AC22" i="43"/>
  <c r="AB22" i="43"/>
  <c r="AA22" i="43"/>
  <c r="AF21" i="43"/>
  <c r="AE21" i="43"/>
  <c r="AD21" i="43"/>
  <c r="AC21" i="43"/>
  <c r="AB21" i="43"/>
  <c r="AA21" i="43"/>
  <c r="AF20" i="43"/>
  <c r="AE20" i="43"/>
  <c r="AD20" i="43"/>
  <c r="AC20" i="43"/>
  <c r="AB20" i="43"/>
  <c r="AA20" i="43"/>
  <c r="AF19" i="43"/>
  <c r="AE19" i="43"/>
  <c r="AD19" i="43"/>
  <c r="AC19" i="43"/>
  <c r="AB19" i="43"/>
  <c r="AA19" i="43"/>
  <c r="AF18" i="43"/>
  <c r="AE18" i="43"/>
  <c r="AD18" i="43"/>
  <c r="AC18" i="43"/>
  <c r="AB18" i="43"/>
  <c r="AA18" i="43"/>
  <c r="AF17" i="43"/>
  <c r="AE17" i="43"/>
  <c r="AD17" i="43"/>
  <c r="AC17" i="43"/>
  <c r="AB17" i="43"/>
  <c r="AA17" i="43"/>
  <c r="AF16" i="43"/>
  <c r="AE16" i="43"/>
  <c r="AD16" i="43"/>
  <c r="AC16" i="43"/>
  <c r="AB16" i="43"/>
  <c r="AA16" i="43"/>
  <c r="AF15" i="43"/>
  <c r="AE15" i="43"/>
  <c r="AD15" i="43"/>
  <c r="AC15" i="43"/>
  <c r="AB15" i="43"/>
  <c r="AA15" i="43"/>
  <c r="AF14" i="43"/>
  <c r="AE14" i="43"/>
  <c r="AD14" i="43"/>
  <c r="AC14" i="43"/>
  <c r="AB14" i="43"/>
  <c r="AA14" i="43"/>
  <c r="AF13" i="43"/>
  <c r="AE13" i="43"/>
  <c r="AD13" i="43"/>
  <c r="AC13" i="43"/>
  <c r="AB13" i="43"/>
  <c r="AA13" i="43"/>
  <c r="AF12" i="43"/>
  <c r="AE12" i="43"/>
  <c r="AD12" i="43"/>
  <c r="AC12" i="43"/>
  <c r="AB12" i="43"/>
  <c r="AA12" i="43"/>
  <c r="AF11" i="43"/>
  <c r="AE11" i="43"/>
  <c r="AD11" i="43"/>
  <c r="AC11" i="43"/>
  <c r="AB11" i="43"/>
  <c r="AA11" i="43"/>
  <c r="AF10" i="43"/>
  <c r="AE10" i="43"/>
  <c r="AD10" i="43"/>
  <c r="AC10" i="43"/>
  <c r="AB10" i="43"/>
  <c r="AA10" i="43"/>
  <c r="AF9" i="43"/>
  <c r="AE9" i="43"/>
  <c r="AD9" i="43"/>
  <c r="AC9" i="43"/>
  <c r="AB9" i="43"/>
  <c r="AA9" i="43"/>
  <c r="AF8" i="43"/>
  <c r="AE8" i="43"/>
  <c r="AD8" i="43"/>
  <c r="AC8" i="43"/>
  <c r="AB8" i="43"/>
  <c r="AA8" i="43"/>
  <c r="AF7" i="43"/>
  <c r="AE7" i="43"/>
  <c r="AD7" i="43"/>
  <c r="AC7" i="43"/>
  <c r="AB7" i="43"/>
  <c r="AA7" i="43"/>
  <c r="AF6" i="43"/>
  <c r="AE6" i="43"/>
  <c r="AD6" i="43"/>
  <c r="AC6" i="43"/>
  <c r="AB6" i="43"/>
  <c r="AA6" i="43"/>
  <c r="H8" i="43"/>
  <c r="D8" i="43" s="1"/>
  <c r="H9" i="43"/>
  <c r="D9" i="43" s="1"/>
  <c r="H10" i="43"/>
  <c r="D10" i="43" s="1"/>
  <c r="H11" i="43"/>
  <c r="D11" i="43" s="1"/>
  <c r="H12" i="43"/>
  <c r="D12" i="43" s="1"/>
  <c r="H14" i="43"/>
  <c r="D14" i="43" s="1"/>
  <c r="H15" i="43"/>
  <c r="D15" i="43" s="1"/>
  <c r="H16" i="43"/>
  <c r="D16" i="43" s="1"/>
  <c r="H18" i="43"/>
  <c r="D18" i="43" s="1"/>
  <c r="H19" i="43"/>
  <c r="D19" i="43" s="1"/>
  <c r="H20" i="43"/>
  <c r="D20" i="43" s="1"/>
  <c r="H21" i="43"/>
  <c r="D21" i="43" s="1"/>
  <c r="H22" i="43"/>
  <c r="D22" i="43" s="1"/>
  <c r="H26" i="43"/>
  <c r="H27" i="43"/>
  <c r="D27" i="43" s="1"/>
  <c r="H28" i="43"/>
  <c r="D28" i="43" s="1"/>
  <c r="H29" i="43"/>
  <c r="D29" i="43" s="1"/>
  <c r="H31" i="43"/>
  <c r="H32" i="43"/>
  <c r="D32" i="43" s="1"/>
  <c r="H33" i="43"/>
  <c r="H34" i="43"/>
  <c r="H35" i="43"/>
  <c r="H36" i="43"/>
  <c r="H37" i="43"/>
  <c r="H38" i="43"/>
  <c r="H39" i="43"/>
  <c r="H41" i="43"/>
  <c r="H42" i="43"/>
  <c r="H43" i="43"/>
  <c r="H44" i="43"/>
  <c r="H45" i="43"/>
  <c r="H46" i="43"/>
  <c r="H47" i="43"/>
  <c r="H48" i="43"/>
  <c r="H52" i="43"/>
  <c r="H53" i="43"/>
  <c r="H54" i="43"/>
  <c r="H55" i="43"/>
  <c r="H56" i="43"/>
  <c r="H57" i="43"/>
  <c r="H58" i="43"/>
  <c r="D58" i="43" s="1"/>
  <c r="H59" i="43"/>
  <c r="H60" i="43"/>
  <c r="D60" i="43" s="1"/>
  <c r="H61" i="43"/>
  <c r="H62" i="43"/>
  <c r="D62" i="43" s="1"/>
  <c r="H64" i="43"/>
  <c r="H65" i="43"/>
  <c r="D65" i="43" s="1"/>
  <c r="H66" i="43"/>
  <c r="H67" i="43"/>
  <c r="D67" i="43" s="1"/>
  <c r="H68" i="43"/>
  <c r="H70" i="43"/>
  <c r="H71" i="43"/>
  <c r="H72" i="43"/>
  <c r="H73" i="43"/>
  <c r="H77" i="43"/>
  <c r="H78" i="43"/>
  <c r="H79" i="43"/>
  <c r="H81" i="43"/>
  <c r="H82" i="43"/>
  <c r="H83" i="43"/>
  <c r="H84" i="43"/>
  <c r="D84" i="43" s="1"/>
  <c r="H85" i="43"/>
  <c r="H87" i="43"/>
  <c r="H88" i="43"/>
  <c r="D88" i="43" s="1"/>
  <c r="H89" i="43"/>
  <c r="H90" i="43"/>
  <c r="H94" i="43"/>
  <c r="D94" i="43" s="1"/>
  <c r="H95" i="43"/>
  <c r="H97" i="43"/>
  <c r="H98" i="43"/>
  <c r="H99" i="43"/>
  <c r="H100" i="43"/>
  <c r="H101" i="43"/>
  <c r="H103" i="43"/>
  <c r="H104" i="43"/>
  <c r="D104" i="43" s="1"/>
  <c r="H105" i="43"/>
  <c r="H106" i="43"/>
  <c r="H110" i="43"/>
  <c r="H111" i="43"/>
  <c r="H112" i="43"/>
  <c r="H113" i="43"/>
  <c r="H115" i="43"/>
  <c r="H116" i="43"/>
  <c r="H117" i="43"/>
  <c r="H118" i="43"/>
  <c r="H120" i="43"/>
  <c r="H121" i="43"/>
  <c r="H122" i="43"/>
  <c r="H123" i="43"/>
  <c r="B123" i="43"/>
  <c r="A123" i="43"/>
  <c r="B122" i="43"/>
  <c r="A122" i="43"/>
  <c r="B121" i="43"/>
  <c r="A121" i="43"/>
  <c r="B120" i="43"/>
  <c r="A120" i="43"/>
  <c r="A119" i="43"/>
  <c r="B118" i="43"/>
  <c r="A118" i="43"/>
  <c r="B117" i="43"/>
  <c r="A117" i="43"/>
  <c r="B116" i="43"/>
  <c r="A116" i="43"/>
  <c r="B115" i="43"/>
  <c r="A115" i="43"/>
  <c r="A114" i="43"/>
  <c r="B113" i="43"/>
  <c r="A113" i="43"/>
  <c r="B112" i="43"/>
  <c r="A112" i="43"/>
  <c r="B111" i="43"/>
  <c r="A111" i="43"/>
  <c r="B110" i="43"/>
  <c r="A110" i="43"/>
  <c r="A109" i="43"/>
  <c r="A107" i="43"/>
  <c r="B106" i="43"/>
  <c r="A106" i="43"/>
  <c r="B105" i="43"/>
  <c r="A105" i="43"/>
  <c r="B104" i="43"/>
  <c r="A104" i="43"/>
  <c r="B103" i="43"/>
  <c r="A103" i="43"/>
  <c r="A102" i="43"/>
  <c r="B101" i="43"/>
  <c r="A101" i="43"/>
  <c r="B100" i="43"/>
  <c r="A100" i="43"/>
  <c r="B99" i="43"/>
  <c r="A99" i="43"/>
  <c r="B98" i="43"/>
  <c r="A98" i="43"/>
  <c r="B97" i="43"/>
  <c r="A97" i="43"/>
  <c r="B95" i="43"/>
  <c r="A95" i="43"/>
  <c r="B94" i="43"/>
  <c r="A94" i="43"/>
  <c r="B90" i="43"/>
  <c r="A90" i="43"/>
  <c r="B89" i="43"/>
  <c r="A89" i="43"/>
  <c r="B88" i="43"/>
  <c r="A88" i="43"/>
  <c r="B87" i="43"/>
  <c r="A87" i="43"/>
  <c r="A86" i="43"/>
  <c r="B85" i="43"/>
  <c r="A85" i="43"/>
  <c r="B84" i="43"/>
  <c r="A84" i="43"/>
  <c r="B83" i="43"/>
  <c r="A83" i="43"/>
  <c r="B82" i="43"/>
  <c r="A82" i="43"/>
  <c r="B81" i="43"/>
  <c r="A81" i="43"/>
  <c r="A80" i="43"/>
  <c r="B79" i="43"/>
  <c r="A79" i="43"/>
  <c r="B78" i="43"/>
  <c r="A78" i="43"/>
  <c r="B77" i="43"/>
  <c r="A77" i="43"/>
  <c r="A76" i="43"/>
  <c r="A74" i="43"/>
  <c r="B73" i="43"/>
  <c r="A73" i="43"/>
  <c r="B72" i="43"/>
  <c r="A72" i="43"/>
  <c r="B71" i="43"/>
  <c r="A71" i="43"/>
  <c r="B70" i="43"/>
  <c r="A70" i="43"/>
  <c r="A69" i="43"/>
  <c r="B68" i="43"/>
  <c r="A68" i="43"/>
  <c r="B67" i="43"/>
  <c r="A67" i="43"/>
  <c r="B66" i="43"/>
  <c r="A66" i="43"/>
  <c r="B65" i="43"/>
  <c r="A65" i="43"/>
  <c r="B64" i="43"/>
  <c r="A64" i="43"/>
  <c r="B62" i="43"/>
  <c r="A62" i="43"/>
  <c r="B61" i="43"/>
  <c r="A61" i="43"/>
  <c r="B60" i="43"/>
  <c r="A60" i="43"/>
  <c r="B59" i="43"/>
  <c r="A59" i="43"/>
  <c r="B58" i="43"/>
  <c r="A58" i="43"/>
  <c r="A57" i="43"/>
  <c r="B56" i="43"/>
  <c r="A56" i="43"/>
  <c r="B55" i="43"/>
  <c r="A55" i="43"/>
  <c r="B54" i="43"/>
  <c r="A54" i="43"/>
  <c r="B53" i="43"/>
  <c r="A53" i="43"/>
  <c r="B52" i="43"/>
  <c r="A52" i="43"/>
  <c r="A51" i="43"/>
  <c r="A49" i="43"/>
  <c r="B48" i="43"/>
  <c r="A48" i="43"/>
  <c r="B47" i="43"/>
  <c r="A47" i="43"/>
  <c r="B46" i="43"/>
  <c r="A46" i="43"/>
  <c r="B45" i="43"/>
  <c r="A45" i="43"/>
  <c r="B44" i="43"/>
  <c r="A44" i="43"/>
  <c r="B43" i="43"/>
  <c r="A43" i="43"/>
  <c r="B42" i="43"/>
  <c r="A42" i="43"/>
  <c r="B41" i="43"/>
  <c r="A41" i="43"/>
  <c r="A40" i="43"/>
  <c r="B39" i="43"/>
  <c r="A39" i="43"/>
  <c r="B38" i="43"/>
  <c r="A38" i="43"/>
  <c r="B37" i="43"/>
  <c r="A37" i="43"/>
  <c r="B36" i="43"/>
  <c r="A36" i="43"/>
  <c r="B35" i="43"/>
  <c r="A35" i="43"/>
  <c r="B34" i="43"/>
  <c r="A34" i="43"/>
  <c r="B33" i="43"/>
  <c r="A33" i="43"/>
  <c r="B32" i="43"/>
  <c r="A32" i="43"/>
  <c r="B31" i="43"/>
  <c r="A31" i="43"/>
  <c r="A30" i="43"/>
  <c r="B29" i="43"/>
  <c r="A29" i="43"/>
  <c r="B28" i="43"/>
  <c r="A28" i="43"/>
  <c r="B27" i="43"/>
  <c r="A27" i="43"/>
  <c r="B26" i="43"/>
  <c r="A26" i="43"/>
  <c r="A25" i="43"/>
  <c r="A23" i="43"/>
  <c r="B22" i="43"/>
  <c r="A22" i="43"/>
  <c r="B21" i="43"/>
  <c r="A21" i="43"/>
  <c r="B20" i="43"/>
  <c r="A20" i="43"/>
  <c r="B19" i="43"/>
  <c r="A19" i="43"/>
  <c r="B18" i="43"/>
  <c r="A18" i="43"/>
  <c r="A17" i="43"/>
  <c r="B16" i="43"/>
  <c r="A16" i="43"/>
  <c r="B15" i="43"/>
  <c r="A15" i="43"/>
  <c r="B14" i="43"/>
  <c r="A14" i="43"/>
  <c r="A13" i="43"/>
  <c r="B12" i="43"/>
  <c r="A12" i="43"/>
  <c r="B11" i="43"/>
  <c r="A11" i="43"/>
  <c r="B10" i="43"/>
  <c r="A10" i="43"/>
  <c r="B9" i="43"/>
  <c r="A9" i="43"/>
  <c r="B8" i="43"/>
  <c r="A8" i="43"/>
  <c r="B7" i="43"/>
  <c r="A7" i="43"/>
  <c r="A6" i="43"/>
  <c r="A4" i="43"/>
  <c r="J115" i="43" l="1"/>
  <c r="K115" i="43" s="1"/>
  <c r="D115" i="43"/>
  <c r="J120" i="43"/>
  <c r="K120" i="43" s="1"/>
  <c r="D120" i="43"/>
  <c r="J111" i="43"/>
  <c r="K111" i="43" s="1"/>
  <c r="D111" i="43"/>
  <c r="J98" i="43"/>
  <c r="K98" i="43" s="1"/>
  <c r="D98" i="43"/>
  <c r="J106" i="43"/>
  <c r="K106" i="43" s="1"/>
  <c r="D106" i="43"/>
  <c r="J101" i="43"/>
  <c r="K101" i="43" s="1"/>
  <c r="D101" i="43"/>
  <c r="J97" i="43"/>
  <c r="K97" i="43" s="1"/>
  <c r="D97" i="43"/>
  <c r="J105" i="43"/>
  <c r="K105" i="43" s="1"/>
  <c r="D105" i="43"/>
  <c r="J100" i="43"/>
  <c r="K100" i="43" s="1"/>
  <c r="D100" i="43"/>
  <c r="J95" i="43"/>
  <c r="K95" i="43" s="1"/>
  <c r="D95" i="43"/>
  <c r="J103" i="43"/>
  <c r="K103" i="43" s="1"/>
  <c r="D103" i="43"/>
  <c r="J99" i="43"/>
  <c r="K99" i="43" s="1"/>
  <c r="D99" i="43"/>
  <c r="J89" i="43"/>
  <c r="K89" i="43" s="1"/>
  <c r="D89" i="43"/>
  <c r="J79" i="43"/>
  <c r="K79" i="43" s="1"/>
  <c r="D79" i="43"/>
  <c r="J83" i="43"/>
  <c r="K83" i="43" s="1"/>
  <c r="D83" i="43"/>
  <c r="J78" i="43"/>
  <c r="K78" i="43" s="1"/>
  <c r="D78" i="43"/>
  <c r="J87" i="43"/>
  <c r="K87" i="43" s="1"/>
  <c r="D87" i="43"/>
  <c r="J77" i="43"/>
  <c r="K77" i="43" s="1"/>
  <c r="D77" i="43"/>
  <c r="J90" i="43"/>
  <c r="K90" i="43" s="1"/>
  <c r="D90" i="43"/>
  <c r="J85" i="43"/>
  <c r="K85" i="43" s="1"/>
  <c r="D85" i="43"/>
  <c r="J81" i="43"/>
  <c r="K81" i="43" s="1"/>
  <c r="D81" i="43"/>
  <c r="J82" i="43"/>
  <c r="K82" i="43" s="1"/>
  <c r="D82" i="43"/>
  <c r="J64" i="43"/>
  <c r="K64" i="43" s="1"/>
  <c r="D64" i="43"/>
  <c r="J54" i="43"/>
  <c r="K54" i="43" s="1"/>
  <c r="D54" i="43"/>
  <c r="J73" i="43"/>
  <c r="K73" i="43" s="1"/>
  <c r="D73" i="43"/>
  <c r="J59" i="43"/>
  <c r="K59" i="43" s="1"/>
  <c r="D59" i="43"/>
  <c r="J72" i="43"/>
  <c r="K72" i="43" s="1"/>
  <c r="D72" i="43"/>
  <c r="J71" i="43"/>
  <c r="K71" i="43" s="1"/>
  <c r="D71" i="43"/>
  <c r="J66" i="43"/>
  <c r="K66" i="43" s="1"/>
  <c r="D66" i="43"/>
  <c r="J61" i="43"/>
  <c r="K61" i="43" s="1"/>
  <c r="D61" i="43"/>
  <c r="J53" i="43"/>
  <c r="K53" i="43" s="1"/>
  <c r="D53" i="43"/>
  <c r="J68" i="43"/>
  <c r="K68" i="43" s="1"/>
  <c r="D68" i="43"/>
  <c r="J55" i="43"/>
  <c r="K55" i="43" s="1"/>
  <c r="D55" i="43"/>
  <c r="J70" i="43"/>
  <c r="K70" i="43" s="1"/>
  <c r="D70" i="43"/>
  <c r="J56" i="43"/>
  <c r="K56" i="43" s="1"/>
  <c r="D56" i="43"/>
  <c r="J52" i="43"/>
  <c r="K52" i="43" s="1"/>
  <c r="D52" i="43"/>
  <c r="J35" i="43"/>
  <c r="K35" i="43" s="1"/>
  <c r="D35" i="43"/>
  <c r="J47" i="43"/>
  <c r="K47" i="43" s="1"/>
  <c r="D47" i="43"/>
  <c r="J43" i="43"/>
  <c r="K43" i="43" s="1"/>
  <c r="D43" i="43"/>
  <c r="J38" i="43"/>
  <c r="K38" i="43" s="1"/>
  <c r="D38" i="43"/>
  <c r="J34" i="43"/>
  <c r="K34" i="43" s="1"/>
  <c r="D34" i="43"/>
  <c r="J48" i="43"/>
  <c r="K48" i="43" s="1"/>
  <c r="D48" i="43"/>
  <c r="J26" i="43"/>
  <c r="K26" i="43" s="1"/>
  <c r="D26" i="43"/>
  <c r="J42" i="43"/>
  <c r="K42" i="43" s="1"/>
  <c r="D42" i="43"/>
  <c r="J37" i="43"/>
  <c r="K37" i="43" s="1"/>
  <c r="D37" i="43"/>
  <c r="J33" i="43"/>
  <c r="K33" i="43" s="1"/>
  <c r="D33" i="43"/>
  <c r="J44" i="43"/>
  <c r="K44" i="43" s="1"/>
  <c r="D44" i="43"/>
  <c r="J31" i="43"/>
  <c r="K31" i="43" s="1"/>
  <c r="D31" i="43"/>
  <c r="J41" i="43"/>
  <c r="K41" i="43" s="1"/>
  <c r="D41" i="43"/>
  <c r="J36" i="43"/>
  <c r="K36" i="43" s="1"/>
  <c r="D36" i="43"/>
  <c r="J39" i="43"/>
  <c r="K39" i="43" s="1"/>
  <c r="D39" i="43"/>
  <c r="J113" i="43"/>
  <c r="K113" i="43" s="1"/>
  <c r="D113" i="43"/>
  <c r="J112" i="43"/>
  <c r="K112" i="43" s="1"/>
  <c r="D112" i="43"/>
  <c r="J110" i="43"/>
  <c r="K110" i="43" s="1"/>
  <c r="D110" i="43"/>
  <c r="J116" i="43"/>
  <c r="K116" i="43" s="1"/>
  <c r="D116" i="43"/>
  <c r="J117" i="43"/>
  <c r="K117" i="43" s="1"/>
  <c r="D117" i="43"/>
  <c r="J118" i="43"/>
  <c r="K118" i="43" s="1"/>
  <c r="D118" i="43"/>
  <c r="J121" i="43"/>
  <c r="K121" i="43" s="1"/>
  <c r="D121" i="43"/>
  <c r="J122" i="43"/>
  <c r="K122" i="43" s="1"/>
  <c r="D122" i="43"/>
  <c r="J123" i="43"/>
  <c r="K123" i="43" s="1"/>
  <c r="D123" i="43"/>
  <c r="J45" i="43"/>
  <c r="K45" i="43" s="1"/>
  <c r="D45" i="43"/>
  <c r="J46" i="43"/>
  <c r="K46" i="43" s="1"/>
  <c r="D46" i="43"/>
  <c r="J19" i="43"/>
  <c r="K19" i="43" s="1"/>
  <c r="J14" i="43"/>
  <c r="K14" i="43" s="1"/>
  <c r="J22" i="43"/>
  <c r="K22" i="43" s="1"/>
  <c r="J18" i="43"/>
  <c r="K18" i="43" s="1"/>
  <c r="J21" i="43"/>
  <c r="K21" i="43" s="1"/>
  <c r="J16" i="43"/>
  <c r="K16" i="43" s="1"/>
  <c r="J20" i="43"/>
  <c r="K20" i="43" s="1"/>
  <c r="J15" i="43"/>
  <c r="K15" i="43" s="1"/>
  <c r="J67" i="43"/>
  <c r="K67" i="43" s="1"/>
  <c r="J62" i="43"/>
  <c r="K62" i="43" s="1"/>
  <c r="J29" i="43"/>
  <c r="K29" i="43" s="1"/>
  <c r="J8" i="43"/>
  <c r="K8" i="43" s="1"/>
  <c r="J88" i="43"/>
  <c r="K88" i="43" s="1"/>
  <c r="J28" i="43"/>
  <c r="K28" i="43" s="1"/>
  <c r="J11" i="43"/>
  <c r="K11" i="43" s="1"/>
  <c r="J84" i="43"/>
  <c r="K84" i="43" s="1"/>
  <c r="J58" i="43"/>
  <c r="K58" i="43" s="1"/>
  <c r="J12" i="43"/>
  <c r="K12" i="43" s="1"/>
  <c r="J104" i="43"/>
  <c r="K104" i="43" s="1"/>
  <c r="J94" i="43"/>
  <c r="K94" i="43" s="1"/>
  <c r="J65" i="43"/>
  <c r="K65" i="43" s="1"/>
  <c r="J60" i="43"/>
  <c r="K60" i="43" s="1"/>
  <c r="J32" i="43"/>
  <c r="K32" i="43" s="1"/>
  <c r="J27" i="43"/>
  <c r="K27" i="43" s="1"/>
  <c r="J10" i="43"/>
  <c r="K10" i="43" s="1"/>
  <c r="J9" i="43"/>
  <c r="K9" i="43" s="1"/>
  <c r="AH7" i="43"/>
  <c r="AB37" i="43" s="1"/>
  <c r="AH9" i="43"/>
  <c r="V41" i="43" s="1"/>
  <c r="AH11" i="43"/>
  <c r="AB41" i="43" s="1"/>
  <c r="AH13" i="43"/>
  <c r="V45" i="43" s="1"/>
  <c r="AH15" i="43"/>
  <c r="AB45" i="43" s="1"/>
  <c r="AH17" i="43"/>
  <c r="AH19" i="43"/>
  <c r="Y49" i="43" s="1"/>
  <c r="AH21" i="43"/>
  <c r="AH23" i="43"/>
  <c r="Y53" i="43" s="1"/>
  <c r="AH25" i="43"/>
  <c r="AH27" i="43"/>
  <c r="Y57" i="43" s="1"/>
  <c r="AG6" i="43"/>
  <c r="Y36" i="43" s="1"/>
  <c r="AG8" i="43"/>
  <c r="AG10" i="43"/>
  <c r="Y40" i="43" s="1"/>
  <c r="AG12" i="43"/>
  <c r="AG14" i="43"/>
  <c r="Y44" i="43" s="1"/>
  <c r="AG16" i="43"/>
  <c r="AE44" i="43" s="1"/>
  <c r="AG18" i="43"/>
  <c r="V48" i="43" s="1"/>
  <c r="AG20" i="43"/>
  <c r="AB48" i="43" s="1"/>
  <c r="AG22" i="43"/>
  <c r="V52" i="43" s="1"/>
  <c r="AG24" i="43"/>
  <c r="AB52" i="43" s="1"/>
  <c r="AG26" i="43"/>
  <c r="V56" i="43" s="1"/>
  <c r="AG28" i="43"/>
  <c r="AB56" i="43" s="1"/>
  <c r="AH6" i="43"/>
  <c r="Y37" i="43" s="1"/>
  <c r="AH8" i="43"/>
  <c r="AH10" i="43"/>
  <c r="Y41" i="43" s="1"/>
  <c r="AH12" i="43"/>
  <c r="AH14" i="43"/>
  <c r="Y45" i="43" s="1"/>
  <c r="AH16" i="43"/>
  <c r="AE45" i="43" s="1"/>
  <c r="AH18" i="43"/>
  <c r="V49" i="43" s="1"/>
  <c r="AH20" i="43"/>
  <c r="AB49" i="43" s="1"/>
  <c r="AH22" i="43"/>
  <c r="V53" i="43" s="1"/>
  <c r="AH24" i="43"/>
  <c r="AB53" i="43" s="1"/>
  <c r="AH26" i="43"/>
  <c r="V57" i="43" s="1"/>
  <c r="AH28" i="43"/>
  <c r="AB57" i="43" s="1"/>
  <c r="AG7" i="43"/>
  <c r="AB36" i="43" s="1"/>
  <c r="AG9" i="43"/>
  <c r="V40" i="43" s="1"/>
  <c r="AG11" i="43"/>
  <c r="AB40" i="43" s="1"/>
  <c r="AG13" i="43"/>
  <c r="V44" i="43" s="1"/>
  <c r="AG15" i="43"/>
  <c r="AB44" i="43" s="1"/>
  <c r="AG17" i="43"/>
  <c r="AG19" i="43"/>
  <c r="Y48" i="43" s="1"/>
  <c r="AG21" i="43"/>
  <c r="AG23" i="43"/>
  <c r="Y52" i="43" s="1"/>
  <c r="AG25" i="43"/>
  <c r="AG27" i="43"/>
  <c r="Y56" i="43" s="1"/>
  <c r="X22" i="43" l="1"/>
  <c r="AK32" i="43"/>
  <c r="S56" i="43"/>
  <c r="AK33" i="43"/>
  <c r="S57" i="43"/>
  <c r="AH32" i="43"/>
  <c r="S52" i="43"/>
  <c r="AH33" i="43"/>
  <c r="S53" i="43"/>
  <c r="AE32" i="43"/>
  <c r="S48" i="43"/>
  <c r="AE33" i="43"/>
  <c r="S49" i="43"/>
  <c r="AB33" i="43"/>
  <c r="S45" i="43"/>
  <c r="AB32" i="43"/>
  <c r="S44" i="43"/>
  <c r="Y32" i="43"/>
  <c r="S40" i="43"/>
  <c r="Y33" i="43"/>
  <c r="S41" i="43"/>
  <c r="T19" i="43"/>
  <c r="U19" i="43"/>
  <c r="V19" i="43"/>
  <c r="T22" i="43"/>
  <c r="X19" i="43"/>
  <c r="W19" i="43"/>
  <c r="S22" i="43"/>
  <c r="V22" i="43"/>
  <c r="W27" i="43"/>
  <c r="V27" i="43"/>
  <c r="U27" i="43"/>
  <c r="X27" i="43"/>
  <c r="T27" i="43"/>
  <c r="S27" i="43"/>
  <c r="V17" i="43"/>
  <c r="U18" i="43"/>
  <c r="S18" i="43"/>
  <c r="W17" i="43"/>
  <c r="V18" i="43"/>
  <c r="S17" i="43"/>
  <c r="T17" i="43"/>
  <c r="X17" i="43"/>
  <c r="W18" i="43"/>
  <c r="U17" i="43"/>
  <c r="T18" i="43"/>
  <c r="X18" i="43"/>
  <c r="V11" i="43"/>
  <c r="W11" i="43"/>
  <c r="T11" i="43"/>
  <c r="X11" i="43"/>
  <c r="U11" i="43"/>
  <c r="S11" i="43"/>
  <c r="V14" i="43"/>
  <c r="W14" i="43"/>
  <c r="T23" i="43"/>
  <c r="X23" i="43"/>
  <c r="U23" i="43"/>
  <c r="V23" i="43"/>
  <c r="W23" i="43"/>
  <c r="S23" i="43"/>
  <c r="X26" i="43"/>
  <c r="T26" i="43"/>
  <c r="U25" i="43"/>
  <c r="S26" i="43"/>
  <c r="W26" i="43"/>
  <c r="X25" i="43"/>
  <c r="T25" i="43"/>
  <c r="S25" i="43"/>
  <c r="V26" i="43"/>
  <c r="W25" i="43"/>
  <c r="U26" i="43"/>
  <c r="V25" i="43"/>
  <c r="W15" i="43"/>
  <c r="S15" i="43"/>
  <c r="T15" i="43"/>
  <c r="X15" i="43"/>
  <c r="U15" i="43"/>
  <c r="V15" i="43"/>
  <c r="W24" i="43"/>
  <c r="T24" i="43"/>
  <c r="X24" i="43"/>
  <c r="U24" i="43"/>
  <c r="S24" i="43"/>
  <c r="V24" i="43"/>
  <c r="W20" i="43"/>
  <c r="T20" i="43"/>
  <c r="X20" i="43"/>
  <c r="U20" i="43"/>
  <c r="S20" i="43"/>
  <c r="V20" i="43"/>
  <c r="T21" i="43"/>
  <c r="U21" i="43"/>
  <c r="U7" i="43"/>
  <c r="W7" i="43"/>
  <c r="T7" i="43"/>
  <c r="V7" i="43"/>
  <c r="X7" i="43"/>
  <c r="S7" i="43"/>
  <c r="T4" i="43"/>
  <c r="X4" i="43"/>
  <c r="V5" i="43"/>
  <c r="T5" i="43"/>
  <c r="U5" i="43"/>
  <c r="U4" i="43"/>
  <c r="S4" i="43"/>
  <c r="W5" i="43"/>
  <c r="V4" i="43"/>
  <c r="X5" i="43"/>
  <c r="W4" i="43"/>
  <c r="S5" i="43"/>
  <c r="T9" i="43"/>
  <c r="X9" i="43"/>
  <c r="V8" i="43"/>
  <c r="X8" i="43"/>
  <c r="S8" i="43"/>
  <c r="U9" i="43"/>
  <c r="S9" i="43"/>
  <c r="W8" i="43"/>
  <c r="V9" i="43"/>
  <c r="T8" i="43"/>
  <c r="W9" i="43"/>
  <c r="U8" i="43"/>
  <c r="X14" i="43"/>
  <c r="X21" i="43"/>
  <c r="V21" i="43"/>
  <c r="V28" i="43"/>
  <c r="U28" i="43"/>
  <c r="T28" i="43"/>
  <c r="S28" i="43"/>
  <c r="X28" i="43"/>
  <c r="W28" i="43"/>
  <c r="S14" i="43"/>
  <c r="V16" i="43"/>
  <c r="W16" i="43"/>
  <c r="T16" i="43"/>
  <c r="X16" i="43"/>
  <c r="U16" i="43"/>
  <c r="S16" i="43"/>
  <c r="S21" i="43"/>
  <c r="V12" i="43"/>
  <c r="U13" i="43"/>
  <c r="S13" i="43"/>
  <c r="W12" i="43"/>
  <c r="V13" i="43"/>
  <c r="T12" i="43"/>
  <c r="X12" i="43"/>
  <c r="W13" i="43"/>
  <c r="U12" i="43"/>
  <c r="T13" i="43"/>
  <c r="X13" i="43"/>
  <c r="S12" i="43"/>
  <c r="T6" i="43"/>
  <c r="X6" i="43"/>
  <c r="U6" i="43"/>
  <c r="S6" i="43"/>
  <c r="V6" i="43"/>
  <c r="W6" i="43"/>
  <c r="W10" i="43"/>
  <c r="S10" i="43"/>
  <c r="V10" i="43"/>
  <c r="T10" i="43"/>
  <c r="X10" i="43"/>
  <c r="U10" i="43"/>
  <c r="S19" i="43"/>
  <c r="U22" i="43"/>
  <c r="W21" i="43"/>
  <c r="U14" i="43"/>
  <c r="W22" i="43"/>
  <c r="T14" i="43"/>
  <c r="Y26" i="43" l="1"/>
  <c r="W56" i="43" s="1"/>
  <c r="Y25" i="43"/>
  <c r="Z6" i="43"/>
  <c r="Z37" i="43" s="1"/>
  <c r="Y21" i="43"/>
  <c r="Z9" i="43"/>
  <c r="W41" i="43" s="1"/>
  <c r="Y8" i="43"/>
  <c r="Z20" i="43"/>
  <c r="AC49" i="43" s="1"/>
  <c r="Z4" i="43"/>
  <c r="Y5" i="43"/>
  <c r="W36" i="43" s="1"/>
  <c r="Z15" i="43"/>
  <c r="AC45" i="43" s="1"/>
  <c r="Y13" i="43"/>
  <c r="W44" i="43" s="1"/>
  <c r="Y12" i="43"/>
  <c r="Y7" i="43"/>
  <c r="AC36" i="43" s="1"/>
  <c r="Y24" i="43"/>
  <c r="AC52" i="43" s="1"/>
  <c r="Z11" i="43"/>
  <c r="AC41" i="43" s="1"/>
  <c r="Y22" i="43"/>
  <c r="W52" i="43" s="1"/>
  <c r="Z22" i="43"/>
  <c r="W53" i="43" s="1"/>
  <c r="Y6" i="43"/>
  <c r="Z36" i="43" s="1"/>
  <c r="Z13" i="43"/>
  <c r="W45" i="43" s="1"/>
  <c r="Z12" i="43"/>
  <c r="Z28" i="43"/>
  <c r="AC57" i="43" s="1"/>
  <c r="Y9" i="43"/>
  <c r="W40" i="43" s="1"/>
  <c r="Y4" i="43"/>
  <c r="Z24" i="43"/>
  <c r="AC53" i="43" s="1"/>
  <c r="Z23" i="43"/>
  <c r="Z53" i="43" s="1"/>
  <c r="Y11" i="43"/>
  <c r="AC40" i="43" s="1"/>
  <c r="Z18" i="43"/>
  <c r="W49" i="43" s="1"/>
  <c r="Y18" i="43"/>
  <c r="W48" i="43" s="1"/>
  <c r="Y17" i="43"/>
  <c r="Y19" i="43"/>
  <c r="Z48" i="43" s="1"/>
  <c r="Y16" i="43"/>
  <c r="AF44" i="43" s="1"/>
  <c r="Z26" i="43"/>
  <c r="W57" i="43" s="1"/>
  <c r="Y14" i="43"/>
  <c r="Z44" i="43" s="1"/>
  <c r="Z27" i="43"/>
  <c r="Z57" i="43" s="1"/>
  <c r="Y10" i="43"/>
  <c r="Z40" i="43" s="1"/>
  <c r="Z21" i="43"/>
  <c r="AI33" i="43" s="1"/>
  <c r="Z10" i="43"/>
  <c r="Z41" i="43" s="1"/>
  <c r="Z16" i="43"/>
  <c r="AF45" i="43" s="1"/>
  <c r="Y28" i="43"/>
  <c r="AC56" i="43" s="1"/>
  <c r="Z8" i="43"/>
  <c r="Z5" i="43"/>
  <c r="W37" i="43" s="1"/>
  <c r="Z7" i="43"/>
  <c r="AC37" i="43" s="1"/>
  <c r="Y20" i="43"/>
  <c r="AC48" i="43" s="1"/>
  <c r="Y15" i="43"/>
  <c r="AC44" i="43" s="1"/>
  <c r="Z25" i="43"/>
  <c r="Y23" i="43"/>
  <c r="Z52" i="43" s="1"/>
  <c r="Z14" i="43"/>
  <c r="Z45" i="43" s="1"/>
  <c r="Z17" i="43"/>
  <c r="Y27" i="43"/>
  <c r="Z56" i="43" s="1"/>
  <c r="Z19" i="43"/>
  <c r="Z49" i="43" s="1"/>
  <c r="S3" i="43"/>
  <c r="W3" i="43"/>
  <c r="U3" i="43"/>
  <c r="X3" i="43"/>
  <c r="V3" i="43"/>
  <c r="T3" i="43"/>
  <c r="T53" i="43" l="1"/>
  <c r="Z3" i="43"/>
  <c r="T33" i="43" s="1"/>
  <c r="Y3" i="43"/>
  <c r="T32" i="43" s="1"/>
  <c r="W32" i="43"/>
  <c r="T36" i="43"/>
  <c r="W33" i="43"/>
  <c r="T37" i="43"/>
  <c r="AL33" i="43"/>
  <c r="T57" i="43"/>
  <c r="AL32" i="43"/>
  <c r="T56" i="43"/>
  <c r="AI32" i="43"/>
  <c r="T52" i="43"/>
  <c r="AF33" i="43"/>
  <c r="T49" i="43"/>
  <c r="AF32" i="43"/>
  <c r="T48" i="43"/>
  <c r="AC32" i="43"/>
  <c r="T44" i="43"/>
  <c r="AC33" i="43"/>
  <c r="T45" i="43"/>
  <c r="Z33" i="43"/>
  <c r="T41" i="43"/>
  <c r="T40" i="43"/>
  <c r="Z32" i="43"/>
  <c r="G3" i="14" l="1"/>
  <c r="G118" i="14" l="1"/>
  <c r="G108" i="14"/>
  <c r="G113" i="14"/>
  <c r="G106" i="14"/>
  <c r="G101" i="14"/>
  <c r="G95" i="14"/>
  <c r="G92" i="14"/>
  <c r="G90" i="14"/>
  <c r="G85" i="14"/>
  <c r="G79" i="14"/>
  <c r="G73" i="14"/>
  <c r="G75" i="14"/>
  <c r="G68" i="14"/>
  <c r="G56" i="14"/>
  <c r="G50" i="14"/>
  <c r="G48" i="14"/>
  <c r="G39" i="14"/>
  <c r="G22" i="14"/>
  <c r="G16" i="14"/>
  <c r="G12" i="14"/>
  <c r="G5" i="14"/>
  <c r="A32" i="38" l="1"/>
  <c r="A31" i="38"/>
  <c r="A30" i="38"/>
  <c r="A29" i="38"/>
  <c r="A28" i="38"/>
  <c r="A27" i="38"/>
  <c r="A26" i="38"/>
  <c r="A25" i="38"/>
  <c r="A24" i="38"/>
  <c r="A23" i="38"/>
  <c r="A22" i="38"/>
  <c r="A21" i="38"/>
  <c r="A20" i="38"/>
  <c r="A19" i="38"/>
  <c r="A18" i="38"/>
  <c r="A17" i="38"/>
  <c r="A16" i="38"/>
  <c r="A15" i="38"/>
  <c r="A14" i="38"/>
  <c r="A13" i="38"/>
  <c r="A12" i="38"/>
  <c r="A8" i="38"/>
  <c r="A11" i="38"/>
  <c r="A10" i="38"/>
  <c r="A9" i="38"/>
  <c r="C4" i="36" l="1"/>
  <c r="C88" i="36"/>
  <c r="C84" i="36"/>
  <c r="C80" i="36"/>
  <c r="C78" i="36"/>
  <c r="C74" i="36"/>
  <c r="C70" i="36"/>
  <c r="C66" i="36"/>
  <c r="C64" i="36"/>
  <c r="C60" i="36"/>
  <c r="C56" i="36"/>
  <c r="C52" i="36"/>
  <c r="C50" i="36"/>
  <c r="C46" i="36"/>
  <c r="C42" i="36"/>
  <c r="C38" i="36"/>
  <c r="C34" i="36"/>
  <c r="C32" i="36"/>
  <c r="C28" i="36"/>
  <c r="C24" i="36"/>
  <c r="C20" i="36"/>
  <c r="C18" i="36"/>
  <c r="C14" i="36"/>
  <c r="C10" i="36"/>
  <c r="C6" i="36"/>
  <c r="H105" i="14" l="1"/>
  <c r="C105" i="14" s="1"/>
  <c r="H100" i="14"/>
  <c r="H70" i="14"/>
  <c r="H71" i="14"/>
  <c r="H72" i="14"/>
  <c r="H69" i="14"/>
  <c r="H64" i="14"/>
  <c r="H65" i="14"/>
  <c r="H66" i="14"/>
  <c r="H67" i="14"/>
  <c r="H58" i="14"/>
  <c r="H59" i="14"/>
  <c r="H60" i="14"/>
  <c r="H61" i="14"/>
  <c r="H57" i="14"/>
  <c r="H55" i="14"/>
  <c r="H41" i="14"/>
  <c r="H42" i="14"/>
  <c r="H43" i="14"/>
  <c r="H44" i="14"/>
  <c r="H45" i="14"/>
  <c r="H46" i="14"/>
  <c r="H47" i="14"/>
  <c r="H40" i="14"/>
  <c r="F27" i="22"/>
  <c r="F26" i="22"/>
  <c r="F43" i="29"/>
  <c r="F42" i="29"/>
  <c r="F41" i="29"/>
  <c r="F40" i="29"/>
  <c r="F34" i="29"/>
  <c r="F19" i="29"/>
  <c r="F20" i="29"/>
  <c r="F21" i="29"/>
  <c r="F11" i="29"/>
  <c r="F10" i="29"/>
  <c r="F9" i="29"/>
  <c r="F8" i="29"/>
  <c r="F40" i="21"/>
  <c r="F39" i="21"/>
  <c r="F38" i="21"/>
  <c r="F37" i="21"/>
  <c r="F36" i="21"/>
  <c r="F35" i="21"/>
  <c r="F34" i="21"/>
  <c r="N15" i="38" l="1"/>
  <c r="P15" i="38"/>
  <c r="N18" i="38"/>
  <c r="P18" i="38"/>
  <c r="N20" i="38"/>
  <c r="P20" i="38"/>
  <c r="F40" i="14"/>
  <c r="E40" i="14"/>
  <c r="D40" i="14"/>
  <c r="E42" i="14"/>
  <c r="D42" i="14"/>
  <c r="F42" i="14"/>
  <c r="F44" i="14"/>
  <c r="E44" i="14"/>
  <c r="D44" i="14"/>
  <c r="F47" i="14"/>
  <c r="E47" i="14"/>
  <c r="D47" i="14"/>
  <c r="F43" i="14"/>
  <c r="E43" i="14"/>
  <c r="D43" i="14"/>
  <c r="E46" i="14"/>
  <c r="D46" i="14"/>
  <c r="F46" i="14"/>
  <c r="G45" i="14"/>
  <c r="D45" i="14"/>
  <c r="F45" i="14"/>
  <c r="E45" i="14"/>
  <c r="G41" i="14"/>
  <c r="D41" i="14"/>
  <c r="F41" i="14"/>
  <c r="E41" i="14"/>
  <c r="F59" i="14"/>
  <c r="E59" i="14"/>
  <c r="D59" i="14"/>
  <c r="E71" i="14"/>
  <c r="D71" i="14"/>
  <c r="F71" i="14"/>
  <c r="F64" i="14"/>
  <c r="E64" i="14"/>
  <c r="D64" i="14"/>
  <c r="F67" i="14"/>
  <c r="E67" i="14"/>
  <c r="D67" i="14"/>
  <c r="F69" i="14"/>
  <c r="E69" i="14"/>
  <c r="D69" i="14"/>
  <c r="D55" i="14"/>
  <c r="F55" i="14"/>
  <c r="E55" i="14"/>
  <c r="D65" i="14"/>
  <c r="F65" i="14"/>
  <c r="E65" i="14"/>
  <c r="E57" i="14"/>
  <c r="D57" i="14"/>
  <c r="F57" i="14"/>
  <c r="F58" i="14"/>
  <c r="E58" i="14"/>
  <c r="D58" i="14"/>
  <c r="D70" i="14"/>
  <c r="F70" i="14"/>
  <c r="E70" i="14"/>
  <c r="G61" i="14"/>
  <c r="E61" i="14"/>
  <c r="D61" i="14"/>
  <c r="F61" i="14"/>
  <c r="G60" i="14"/>
  <c r="D60" i="14"/>
  <c r="F60" i="14"/>
  <c r="E60" i="14"/>
  <c r="G66" i="14"/>
  <c r="E66" i="14"/>
  <c r="D66" i="14"/>
  <c r="F66" i="14"/>
  <c r="F72" i="14"/>
  <c r="E72" i="14"/>
  <c r="D72" i="14"/>
  <c r="G100" i="14"/>
  <c r="F100" i="14"/>
  <c r="E100" i="14"/>
  <c r="D100" i="14"/>
  <c r="G105" i="14"/>
  <c r="F105" i="14"/>
  <c r="E105" i="14"/>
  <c r="D105" i="14"/>
  <c r="B29" i="36"/>
  <c r="H28" i="36"/>
  <c r="D28" i="36"/>
  <c r="J28" i="36"/>
  <c r="A29" i="36"/>
  <c r="F28" i="36"/>
  <c r="B39" i="36"/>
  <c r="J38" i="36"/>
  <c r="A39" i="36"/>
  <c r="H38" i="36"/>
  <c r="F38" i="36"/>
  <c r="D38" i="36"/>
  <c r="G69" i="14"/>
  <c r="B47" i="36"/>
  <c r="F46" i="36"/>
  <c r="A47" i="36"/>
  <c r="D46" i="36"/>
  <c r="J46" i="36"/>
  <c r="H46" i="36"/>
  <c r="C100" i="14"/>
  <c r="C43" i="14"/>
  <c r="L14" i="26"/>
  <c r="L19" i="26"/>
  <c r="N21" i="26"/>
  <c r="N14" i="26"/>
  <c r="L21" i="26"/>
  <c r="N19" i="26"/>
  <c r="B19" i="26"/>
  <c r="D14" i="26"/>
  <c r="D21" i="26"/>
  <c r="F19" i="26"/>
  <c r="H14" i="26"/>
  <c r="H21" i="26"/>
  <c r="B14" i="26"/>
  <c r="B21" i="26"/>
  <c r="D19" i="26"/>
  <c r="F14" i="26"/>
  <c r="F21" i="26"/>
  <c r="H19" i="26"/>
  <c r="C45" i="14"/>
  <c r="C66" i="14"/>
  <c r="C41" i="14"/>
  <c r="C67" i="14"/>
  <c r="C61" i="14"/>
  <c r="C72" i="14"/>
  <c r="G46" i="14"/>
  <c r="C46" i="14"/>
  <c r="C42" i="14"/>
  <c r="C60" i="14"/>
  <c r="C69" i="14"/>
  <c r="G42" i="14"/>
  <c r="C40" i="14"/>
  <c r="C44" i="14"/>
  <c r="C55" i="14"/>
  <c r="C65" i="14"/>
  <c r="C71" i="14"/>
  <c r="C47" i="14"/>
  <c r="G43" i="14"/>
  <c r="C57" i="14"/>
  <c r="C58" i="14"/>
  <c r="C64" i="14"/>
  <c r="C70" i="14"/>
  <c r="C59" i="14"/>
  <c r="G67" i="14"/>
  <c r="G72" i="14"/>
  <c r="G47" i="14"/>
  <c r="G59" i="14"/>
  <c r="G64" i="14"/>
  <c r="G40" i="14"/>
  <c r="G44" i="14"/>
  <c r="G55" i="14"/>
  <c r="G65" i="14"/>
  <c r="G70" i="14"/>
  <c r="G58" i="14"/>
  <c r="G57" i="14"/>
  <c r="G71" i="14"/>
  <c r="E40" i="21"/>
  <c r="D40" i="21"/>
  <c r="E39" i="21"/>
  <c r="D39" i="21"/>
  <c r="E38" i="21"/>
  <c r="D38" i="21"/>
  <c r="E37" i="21"/>
  <c r="D37" i="21"/>
  <c r="E36" i="21"/>
  <c r="D36" i="21"/>
  <c r="E35" i="21"/>
  <c r="D35" i="21"/>
  <c r="E34" i="21"/>
  <c r="D34" i="21"/>
  <c r="F33" i="21"/>
  <c r="E33" i="21"/>
  <c r="D33" i="21"/>
  <c r="E11" i="29"/>
  <c r="D11" i="29"/>
  <c r="F28" i="22"/>
  <c r="E28" i="22"/>
  <c r="D28" i="22"/>
  <c r="F18" i="22"/>
  <c r="E18" i="22"/>
  <c r="D18" i="22"/>
  <c r="C29" i="36" l="1"/>
  <c r="L28" i="36"/>
  <c r="K28" i="36" s="1"/>
  <c r="C39" i="36"/>
  <c r="C47" i="36"/>
  <c r="L38" i="36"/>
  <c r="E38" i="36" s="1"/>
  <c r="L46" i="36"/>
  <c r="E46" i="36" s="1"/>
  <c r="B122" i="14"/>
  <c r="B121" i="14"/>
  <c r="B120" i="14"/>
  <c r="B119" i="14"/>
  <c r="A122" i="14"/>
  <c r="A121" i="14"/>
  <c r="A120" i="14"/>
  <c r="A119" i="14"/>
  <c r="A118" i="14"/>
  <c r="B117" i="14"/>
  <c r="B116" i="14"/>
  <c r="B115" i="14"/>
  <c r="B114" i="14"/>
  <c r="A117" i="14"/>
  <c r="A116" i="14"/>
  <c r="A115" i="14"/>
  <c r="A114" i="14"/>
  <c r="A113" i="14"/>
  <c r="B112" i="14"/>
  <c r="B111" i="14"/>
  <c r="B110" i="14"/>
  <c r="B109" i="14"/>
  <c r="A112" i="14"/>
  <c r="A111" i="14"/>
  <c r="A110" i="14"/>
  <c r="A109" i="14"/>
  <c r="A108" i="14"/>
  <c r="A106" i="14"/>
  <c r="B105" i="14"/>
  <c r="A105" i="14"/>
  <c r="B104" i="14"/>
  <c r="B103" i="14"/>
  <c r="B102" i="14"/>
  <c r="A104" i="14"/>
  <c r="A103" i="14"/>
  <c r="A102" i="14"/>
  <c r="A101" i="14"/>
  <c r="B100" i="14"/>
  <c r="B99" i="14"/>
  <c r="B98" i="14"/>
  <c r="B97" i="14"/>
  <c r="B96" i="14"/>
  <c r="A100" i="14"/>
  <c r="A99" i="14"/>
  <c r="A98" i="14"/>
  <c r="A97" i="14"/>
  <c r="A96" i="14"/>
  <c r="B94" i="14"/>
  <c r="B93" i="14"/>
  <c r="A94" i="14"/>
  <c r="A93" i="14"/>
  <c r="B87" i="14"/>
  <c r="B88" i="14"/>
  <c r="B89" i="14"/>
  <c r="B86" i="14"/>
  <c r="A89" i="14"/>
  <c r="A88" i="14"/>
  <c r="A87" i="14"/>
  <c r="A86" i="14"/>
  <c r="A85" i="14"/>
  <c r="A68" i="14"/>
  <c r="B67" i="14"/>
  <c r="B66" i="14"/>
  <c r="B65" i="14"/>
  <c r="B64" i="14"/>
  <c r="B63" i="14"/>
  <c r="A67" i="14"/>
  <c r="A66" i="14"/>
  <c r="A65" i="14"/>
  <c r="A64" i="14"/>
  <c r="A63" i="14"/>
  <c r="B61" i="14"/>
  <c r="A61" i="14"/>
  <c r="A56" i="14"/>
  <c r="B55" i="14"/>
  <c r="A55" i="14"/>
  <c r="A39" i="26"/>
  <c r="A38" i="26"/>
  <c r="A37" i="26"/>
  <c r="A35" i="26"/>
  <c r="A33" i="26"/>
  <c r="A32" i="26"/>
  <c r="A31" i="26"/>
  <c r="A29" i="26"/>
  <c r="A27" i="26"/>
  <c r="A26" i="26"/>
  <c r="A21" i="26"/>
  <c r="A20" i="26"/>
  <c r="A19" i="26"/>
  <c r="A13" i="26"/>
  <c r="F31" i="24"/>
  <c r="F30" i="24"/>
  <c r="F29" i="24"/>
  <c r="F28" i="24"/>
  <c r="E31" i="24"/>
  <c r="E30" i="24"/>
  <c r="E29" i="24"/>
  <c r="E28" i="24"/>
  <c r="D31" i="24"/>
  <c r="D30" i="24"/>
  <c r="D29" i="24"/>
  <c r="D28" i="24"/>
  <c r="A28" i="24"/>
  <c r="A29" i="24"/>
  <c r="A30" i="24"/>
  <c r="A31" i="24"/>
  <c r="A26" i="24"/>
  <c r="A25" i="24"/>
  <c r="F19" i="24"/>
  <c r="F18" i="24"/>
  <c r="F17" i="24"/>
  <c r="F16" i="24"/>
  <c r="E19" i="24"/>
  <c r="E18" i="24"/>
  <c r="E17" i="24"/>
  <c r="E16" i="24"/>
  <c r="D19" i="24"/>
  <c r="D18" i="24"/>
  <c r="D17" i="24"/>
  <c r="D16" i="24"/>
  <c r="A19" i="24"/>
  <c r="A18" i="24"/>
  <c r="A17" i="24"/>
  <c r="A16" i="24"/>
  <c r="A14" i="24"/>
  <c r="A13" i="24"/>
  <c r="F10" i="24"/>
  <c r="F9" i="24"/>
  <c r="F8" i="24"/>
  <c r="F7" i="24"/>
  <c r="E10" i="24"/>
  <c r="E9" i="24"/>
  <c r="E8" i="24"/>
  <c r="E7" i="24"/>
  <c r="D10" i="24"/>
  <c r="D9" i="24"/>
  <c r="D8" i="24"/>
  <c r="D7" i="24"/>
  <c r="A10" i="24"/>
  <c r="A9" i="24"/>
  <c r="A8" i="24"/>
  <c r="A7" i="24"/>
  <c r="A5" i="24"/>
  <c r="A4" i="24"/>
  <c r="B2" i="24"/>
  <c r="B1" i="24"/>
  <c r="A1" i="24"/>
  <c r="F25" i="22"/>
  <c r="E27" i="22"/>
  <c r="E26" i="22"/>
  <c r="E25" i="22"/>
  <c r="D27" i="22"/>
  <c r="D26" i="22"/>
  <c r="D25" i="22"/>
  <c r="A28" i="22"/>
  <c r="A27" i="22"/>
  <c r="A26" i="22"/>
  <c r="A25" i="22"/>
  <c r="F17" i="22"/>
  <c r="F16" i="22"/>
  <c r="F15" i="22"/>
  <c r="F14" i="22"/>
  <c r="E17" i="22"/>
  <c r="E16" i="22"/>
  <c r="E15" i="22"/>
  <c r="E14" i="22"/>
  <c r="D17" i="22"/>
  <c r="D16" i="22"/>
  <c r="D15" i="22"/>
  <c r="D14" i="22"/>
  <c r="A18" i="22"/>
  <c r="A17" i="22"/>
  <c r="A16" i="22"/>
  <c r="A15" i="22"/>
  <c r="A14" i="22"/>
  <c r="A23" i="22"/>
  <c r="A22" i="22"/>
  <c r="A12" i="22"/>
  <c r="A11" i="22"/>
  <c r="F8" i="22"/>
  <c r="F7" i="22"/>
  <c r="E8" i="22"/>
  <c r="E7" i="22"/>
  <c r="D8" i="22"/>
  <c r="D7" i="22"/>
  <c r="A8" i="22"/>
  <c r="A7" i="22"/>
  <c r="A5" i="22"/>
  <c r="A4" i="22"/>
  <c r="B2" i="22"/>
  <c r="B1" i="22"/>
  <c r="A1" i="22"/>
  <c r="F34" i="30"/>
  <c r="F33" i="30"/>
  <c r="F32" i="30"/>
  <c r="F31" i="30"/>
  <c r="E34" i="30"/>
  <c r="E33" i="30"/>
  <c r="E32" i="30"/>
  <c r="E31" i="30"/>
  <c r="D34" i="30"/>
  <c r="D33" i="30"/>
  <c r="D32" i="30"/>
  <c r="D31" i="30"/>
  <c r="A34" i="30"/>
  <c r="A33" i="30"/>
  <c r="A32" i="30"/>
  <c r="A31" i="30"/>
  <c r="A28" i="30"/>
  <c r="A15" i="30"/>
  <c r="E43" i="29"/>
  <c r="E42" i="29"/>
  <c r="E41" i="29"/>
  <c r="E40" i="29"/>
  <c r="D43" i="29"/>
  <c r="D42" i="29"/>
  <c r="D41" i="29"/>
  <c r="D40" i="29"/>
  <c r="A43" i="29"/>
  <c r="A42" i="29"/>
  <c r="A41" i="29"/>
  <c r="A40" i="29"/>
  <c r="F33" i="29"/>
  <c r="F32" i="29"/>
  <c r="F31" i="29"/>
  <c r="F30" i="29"/>
  <c r="E34" i="29"/>
  <c r="E33" i="29"/>
  <c r="E32" i="29"/>
  <c r="E31" i="29"/>
  <c r="E30" i="29"/>
  <c r="D34" i="29"/>
  <c r="D33" i="29"/>
  <c r="D32" i="29"/>
  <c r="D31" i="29"/>
  <c r="D30" i="29"/>
  <c r="A34" i="29"/>
  <c r="A33" i="29"/>
  <c r="A32" i="29"/>
  <c r="A31" i="29"/>
  <c r="A30" i="29"/>
  <c r="F23" i="29"/>
  <c r="F22" i="29"/>
  <c r="E23" i="29"/>
  <c r="E22" i="29"/>
  <c r="E21" i="29"/>
  <c r="E20" i="29"/>
  <c r="E19" i="29"/>
  <c r="D23" i="29"/>
  <c r="D22" i="29"/>
  <c r="D21" i="29"/>
  <c r="D20" i="29"/>
  <c r="D19" i="29"/>
  <c r="A20" i="29"/>
  <c r="A21" i="29"/>
  <c r="A22" i="29"/>
  <c r="A23" i="29"/>
  <c r="A19" i="29"/>
  <c r="E10" i="29"/>
  <c r="A11" i="29"/>
  <c r="A38" i="29"/>
  <c r="A37" i="29"/>
  <c r="A27" i="29"/>
  <c r="A17" i="29"/>
  <c r="A16" i="29"/>
  <c r="F27" i="21"/>
  <c r="F26" i="21"/>
  <c r="F25" i="21"/>
  <c r="F24" i="21"/>
  <c r="F23" i="21"/>
  <c r="F22" i="21"/>
  <c r="F21" i="21"/>
  <c r="F20" i="21"/>
  <c r="F19" i="21"/>
  <c r="E27" i="21"/>
  <c r="E26" i="21"/>
  <c r="E25" i="21"/>
  <c r="E24" i="21"/>
  <c r="E23" i="21"/>
  <c r="E22" i="21"/>
  <c r="E21" i="21"/>
  <c r="E20" i="21"/>
  <c r="E19" i="21"/>
  <c r="D27" i="21"/>
  <c r="D26" i="21"/>
  <c r="D25" i="21"/>
  <c r="D24" i="21"/>
  <c r="D23" i="21"/>
  <c r="D22" i="21"/>
  <c r="D21" i="21"/>
  <c r="D20" i="21"/>
  <c r="D19" i="21"/>
  <c r="F10" i="21"/>
  <c r="F9" i="21"/>
  <c r="F8" i="21"/>
  <c r="F7" i="21"/>
  <c r="E10" i="21"/>
  <c r="E9" i="21"/>
  <c r="E8" i="21"/>
  <c r="E7" i="21"/>
  <c r="D10" i="21"/>
  <c r="D9" i="21"/>
  <c r="D8" i="21"/>
  <c r="D7" i="21"/>
  <c r="C18" i="38" l="1"/>
  <c r="H18" i="38" s="1"/>
  <c r="C20" i="38"/>
  <c r="H20" i="38" s="1"/>
  <c r="F15" i="38"/>
  <c r="K15" i="38" s="1"/>
  <c r="K46" i="36"/>
  <c r="G28" i="36"/>
  <c r="E28" i="36"/>
  <c r="G38" i="36"/>
  <c r="I28" i="36"/>
  <c r="I46" i="36"/>
  <c r="K38" i="36"/>
  <c r="I38" i="36"/>
  <c r="G46" i="36"/>
  <c r="H6" i="14"/>
  <c r="E20" i="38" l="1"/>
  <c r="J20" i="38" s="1"/>
  <c r="D15" i="38"/>
  <c r="I15" i="38" s="1"/>
  <c r="D20" i="38"/>
  <c r="I20" i="38" s="1"/>
  <c r="F20" i="38"/>
  <c r="K20" i="38" s="1"/>
  <c r="D18" i="38"/>
  <c r="I18" i="38" s="1"/>
  <c r="E15" i="38"/>
  <c r="J15" i="38" s="1"/>
  <c r="L15" i="38" s="1"/>
  <c r="E18" i="38"/>
  <c r="J18" i="38" s="1"/>
  <c r="F18" i="38"/>
  <c r="K18" i="38" s="1"/>
  <c r="C15" i="38"/>
  <c r="H15" i="38" s="1"/>
  <c r="C6" i="14"/>
  <c r="G6" i="14"/>
  <c r="A33" i="20"/>
  <c r="H104" i="14"/>
  <c r="H103" i="14"/>
  <c r="H102" i="14"/>
  <c r="H119" i="14"/>
  <c r="H120" i="14"/>
  <c r="H122" i="14"/>
  <c r="H121" i="14"/>
  <c r="H114" i="14"/>
  <c r="H115" i="14"/>
  <c r="H117" i="14"/>
  <c r="H116" i="14"/>
  <c r="H109" i="14"/>
  <c r="H110" i="14"/>
  <c r="H112" i="14"/>
  <c r="H111" i="14"/>
  <c r="H99" i="14"/>
  <c r="H98" i="14"/>
  <c r="H96" i="14"/>
  <c r="H97" i="14"/>
  <c r="H94" i="14"/>
  <c r="H93" i="14"/>
  <c r="H87" i="14"/>
  <c r="H88" i="14"/>
  <c r="H89" i="14"/>
  <c r="H86" i="14"/>
  <c r="H82" i="14"/>
  <c r="H80" i="14"/>
  <c r="H81" i="14"/>
  <c r="H84" i="14"/>
  <c r="H83" i="14"/>
  <c r="H76" i="14"/>
  <c r="H77" i="14"/>
  <c r="H78" i="14"/>
  <c r="H63" i="14"/>
  <c r="H56" i="14"/>
  <c r="H51" i="14"/>
  <c r="H53" i="14"/>
  <c r="H54" i="14"/>
  <c r="H52" i="14"/>
  <c r="H30" i="14"/>
  <c r="H31" i="14"/>
  <c r="H33" i="14"/>
  <c r="H34" i="14"/>
  <c r="H35" i="14"/>
  <c r="H37" i="14"/>
  <c r="H38" i="14"/>
  <c r="H32" i="14"/>
  <c r="H36" i="14"/>
  <c r="H25" i="14"/>
  <c r="H26" i="14"/>
  <c r="H28" i="14"/>
  <c r="H27" i="14"/>
  <c r="H17" i="14"/>
  <c r="H18" i="14"/>
  <c r="H19" i="14"/>
  <c r="H21" i="14"/>
  <c r="H20" i="14"/>
  <c r="H13" i="14"/>
  <c r="H14" i="14"/>
  <c r="H15" i="14"/>
  <c r="H7" i="14"/>
  <c r="H8" i="14"/>
  <c r="H9" i="14"/>
  <c r="H11" i="14"/>
  <c r="H10" i="14"/>
  <c r="A23" i="26"/>
  <c r="A16" i="26"/>
  <c r="A10" i="26"/>
  <c r="A4" i="26"/>
  <c r="A81" i="14"/>
  <c r="A82" i="14"/>
  <c r="A83" i="14"/>
  <c r="A84" i="14"/>
  <c r="A80" i="14"/>
  <c r="A77" i="14"/>
  <c r="A78" i="14"/>
  <c r="A76" i="14"/>
  <c r="A69" i="14"/>
  <c r="A70" i="14"/>
  <c r="A71" i="14"/>
  <c r="A72" i="14"/>
  <c r="A57" i="14"/>
  <c r="A58" i="14"/>
  <c r="A59" i="14"/>
  <c r="A60" i="14"/>
  <c r="A52" i="14"/>
  <c r="A53" i="14"/>
  <c r="A54" i="14"/>
  <c r="A51" i="14"/>
  <c r="A73" i="14"/>
  <c r="A48" i="14"/>
  <c r="A22" i="14"/>
  <c r="A3" i="14"/>
  <c r="A41" i="14"/>
  <c r="A42" i="14"/>
  <c r="A43" i="14"/>
  <c r="A44" i="14"/>
  <c r="A45" i="14"/>
  <c r="A46" i="14"/>
  <c r="A47" i="14"/>
  <c r="A40" i="14"/>
  <c r="A31" i="14"/>
  <c r="A32" i="14"/>
  <c r="A33" i="14"/>
  <c r="A34" i="14"/>
  <c r="A35" i="14"/>
  <c r="A36" i="14"/>
  <c r="A37" i="14"/>
  <c r="A38" i="14"/>
  <c r="A30" i="14"/>
  <c r="A26" i="14"/>
  <c r="A27" i="14"/>
  <c r="A28" i="14"/>
  <c r="A25" i="14"/>
  <c r="A18" i="14"/>
  <c r="A19" i="14"/>
  <c r="A20" i="14"/>
  <c r="A21" i="14"/>
  <c r="A17" i="14"/>
  <c r="A14" i="14"/>
  <c r="A15" i="14"/>
  <c r="A13" i="14"/>
  <c r="A7" i="14"/>
  <c r="A8" i="14"/>
  <c r="A9" i="14"/>
  <c r="A10" i="14"/>
  <c r="A11" i="14"/>
  <c r="A6" i="14"/>
  <c r="A1" i="20"/>
  <c r="A18" i="30"/>
  <c r="A19" i="30"/>
  <c r="A20" i="30"/>
  <c r="A21" i="30"/>
  <c r="A17" i="30"/>
  <c r="A8" i="30"/>
  <c r="A9" i="30"/>
  <c r="A7" i="30"/>
  <c r="A8" i="29"/>
  <c r="A9" i="29"/>
  <c r="A10" i="29"/>
  <c r="A7" i="29"/>
  <c r="A34" i="21"/>
  <c r="A35" i="21"/>
  <c r="A36" i="21"/>
  <c r="A37" i="21"/>
  <c r="A38" i="21"/>
  <c r="A39" i="21"/>
  <c r="A40" i="21"/>
  <c r="A33" i="21"/>
  <c r="A20" i="21"/>
  <c r="A21" i="21"/>
  <c r="A22" i="21"/>
  <c r="A23" i="21"/>
  <c r="A24" i="21"/>
  <c r="A25" i="21"/>
  <c r="A26" i="21"/>
  <c r="A27" i="21"/>
  <c r="A19" i="21"/>
  <c r="A8" i="21"/>
  <c r="A9" i="21"/>
  <c r="A10" i="21"/>
  <c r="A7" i="21"/>
  <c r="D23" i="20"/>
  <c r="E23" i="20"/>
  <c r="F23" i="20"/>
  <c r="A34" i="20"/>
  <c r="A35" i="20"/>
  <c r="A36" i="20"/>
  <c r="A37" i="20"/>
  <c r="A22" i="20"/>
  <c r="A23" i="20"/>
  <c r="A21" i="20"/>
  <c r="A8" i="20"/>
  <c r="A9" i="20"/>
  <c r="A10" i="20"/>
  <c r="A11" i="20"/>
  <c r="A12" i="20"/>
  <c r="A7" i="20"/>
  <c r="B2" i="20"/>
  <c r="B2" i="29"/>
  <c r="B1" i="30"/>
  <c r="A1" i="30"/>
  <c r="B1" i="29"/>
  <c r="A1" i="29"/>
  <c r="B1" i="21"/>
  <c r="A1" i="21"/>
  <c r="B1" i="20"/>
  <c r="B81" i="14"/>
  <c r="B82" i="14"/>
  <c r="B83" i="14"/>
  <c r="B84" i="14"/>
  <c r="B80" i="14"/>
  <c r="F21" i="30"/>
  <c r="F20" i="30"/>
  <c r="F19" i="30"/>
  <c r="E17" i="30"/>
  <c r="F18" i="30"/>
  <c r="F17" i="30"/>
  <c r="E21" i="30"/>
  <c r="E20" i="30"/>
  <c r="E19" i="30"/>
  <c r="E18" i="30"/>
  <c r="D21" i="30"/>
  <c r="D20" i="30"/>
  <c r="D19" i="30"/>
  <c r="D18" i="30"/>
  <c r="D17" i="30"/>
  <c r="B41" i="14"/>
  <c r="B42" i="14"/>
  <c r="B43" i="14"/>
  <c r="B44" i="14"/>
  <c r="B45" i="14"/>
  <c r="B46" i="14"/>
  <c r="B47" i="14"/>
  <c r="B40" i="14"/>
  <c r="F9" i="30"/>
  <c r="E9" i="30"/>
  <c r="D9" i="30"/>
  <c r="F8" i="30"/>
  <c r="E8" i="30"/>
  <c r="D8" i="30"/>
  <c r="D7" i="30"/>
  <c r="D10" i="29"/>
  <c r="E9" i="29"/>
  <c r="D9" i="29"/>
  <c r="E8" i="29"/>
  <c r="D8" i="29"/>
  <c r="F37" i="20"/>
  <c r="E37" i="20"/>
  <c r="D37" i="20"/>
  <c r="F36" i="20"/>
  <c r="E36" i="20"/>
  <c r="D36" i="20"/>
  <c r="F35" i="20"/>
  <c r="E35" i="20"/>
  <c r="D35" i="20"/>
  <c r="F34" i="20"/>
  <c r="E34" i="20"/>
  <c r="D34" i="20"/>
  <c r="F33" i="20"/>
  <c r="E33" i="20"/>
  <c r="D33" i="20"/>
  <c r="F22" i="20"/>
  <c r="E22" i="20"/>
  <c r="D22" i="20"/>
  <c r="F21" i="20"/>
  <c r="E21" i="20"/>
  <c r="D21" i="20"/>
  <c r="F12" i="20"/>
  <c r="E12" i="20"/>
  <c r="D12" i="20"/>
  <c r="F11" i="20"/>
  <c r="E11" i="20"/>
  <c r="D11" i="20"/>
  <c r="F10" i="20"/>
  <c r="E10" i="20"/>
  <c r="D10" i="20"/>
  <c r="F9" i="20"/>
  <c r="E9" i="20"/>
  <c r="D9" i="20"/>
  <c r="F8" i="20"/>
  <c r="E8" i="20"/>
  <c r="D8" i="20"/>
  <c r="F7" i="30"/>
  <c r="A25" i="26"/>
  <c r="A18" i="26"/>
  <c r="B77" i="14"/>
  <c r="B78" i="14"/>
  <c r="B76" i="14"/>
  <c r="B69" i="14"/>
  <c r="B70" i="14"/>
  <c r="B71" i="14"/>
  <c r="B72" i="14"/>
  <c r="B57" i="14"/>
  <c r="B58" i="14"/>
  <c r="B59" i="14"/>
  <c r="B60" i="14"/>
  <c r="B52" i="14"/>
  <c r="B53" i="14"/>
  <c r="B54" i="14"/>
  <c r="B51" i="14"/>
  <c r="A79" i="14"/>
  <c r="A75" i="14"/>
  <c r="A50" i="14"/>
  <c r="E7" i="30"/>
  <c r="A4" i="30"/>
  <c r="B2" i="30"/>
  <c r="E7" i="29"/>
  <c r="F7" i="29"/>
  <c r="D7" i="29"/>
  <c r="A5" i="29"/>
  <c r="A4" i="29"/>
  <c r="A14" i="26"/>
  <c r="A12" i="26"/>
  <c r="A8" i="26"/>
  <c r="A7" i="26"/>
  <c r="A6" i="26"/>
  <c r="A39" i="14"/>
  <c r="B38" i="14"/>
  <c r="B37" i="14"/>
  <c r="B36" i="14"/>
  <c r="B35" i="14"/>
  <c r="B34" i="14"/>
  <c r="B33" i="14"/>
  <c r="B32" i="14"/>
  <c r="B31" i="14"/>
  <c r="B30" i="14"/>
  <c r="A29" i="14"/>
  <c r="B28" i="14"/>
  <c r="B27" i="14"/>
  <c r="B26" i="14"/>
  <c r="B25" i="14"/>
  <c r="A24" i="14"/>
  <c r="B21" i="14"/>
  <c r="B20" i="14"/>
  <c r="B19" i="14"/>
  <c r="B18" i="14"/>
  <c r="B17" i="14"/>
  <c r="A16" i="14"/>
  <c r="B15" i="14"/>
  <c r="B14" i="14"/>
  <c r="B13" i="14"/>
  <c r="A12" i="14"/>
  <c r="B11" i="14"/>
  <c r="B10" i="14"/>
  <c r="B9" i="14"/>
  <c r="B8" i="14"/>
  <c r="B7" i="14"/>
  <c r="B6" i="14"/>
  <c r="A5" i="14"/>
  <c r="A31" i="21"/>
  <c r="A30" i="21"/>
  <c r="A16" i="21"/>
  <c r="A4" i="21"/>
  <c r="B2" i="21"/>
  <c r="A31" i="20"/>
  <c r="A30" i="20"/>
  <c r="A19" i="20"/>
  <c r="A18" i="20"/>
  <c r="F7" i="20"/>
  <c r="E7" i="20"/>
  <c r="D7" i="20"/>
  <c r="A5" i="20"/>
  <c r="A4" i="20"/>
  <c r="C39" i="14" l="1"/>
  <c r="L18" i="38"/>
  <c r="L20" i="38"/>
  <c r="B15" i="38"/>
  <c r="G20" i="38"/>
  <c r="B20" i="38"/>
  <c r="B18" i="38"/>
  <c r="G15" i="38"/>
  <c r="G18" i="38"/>
  <c r="N9" i="38"/>
  <c r="P14" i="38"/>
  <c r="N14" i="38"/>
  <c r="N30" i="38"/>
  <c r="P30" i="38"/>
  <c r="P22" i="38"/>
  <c r="N22" i="38"/>
  <c r="P10" i="38"/>
  <c r="N10" i="38"/>
  <c r="P19" i="38"/>
  <c r="N19" i="38"/>
  <c r="N27" i="38"/>
  <c r="P27" i="38"/>
  <c r="P9" i="38"/>
  <c r="P17" i="38"/>
  <c r="N17" i="38"/>
  <c r="P31" i="38"/>
  <c r="N31" i="38"/>
  <c r="P32" i="38"/>
  <c r="N32" i="38"/>
  <c r="N23" i="38"/>
  <c r="P23" i="38"/>
  <c r="P28" i="38"/>
  <c r="N28" i="38"/>
  <c r="N11" i="38"/>
  <c r="P11" i="38"/>
  <c r="P24" i="38"/>
  <c r="N24" i="38"/>
  <c r="P26" i="38"/>
  <c r="N26" i="38"/>
  <c r="P13" i="38"/>
  <c r="N13" i="38"/>
  <c r="F11" i="14"/>
  <c r="E11" i="14"/>
  <c r="D11" i="14"/>
  <c r="E15" i="14"/>
  <c r="D15" i="14"/>
  <c r="F15" i="14"/>
  <c r="F21" i="14"/>
  <c r="E21" i="14"/>
  <c r="D21" i="14"/>
  <c r="F7" i="14"/>
  <c r="E7" i="14"/>
  <c r="D7" i="14"/>
  <c r="F17" i="14"/>
  <c r="E17" i="14"/>
  <c r="D17" i="14"/>
  <c r="D9" i="14"/>
  <c r="F9" i="14"/>
  <c r="E9" i="14"/>
  <c r="D14" i="14"/>
  <c r="F14" i="14"/>
  <c r="E14" i="14"/>
  <c r="D19" i="14"/>
  <c r="F19" i="14"/>
  <c r="E19" i="14"/>
  <c r="E10" i="14"/>
  <c r="D10" i="14"/>
  <c r="F10" i="14"/>
  <c r="E20" i="14"/>
  <c r="D20" i="14"/>
  <c r="F20" i="14"/>
  <c r="F8" i="14"/>
  <c r="E8" i="14"/>
  <c r="D8" i="14"/>
  <c r="F13" i="14"/>
  <c r="E13" i="14"/>
  <c r="D13" i="14"/>
  <c r="F18" i="14"/>
  <c r="E18" i="14"/>
  <c r="D18" i="14"/>
  <c r="F25" i="14"/>
  <c r="E25" i="14"/>
  <c r="D25" i="14"/>
  <c r="E37" i="14"/>
  <c r="D37" i="14"/>
  <c r="F37" i="14"/>
  <c r="F31" i="14"/>
  <c r="E31" i="14"/>
  <c r="D31" i="14"/>
  <c r="D27" i="14"/>
  <c r="F27" i="14"/>
  <c r="E27" i="14"/>
  <c r="D36" i="14"/>
  <c r="F36" i="14"/>
  <c r="E36" i="14"/>
  <c r="F35" i="14"/>
  <c r="E35" i="14"/>
  <c r="D35" i="14"/>
  <c r="F30" i="14"/>
  <c r="E30" i="14"/>
  <c r="D30" i="14"/>
  <c r="E28" i="14"/>
  <c r="D28" i="14"/>
  <c r="F28" i="14"/>
  <c r="D32" i="14"/>
  <c r="F32" i="14"/>
  <c r="E32" i="14"/>
  <c r="F34" i="14"/>
  <c r="E34" i="14"/>
  <c r="D34" i="14"/>
  <c r="F26" i="14"/>
  <c r="E26" i="14"/>
  <c r="D26" i="14"/>
  <c r="F38" i="14"/>
  <c r="E38" i="14"/>
  <c r="D38" i="14"/>
  <c r="E33" i="14"/>
  <c r="D33" i="14"/>
  <c r="F33" i="14"/>
  <c r="F53" i="14"/>
  <c r="E53" i="14"/>
  <c r="D53" i="14"/>
  <c r="D51" i="14"/>
  <c r="F51" i="14"/>
  <c r="E51" i="14"/>
  <c r="E52" i="14"/>
  <c r="D52" i="14"/>
  <c r="F52" i="14"/>
  <c r="F54" i="14"/>
  <c r="E54" i="14"/>
  <c r="D54" i="14"/>
  <c r="F63" i="14"/>
  <c r="E63" i="14"/>
  <c r="D63" i="14"/>
  <c r="E78" i="14"/>
  <c r="D78" i="14"/>
  <c r="F78" i="14"/>
  <c r="F84" i="14"/>
  <c r="E84" i="14"/>
  <c r="D84" i="14"/>
  <c r="D77" i="14"/>
  <c r="F77" i="14"/>
  <c r="E77" i="14"/>
  <c r="F81" i="14"/>
  <c r="E81" i="14"/>
  <c r="D81" i="14"/>
  <c r="F89" i="14"/>
  <c r="E89" i="14"/>
  <c r="D89" i="14"/>
  <c r="F86" i="14"/>
  <c r="E86" i="14"/>
  <c r="D86" i="14"/>
  <c r="F76" i="14"/>
  <c r="E76" i="14"/>
  <c r="D76" i="14"/>
  <c r="F80" i="14"/>
  <c r="E80" i="14"/>
  <c r="D80" i="14"/>
  <c r="E88" i="14"/>
  <c r="D88" i="14"/>
  <c r="F88" i="14"/>
  <c r="E83" i="14"/>
  <c r="D83" i="14"/>
  <c r="F83" i="14"/>
  <c r="D82" i="14"/>
  <c r="F82" i="14"/>
  <c r="E82" i="14"/>
  <c r="D87" i="14"/>
  <c r="F87" i="14"/>
  <c r="E87" i="14"/>
  <c r="D93" i="14"/>
  <c r="F93" i="14"/>
  <c r="E93" i="14"/>
  <c r="E104" i="14"/>
  <c r="F104" i="14"/>
  <c r="D104" i="14"/>
  <c r="E94" i="14"/>
  <c r="F94" i="14"/>
  <c r="D94" i="14"/>
  <c r="E99" i="14"/>
  <c r="D99" i="14"/>
  <c r="F99" i="14"/>
  <c r="D98" i="14"/>
  <c r="F98" i="14"/>
  <c r="E98" i="14"/>
  <c r="F97" i="14"/>
  <c r="E97" i="14"/>
  <c r="D97" i="14"/>
  <c r="F102" i="14"/>
  <c r="E102" i="14"/>
  <c r="D102" i="14"/>
  <c r="F96" i="14"/>
  <c r="E96" i="14"/>
  <c r="D96" i="14"/>
  <c r="D103" i="14"/>
  <c r="F103" i="14"/>
  <c r="E103" i="14"/>
  <c r="E115" i="14"/>
  <c r="D115" i="14"/>
  <c r="F115" i="14"/>
  <c r="D114" i="14"/>
  <c r="F114" i="14"/>
  <c r="E114" i="14"/>
  <c r="F111" i="14"/>
  <c r="E111" i="14"/>
  <c r="D111" i="14"/>
  <c r="F116" i="14"/>
  <c r="E116" i="14"/>
  <c r="D116" i="14"/>
  <c r="F121" i="14"/>
  <c r="E121" i="14"/>
  <c r="D121" i="14"/>
  <c r="E110" i="14"/>
  <c r="D110" i="14"/>
  <c r="F110" i="14"/>
  <c r="E120" i="14"/>
  <c r="D120" i="14"/>
  <c r="F120" i="14"/>
  <c r="D109" i="14"/>
  <c r="F109" i="14"/>
  <c r="E109" i="14"/>
  <c r="D119" i="14"/>
  <c r="F119" i="14"/>
  <c r="E119" i="14"/>
  <c r="F112" i="14"/>
  <c r="E112" i="14"/>
  <c r="D112" i="14"/>
  <c r="F117" i="14"/>
  <c r="E117" i="14"/>
  <c r="D117" i="14"/>
  <c r="F122" i="14"/>
  <c r="E122" i="14"/>
  <c r="D122" i="14"/>
  <c r="H6" i="36"/>
  <c r="A7" i="36"/>
  <c r="F10" i="36"/>
  <c r="D10" i="36"/>
  <c r="B11" i="36"/>
  <c r="J10" i="36"/>
  <c r="A11" i="36"/>
  <c r="H10" i="36"/>
  <c r="F6" i="36"/>
  <c r="B15" i="36"/>
  <c r="D14" i="36"/>
  <c r="A15" i="36"/>
  <c r="J14" i="36"/>
  <c r="H14" i="36"/>
  <c r="F14" i="36"/>
  <c r="J6" i="36"/>
  <c r="B7" i="36"/>
  <c r="D6" i="36"/>
  <c r="B21" i="36"/>
  <c r="D20" i="36"/>
  <c r="H20" i="36"/>
  <c r="F20" i="36"/>
  <c r="A21" i="36"/>
  <c r="J20" i="36"/>
  <c r="J24" i="36"/>
  <c r="H24" i="36"/>
  <c r="B25" i="36"/>
  <c r="F24" i="36"/>
  <c r="A25" i="36"/>
  <c r="D24" i="36"/>
  <c r="D34" i="36"/>
  <c r="J34" i="36"/>
  <c r="B35" i="36"/>
  <c r="H34" i="36"/>
  <c r="A35" i="36"/>
  <c r="F34" i="36"/>
  <c r="H42" i="36"/>
  <c r="F42" i="36"/>
  <c r="B43" i="36"/>
  <c r="D42" i="36"/>
  <c r="A43" i="36"/>
  <c r="J42" i="36"/>
  <c r="B53" i="36"/>
  <c r="F52" i="36"/>
  <c r="D52" i="36"/>
  <c r="H52" i="36"/>
  <c r="A53" i="36"/>
  <c r="J52" i="36"/>
  <c r="D56" i="36"/>
  <c r="J56" i="36"/>
  <c r="B57" i="36"/>
  <c r="H56" i="36"/>
  <c r="A57" i="36"/>
  <c r="F56" i="36"/>
  <c r="B61" i="36"/>
  <c r="J60" i="36"/>
  <c r="A61" i="36"/>
  <c r="H60" i="36"/>
  <c r="F60" i="36"/>
  <c r="D60" i="36"/>
  <c r="A67" i="36"/>
  <c r="H66" i="36"/>
  <c r="F66" i="36"/>
  <c r="D66" i="36"/>
  <c r="B67" i="36"/>
  <c r="J66" i="36"/>
  <c r="A75" i="36"/>
  <c r="D74" i="36"/>
  <c r="J74" i="36"/>
  <c r="H74" i="36"/>
  <c r="B75" i="36"/>
  <c r="F74" i="36"/>
  <c r="F70" i="36"/>
  <c r="B71" i="36"/>
  <c r="D70" i="36"/>
  <c r="A71" i="36"/>
  <c r="J70" i="36"/>
  <c r="H70" i="36"/>
  <c r="B81" i="36"/>
  <c r="F80" i="36"/>
  <c r="A81" i="36"/>
  <c r="D80" i="36"/>
  <c r="J80" i="36"/>
  <c r="H80" i="36"/>
  <c r="D84" i="36"/>
  <c r="J84" i="36"/>
  <c r="B85" i="36"/>
  <c r="H84" i="36"/>
  <c r="A85" i="36"/>
  <c r="F84" i="36"/>
  <c r="B89" i="36"/>
  <c r="J88" i="36"/>
  <c r="A89" i="36"/>
  <c r="H88" i="36"/>
  <c r="F88" i="36"/>
  <c r="D88" i="36"/>
  <c r="L6" i="26"/>
  <c r="N7" i="26"/>
  <c r="L7" i="26"/>
  <c r="L20" i="26"/>
  <c r="N20" i="26"/>
  <c r="L32" i="26"/>
  <c r="N32" i="26"/>
  <c r="L8" i="26"/>
  <c r="N8" i="26"/>
  <c r="L12" i="26"/>
  <c r="N12" i="26"/>
  <c r="L27" i="26"/>
  <c r="N27" i="26"/>
  <c r="N31" i="26"/>
  <c r="L31" i="26"/>
  <c r="N6" i="26"/>
  <c r="N25" i="26"/>
  <c r="L25" i="26"/>
  <c r="L26" i="26"/>
  <c r="N26" i="26"/>
  <c r="L33" i="26"/>
  <c r="N33" i="26"/>
  <c r="N13" i="26"/>
  <c r="L13" i="26"/>
  <c r="N18" i="26"/>
  <c r="L18" i="26"/>
  <c r="N37" i="26"/>
  <c r="L37" i="26"/>
  <c r="L38" i="26"/>
  <c r="N38" i="26"/>
  <c r="L39" i="26"/>
  <c r="N39" i="26"/>
  <c r="H12" i="26"/>
  <c r="D12" i="26"/>
  <c r="F12" i="26"/>
  <c r="B12" i="26"/>
  <c r="F27" i="26"/>
  <c r="B27" i="26"/>
  <c r="H27" i="26"/>
  <c r="D27" i="26"/>
  <c r="F13" i="26"/>
  <c r="B13" i="26"/>
  <c r="H13" i="26"/>
  <c r="D13" i="26"/>
  <c r="H18" i="26"/>
  <c r="D18" i="26"/>
  <c r="F18" i="26"/>
  <c r="B18" i="26"/>
  <c r="F37" i="26"/>
  <c r="B37" i="26"/>
  <c r="H37" i="26"/>
  <c r="D37" i="26"/>
  <c r="F38" i="26"/>
  <c r="B38" i="26"/>
  <c r="H38" i="26"/>
  <c r="D38" i="26"/>
  <c r="H39" i="26"/>
  <c r="D39" i="26"/>
  <c r="F39" i="26"/>
  <c r="B39" i="26"/>
  <c r="H8" i="26"/>
  <c r="D8" i="26"/>
  <c r="F8" i="26"/>
  <c r="B8" i="26"/>
  <c r="H25" i="26"/>
  <c r="D25" i="26"/>
  <c r="F25" i="26"/>
  <c r="B25" i="26"/>
  <c r="H26" i="26"/>
  <c r="D26" i="26"/>
  <c r="F26" i="26"/>
  <c r="B26" i="26"/>
  <c r="H33" i="26"/>
  <c r="D33" i="26"/>
  <c r="F33" i="26"/>
  <c r="B33" i="26"/>
  <c r="F31" i="26"/>
  <c r="B31" i="26"/>
  <c r="H31" i="26"/>
  <c r="D31" i="26"/>
  <c r="H6" i="26"/>
  <c r="F7" i="26"/>
  <c r="B7" i="26"/>
  <c r="H7" i="26"/>
  <c r="D7" i="26"/>
  <c r="F20" i="26"/>
  <c r="B20" i="26"/>
  <c r="H20" i="26"/>
  <c r="D20" i="26"/>
  <c r="H32" i="26"/>
  <c r="D32" i="26"/>
  <c r="F32" i="26"/>
  <c r="B32" i="26"/>
  <c r="B6" i="26"/>
  <c r="F6" i="26"/>
  <c r="D6" i="26"/>
  <c r="G25" i="14"/>
  <c r="G37" i="14"/>
  <c r="G31" i="14"/>
  <c r="G27" i="14"/>
  <c r="G36" i="14"/>
  <c r="G35" i="14"/>
  <c r="G30" i="14"/>
  <c r="G28" i="14"/>
  <c r="G32" i="14"/>
  <c r="G34" i="14"/>
  <c r="G26" i="14"/>
  <c r="G38" i="14"/>
  <c r="G33" i="14"/>
  <c r="G14" i="14"/>
  <c r="C14" i="14"/>
  <c r="C19" i="14"/>
  <c r="G19" i="14"/>
  <c r="C28" i="14"/>
  <c r="C32" i="14"/>
  <c r="C34" i="14"/>
  <c r="G51" i="14"/>
  <c r="C51" i="14"/>
  <c r="G76" i="14"/>
  <c r="C76" i="14"/>
  <c r="C80" i="14"/>
  <c r="G80" i="14"/>
  <c r="G88" i="14"/>
  <c r="C88" i="14"/>
  <c r="C97" i="14"/>
  <c r="G97" i="14"/>
  <c r="G111" i="14"/>
  <c r="C111" i="14"/>
  <c r="G116" i="14"/>
  <c r="C116" i="14"/>
  <c r="G121" i="14"/>
  <c r="C121" i="14"/>
  <c r="C102" i="14"/>
  <c r="G102" i="14"/>
  <c r="G8" i="14"/>
  <c r="C8" i="14"/>
  <c r="G13" i="14"/>
  <c r="C13" i="14"/>
  <c r="G18" i="14"/>
  <c r="C18" i="14"/>
  <c r="C26" i="14"/>
  <c r="C38" i="14"/>
  <c r="C33" i="14"/>
  <c r="G52" i="14"/>
  <c r="C52" i="14"/>
  <c r="G83" i="14"/>
  <c r="C83" i="14"/>
  <c r="G82" i="14"/>
  <c r="C82" i="14"/>
  <c r="G87" i="14"/>
  <c r="C87" i="14"/>
  <c r="G96" i="14"/>
  <c r="C96" i="14"/>
  <c r="G112" i="14"/>
  <c r="C112" i="14"/>
  <c r="G117" i="14"/>
  <c r="C117" i="14"/>
  <c r="G122" i="14"/>
  <c r="C122" i="14"/>
  <c r="G103" i="14"/>
  <c r="C103" i="14"/>
  <c r="G10" i="14"/>
  <c r="C10" i="14"/>
  <c r="G7" i="14"/>
  <c r="C7" i="14"/>
  <c r="C20" i="14"/>
  <c r="G20" i="14"/>
  <c r="G17" i="14"/>
  <c r="C17" i="14"/>
  <c r="C25" i="14"/>
  <c r="C37" i="14"/>
  <c r="C31" i="14"/>
  <c r="C54" i="14"/>
  <c r="G54" i="14"/>
  <c r="G63" i="14"/>
  <c r="C63" i="14"/>
  <c r="G78" i="14"/>
  <c r="C78" i="14"/>
  <c r="C84" i="14"/>
  <c r="G84" i="14"/>
  <c r="G86" i="14"/>
  <c r="C86" i="14"/>
  <c r="G93" i="14"/>
  <c r="C93" i="14"/>
  <c r="C98" i="14"/>
  <c r="G98" i="14"/>
  <c r="C110" i="14"/>
  <c r="G110" i="14"/>
  <c r="G115" i="14"/>
  <c r="C115" i="14"/>
  <c r="C120" i="14"/>
  <c r="G120" i="14"/>
  <c r="G104" i="14"/>
  <c r="C104" i="14"/>
  <c r="G9" i="14"/>
  <c r="C9" i="14"/>
  <c r="C11" i="14"/>
  <c r="G11" i="14"/>
  <c r="G15" i="14"/>
  <c r="C15" i="14"/>
  <c r="G21" i="14"/>
  <c r="C21" i="14"/>
  <c r="C27" i="14"/>
  <c r="C36" i="14"/>
  <c r="C35" i="14"/>
  <c r="C30" i="14"/>
  <c r="G53" i="14"/>
  <c r="C53" i="14"/>
  <c r="G77" i="14"/>
  <c r="C77" i="14"/>
  <c r="C81" i="14"/>
  <c r="G81" i="14"/>
  <c r="C89" i="14"/>
  <c r="G89" i="14"/>
  <c r="G94" i="14"/>
  <c r="C94" i="14"/>
  <c r="G99" i="14"/>
  <c r="C99" i="14"/>
  <c r="C109" i="14"/>
  <c r="G109" i="14"/>
  <c r="C114" i="14"/>
  <c r="G114" i="14"/>
  <c r="C119" i="14"/>
  <c r="G119" i="14"/>
  <c r="F6" i="14"/>
  <c r="D6" i="14"/>
  <c r="E6" i="14"/>
  <c r="C68" i="14" l="1"/>
  <c r="C56" i="14"/>
  <c r="C21" i="36"/>
  <c r="P16" i="38"/>
  <c r="P12" i="38"/>
  <c r="C15" i="36"/>
  <c r="N12" i="38"/>
  <c r="N16" i="38"/>
  <c r="C35" i="36"/>
  <c r="N8" i="38"/>
  <c r="N25" i="38"/>
  <c r="N29" i="38"/>
  <c r="P8" i="38"/>
  <c r="P21" i="38"/>
  <c r="P25" i="38"/>
  <c r="N21" i="38"/>
  <c r="P29" i="38"/>
  <c r="C11" i="36"/>
  <c r="C7" i="36"/>
  <c r="C53" i="36"/>
  <c r="C89" i="36"/>
  <c r="C81" i="36"/>
  <c r="C75" i="36"/>
  <c r="D4" i="36"/>
  <c r="L10" i="36"/>
  <c r="K10" i="36" s="1"/>
  <c r="L6" i="36"/>
  <c r="J4" i="36"/>
  <c r="L14" i="36"/>
  <c r="K14" i="36" s="1"/>
  <c r="F4" i="36"/>
  <c r="H4" i="36"/>
  <c r="F18" i="36"/>
  <c r="C25" i="36"/>
  <c r="L24" i="36"/>
  <c r="E24" i="36" s="1"/>
  <c r="H18" i="36"/>
  <c r="J18" i="36"/>
  <c r="L20" i="36"/>
  <c r="G20" i="36" s="1"/>
  <c r="D18" i="36"/>
  <c r="H32" i="36"/>
  <c r="L42" i="36"/>
  <c r="E42" i="36" s="1"/>
  <c r="C43" i="36"/>
  <c r="F32" i="36"/>
  <c r="L34" i="36"/>
  <c r="K34" i="36" s="1"/>
  <c r="J32" i="36"/>
  <c r="D32" i="36"/>
  <c r="L56" i="36"/>
  <c r="K56" i="36" s="1"/>
  <c r="H50" i="36"/>
  <c r="C61" i="36"/>
  <c r="C57" i="36"/>
  <c r="D50" i="36"/>
  <c r="L60" i="36"/>
  <c r="E60" i="36" s="1"/>
  <c r="J50" i="36"/>
  <c r="L52" i="36"/>
  <c r="E52" i="36" s="1"/>
  <c r="F50" i="36"/>
  <c r="D64" i="36"/>
  <c r="F64" i="36"/>
  <c r="C71" i="36"/>
  <c r="J64" i="36"/>
  <c r="L66" i="36"/>
  <c r="G66" i="36" s="1"/>
  <c r="H64" i="36"/>
  <c r="L70" i="36"/>
  <c r="E70" i="36" s="1"/>
  <c r="L74" i="36"/>
  <c r="G74" i="36" s="1"/>
  <c r="C67" i="36"/>
  <c r="L84" i="36"/>
  <c r="G84" i="36" s="1"/>
  <c r="D78" i="36"/>
  <c r="L88" i="36"/>
  <c r="I88" i="36" s="1"/>
  <c r="H78" i="36"/>
  <c r="F78" i="36"/>
  <c r="C85" i="36"/>
  <c r="L80" i="36"/>
  <c r="G80" i="36" s="1"/>
  <c r="J78" i="36"/>
  <c r="N16" i="26"/>
  <c r="L35" i="26"/>
  <c r="N4" i="26"/>
  <c r="L29" i="26"/>
  <c r="L4" i="26"/>
  <c r="N35" i="26"/>
  <c r="N10" i="26"/>
  <c r="L16" i="26"/>
  <c r="L23" i="26"/>
  <c r="N29" i="26"/>
  <c r="L10" i="26"/>
  <c r="N23" i="26"/>
  <c r="H29" i="26"/>
  <c r="H23" i="26"/>
  <c r="H35" i="26"/>
  <c r="J12" i="26"/>
  <c r="I12" i="26" s="1"/>
  <c r="J39" i="26"/>
  <c r="I39" i="26" s="1"/>
  <c r="J7" i="26"/>
  <c r="I7" i="26" s="1"/>
  <c r="F23" i="26"/>
  <c r="B23" i="26"/>
  <c r="J25" i="26"/>
  <c r="C25" i="26" s="1"/>
  <c r="D23" i="26"/>
  <c r="B35" i="26"/>
  <c r="J21" i="26"/>
  <c r="G21" i="26" s="1"/>
  <c r="J14" i="26"/>
  <c r="H16" i="26"/>
  <c r="J19" i="26"/>
  <c r="C19" i="26" s="1"/>
  <c r="B16" i="26"/>
  <c r="F35" i="26"/>
  <c r="D35" i="26"/>
  <c r="J33" i="26"/>
  <c r="I33" i="26" s="1"/>
  <c r="J32" i="26"/>
  <c r="C32" i="26" s="1"/>
  <c r="J26" i="26"/>
  <c r="I26" i="26" s="1"/>
  <c r="J37" i="26"/>
  <c r="C37" i="26" s="1"/>
  <c r="J38" i="26"/>
  <c r="I38" i="26" s="1"/>
  <c r="J20" i="26"/>
  <c r="G20" i="26" s="1"/>
  <c r="F29" i="26"/>
  <c r="F4" i="26"/>
  <c r="B4" i="26"/>
  <c r="D29" i="26"/>
  <c r="J8" i="26"/>
  <c r="E8" i="26" s="1"/>
  <c r="D16" i="26"/>
  <c r="H4" i="26"/>
  <c r="J6" i="26"/>
  <c r="I6" i="26" s="1"/>
  <c r="H10" i="26"/>
  <c r="J13" i="26"/>
  <c r="E13" i="26" s="1"/>
  <c r="J18" i="26"/>
  <c r="I18" i="26" s="1"/>
  <c r="B29" i="26"/>
  <c r="F16" i="26"/>
  <c r="D4" i="26"/>
  <c r="J27" i="26"/>
  <c r="E27" i="26" s="1"/>
  <c r="F10" i="26"/>
  <c r="D10" i="26"/>
  <c r="B10" i="26"/>
  <c r="J31" i="26"/>
  <c r="G31" i="26" s="1"/>
  <c r="D31" i="38" l="1"/>
  <c r="I31" i="38" s="1"/>
  <c r="C19" i="38"/>
  <c r="H19" i="38" s="1"/>
  <c r="C24" i="38"/>
  <c r="H24" i="38" s="1"/>
  <c r="F17" i="38"/>
  <c r="K17" i="38" s="1"/>
  <c r="D30" i="38"/>
  <c r="I30" i="38" s="1"/>
  <c r="E32" i="38"/>
  <c r="J32" i="38" s="1"/>
  <c r="D28" i="38"/>
  <c r="I28" i="38" s="1"/>
  <c r="F23" i="38"/>
  <c r="K23" i="38" s="1"/>
  <c r="C14" i="38"/>
  <c r="H14" i="38" s="1"/>
  <c r="F10" i="38"/>
  <c r="K10" i="38" s="1"/>
  <c r="D26" i="38"/>
  <c r="I26" i="38" s="1"/>
  <c r="C27" i="38"/>
  <c r="H27" i="38" s="1"/>
  <c r="C22" i="38"/>
  <c r="H22" i="38" s="1"/>
  <c r="D13" i="38"/>
  <c r="I13" i="38" s="1"/>
  <c r="F11" i="38"/>
  <c r="K11" i="38" s="1"/>
  <c r="N7" i="38"/>
  <c r="P7" i="38"/>
  <c r="E56" i="36"/>
  <c r="I84" i="36"/>
  <c r="K80" i="36"/>
  <c r="E80" i="36"/>
  <c r="I74" i="36"/>
  <c r="K74" i="36"/>
  <c r="K66" i="36"/>
  <c r="I56" i="36"/>
  <c r="K70" i="36"/>
  <c r="E20" i="36"/>
  <c r="G88" i="36"/>
  <c r="K88" i="36"/>
  <c r="E84" i="36"/>
  <c r="G24" i="36"/>
  <c r="K20" i="36"/>
  <c r="I20" i="36"/>
  <c r="E88" i="36"/>
  <c r="K84" i="36"/>
  <c r="E66" i="36"/>
  <c r="G60" i="36"/>
  <c r="I42" i="36"/>
  <c r="K42" i="36"/>
  <c r="K24" i="36"/>
  <c r="I24" i="36"/>
  <c r="G10" i="36"/>
  <c r="E6" i="36"/>
  <c r="I6" i="36"/>
  <c r="K6" i="36"/>
  <c r="I14" i="36"/>
  <c r="G14" i="36"/>
  <c r="G6" i="36"/>
  <c r="E10" i="36"/>
  <c r="E14" i="36"/>
  <c r="L4" i="36"/>
  <c r="I4" i="36" s="1"/>
  <c r="I10" i="36"/>
  <c r="L18" i="36"/>
  <c r="E18" i="36" s="1"/>
  <c r="L32" i="36"/>
  <c r="E32" i="36" s="1"/>
  <c r="D2" i="36"/>
  <c r="I34" i="36"/>
  <c r="E34" i="36"/>
  <c r="G34" i="36"/>
  <c r="G42" i="36"/>
  <c r="I52" i="36"/>
  <c r="K52" i="36"/>
  <c r="K60" i="36"/>
  <c r="G52" i="36"/>
  <c r="L50" i="36"/>
  <c r="G50" i="36" s="1"/>
  <c r="I60" i="36"/>
  <c r="G56" i="36"/>
  <c r="E74" i="36"/>
  <c r="I70" i="36"/>
  <c r="G70" i="36"/>
  <c r="I66" i="36"/>
  <c r="L64" i="36"/>
  <c r="K64" i="36" s="1"/>
  <c r="H2" i="36"/>
  <c r="L78" i="36"/>
  <c r="E78" i="36" s="1"/>
  <c r="J2" i="36"/>
  <c r="F2" i="36"/>
  <c r="I80" i="36"/>
  <c r="L2" i="26"/>
  <c r="N2" i="26"/>
  <c r="C12" i="26"/>
  <c r="E39" i="26"/>
  <c r="C7" i="26"/>
  <c r="G7" i="26"/>
  <c r="E12" i="26"/>
  <c r="C39" i="26"/>
  <c r="G12" i="26"/>
  <c r="G39" i="26"/>
  <c r="E7" i="26"/>
  <c r="E25" i="26"/>
  <c r="I31" i="26"/>
  <c r="G25" i="26"/>
  <c r="I32" i="26"/>
  <c r="I25" i="26"/>
  <c r="G33" i="26"/>
  <c r="C18" i="26"/>
  <c r="C31" i="26"/>
  <c r="E19" i="26"/>
  <c r="G32" i="26"/>
  <c r="E18" i="26"/>
  <c r="G18" i="26"/>
  <c r="E31" i="26"/>
  <c r="G19" i="26"/>
  <c r="I19" i="26"/>
  <c r="C33" i="26"/>
  <c r="E32" i="26"/>
  <c r="E33" i="26"/>
  <c r="G38" i="26"/>
  <c r="C38" i="26"/>
  <c r="E38" i="26"/>
  <c r="I27" i="26"/>
  <c r="C27" i="26"/>
  <c r="G27" i="26"/>
  <c r="E26" i="26"/>
  <c r="G26" i="26"/>
  <c r="C26" i="26"/>
  <c r="I21" i="26"/>
  <c r="E21" i="26"/>
  <c r="C21" i="26"/>
  <c r="C20" i="26"/>
  <c r="E20" i="26"/>
  <c r="I20" i="26"/>
  <c r="I14" i="26"/>
  <c r="E14" i="26"/>
  <c r="G14" i="26"/>
  <c r="C13" i="26"/>
  <c r="G13" i="26"/>
  <c r="I13" i="26"/>
  <c r="C14" i="26"/>
  <c r="I37" i="26"/>
  <c r="G37" i="26"/>
  <c r="E37" i="26"/>
  <c r="I8" i="26"/>
  <c r="G8" i="26"/>
  <c r="C8" i="26"/>
  <c r="C6" i="26"/>
  <c r="E6" i="26"/>
  <c r="G6" i="26"/>
  <c r="J35" i="26"/>
  <c r="C35" i="26" s="1"/>
  <c r="H2" i="26"/>
  <c r="F2" i="26"/>
  <c r="B2" i="26"/>
  <c r="J16" i="26"/>
  <c r="G16" i="26" s="1"/>
  <c r="D2" i="26"/>
  <c r="J10" i="26"/>
  <c r="G10" i="26" s="1"/>
  <c r="J4" i="26"/>
  <c r="E4" i="26" s="1"/>
  <c r="J29" i="26"/>
  <c r="G29" i="26" s="1"/>
  <c r="J23" i="26"/>
  <c r="C23" i="26" s="1"/>
  <c r="C29" i="38" l="1"/>
  <c r="H29" i="38" s="1"/>
  <c r="E24" i="38"/>
  <c r="J24" i="38" s="1"/>
  <c r="F22" i="38"/>
  <c r="K22" i="38" s="1"/>
  <c r="C17" i="38"/>
  <c r="H17" i="38" s="1"/>
  <c r="C10" i="38"/>
  <c r="H10" i="38" s="1"/>
  <c r="E14" i="38"/>
  <c r="J14" i="38" s="1"/>
  <c r="D24" i="38"/>
  <c r="I24" i="38" s="1"/>
  <c r="F32" i="38"/>
  <c r="K32" i="38" s="1"/>
  <c r="L32" i="38" s="1"/>
  <c r="E23" i="38"/>
  <c r="J23" i="38" s="1"/>
  <c r="L23" i="38" s="1"/>
  <c r="C30" i="38"/>
  <c r="H30" i="38" s="1"/>
  <c r="E30" i="38"/>
  <c r="J30" i="38" s="1"/>
  <c r="D21" i="38"/>
  <c r="I21" i="38" s="1"/>
  <c r="D9" i="38"/>
  <c r="I9" i="38" s="1"/>
  <c r="F25" i="38"/>
  <c r="K25" i="38" s="1"/>
  <c r="C28" i="38"/>
  <c r="H28" i="38" s="1"/>
  <c r="D22" i="38"/>
  <c r="I22" i="38" s="1"/>
  <c r="D19" i="38"/>
  <c r="I19" i="38" s="1"/>
  <c r="E8" i="38"/>
  <c r="J8" i="38" s="1"/>
  <c r="D11" i="38"/>
  <c r="I11" i="38" s="1"/>
  <c r="C9" i="38"/>
  <c r="H9" i="38" s="1"/>
  <c r="F19" i="38"/>
  <c r="K19" i="38" s="1"/>
  <c r="F31" i="38"/>
  <c r="K31" i="38" s="1"/>
  <c r="D14" i="38"/>
  <c r="I14" i="38" s="1"/>
  <c r="C13" i="38"/>
  <c r="H13" i="38" s="1"/>
  <c r="F28" i="38"/>
  <c r="K28" i="38" s="1"/>
  <c r="E31" i="38"/>
  <c r="J31" i="38" s="1"/>
  <c r="D27" i="38"/>
  <c r="I27" i="38" s="1"/>
  <c r="C12" i="38"/>
  <c r="H12" i="38" s="1"/>
  <c r="F9" i="38"/>
  <c r="K9" i="38" s="1"/>
  <c r="E13" i="38"/>
  <c r="J13" i="38" s="1"/>
  <c r="E27" i="38"/>
  <c r="J27" i="38" s="1"/>
  <c r="E22" i="38"/>
  <c r="J22" i="38" s="1"/>
  <c r="E17" i="38"/>
  <c r="J17" i="38" s="1"/>
  <c r="L17" i="38" s="1"/>
  <c r="E10" i="38"/>
  <c r="J10" i="38" s="1"/>
  <c r="L10" i="38" s="1"/>
  <c r="E9" i="38"/>
  <c r="J9" i="38" s="1"/>
  <c r="F14" i="38"/>
  <c r="K14" i="38" s="1"/>
  <c r="C26" i="38"/>
  <c r="H26" i="38" s="1"/>
  <c r="F13" i="38"/>
  <c r="K13" i="38" s="1"/>
  <c r="D32" i="38"/>
  <c r="I32" i="38" s="1"/>
  <c r="F26" i="38"/>
  <c r="K26" i="38" s="1"/>
  <c r="F30" i="38"/>
  <c r="K30" i="38" s="1"/>
  <c r="E26" i="38"/>
  <c r="J26" i="38" s="1"/>
  <c r="D23" i="38"/>
  <c r="I23" i="38" s="1"/>
  <c r="F24" i="38"/>
  <c r="K24" i="38" s="1"/>
  <c r="D17" i="38"/>
  <c r="I17" i="38" s="1"/>
  <c r="C16" i="38"/>
  <c r="H16" i="38" s="1"/>
  <c r="C11" i="38"/>
  <c r="H11" i="38" s="1"/>
  <c r="E11" i="38"/>
  <c r="J11" i="38" s="1"/>
  <c r="L11" i="38" s="1"/>
  <c r="D10" i="38"/>
  <c r="I10" i="38" s="1"/>
  <c r="E19" i="38"/>
  <c r="J19" i="38" s="1"/>
  <c r="C32" i="38"/>
  <c r="H32" i="38" s="1"/>
  <c r="C31" i="38"/>
  <c r="H31" i="38" s="1"/>
  <c r="F27" i="38"/>
  <c r="K27" i="38" s="1"/>
  <c r="E28" i="38"/>
  <c r="J28" i="38" s="1"/>
  <c r="L28" i="38" s="1"/>
  <c r="C23" i="38"/>
  <c r="H23" i="38" s="1"/>
  <c r="K4" i="36"/>
  <c r="K32" i="36"/>
  <c r="G78" i="36"/>
  <c r="K18" i="36"/>
  <c r="G18" i="36"/>
  <c r="I18" i="36"/>
  <c r="G4" i="36"/>
  <c r="E4" i="36"/>
  <c r="I32" i="36"/>
  <c r="G32" i="36"/>
  <c r="K50" i="36"/>
  <c r="I50" i="36"/>
  <c r="E50" i="36"/>
  <c r="G64" i="36"/>
  <c r="L2" i="36"/>
  <c r="K2" i="36" s="1"/>
  <c r="E64" i="36"/>
  <c r="I64" i="36"/>
  <c r="I78" i="36"/>
  <c r="K78" i="36"/>
  <c r="E29" i="26"/>
  <c r="I29" i="26"/>
  <c r="C29" i="26"/>
  <c r="I23" i="26"/>
  <c r="G23" i="26"/>
  <c r="E23" i="26"/>
  <c r="I16" i="26"/>
  <c r="C16" i="26"/>
  <c r="E16" i="26"/>
  <c r="I10" i="26"/>
  <c r="C10" i="26"/>
  <c r="E10" i="26"/>
  <c r="G35" i="26"/>
  <c r="E35" i="26"/>
  <c r="I35" i="26"/>
  <c r="C4" i="26"/>
  <c r="G4" i="26"/>
  <c r="I4" i="26"/>
  <c r="J2" i="26"/>
  <c r="C2" i="26" s="1"/>
  <c r="C16" i="14" l="1"/>
  <c r="C118" i="14"/>
  <c r="C101" i="14"/>
  <c r="C12" i="14"/>
  <c r="C50" i="14"/>
  <c r="C79" i="14"/>
  <c r="L31" i="38"/>
  <c r="L19" i="38"/>
  <c r="L30" i="38"/>
  <c r="L9" i="38"/>
  <c r="L27" i="38"/>
  <c r="L26" i="38"/>
  <c r="L14" i="38"/>
  <c r="L24" i="38"/>
  <c r="L13" i="38"/>
  <c r="L22" i="38"/>
  <c r="G31" i="38"/>
  <c r="G32" i="38"/>
  <c r="B32" i="38"/>
  <c r="B30" i="38"/>
  <c r="B31" i="38"/>
  <c r="B27" i="38"/>
  <c r="B28" i="38"/>
  <c r="G26" i="38"/>
  <c r="G28" i="38"/>
  <c r="B26" i="38"/>
  <c r="B22" i="38"/>
  <c r="B24" i="38"/>
  <c r="G22" i="38"/>
  <c r="G24" i="38"/>
  <c r="G23" i="38"/>
  <c r="G17" i="38"/>
  <c r="B19" i="38"/>
  <c r="B13" i="38"/>
  <c r="B14" i="38"/>
  <c r="G14" i="38"/>
  <c r="G27" i="38"/>
  <c r="B17" i="38"/>
  <c r="G19" i="38"/>
  <c r="G13" i="38"/>
  <c r="E16" i="38"/>
  <c r="J16" i="38" s="1"/>
  <c r="F12" i="38"/>
  <c r="K12" i="38" s="1"/>
  <c r="D12" i="38"/>
  <c r="I12" i="38" s="1"/>
  <c r="F29" i="38"/>
  <c r="K29" i="38" s="1"/>
  <c r="F21" i="38"/>
  <c r="K21" i="38" s="1"/>
  <c r="D29" i="38"/>
  <c r="I29" i="38" s="1"/>
  <c r="C25" i="38"/>
  <c r="H25" i="38" s="1"/>
  <c r="C8" i="38"/>
  <c r="H8" i="38" s="1"/>
  <c r="B23" i="38"/>
  <c r="G30" i="38"/>
  <c r="F7" i="38"/>
  <c r="K7" i="38" s="1"/>
  <c r="D8" i="38"/>
  <c r="I8" i="38" s="1"/>
  <c r="E29" i="38"/>
  <c r="J29" i="38" s="1"/>
  <c r="D25" i="38"/>
  <c r="I25" i="38" s="1"/>
  <c r="E12" i="38"/>
  <c r="J12" i="38" s="1"/>
  <c r="F16" i="38"/>
  <c r="K16" i="38" s="1"/>
  <c r="G11" i="38"/>
  <c r="E25" i="38"/>
  <c r="J25" i="38" s="1"/>
  <c r="L25" i="38" s="1"/>
  <c r="G10" i="38"/>
  <c r="E21" i="38"/>
  <c r="J21" i="38" s="1"/>
  <c r="B10" i="38"/>
  <c r="C21" i="38"/>
  <c r="H21" i="38" s="1"/>
  <c r="B9" i="38"/>
  <c r="D16" i="38"/>
  <c r="I16" i="38" s="1"/>
  <c r="F8" i="38"/>
  <c r="K8" i="38" s="1"/>
  <c r="L8" i="38" s="1"/>
  <c r="B11" i="38"/>
  <c r="G9" i="38"/>
  <c r="G2" i="36"/>
  <c r="I2" i="36"/>
  <c r="E2" i="36"/>
  <c r="I2" i="26"/>
  <c r="G2" i="26"/>
  <c r="E2" i="26"/>
  <c r="C90" i="14" l="1"/>
  <c r="C5" i="14"/>
  <c r="C3" i="14"/>
  <c r="C29" i="14"/>
  <c r="C108" i="14"/>
  <c r="C75" i="14"/>
  <c r="C92" i="14"/>
  <c r="C62" i="14"/>
  <c r="C85" i="14"/>
  <c r="C24" i="14"/>
  <c r="C95" i="14"/>
  <c r="C113" i="14"/>
  <c r="L16" i="38"/>
  <c r="L29" i="38"/>
  <c r="L21" i="38"/>
  <c r="L12" i="38"/>
  <c r="G8" i="38"/>
  <c r="B29" i="38"/>
  <c r="G25" i="38"/>
  <c r="B25" i="38"/>
  <c r="G21" i="38"/>
  <c r="B21" i="38"/>
  <c r="G16" i="38"/>
  <c r="B16" i="38"/>
  <c r="B12" i="38"/>
  <c r="G29" i="38"/>
  <c r="G12" i="38"/>
  <c r="B8" i="38"/>
  <c r="D7" i="38"/>
  <c r="I7" i="38" s="1"/>
  <c r="C7" i="38"/>
  <c r="H7" i="38" s="1"/>
  <c r="E7" i="38"/>
  <c r="J7" i="38" s="1"/>
  <c r="L7" i="38" s="1"/>
  <c r="C73" i="14" l="1"/>
  <c r="C22" i="14"/>
  <c r="C106" i="14"/>
  <c r="C48" i="14"/>
  <c r="G7" i="38"/>
  <c r="B7" i="38"/>
  <c r="AC5" i="43" l="1"/>
  <c r="AF5" i="43"/>
  <c r="AA5" i="43"/>
  <c r="AB5" i="43"/>
  <c r="AC4" i="43"/>
  <c r="AC3" i="43" s="1"/>
  <c r="AF4" i="43"/>
  <c r="AF3" i="43" s="1"/>
  <c r="AD5" i="43"/>
  <c r="AB4" i="43"/>
  <c r="AB3" i="43" s="1"/>
  <c r="AE4" i="43"/>
  <c r="AE5" i="43"/>
  <c r="AD4" i="43"/>
  <c r="I7" i="43"/>
  <c r="J7" i="43" s="1"/>
  <c r="AA4" i="43"/>
  <c r="AA3" i="43" s="1"/>
  <c r="K7" i="43" l="1"/>
  <c r="J126" i="43" s="1"/>
  <c r="AH5" i="43"/>
  <c r="V37" i="43" s="1"/>
  <c r="AG4" i="43"/>
  <c r="S36" i="43" s="1"/>
  <c r="AG5" i="43"/>
  <c r="V36" i="43" s="1"/>
  <c r="AH4" i="43"/>
  <c r="S37" i="43" s="1"/>
  <c r="AE3" i="43"/>
  <c r="AD3" i="43"/>
  <c r="AG3" i="43" l="1"/>
  <c r="S32" i="43" s="1"/>
  <c r="V32" i="43"/>
  <c r="V33" i="43"/>
  <c r="AH3" i="43"/>
  <c r="S33" i="43" s="1"/>
</calcChain>
</file>

<file path=xl/sharedStrings.xml><?xml version="1.0" encoding="utf-8"?>
<sst xmlns="http://schemas.openxmlformats.org/spreadsheetml/2006/main" count="1369" uniqueCount="867">
  <si>
    <t>NP</t>
  </si>
  <si>
    <t>1A-1</t>
  </si>
  <si>
    <t>1A-2</t>
  </si>
  <si>
    <t>1A-3</t>
  </si>
  <si>
    <t>1A-4</t>
  </si>
  <si>
    <t>1B-1</t>
  </si>
  <si>
    <t>1B-2</t>
  </si>
  <si>
    <t>1C-1</t>
  </si>
  <si>
    <t>1C-2</t>
  </si>
  <si>
    <t>1C-3</t>
  </si>
  <si>
    <t>External funding</t>
  </si>
  <si>
    <t>1C-4</t>
  </si>
  <si>
    <t>1C-5</t>
  </si>
  <si>
    <t>Program space</t>
  </si>
  <si>
    <t>Comments</t>
  </si>
  <si>
    <t>There is a strong institutional commitment to STEM teacher education, supported by policy, rewards, and financial resources.</t>
  </si>
  <si>
    <t>Level Description</t>
  </si>
  <si>
    <t>BENCHMARK</t>
  </si>
  <si>
    <t>EXEMPLARY</t>
  </si>
  <si>
    <t>1A-5</t>
  </si>
  <si>
    <t>1A-6</t>
  </si>
  <si>
    <t>Promotion and tenure in physics</t>
  </si>
  <si>
    <t>1B-3</t>
  </si>
  <si>
    <t>The program has an effective leadership team, including effective collaboration between physics and education.</t>
  </si>
  <si>
    <t>2A-1</t>
  </si>
  <si>
    <t>2A-2</t>
  </si>
  <si>
    <t>2A-3</t>
  </si>
  <si>
    <t>2A-4</t>
  </si>
  <si>
    <t>2B-1</t>
  </si>
  <si>
    <t>2B-2</t>
  </si>
  <si>
    <t>Positional power</t>
  </si>
  <si>
    <t>2B-3</t>
  </si>
  <si>
    <t>Disciplinary expertise</t>
  </si>
  <si>
    <t>2B-4</t>
  </si>
  <si>
    <t>Integration of Teacher in Residence (TIR)</t>
  </si>
  <si>
    <t>2B-5</t>
  </si>
  <si>
    <t>2B-6</t>
  </si>
  <si>
    <t>2B-7</t>
  </si>
  <si>
    <t>2C-1</t>
  </si>
  <si>
    <t>2C-2</t>
  </si>
  <si>
    <t>Negotiated roles between units</t>
  </si>
  <si>
    <t>2C-3</t>
  </si>
  <si>
    <t>2C-4</t>
  </si>
  <si>
    <t>2C-5</t>
  </si>
  <si>
    <t>2C-6</t>
  </si>
  <si>
    <t>2C-7</t>
  </si>
  <si>
    <t>Student community in physics</t>
  </si>
  <si>
    <t>5B-1</t>
  </si>
  <si>
    <t>5B-2</t>
  </si>
  <si>
    <t>5B-3</t>
  </si>
  <si>
    <t>5B-4</t>
  </si>
  <si>
    <t>5C-1</t>
  </si>
  <si>
    <t>5C-2</t>
  </si>
  <si>
    <t>5C-3</t>
  </si>
  <si>
    <t>The program assesses multiple outcomes, using them for program improvement and to advocate for funding and resources.</t>
  </si>
  <si>
    <t>6A-1</t>
  </si>
  <si>
    <t>6A-2</t>
  </si>
  <si>
    <t>6A-3</t>
  </si>
  <si>
    <t>6A-4</t>
  </si>
  <si>
    <t>6B-1</t>
  </si>
  <si>
    <t>6B-2</t>
  </si>
  <si>
    <t>6B-3</t>
  </si>
  <si>
    <t>6B-4</t>
  </si>
  <si>
    <t>The program communicates its successes to key stakeholders to build support for the program.</t>
  </si>
  <si>
    <t>6C-1</t>
  </si>
  <si>
    <t>Communication with university administrators</t>
  </si>
  <si>
    <t>6C-2</t>
  </si>
  <si>
    <t>6C-3</t>
  </si>
  <si>
    <t>Scholarly work</t>
  </si>
  <si>
    <t>6C-4</t>
  </si>
  <si>
    <t>5A-1</t>
  </si>
  <si>
    <t>5A-2</t>
  </si>
  <si>
    <t>2B-8</t>
  </si>
  <si>
    <t>2B-9</t>
  </si>
  <si>
    <t>3A-1</t>
  </si>
  <si>
    <t>3A-4</t>
  </si>
  <si>
    <t>Program identity and reputation</t>
  </si>
  <si>
    <t>3A-2</t>
  </si>
  <si>
    <t>3A-3</t>
  </si>
  <si>
    <t>The program actively recruits physics teacher candidates.</t>
  </si>
  <si>
    <t>3B-2</t>
  </si>
  <si>
    <t>3B-3</t>
  </si>
  <si>
    <t>Physics teaching advisor</t>
  </si>
  <si>
    <t>3B-5</t>
  </si>
  <si>
    <t>Physics teaching ambassador</t>
  </si>
  <si>
    <t>3C-2</t>
  </si>
  <si>
    <t>3C-3</t>
  </si>
  <si>
    <t>3C-4</t>
  </si>
  <si>
    <t>Exposure to intellectual challenge of teaching</t>
  </si>
  <si>
    <t>3C-5</t>
  </si>
  <si>
    <t>The teacher education program provides a variety of options for physics and related majors to complete the program without unduly extending their undergraduate career or taking on financial burdens.</t>
  </si>
  <si>
    <t>3D-1</t>
  </si>
  <si>
    <t>3D-2</t>
  </si>
  <si>
    <t>3D-3</t>
  </si>
  <si>
    <t>3D-4</t>
  </si>
  <si>
    <t>3B-1</t>
  </si>
  <si>
    <t>3B-4</t>
  </si>
  <si>
    <t>3C-1</t>
  </si>
  <si>
    <t>Component 4A: Physics Content Knowledge</t>
  </si>
  <si>
    <t>4A-1</t>
  </si>
  <si>
    <t>4A-2</t>
  </si>
  <si>
    <t>Student research for teacher candidates</t>
  </si>
  <si>
    <t>4B-1</t>
  </si>
  <si>
    <t>4B-3</t>
  </si>
  <si>
    <t>4B-4</t>
  </si>
  <si>
    <t>4B-5</t>
  </si>
  <si>
    <t>4C-1</t>
  </si>
  <si>
    <t>4C-2</t>
  </si>
  <si>
    <t>4C-3</t>
  </si>
  <si>
    <t>4C-4</t>
  </si>
  <si>
    <t>4A-3</t>
  </si>
  <si>
    <t>4B-2</t>
  </si>
  <si>
    <t>The institutional mission and/or strategic priorities historically support teacher education.</t>
  </si>
  <si>
    <t>Institutional funding is at least $5K.</t>
  </si>
  <si>
    <t>External funding is less than $25K/year.</t>
  </si>
  <si>
    <t>External funding exceeds $100K/year.</t>
  </si>
  <si>
    <t>The program is housed in a faculty office with a clear program label.</t>
  </si>
  <si>
    <t>The program has a dedicated space.</t>
  </si>
  <si>
    <t>The program has dedicated space in a location frequented by physics students.</t>
  </si>
  <si>
    <t xml:space="preserve">There is more than one FTE physics TIR. </t>
  </si>
  <si>
    <t>Team members are very familiar with and use PER practices in their instruction.</t>
  </si>
  <si>
    <t>At least one team member has successfully created change at some level in their institution.</t>
  </si>
  <si>
    <t>At least one team member has successfully created or substantially modified a new program at their institution.</t>
  </si>
  <si>
    <t>At least one team member is recognized at their institution as an opinion leader and has a record of creating institutional change.</t>
  </si>
  <si>
    <t>One part-time team member is a boundary crosser.</t>
  </si>
  <si>
    <t>More than one full-time team member is a boundary crosser.</t>
  </si>
  <si>
    <t>Advising provides students with consistent and accurate information about degree options.</t>
  </si>
  <si>
    <t xml:space="preserve">Advising provides a clear roadmap of courses to accomplish different career goals, and majors are consistently mentored regarding career options. </t>
  </si>
  <si>
    <t>There are meetings of program alumni every semester and/or an active online network.</t>
  </si>
  <si>
    <t>The program conducts an annual evaluation or otherwise engages in a systematic cycle of continuous improvement.</t>
  </si>
  <si>
    <t>Program leaders consistently communicate with department chairs about program successes.</t>
  </si>
  <si>
    <t>Program leaders consistently communicate with higher administrators about program successes.</t>
  </si>
  <si>
    <t>The program consistently communicates its assessment data within the program team.</t>
  </si>
  <si>
    <t xml:space="preserve">There is a pool of physics-aligned majors that is equal to the number of physics majors. </t>
  </si>
  <si>
    <t>The program has moderate identity and reputation (e.g., brochures, logo, local knowledge of the program).</t>
  </si>
  <si>
    <t>The program has strong identity and reputation (e.g., developed branding, website, regional or national reputation).</t>
  </si>
  <si>
    <t>Most of the required certification coursework is taught in the context of teaching science and/or physics.</t>
  </si>
  <si>
    <t>2C-8</t>
  </si>
  <si>
    <t>Departmental representation</t>
  </si>
  <si>
    <t>There is an active SPS chapter and a student lounge.</t>
  </si>
  <si>
    <t>The program offers occasional alumni events.</t>
  </si>
  <si>
    <t>There are meetings of program alumni every year.</t>
  </si>
  <si>
    <t>Disciplinary context of certification coursework</t>
  </si>
  <si>
    <t xml:space="preserve">The worksheets for all the Standards use a combination of conditional formatting and form controls (non ActiveX group boxes and option buttons) to create the interactive behavior.  </t>
  </si>
  <si>
    <t>The group boxes make possible the single choice nature of the responses to each subcomponent. These boxes are invisible to the final user.</t>
  </si>
  <si>
    <t>Inserting/deleting rows or columns, changing columns' widths or rows' heights can affect their functionality.</t>
  </si>
  <si>
    <t>Standards worksheets</t>
  </si>
  <si>
    <t>Full Report worksheet</t>
  </si>
  <si>
    <t>Summary worksheet</t>
  </si>
  <si>
    <t>Raw worksheet</t>
  </si>
  <si>
    <t>These boxes can be made visible following these instructions:</t>
  </si>
  <si>
    <t>Hit alt-F11 to get to the VBE</t>
  </si>
  <si>
    <t>Type 'activesheet.groupboxes.visible = true' and hit enter.</t>
  </si>
  <si>
    <t>Hit ctrl-g to see the immediate window</t>
  </si>
  <si>
    <t>Compiles the answers from all the Standards worksheets in a single place. Uses data from the Raw worksheet and from the Standards worksheets.</t>
  </si>
  <si>
    <t>A column for comments is provided for each subcomponent.</t>
  </si>
  <si>
    <t>Conditional formatting in the form of icon sets (stars) is used here to represent the level selected for each subcomponent.</t>
  </si>
  <si>
    <t>Summarizes results by standard, components and for the whole instrument. Uses the Full Report worksheet as its data source.</t>
  </si>
  <si>
    <r>
      <rPr>
        <b/>
        <sz val="11"/>
        <color theme="1"/>
        <rFont val="Calibri"/>
        <family val="2"/>
        <scheme val="minor"/>
      </rPr>
      <t>Note:</t>
    </r>
    <r>
      <rPr>
        <sz val="11"/>
        <color theme="1"/>
        <rFont val="Calibri"/>
        <family val="2"/>
        <scheme val="minor"/>
      </rPr>
      <t xml:space="preserve"> it is necessary to enable Excel's Developer Tab in order to have access to the form controls options.</t>
    </r>
  </si>
  <si>
    <r>
      <t xml:space="preserve">Source for all other worksheets. All changes should be made here. </t>
    </r>
    <r>
      <rPr>
        <b/>
        <sz val="11"/>
        <color rgb="FFFF0000"/>
        <rFont val="Calibri"/>
        <family val="2"/>
        <scheme val="minor"/>
      </rPr>
      <t xml:space="preserve">Be aware that inserting rows/columns and changing items might affect the behavior and look of the corresponding Standard worksheet. </t>
    </r>
  </si>
  <si>
    <t>Responses</t>
  </si>
  <si>
    <t>All PTEPA Standards</t>
  </si>
  <si>
    <t>About this visual</t>
  </si>
  <si>
    <t>This is a "heat map" to help you visualize your program's strengths, and areas in need of improvement.  Shown is the percent of items in the Standard (or Component) which reach each level (NP, Developing, Benchmark, Exemplary).                                                     White:  Fewer than 25% of items at this level.  Lightest shade:  25-50% of items at this level.  Medium shade:  50-75% of items at this level.  Darkest shade:  75-100% of items at this level.</t>
  </si>
  <si>
    <t>A rubric to describe and guide physics teacher education programs</t>
  </si>
  <si>
    <t>Instructions</t>
  </si>
  <si>
    <t>4.  You will not be able to make changes outside of the radio buttons and Comments fields.</t>
  </si>
  <si>
    <t>Table of Contents</t>
  </si>
  <si>
    <t xml:space="preserve">Either the formal named physics teacher education program (e.g., UTeach) or the informal collection of (1) courses and experiential learning opportunities for teachers with physics-specific content and (2) people (instructors, leaders) who directly serve physics teacher candidates. </t>
  </si>
  <si>
    <t xml:space="preserve">A person with exemplary understanding of teaching and experience teaching in K–12 schools who functions as an essential colleague to the PTE program. </t>
  </si>
  <si>
    <t>A student who has committed to completing a program of physics teacher education.</t>
  </si>
  <si>
    <t>Teacher in Residence</t>
  </si>
  <si>
    <t>Interview questions</t>
  </si>
  <si>
    <t>Approximately what year did your program start?</t>
  </si>
  <si>
    <t>What degree(s) can a teacher candidate receive from your program?</t>
  </si>
  <si>
    <t>Does a teacher certified to teach physics in your program need to be able to teach other subjects to be employable in your area?</t>
  </si>
  <si>
    <t>Please provide a link to, or a list of, the courses that are part of your PTE program.</t>
  </si>
  <si>
    <t>Please name the academic unit within which the physics teacher education program resides (e.g., Physics).</t>
  </si>
  <si>
    <t>Please name the academic unit(s) with which the physics teacher education program collaborates (e.g., Education).</t>
  </si>
  <si>
    <t xml:space="preserve">Please tell us the names of your PTE program leaders. </t>
  </si>
  <si>
    <t xml:space="preserve">Please tell us the names of others on your PTE program team. </t>
  </si>
  <si>
    <t>Anything else we should know?</t>
  </si>
  <si>
    <t>Acronyms</t>
  </si>
  <si>
    <t>Definition of terms used in the PTEPA Rubric</t>
  </si>
  <si>
    <t>(Listed in order of appearance.  Also defined within the instrument in footnotes.)</t>
  </si>
  <si>
    <t>Standard 1</t>
  </si>
  <si>
    <t>Institutional Commitment</t>
  </si>
  <si>
    <t>Prevalent</t>
  </si>
  <si>
    <t>President- or provost-level administration verbally prioritizes STEM educational improvements, but as yet there is little to no evidence of this support.</t>
  </si>
  <si>
    <t xml:space="preserve">Additionally, there is evidence of university support for STEM education improvements. </t>
  </si>
  <si>
    <t>There is concrete support from the university for STEM education improvements.</t>
  </si>
  <si>
    <t>The institutional mission or strategic priorities are explicitly well aligned with teacher preparation (e.g., an emphasis on service).</t>
  </si>
  <si>
    <t>The PTE program has received modest recognition from administrators (e.g., department-level recognition, being mentioned in meetings).</t>
  </si>
  <si>
    <t>The PTE program has received significant public recognition from administrators (e.g., public remarks, campus newsletter, college website).</t>
  </si>
  <si>
    <t>The PTE program is a point of pride for the institution, and its work is publicly recognized in several venues.</t>
  </si>
  <si>
    <t>President- or provost-level administration verbally prioritizes teacher education, but as yet there is little to no evidence of this support.</t>
  </si>
  <si>
    <t>Additionally, there is evidence of university administration support for teacher education.</t>
  </si>
  <si>
    <t>There is concrete support from the university administration for teacher education.</t>
  </si>
  <si>
    <t>Additionally, there is evidence of A&amp;S support for teacher education.</t>
  </si>
  <si>
    <t>There is concrete support from A&amp;S for teacher education.</t>
  </si>
  <si>
    <t>Institutional mission of teacher education</t>
  </si>
  <si>
    <t>The institution encourages, supports, and rewards leadership in physics teacher preparation.</t>
  </si>
  <si>
    <t>At least one physics faculty member is given credit toward promotion based on their work in PTE.</t>
  </si>
  <si>
    <t>At least one physics faculty member has been hired in large part based on their PTE expertise.</t>
  </si>
  <si>
    <t>At least one tenure-track physics faculty member has been promoted in large part based on their PTE activities.</t>
  </si>
  <si>
    <t>Less than 0.5 full-time equivalent (FTE) engaged staff.</t>
  </si>
  <si>
    <t>Institutional funding exceeds $100K/year.</t>
  </si>
  <si>
    <t>Operational funding has been historically granted but occurs on a year-to-year basis.</t>
  </si>
  <si>
    <t>Operational funding is guaranteed for at least three years.</t>
  </si>
  <si>
    <t>Operational funding is a recurring line item or is supported by ongoing endowments.</t>
  </si>
  <si>
    <t>Program leaders include at least one faculty member.</t>
  </si>
  <si>
    <t>Program leaders include two faculty members.</t>
  </si>
  <si>
    <t>Program leaders include three or more faculty members.</t>
  </si>
  <si>
    <t>Team consists of one person in addition to the leader(s).</t>
  </si>
  <si>
    <t>Team consists of two people in addition to the leader(s).</t>
  </si>
  <si>
    <t>Team consists of at least two people in addition to the leader(s), at least one of whom is a faculty member.</t>
  </si>
  <si>
    <t>There is a part-time physics TIR, or there is a science TIR (at any FTE).</t>
  </si>
  <si>
    <t>There is one FTE physics TIR.</t>
  </si>
  <si>
    <t>There is a science TAG.</t>
  </si>
  <si>
    <t>There is a physics TAG (significant physics teacher membership).</t>
  </si>
  <si>
    <t>There is a physics TAG that is readily available for consultation by the PTE team.</t>
  </si>
  <si>
    <t>Personal motivation to improve PTE</t>
  </si>
  <si>
    <t>Physics Education Research (PER) expertise</t>
  </si>
  <si>
    <t>Professional engagement in PTE</t>
  </si>
  <si>
    <t>The team is not hampered by fundamental disagreements about PTE.</t>
  </si>
  <si>
    <t>The team shares a common vision for excellence in PTE.</t>
  </si>
  <si>
    <t xml:space="preserve">The team includes a member with expertise in physics and a member with expertise in education. </t>
  </si>
  <si>
    <t>The team includes a member with expertise in physics education.</t>
  </si>
  <si>
    <t>The team includes multiple members with expertise in physics education, some with primarily physics expertise and some with primarily education expertise.</t>
  </si>
  <si>
    <t>The TIR interacts frequently with teacher candidates.</t>
  </si>
  <si>
    <t>Team has members that are somewhat familiar with PER.</t>
  </si>
  <si>
    <t>Team members are active in the PER community through regular journal reading or conference attendance.</t>
  </si>
  <si>
    <t>At least one team member is a member of PhysTEC or similar STEM teacher education organization.</t>
  </si>
  <si>
    <t>At least one team member regularly attends PhysTEC or similar STEM teacher education conference.</t>
  </si>
  <si>
    <t>Regular practices have been established that guide interactions with other academic units regarding the PTE program.</t>
  </si>
  <si>
    <t>There is a functional negotiated agreement among the different academic units involved in PTE, including dean-level involvement.</t>
  </si>
  <si>
    <t>One full-time team member is a boundary crosser.</t>
  </si>
  <si>
    <t>There are formal cross-departmental structures to provide discipline-specific advising to physics teacher candidates.</t>
  </si>
  <si>
    <t xml:space="preserve">The primary PTE mentor is aware of where PTE candidates are placed.  </t>
  </si>
  <si>
    <t>The primary PTE mentor significantly influences PTE candidate placement.</t>
  </si>
  <si>
    <t>There is a pool of physics-aligned majors that is two to four times the number of physics majors.</t>
  </si>
  <si>
    <t>There is a pool of physics-aligned majors that is at least five times the number of physics majors.</t>
  </si>
  <si>
    <t xml:space="preserve">Recruitment network </t>
  </si>
  <si>
    <t>The program has a name.</t>
  </si>
  <si>
    <t>There is substantial program promotion (5+ practices).</t>
  </si>
  <si>
    <t>Early teaching experiences are attractive to physics students (e.g., high physics content, time-efficient, free, or course credit).</t>
  </si>
  <si>
    <t>Students participating in early teaching experiences receive informal mentorship in teaching.</t>
  </si>
  <si>
    <t>Students participating in early teaching experiences learn about teaching as a rigorous intellectual endeavor.</t>
  </si>
  <si>
    <t>Students participating in early teaching experiences are exposed to physics education research and/or the scholarship of teaching.</t>
  </si>
  <si>
    <t xml:space="preserve">Early teaching experiences accommodate the number of physics students who typically enter the certification program. </t>
  </si>
  <si>
    <t xml:space="preserve">Early teaching experiences accommodate at least twice the number of physics students who enter the certification program. </t>
  </si>
  <si>
    <t xml:space="preserve">Early teaching experiences can accommodate several times the number of physics students who enter the certification program. </t>
  </si>
  <si>
    <t>The physics program offers a teaching track or concentration that is well designed and streamlined to integrate with certification requirements.</t>
  </si>
  <si>
    <t>Financial support for physics teacher candidates</t>
  </si>
  <si>
    <t xml:space="preserve">Substantial financial support is made available to &gt;25% of the PTE candidates. </t>
  </si>
  <si>
    <t>Substantial financial support is made available to &gt;50% of the PTE candidates.</t>
  </si>
  <si>
    <t>DEVELOPING</t>
  </si>
  <si>
    <t>Most physics teacher candidates complete a physics minor or equivalent, but it is not required.</t>
  </si>
  <si>
    <t>A physics minor or equivalent is required for physics teacher candidates.</t>
  </si>
  <si>
    <t xml:space="preserve">Essentially all physics teacher candidates complete a physics major or equivalent (which may or may not be required). </t>
  </si>
  <si>
    <t>Introductory physics course pedagogy</t>
  </si>
  <si>
    <t>There is an optional research experience available to teacher candidates.</t>
  </si>
  <si>
    <t>At least half of teacher candidates participate in a research experience that culminates in a presentation, poster, or paper.</t>
  </si>
  <si>
    <t>At least half of teacher candidates participate in a research experience that culminates in a presentation, poster, or paper and connects research with educational practice.</t>
  </si>
  <si>
    <t>Scientific practices account for six or more credits within the curriculum.</t>
  </si>
  <si>
    <t>Some of the required certification coursework is taught in the context of teaching science and/or physics.</t>
  </si>
  <si>
    <t>At least half the physics teacher candidates participate in physics microteaching with peers.</t>
  </si>
  <si>
    <t>Essentially all physics teacher candidates participate in physics microteaching with peers.</t>
  </si>
  <si>
    <t>Essentially all physics teacher candidates deliver physics microteaching lessons to peers at least twice.</t>
  </si>
  <si>
    <t>There are physics TA/LA opportunities, and some physics teacher candidates participate.</t>
  </si>
  <si>
    <t>At least half of the physics teacher candidates are physics TAs/LAs at some point.</t>
  </si>
  <si>
    <t>Essentially all physics teacher candidates are physics TAs/LAs at some point.</t>
  </si>
  <si>
    <t>The university supervisor consults informally with the PTE leadership team to evaluate and support candidates.</t>
  </si>
  <si>
    <t>The university supervisor officially collaborates with the PTE team to evaluate and support candidates.</t>
  </si>
  <si>
    <t>The university supervisor is a member of the PTE team.</t>
  </si>
  <si>
    <t>The university supervisor has experience teaching physics.</t>
  </si>
  <si>
    <t>There are one or two community-building activities each year (e.g., welcome picnics).</t>
  </si>
  <si>
    <t>There is an active Society of Physics Students (SPS) chapter or a student lounge.</t>
  </si>
  <si>
    <t xml:space="preserve">Advising supports students in tailoring academic programs to their career interests, and majors are consistently mentored regarding career options. </t>
  </si>
  <si>
    <t>Physics/STEM teacher candidates collaborate in classes, attend community-building events, and have a lounge or shared workspace.</t>
  </si>
  <si>
    <t>Community with in-service teachers</t>
  </si>
  <si>
    <t>Some teacher candidates attend campus events with working teachers.</t>
  </si>
  <si>
    <t>Most teacher candidates attend campus events with working teachers, but such events are occasional.</t>
  </si>
  <si>
    <t>Many teacher candidates attend campus events with working teachers, and these events are frequent (several times per year).</t>
  </si>
  <si>
    <t>Alumni community</t>
  </si>
  <si>
    <t>Many alumni receive some mentoring from a PTE mentor.</t>
  </si>
  <si>
    <t>Professional development for in-service teachers</t>
  </si>
  <si>
    <t>Less than 25 hours of professional development are offered per year.</t>
  </si>
  <si>
    <t>80+ hours of professional development are offered per year.</t>
  </si>
  <si>
    <t>The program is successful at recruiting, graduating, placing, and retaining physics teacher candidates.</t>
  </si>
  <si>
    <t>Annual graduation from PTE program</t>
  </si>
  <si>
    <t>On average, there is at least one graduate from the PTE program per year.</t>
  </si>
  <si>
    <t>Annual recruitment in PTE program</t>
  </si>
  <si>
    <t>Six or more students enter the PTE program per year.</t>
  </si>
  <si>
    <t>Diversity of physics teacher candidates</t>
  </si>
  <si>
    <t>At least 70% of PTE program graduates remain in the profession after five years.</t>
  </si>
  <si>
    <t>At least 80% of PTE program graduates remain in the profession after five years.</t>
  </si>
  <si>
    <t>The program assesses at least two candidate learning outcomes.</t>
  </si>
  <si>
    <t>The program assesses at least three candidate learning outcomes.</t>
  </si>
  <si>
    <t>Program feedback is collected from most candidates or alumni.</t>
  </si>
  <si>
    <t xml:space="preserve">The program uses feedback and program data to make occasional improvements. </t>
  </si>
  <si>
    <t>The program has carefully examined feedback and program data to make substantial improvements at least occasionally.</t>
  </si>
  <si>
    <t>Communication within the university</t>
  </si>
  <si>
    <t xml:space="preserve">The program consistently communicates about its successes with one or two departments or academic units. </t>
  </si>
  <si>
    <t xml:space="preserve">The program consistently communicates about its successes in campus-wide publications or venues. </t>
  </si>
  <si>
    <t>Standard 2</t>
  </si>
  <si>
    <t>Standard 3</t>
  </si>
  <si>
    <t>Recruitment</t>
  </si>
  <si>
    <t>Standard 4</t>
  </si>
  <si>
    <t>Knowledge and Skills for Teaching Physics</t>
  </si>
  <si>
    <t>Standard 6</t>
  </si>
  <si>
    <t>Program Assessment</t>
  </si>
  <si>
    <t>The program recruits many physics teacher candidates by taking advantage of local opportunities and offering attractive options for participation.</t>
  </si>
  <si>
    <r>
      <t>University-level support</t>
    </r>
    <r>
      <rPr>
        <b/>
        <vertAlign val="superscript"/>
        <sz val="13"/>
        <color theme="1"/>
        <rFont val="Calibri"/>
        <family val="2"/>
        <scheme val="minor"/>
      </rPr>
      <t>1</t>
    </r>
    <r>
      <rPr>
        <b/>
        <sz val="13"/>
        <color theme="1"/>
        <rFont val="Calibri"/>
        <family val="2"/>
        <scheme val="minor"/>
      </rPr>
      <t xml:space="preserve"> for STEM education
</t>
    </r>
    <r>
      <rPr>
        <b/>
        <sz val="13"/>
        <color rgb="FF79709F"/>
        <rFont val="Calibri"/>
        <family val="2"/>
        <scheme val="minor"/>
      </rPr>
      <t>PREVALENT</t>
    </r>
  </si>
  <si>
    <r>
      <t xml:space="preserve">Institutional mission of teacher education
</t>
    </r>
    <r>
      <rPr>
        <b/>
        <sz val="13"/>
        <color rgb="FF79709F"/>
        <rFont val="Calibri"/>
        <family val="2"/>
        <scheme val="minor"/>
      </rPr>
      <t>PREVALENT</t>
    </r>
  </si>
  <si>
    <r>
      <t>Administrative recognition for physics teacher education (PTE) program</t>
    </r>
    <r>
      <rPr>
        <b/>
        <vertAlign val="superscript"/>
        <sz val="13"/>
        <color theme="1"/>
        <rFont val="Calibri"/>
        <family val="2"/>
        <scheme val="minor"/>
      </rPr>
      <t>2</t>
    </r>
    <r>
      <rPr>
        <b/>
        <sz val="13"/>
        <color theme="1"/>
        <rFont val="Calibri"/>
        <family val="2"/>
        <scheme val="minor"/>
      </rPr>
      <t xml:space="preserve">
</t>
    </r>
    <r>
      <rPr>
        <b/>
        <sz val="13"/>
        <color rgb="FF79709F"/>
        <rFont val="Calibri"/>
        <family val="2"/>
        <scheme val="minor"/>
      </rPr>
      <t>PREVALENT</t>
    </r>
  </si>
  <si>
    <r>
      <t>University-level support</t>
    </r>
    <r>
      <rPr>
        <b/>
        <vertAlign val="superscript"/>
        <sz val="13"/>
        <color theme="1"/>
        <rFont val="Calibri"/>
        <family val="2"/>
        <scheme val="minor"/>
      </rPr>
      <t>1</t>
    </r>
    <r>
      <rPr>
        <b/>
        <sz val="13"/>
        <color theme="1"/>
        <rFont val="Calibri"/>
        <family val="2"/>
        <scheme val="minor"/>
      </rPr>
      <t xml:space="preserve"> for teacher education </t>
    </r>
  </si>
  <si>
    <r>
      <t>Time for PTE program leaders</t>
    </r>
    <r>
      <rPr>
        <b/>
        <vertAlign val="superscript"/>
        <sz val="13"/>
        <color theme="1"/>
        <rFont val="Calibri"/>
        <family val="2"/>
        <scheme val="minor"/>
      </rPr>
      <t>5</t>
    </r>
    <r>
      <rPr>
        <b/>
        <sz val="13"/>
        <color theme="1"/>
        <rFont val="Calibri"/>
        <family val="2"/>
        <scheme val="minor"/>
      </rPr>
      <t xml:space="preserve"> to engage</t>
    </r>
  </si>
  <si>
    <r>
      <t>Recognition for PTE program team</t>
    </r>
    <r>
      <rPr>
        <b/>
        <vertAlign val="superscript"/>
        <sz val="13"/>
        <color theme="1"/>
        <rFont val="Calibri"/>
        <family val="2"/>
        <scheme val="minor"/>
      </rPr>
      <t>7</t>
    </r>
  </si>
  <si>
    <r>
      <t>PTE program team</t>
    </r>
    <r>
      <rPr>
        <b/>
        <vertAlign val="superscript"/>
        <sz val="13"/>
        <color theme="1"/>
        <rFont val="Calibri"/>
        <family val="2"/>
        <scheme val="minor"/>
      </rPr>
      <t xml:space="preserve">2
</t>
    </r>
    <r>
      <rPr>
        <b/>
        <sz val="13"/>
        <color rgb="FFE27B6E"/>
        <rFont val="Calibri"/>
        <family val="2"/>
        <scheme val="minor"/>
      </rPr>
      <t>PREVALENT</t>
    </r>
  </si>
  <si>
    <r>
      <t xml:space="preserve">Positional power
</t>
    </r>
    <r>
      <rPr>
        <b/>
        <sz val="13"/>
        <color rgb="FFE27B6E"/>
        <rFont val="Calibri"/>
        <family val="2"/>
        <scheme val="minor"/>
      </rPr>
      <t>PREVALENT</t>
    </r>
  </si>
  <si>
    <r>
      <t xml:space="preserve">Disciplinary expertise
</t>
    </r>
    <r>
      <rPr>
        <b/>
        <sz val="13"/>
        <color rgb="FFE27B6E"/>
        <rFont val="Calibri"/>
        <family val="2"/>
        <scheme val="minor"/>
      </rPr>
      <t>PREVALENT</t>
    </r>
  </si>
  <si>
    <r>
      <t xml:space="preserve">Personal motivation to improve PTE
</t>
    </r>
    <r>
      <rPr>
        <b/>
        <sz val="13"/>
        <color rgb="FFE27B6E"/>
        <rFont val="Calibri"/>
        <family val="2"/>
        <scheme val="minor"/>
      </rPr>
      <t>PREVALENT</t>
    </r>
  </si>
  <si>
    <r>
      <t xml:space="preserve">Integration of Teacher in Residence (TIR)
</t>
    </r>
    <r>
      <rPr>
        <b/>
        <sz val="13"/>
        <color rgb="FFE27B6E"/>
        <rFont val="Calibri"/>
        <family val="2"/>
        <scheme val="minor"/>
      </rPr>
      <t>PREVALENT</t>
    </r>
  </si>
  <si>
    <r>
      <t xml:space="preserve">Physics Education Research (PER) expertise
</t>
    </r>
    <r>
      <rPr>
        <b/>
        <sz val="13"/>
        <color rgb="FFE27B6E"/>
        <rFont val="Calibri"/>
        <family val="2"/>
        <scheme val="minor"/>
      </rPr>
      <t>PREVALENT</t>
    </r>
  </si>
  <si>
    <r>
      <t xml:space="preserve">Professional engagement in PTE
</t>
    </r>
    <r>
      <rPr>
        <b/>
        <sz val="13"/>
        <color rgb="FFE27B6E"/>
        <rFont val="Calibri"/>
        <family val="2"/>
        <scheme val="minor"/>
      </rPr>
      <t>PREVALENT</t>
    </r>
  </si>
  <si>
    <r>
      <t xml:space="preserve">Negotiated roles between units
</t>
    </r>
    <r>
      <rPr>
        <b/>
        <sz val="13"/>
        <color rgb="FFE27B6E"/>
        <rFont val="Calibri"/>
        <family val="2"/>
        <scheme val="minor"/>
      </rPr>
      <t>PREVALENT</t>
    </r>
  </si>
  <si>
    <r>
      <t>Physics majors</t>
    </r>
    <r>
      <rPr>
        <b/>
        <vertAlign val="superscript"/>
        <sz val="13"/>
        <color theme="1"/>
        <rFont val="Calibri"/>
        <family val="2"/>
        <scheme val="minor"/>
      </rPr>
      <t>1</t>
    </r>
    <r>
      <rPr>
        <b/>
        <sz val="13"/>
        <color theme="1"/>
        <rFont val="Calibri"/>
        <family val="2"/>
        <scheme val="minor"/>
      </rPr>
      <t xml:space="preserve">
</t>
    </r>
    <r>
      <rPr>
        <b/>
        <sz val="13"/>
        <color rgb="FFD8B35C"/>
        <rFont val="Calibri"/>
        <family val="2"/>
        <scheme val="minor"/>
      </rPr>
      <t>PREVALENT</t>
    </r>
  </si>
  <si>
    <r>
      <t>Physics-aligned majors</t>
    </r>
    <r>
      <rPr>
        <b/>
        <vertAlign val="superscript"/>
        <sz val="13"/>
        <color theme="1"/>
        <rFont val="Calibri"/>
        <family val="2"/>
        <scheme val="minor"/>
      </rPr>
      <t>2</t>
    </r>
    <r>
      <rPr>
        <b/>
        <sz val="13"/>
        <color theme="1"/>
        <rFont val="Calibri"/>
        <family val="2"/>
        <scheme val="minor"/>
      </rPr>
      <t xml:space="preserve">
</t>
    </r>
    <r>
      <rPr>
        <b/>
        <sz val="13"/>
        <color rgb="FFD8B35C"/>
        <rFont val="Calibri"/>
        <family val="2"/>
        <scheme val="minor"/>
      </rPr>
      <t>PREVALENT</t>
    </r>
  </si>
  <si>
    <r>
      <t xml:space="preserve">Physics teaching advisor
</t>
    </r>
    <r>
      <rPr>
        <b/>
        <sz val="13"/>
        <color rgb="FFD8B35C"/>
        <rFont val="Calibri"/>
        <family val="2"/>
        <scheme val="minor"/>
      </rPr>
      <t>PREVALENT</t>
    </r>
  </si>
  <si>
    <r>
      <t xml:space="preserve">Exposure to intellectual challenge of teaching
</t>
    </r>
    <r>
      <rPr>
        <b/>
        <sz val="13"/>
        <color rgb="FFD8B35C"/>
        <rFont val="Calibri"/>
        <family val="2"/>
        <scheme val="minor"/>
      </rPr>
      <t>PREVALENT</t>
    </r>
  </si>
  <si>
    <r>
      <t xml:space="preserve">Student community in physics
</t>
    </r>
    <r>
      <rPr>
        <b/>
        <sz val="13"/>
        <color rgb="FFC08750"/>
        <rFont val="Calibri"/>
        <family val="2"/>
        <scheme val="minor"/>
      </rPr>
      <t>PREVALENT</t>
    </r>
  </si>
  <si>
    <r>
      <t>Student advising and career mentoring</t>
    </r>
    <r>
      <rPr>
        <b/>
        <vertAlign val="superscript"/>
        <sz val="13"/>
        <color theme="1"/>
        <rFont val="Calibri"/>
        <family val="2"/>
        <scheme val="minor"/>
      </rPr>
      <t>1</t>
    </r>
    <r>
      <rPr>
        <b/>
        <sz val="13"/>
        <color theme="1"/>
        <rFont val="Calibri"/>
        <family val="2"/>
        <scheme val="minor"/>
      </rPr>
      <t xml:space="preserve"> in physics</t>
    </r>
  </si>
  <si>
    <r>
      <t>PTE mentor</t>
    </r>
    <r>
      <rPr>
        <b/>
        <vertAlign val="superscript"/>
        <sz val="13"/>
        <color theme="1"/>
        <rFont val="Calibri"/>
        <family val="2"/>
        <scheme val="minor"/>
      </rPr>
      <t>2</t>
    </r>
    <r>
      <rPr>
        <b/>
        <sz val="13"/>
        <color theme="1"/>
        <rFont val="Calibri"/>
        <family val="2"/>
        <scheme val="minor"/>
      </rPr>
      <t xml:space="preserve"> for beginning teachers</t>
    </r>
  </si>
  <si>
    <r>
      <t xml:space="preserve">Annual graduation from PTE program
</t>
    </r>
    <r>
      <rPr>
        <b/>
        <sz val="13"/>
        <color rgb="FFAEB651"/>
        <rFont val="Calibri"/>
        <family val="2"/>
        <scheme val="minor"/>
      </rPr>
      <t>PREVALENT</t>
    </r>
  </si>
  <si>
    <r>
      <t xml:space="preserve">Annual recruitment in PTE program
</t>
    </r>
    <r>
      <rPr>
        <b/>
        <sz val="13"/>
        <color rgb="FFAEB651"/>
        <rFont val="Calibri"/>
        <family val="2"/>
        <scheme val="minor"/>
      </rPr>
      <t>PREVALENT</t>
    </r>
  </si>
  <si>
    <r>
      <t>Career persistence</t>
    </r>
    <r>
      <rPr>
        <b/>
        <vertAlign val="superscript"/>
        <sz val="13"/>
        <color theme="1"/>
        <rFont val="Calibri"/>
        <family val="2"/>
        <scheme val="minor"/>
      </rPr>
      <t>1</t>
    </r>
  </si>
  <si>
    <r>
      <t>Tracking program metrics</t>
    </r>
    <r>
      <rPr>
        <b/>
        <vertAlign val="superscript"/>
        <sz val="13"/>
        <color theme="1"/>
        <rFont val="Calibri"/>
        <family val="2"/>
        <scheme val="minor"/>
      </rPr>
      <t>2</t>
    </r>
    <r>
      <rPr>
        <b/>
        <sz val="13"/>
        <color theme="1"/>
        <rFont val="Calibri"/>
        <family val="2"/>
        <scheme val="minor"/>
      </rPr>
      <t xml:space="preserve">
</t>
    </r>
    <r>
      <rPr>
        <b/>
        <sz val="13"/>
        <color rgb="FFAEB651"/>
        <rFont val="Calibri"/>
        <family val="2"/>
        <scheme val="minor"/>
      </rPr>
      <t>PREVALENT</t>
    </r>
  </si>
  <si>
    <r>
      <t>Program improvement from feedback and program data</t>
    </r>
    <r>
      <rPr>
        <b/>
        <vertAlign val="superscript"/>
        <sz val="13"/>
        <color theme="1"/>
        <rFont val="Calibri"/>
        <family val="2"/>
        <scheme val="minor"/>
      </rPr>
      <t>5</t>
    </r>
  </si>
  <si>
    <r>
      <t xml:space="preserve">Communication within the university
</t>
    </r>
    <r>
      <rPr>
        <b/>
        <sz val="13"/>
        <color rgb="FFAEB651"/>
        <rFont val="Calibri"/>
        <family val="2"/>
        <scheme val="minor"/>
      </rPr>
      <t>PREVALENT</t>
    </r>
  </si>
  <si>
    <r>
      <t>Publicity and advocacy</t>
    </r>
    <r>
      <rPr>
        <b/>
        <vertAlign val="superscript"/>
        <sz val="13"/>
        <color theme="1"/>
        <rFont val="Calibri"/>
        <family val="2"/>
        <scheme val="minor"/>
      </rPr>
      <t>6</t>
    </r>
  </si>
  <si>
    <t>PTE program leaders</t>
  </si>
  <si>
    <t>PTE program team</t>
  </si>
  <si>
    <t>Attractiveness of early teaching experiences</t>
  </si>
  <si>
    <t>Availability of early teaching experiences</t>
  </si>
  <si>
    <t>Recruitment within early teaching experiences</t>
  </si>
  <si>
    <t>Physics pedagogy credits</t>
  </si>
  <si>
    <r>
      <t xml:space="preserve">*Shading indicates a </t>
    </r>
    <r>
      <rPr>
        <b/>
        <sz val="11"/>
        <rFont val="Calibri"/>
        <family val="2"/>
        <scheme val="minor"/>
      </rPr>
      <t>PREVALENT</t>
    </r>
    <r>
      <rPr>
        <sz val="11"/>
        <rFont val="Calibri"/>
        <family val="2"/>
        <scheme val="minor"/>
      </rPr>
      <t xml:space="preserve"> subcomponent</t>
    </r>
  </si>
  <si>
    <t>2.  Complete the 6 PTEPA Rubric Standards; make your selections by clicking on the radio buttons.</t>
  </si>
  <si>
    <t>Physics teacher education (PTE) program</t>
  </si>
  <si>
    <t>Early teaching experiences</t>
  </si>
  <si>
    <t>Physics teacher candidate</t>
  </si>
  <si>
    <t>Field experience</t>
  </si>
  <si>
    <t>Student teaching</t>
  </si>
  <si>
    <t>Cooperating teacher</t>
  </si>
  <si>
    <t>University supervisor</t>
  </si>
  <si>
    <t>PTE mentor</t>
  </si>
  <si>
    <t xml:space="preserve">PTEPA Rubric Item Definitions:  </t>
  </si>
  <si>
    <t>3.  You may make comments (for your own notes or to communicate to others) in the Comments field.</t>
  </si>
  <si>
    <t>What are the licensing/credential options available as a result of a degree in your program? What subjects are students eligible to teach as a result of getting each credential?</t>
  </si>
  <si>
    <t>Are there any contextual factors that are important to understand about your site, such as state mandates, teacher salaries, employability of graduates, etc.? </t>
  </si>
  <si>
    <t>Do you have a website or other documentation that will help us learn about your PTE program? </t>
  </si>
  <si>
    <r>
      <t>The PTE program consists of a team</t>
    </r>
    <r>
      <rPr>
        <i/>
        <vertAlign val="superscript"/>
        <sz val="13"/>
        <color rgb="FF000000"/>
        <rFont val="Calibri"/>
        <family val="2"/>
        <scheme val="minor"/>
      </rPr>
      <t xml:space="preserve">1,2 </t>
    </r>
    <r>
      <rPr>
        <i/>
        <sz val="13"/>
        <color rgb="FF000000"/>
        <rFont val="Calibri"/>
        <family val="2"/>
        <scheme val="minor"/>
      </rPr>
      <t>whose expertise, identity, and activities strengthen the program.</t>
    </r>
  </si>
  <si>
    <r>
      <t>Common vision among the PTE program team</t>
    </r>
    <r>
      <rPr>
        <b/>
        <vertAlign val="superscript"/>
        <sz val="13"/>
        <color theme="1"/>
        <rFont val="Calibri"/>
        <family val="2"/>
        <scheme val="minor"/>
      </rPr>
      <t>1,2</t>
    </r>
    <r>
      <rPr>
        <b/>
        <sz val="13"/>
        <color theme="1"/>
        <rFont val="Calibri"/>
        <family val="2"/>
        <scheme val="minor"/>
      </rPr>
      <t xml:space="preserve">
</t>
    </r>
    <r>
      <rPr>
        <b/>
        <sz val="13"/>
        <color rgb="FFE27B6E"/>
        <rFont val="Calibri"/>
        <family val="2"/>
        <scheme val="minor"/>
      </rPr>
      <t>PREVALENT</t>
    </r>
  </si>
  <si>
    <r>
      <t>Communication across units on PTE program elements</t>
    </r>
    <r>
      <rPr>
        <b/>
        <vertAlign val="superscript"/>
        <sz val="13"/>
        <color theme="1"/>
        <rFont val="Calibri"/>
        <family val="2"/>
        <scheme val="minor"/>
      </rPr>
      <t>6</t>
    </r>
    <r>
      <rPr>
        <b/>
        <sz val="13"/>
        <color theme="1"/>
        <rFont val="Calibri"/>
        <family val="2"/>
        <scheme val="minor"/>
      </rPr>
      <t xml:space="preserve">
</t>
    </r>
    <r>
      <rPr>
        <b/>
        <sz val="13"/>
        <color rgb="FFE27B6E"/>
        <rFont val="Calibri"/>
        <family val="2"/>
        <scheme val="minor"/>
      </rPr>
      <t>PREVALENT</t>
    </r>
  </si>
  <si>
    <t>Leadership and Collaboration</t>
  </si>
  <si>
    <r>
      <t>Arts &amp; Sciences (A&amp;S)</t>
    </r>
    <r>
      <rPr>
        <b/>
        <vertAlign val="superscript"/>
        <sz val="13"/>
        <color theme="1"/>
        <rFont val="Calibri"/>
        <family val="2"/>
        <scheme val="minor"/>
      </rPr>
      <t>3</t>
    </r>
    <r>
      <rPr>
        <b/>
        <sz val="13"/>
        <color theme="1"/>
        <rFont val="Calibri"/>
        <family val="2"/>
        <scheme val="minor"/>
      </rPr>
      <t>–level support</t>
    </r>
    <r>
      <rPr>
        <b/>
        <vertAlign val="superscript"/>
        <sz val="13"/>
        <color theme="1"/>
        <rFont val="Calibri"/>
        <family val="2"/>
        <scheme val="minor"/>
      </rPr>
      <t>1</t>
    </r>
    <r>
      <rPr>
        <b/>
        <sz val="13"/>
        <color theme="1"/>
        <rFont val="Calibri"/>
        <family val="2"/>
        <scheme val="minor"/>
      </rPr>
      <t xml:space="preserve"> for teacher education</t>
    </r>
  </si>
  <si>
    <r>
      <t>School of Education (SoE)</t>
    </r>
    <r>
      <rPr>
        <b/>
        <vertAlign val="superscript"/>
        <sz val="13"/>
        <color theme="1"/>
        <rFont val="Calibri"/>
        <family val="2"/>
        <scheme val="minor"/>
      </rPr>
      <t>4</t>
    </r>
    <r>
      <rPr>
        <b/>
        <sz val="13"/>
        <color theme="1"/>
        <rFont val="Calibri"/>
        <family val="2"/>
        <scheme val="minor"/>
      </rPr>
      <t>–level support</t>
    </r>
    <r>
      <rPr>
        <b/>
        <vertAlign val="superscript"/>
        <sz val="13"/>
        <color theme="1"/>
        <rFont val="Calibri"/>
        <family val="2"/>
        <scheme val="minor"/>
      </rPr>
      <t>1</t>
    </r>
    <r>
      <rPr>
        <b/>
        <sz val="13"/>
        <color theme="1"/>
        <rFont val="Calibri"/>
        <family val="2"/>
        <scheme val="minor"/>
      </rPr>
      <t xml:space="preserve"> for physics teacher education</t>
    </r>
  </si>
  <si>
    <t>There is minimal program promotion (1–2 practices).</t>
  </si>
  <si>
    <t>There is modest program promotion (3–4 practices).</t>
  </si>
  <si>
    <t>Exposure to K–12 teaching environments</t>
  </si>
  <si>
    <t>Substantial financial support (at least half the cost of attendance) is made available to 1–2 PTE candidates, OR several smaller financial support options are available to many students.</t>
  </si>
  <si>
    <t>Scientific practices account for 1–2 credits within the curriculum.</t>
  </si>
  <si>
    <t>Scientific practices account for 3–5 credits within the curriculum.</t>
  </si>
  <si>
    <t>The university supervisor has experience teaching physics and knowledge of evidence-based teaching practices and K–12 teaching environments.</t>
  </si>
  <si>
    <t>Many alumni receive regular mentoring from a PTE mentor with experience in K–12 environments.</t>
  </si>
  <si>
    <t xml:space="preserve">Many alumni receive regular, sustained, holistic mentoring (including career progress and skills development) from a PTE mentor with experience in K–12 environments. </t>
  </si>
  <si>
    <t>25–80 hours of professional development are offered per year.</t>
  </si>
  <si>
    <t>Component 5C: In-service Mentoring and Professional Community</t>
  </si>
  <si>
    <t>1–2 students enter the PTE program per year.</t>
  </si>
  <si>
    <t>3–5 students enter the PTE program per year.</t>
  </si>
  <si>
    <t>Conditional formatting in the form of color scales is used here to represent the percentage of answers that correspond to each level (NP/Developing/Benchmark/Exemplary) for each Standard and Component as well as for the whole instrument.</t>
  </si>
  <si>
    <r>
      <t xml:space="preserve">Most cells in the worksheets are populated from the Raw worksheet. Exceptions to this rule are: 
     - all the footnotes which must be edited directly in the individual Standard worksheet.
     - all the subcomponent titles which also must be edited directly in the individual Standard worksheet with formatting </t>
    </r>
    <r>
      <rPr>
        <u/>
        <sz val="11"/>
        <color theme="1"/>
        <rFont val="Calibri"/>
        <family val="2"/>
        <scheme val="minor"/>
      </rPr>
      <t>and</t>
    </r>
    <r>
      <rPr>
        <sz val="11"/>
        <color theme="1"/>
        <rFont val="Calibri"/>
        <family val="2"/>
        <scheme val="minor"/>
      </rPr>
      <t xml:space="preserve"> in the Raw worksheet without superscript text to populate the Full Report worksheet.
     - component descriptions highlighted in</t>
    </r>
    <r>
      <rPr>
        <b/>
        <sz val="11"/>
        <color rgb="FFFF0000"/>
        <rFont val="Calibri"/>
        <family val="2"/>
        <scheme val="minor"/>
      </rPr>
      <t xml:space="preserve"> red</t>
    </r>
    <r>
      <rPr>
        <sz val="11"/>
        <color theme="1"/>
        <rFont val="Calibri"/>
        <family val="2"/>
        <scheme val="minor"/>
      </rPr>
      <t xml:space="preserve"> in the Raw worksheet must be updated directly in the individual Standard worksheet with the corresponding formatting (superscript text). </t>
    </r>
  </si>
  <si>
    <t>More than one FTE engaged staff.</t>
  </si>
  <si>
    <t>The program and leadership team have sufficient resources to run.</t>
  </si>
  <si>
    <t xml:space="preserve">Component 1C: Resources </t>
  </si>
  <si>
    <t>The PTE team is celebrated by the college and/or institution through significant public recognition (in the past three years).</t>
  </si>
  <si>
    <t>The program leader(s)’ PTE activities are officially included as part of service.</t>
  </si>
  <si>
    <t>Component 1B: Reward Structure</t>
  </si>
  <si>
    <t>Institutional administrators emphasize publicly and consistently that teacher preparation is part of the core institutional mission, and strategic priorities are explicitly well aligned with teacher preparation.</t>
  </si>
  <si>
    <t>Component 1A: Institutional Climate and Support</t>
  </si>
  <si>
    <t>There are regular cross-department meetings to discuss progress of physics teacher candidates.</t>
  </si>
  <si>
    <t>There are informal connections between faculty in physics and education to address advising questions for physics teacher candidates.</t>
  </si>
  <si>
    <t>Collaboration on advising for physics teacher candidates</t>
  </si>
  <si>
    <t>Collaboration between units has led to mutual agreement on the needs of physics teacher candidates and has produced a cohesive and streamlined licensure pathway.</t>
  </si>
  <si>
    <t xml:space="preserve">Collaboration between units has improved the licensure pathway.  </t>
  </si>
  <si>
    <t>Collaboration between units has identified opportunities for improving the licensure pathway.</t>
  </si>
  <si>
    <t>The PTE team includes faculty in both the physics and education departments.</t>
  </si>
  <si>
    <t>The PTE team includes faculty in physics or education who can name informal contacts in the other department.</t>
  </si>
  <si>
    <t xml:space="preserve">The primary PTE mentor’s feedback is considered during PTE candidate placement. </t>
  </si>
  <si>
    <t>The different academic units involved in PTE do not hinder one another’s efforts.</t>
  </si>
  <si>
    <t>There are regular meetings between units to address any issues related to PTE program elements, including program accreditation.</t>
  </si>
  <si>
    <t>There are semi-regular meetings or presentations between units on PTE program elements.</t>
  </si>
  <si>
    <t xml:space="preserve">There are occasional interactions and mutual awareness between units on PTE program elements. </t>
  </si>
  <si>
    <t xml:space="preserve">The program includes effective collaboration between the academic unit housing the physics teacher education program (such as physics) and other academic units that control teacher certification (such as education). </t>
  </si>
  <si>
    <t>Reputation of PTE program team for leading change</t>
  </si>
  <si>
    <t>At least one team member has led a session at PhysTEC or similar STEM teacher education conference.</t>
  </si>
  <si>
    <t>At least one member of the team is engaged with a significant fraction of local physics teachers or holds a current leadership position in local schools.</t>
  </si>
  <si>
    <t>At least one member of the team is regularly engaged with local physics teachers.</t>
  </si>
  <si>
    <t>At least one member of the team has current informal connections to local physics teachers.</t>
  </si>
  <si>
    <t>Connections to K–12 teachers</t>
  </si>
  <si>
    <t>Multiple team members are strongly motivated to improve PTE.</t>
  </si>
  <si>
    <t>At least one member holds positional power in the department (e.g., chair, undergraduate chair).</t>
  </si>
  <si>
    <t xml:space="preserve">At least one member of the team is tenured. </t>
  </si>
  <si>
    <t>At least one member of the team is tenure-track (or other relevant leadership designation).</t>
  </si>
  <si>
    <t>The team’s common vision for PTE is explicitly stated (e.g., in a mission statement for the program).</t>
  </si>
  <si>
    <t xml:space="preserve">Teacher Advisory Group (TAG) </t>
  </si>
  <si>
    <t xml:space="preserve">Teacher in Residence (TIR) </t>
  </si>
  <si>
    <t xml:space="preserve">The program consists of a team[i],[ii] whose members enable effective leadership. </t>
  </si>
  <si>
    <t>The PTE program consists of a team1,2 whose expertise, identity, and activities strengthen the program.</t>
  </si>
  <si>
    <t>Component 3A: Recruitment Opportunities</t>
  </si>
  <si>
    <t>The program has access to a pool of potential teacher candidates and mechanisms to attract them to the profession.</t>
  </si>
  <si>
    <t>One person in physics can direct students to a viable path to becoming a physics teacher.</t>
  </si>
  <si>
    <t>One person in physics can provide detailed advising regarding the options for becoming a physics teacher.</t>
  </si>
  <si>
    <t>Several physics faculty/staff actively refer students to the PTE program.</t>
  </si>
  <si>
    <t>Several physics faculty/staff and more than one other entity actively refer students to the PTE program.</t>
  </si>
  <si>
    <t>3A-5</t>
  </si>
  <si>
    <t xml:space="preserve">Component 3B: Recruitment Activities </t>
  </si>
  <si>
    <t xml:space="preserve">Potential PTE candidates reliably get accurate information about financial compensation for teachers in the U.S. </t>
  </si>
  <si>
    <t>Potential PTE candidates reliably get accurate information about financial compensation for teachers in the U.S., as well as at least two less commonly known advantages of the profession.</t>
  </si>
  <si>
    <t>Physics faculty discuss teaching as a career option</t>
  </si>
  <si>
    <t>A few physics faculty discuss teaching as a viable career option (rather than a backup plan).</t>
  </si>
  <si>
    <t>Many physics faculty discuss teaching as a viable career option.</t>
  </si>
  <si>
    <t>Most physics faculty discuss teaching as a normative career choice (e.g., on equal weight with academic or industrial careers).</t>
  </si>
  <si>
    <t>Physics department exposes students to diverse career options</t>
  </si>
  <si>
    <t>The physics department offers students some opportunities to learn about diverse careers, including teaching (e.g., career day, alumni talks).</t>
  </si>
  <si>
    <t>The physics department’s mission includes preparing students for diverse careers, offering numerous opportunities for them to learn about such careers (including teaching).</t>
  </si>
  <si>
    <t>Additionally, the physics department offers a career seminar or other similar sustained career exploration opportunities that discuss teaching careers.</t>
  </si>
  <si>
    <t>Component 3C: Early Teaching Experiences for Recruiting Teacher Candidates</t>
  </si>
  <si>
    <t>Early teaching experiences[i] give first- or second-year students a taste of the rewards and challenges of teaching.</t>
  </si>
  <si>
    <t>Students participating in early teaching experiences are informed at least once about teaching careers and/or the PTE program.</t>
  </si>
  <si>
    <t>Students participating in early teaching experiences are regularly informed about the PTE program and encouraged (as a group) to consider teaching as a career.</t>
  </si>
  <si>
    <t>Students participating in early teaching experiences are individually encouraged to consider teaching as a career and assisted in taking the next steps towards certification.</t>
  </si>
  <si>
    <t>Component 3D: Streamlined and Accessible Program Options</t>
  </si>
  <si>
    <t>There is an undergraduate licensure pathway for physics majors.</t>
  </si>
  <si>
    <t>Most physics teacher candidates will require five years (including the undergraduate degree) to achieve certification.</t>
  </si>
  <si>
    <t>Most physics teacher candidates can achieve certification within a four-year undergraduate degree.</t>
  </si>
  <si>
    <t xml:space="preserve">The program ensures that teacher candidates are well prepared to teach physics effectively through rigorous and experiential preparation in physics content and pedagogy. </t>
  </si>
  <si>
    <t>The program ensures that physics teacher candidates have strong physics content knowledge.[i]</t>
  </si>
  <si>
    <t>The program ensures that physics teacher candidates have strong knowledge of physics pedagogy.</t>
  </si>
  <si>
    <t>Essentially all of the required certification coursework is taught in the context of teaching science and/or physics.</t>
  </si>
  <si>
    <t>Program has access to a minimally sufficient number of cooperating physics teachers for classroom placements.</t>
  </si>
  <si>
    <t>Program has access to a sufficient number of cooperating physics teachers for classroom placements.</t>
  </si>
  <si>
    <t>Program has access to more than a sufficient number of cooperating physics teachers for classroom placements.</t>
  </si>
  <si>
    <t>Some cooperating physics teachers have more than three years of physics teaching experience.</t>
  </si>
  <si>
    <t>Essentially all cooperating physics teachers have more than three years of physics teaching experience.</t>
  </si>
  <si>
    <t>Candidates engage in structured observation of a K–12 physics or physical science classroom accompanied by reflection and connection to coursework.</t>
  </si>
  <si>
    <t xml:space="preserve">Candidates have a K–12 physics or physical science field experience, including teaching at least one lesson and receiving feedback. </t>
  </si>
  <si>
    <t>The university supervisor has extensive experience teaching physics using evidence-based teaching practices and rich knowledge of K–12 teaching environments.</t>
  </si>
  <si>
    <t>The program provides physics teacher candidates with high-quality, practical teaching experiences in the discipline (i.e. “clinical experiences”) to put education coursework into practice in a K­–12 school setting. Such practical experiences may include practicum, observation, field experiences,[i] and student teaching.[ii]</t>
  </si>
  <si>
    <t>Mentoring, Community, and Professional Support</t>
  </si>
  <si>
    <t>The program provides mentoring and induction to support progress toward degree, certification, and retention in the profession, supported by strong student community.</t>
  </si>
  <si>
    <t>Component 5A: Mentoring and Community Support Toward a Physics Degree</t>
  </si>
  <si>
    <t>Component 5B: Mentoring and Community Support Toward Becoming a Physics Teacher</t>
  </si>
  <si>
    <t>The program and teacher community help teacher candidates persist and thrive in their progress toward becoming physics teachers.</t>
  </si>
  <si>
    <t>Teacher candidates receive academic advising from one or more advisors (e.g., in physics and/or education) knowledgeable about PTE.</t>
  </si>
  <si>
    <t xml:space="preserve">Teacher candidates receive academic advising from a single advisor who provides a clear roadmap of courses to complete physics and PTE requirements as efficiently as possible. </t>
  </si>
  <si>
    <t>Teacher candidates receive academic advising from a single advisor who is able to navigate the PTE requirements, who is knowledgeable about scholarships and external opportunities, and who can provide creative solutions for completion of requirements.</t>
  </si>
  <si>
    <t xml:space="preserve">Teacher candidates have access to a PTE mentor. </t>
  </si>
  <si>
    <t>Teacher candidates are paired with a dedicated PTE mentor.</t>
  </si>
  <si>
    <t xml:space="preserve">Additionally, PTE mentors have a close relationship with each mentee because they interact with mentees in multiple contexts over the course of their undergraduate careers. </t>
  </si>
  <si>
    <t xml:space="preserve">Coordinated mentoring </t>
  </si>
  <si>
    <t>There is some coordination among the PTE mentor, university supervisor, cooperating teacher(s), and academic advisor.</t>
  </si>
  <si>
    <t>There is moderate coordination among the PTE mentor, university supervisor, cooperating teacher(s), and academic advisor.</t>
  </si>
  <si>
    <t>There is substantial coordination among the PTE mentor, university supervisor, cooperating teacher(s), and academic advisor, which may include written expectations and frequent communication about candidate progress and skill development.</t>
  </si>
  <si>
    <t>Physics/STEM teacher candidates do one of these:
- collaborate in classes;
- attend community-building events;
- have a lounge or shared workspace.</t>
  </si>
  <si>
    <t>Physics/STEM teacher candidates do two of these:
- collaborate in classes;
- attend community-building events;
- have a lounge or shared workspace.</t>
  </si>
  <si>
    <t>5B-5</t>
  </si>
  <si>
    <t xml:space="preserve">Community with in-service teachers </t>
  </si>
  <si>
    <t>The program monitors and supports teacher graduates, giving them access to a professional community that helps to retain them in the profession and to develop their physics teaching expertise.</t>
  </si>
  <si>
    <t>Local physics teachers group</t>
  </si>
  <si>
    <t>There is a local/regional physics teachers group (e.g., AAPT affiliate group).</t>
  </si>
  <si>
    <t>5C-4</t>
  </si>
  <si>
    <t>Component 6A: Program Outcomes</t>
  </si>
  <si>
    <t>On average, there are 2–4 graduates from the PTE program per year.</t>
  </si>
  <si>
    <t>On average, there are five or more graduates from the PTE program per year.</t>
  </si>
  <si>
    <t>Under-represented racial/ethnic groups comprise at least 5% of physics teacher candidates.</t>
  </si>
  <si>
    <t>Component 6B: Program Evaluation and Improvement</t>
  </si>
  <si>
    <t>The program systematically collects and analyzes student- and program-level data to make informed decisions about program development and improvement.</t>
  </si>
  <si>
    <t>The program systematically tracks the number of program completers.</t>
  </si>
  <si>
    <t>The program systematically tracks the numbers of teacher candidates and program completers.</t>
  </si>
  <si>
    <t>Additionally, the program systematically tracks data on either candidate diversity or career persistence.</t>
  </si>
  <si>
    <t xml:space="preserve">Program feedback is collected from most candidates and alumni and at least some employers. </t>
  </si>
  <si>
    <t>The program assesses at least four candidate learning outcomes.</t>
  </si>
  <si>
    <t>Component 6C: Communication to Stakeholders</t>
  </si>
  <si>
    <t>Assessment data is strategically used to argue for program stability by addressing administrators’ highest priorities (e.g., student recruitment, financial return).</t>
  </si>
  <si>
    <t>Program successes are publicized within the institution.</t>
  </si>
  <si>
    <t>Program successes are publicized at the city, county, or state level, AND the program leaders engage in state advocacy.</t>
  </si>
  <si>
    <t>Members of the program team have contributed to scholarly work in teacher education conducted by researchers outside the program.</t>
  </si>
  <si>
    <t>Members of the program team conduct systematic research to contribute to knowledge in physics teacher education.</t>
  </si>
  <si>
    <t>Members of the program team have published a scholarly paper on the program or its outcomes.</t>
  </si>
  <si>
    <r>
      <t>The program consists of a team</t>
    </r>
    <r>
      <rPr>
        <i/>
        <vertAlign val="superscript"/>
        <sz val="13"/>
        <color rgb="FF000000"/>
        <rFont val="Calibri"/>
        <family val="2"/>
        <scheme val="minor"/>
      </rPr>
      <t>1,2</t>
    </r>
    <r>
      <rPr>
        <i/>
        <sz val="13"/>
        <color rgb="FF000000"/>
        <rFont val="Calibri"/>
        <family val="2"/>
        <scheme val="minor"/>
      </rPr>
      <t xml:space="preserve"> whose members enable effective leadership. </t>
    </r>
  </si>
  <si>
    <r>
      <t xml:space="preserve">Connections to K–12 teachers
</t>
    </r>
    <r>
      <rPr>
        <b/>
        <sz val="13"/>
        <color rgb="FFE27B6E"/>
        <rFont val="Calibri"/>
        <family val="2"/>
        <scheme val="minor"/>
      </rPr>
      <t>PREVALENT</t>
    </r>
  </si>
  <si>
    <r>
      <t>Collaboration with PTE mentor</t>
    </r>
    <r>
      <rPr>
        <b/>
        <vertAlign val="superscript"/>
        <sz val="13"/>
        <color theme="1"/>
        <rFont val="Calibri"/>
        <family val="2"/>
        <scheme val="minor"/>
      </rPr>
      <t>8</t>
    </r>
    <r>
      <rPr>
        <b/>
        <sz val="13"/>
        <color theme="1"/>
        <rFont val="Calibri"/>
        <family val="2"/>
        <scheme val="minor"/>
      </rPr>
      <t xml:space="preserve"> on student teacher placement
</t>
    </r>
    <r>
      <rPr>
        <b/>
        <sz val="13"/>
        <color rgb="FFE27B6E"/>
        <rFont val="Calibri"/>
        <family val="2"/>
        <scheme val="minor"/>
      </rPr>
      <t>PREVALENT</t>
    </r>
  </si>
  <si>
    <r>
      <t>University supervisor</t>
    </r>
    <r>
      <rPr>
        <b/>
        <vertAlign val="superscript"/>
        <sz val="13"/>
        <color theme="1"/>
        <rFont val="Calibri"/>
        <family val="2"/>
        <scheme val="minor"/>
      </rPr>
      <t>9</t>
    </r>
    <r>
      <rPr>
        <b/>
        <sz val="13"/>
        <color theme="1"/>
        <rFont val="Calibri"/>
        <family val="2"/>
        <scheme val="minor"/>
      </rPr>
      <t xml:space="preserve"> collaboration with PTE team
</t>
    </r>
    <r>
      <rPr>
        <b/>
        <sz val="13"/>
        <color rgb="FFE27B6E"/>
        <rFont val="Calibri"/>
        <family val="2"/>
        <scheme val="minor"/>
      </rPr>
      <t>PREVALENT</t>
    </r>
  </si>
  <si>
    <r>
      <t>Collaboration on licensure pathway for physics students</t>
    </r>
    <r>
      <rPr>
        <b/>
        <vertAlign val="superscript"/>
        <sz val="13"/>
        <color theme="1"/>
        <rFont val="Calibri"/>
        <family val="2"/>
        <scheme val="minor"/>
      </rPr>
      <t>10</t>
    </r>
  </si>
  <si>
    <r>
      <t>Early teaching experiences</t>
    </r>
    <r>
      <rPr>
        <i/>
        <vertAlign val="superscript"/>
        <sz val="13"/>
        <color rgb="FF000000"/>
        <rFont val="Calibri"/>
        <family val="2"/>
        <scheme val="minor"/>
      </rPr>
      <t>6</t>
    </r>
    <r>
      <rPr>
        <i/>
        <sz val="13"/>
        <color rgb="FF000000"/>
        <rFont val="Calibri"/>
        <family val="2"/>
        <scheme val="minor"/>
      </rPr>
      <t xml:space="preserve"> give first- or second-year students a taste of the rewards and challenges of teaching.</t>
    </r>
  </si>
  <si>
    <t>Recruitment network</t>
  </si>
  <si>
    <r>
      <t>Accurate information about career benefits</t>
    </r>
    <r>
      <rPr>
        <b/>
        <vertAlign val="superscript"/>
        <sz val="13"/>
        <color theme="1"/>
        <rFont val="Calibri"/>
        <family val="2"/>
        <scheme val="minor"/>
      </rPr>
      <t>4</t>
    </r>
    <r>
      <rPr>
        <b/>
        <sz val="13"/>
        <color theme="1"/>
        <rFont val="Calibri"/>
        <family val="2"/>
        <scheme val="minor"/>
      </rPr>
      <t xml:space="preserve"> of teaching
</t>
    </r>
    <r>
      <rPr>
        <b/>
        <sz val="13"/>
        <color rgb="FFD8B35C"/>
        <rFont val="Calibri"/>
        <family val="2"/>
        <scheme val="minor"/>
      </rPr>
      <t>PREVALENT</t>
    </r>
  </si>
  <si>
    <r>
      <t>Program promotion</t>
    </r>
    <r>
      <rPr>
        <b/>
        <vertAlign val="superscript"/>
        <sz val="13"/>
        <color theme="1"/>
        <rFont val="Calibri"/>
        <family val="2"/>
        <scheme val="minor"/>
      </rPr>
      <t>5</t>
    </r>
  </si>
  <si>
    <r>
      <t>Attractiveness of early teaching experiences</t>
    </r>
    <r>
      <rPr>
        <b/>
        <sz val="13"/>
        <color theme="1"/>
        <rFont val="Calibri"/>
        <family val="2"/>
        <scheme val="minor"/>
      </rPr>
      <t xml:space="preserve">
</t>
    </r>
    <r>
      <rPr>
        <b/>
        <sz val="13"/>
        <color rgb="FFD8B35C"/>
        <rFont val="Calibri"/>
        <family val="2"/>
        <scheme val="minor"/>
      </rPr>
      <t>PREVALENT</t>
    </r>
  </si>
  <si>
    <r>
      <t>Undergraduate licensure pathway</t>
    </r>
    <r>
      <rPr>
        <b/>
        <vertAlign val="superscript"/>
        <sz val="13"/>
        <color theme="1"/>
        <rFont val="Calibri"/>
        <family val="2"/>
        <scheme val="minor"/>
      </rPr>
      <t>7</t>
    </r>
    <r>
      <rPr>
        <b/>
        <sz val="13"/>
        <color theme="1"/>
        <rFont val="Calibri"/>
        <family val="2"/>
        <scheme val="minor"/>
      </rPr>
      <t xml:space="preserve">
</t>
    </r>
    <r>
      <rPr>
        <b/>
        <sz val="13"/>
        <color rgb="FFD8B35C"/>
        <rFont val="Calibri"/>
        <family val="2"/>
        <scheme val="minor"/>
      </rPr>
      <t>PREVALENT</t>
    </r>
  </si>
  <si>
    <r>
      <t>The program ensures that physics teacher candidates have strong physics content knowledge.</t>
    </r>
    <r>
      <rPr>
        <i/>
        <vertAlign val="superscript"/>
        <sz val="13"/>
        <color rgb="FF000000"/>
        <rFont val="Calibri"/>
        <family val="2"/>
        <scheme val="minor"/>
      </rPr>
      <t>1</t>
    </r>
  </si>
  <si>
    <r>
      <t>Physics degree</t>
    </r>
    <r>
      <rPr>
        <b/>
        <vertAlign val="superscript"/>
        <sz val="13"/>
        <color theme="1"/>
        <rFont val="Calibri"/>
        <family val="2"/>
        <scheme val="minor"/>
      </rPr>
      <t>2</t>
    </r>
    <r>
      <rPr>
        <b/>
        <sz val="13"/>
        <color theme="1"/>
        <rFont val="Calibri"/>
        <family val="2"/>
        <scheme val="minor"/>
      </rPr>
      <t xml:space="preserve"> for physics teacher candidates</t>
    </r>
    <r>
      <rPr>
        <b/>
        <vertAlign val="superscript"/>
        <sz val="13"/>
        <color theme="1"/>
        <rFont val="Calibri"/>
        <family val="2"/>
        <scheme val="minor"/>
      </rPr>
      <t>3</t>
    </r>
    <r>
      <rPr>
        <b/>
        <sz val="13"/>
        <color theme="1"/>
        <rFont val="Calibri"/>
        <family val="2"/>
        <scheme val="minor"/>
      </rPr>
      <t xml:space="preserve">
</t>
    </r>
    <r>
      <rPr>
        <b/>
        <sz val="13"/>
        <color rgb="FF6DA6D9"/>
        <rFont val="Calibri"/>
        <family val="2"/>
        <scheme val="minor"/>
      </rPr>
      <t>PREVALENT</t>
    </r>
  </si>
  <si>
    <r>
      <t>Component 4B: Pedagogy Courses and Curriculum</t>
    </r>
    <r>
      <rPr>
        <b/>
        <vertAlign val="superscript"/>
        <sz val="17"/>
        <color rgb="FF4496D1"/>
        <rFont val="Calibri"/>
        <family val="2"/>
        <scheme val="minor"/>
      </rPr>
      <t>4</t>
    </r>
  </si>
  <si>
    <r>
      <t>Physics microteaching experiences</t>
    </r>
    <r>
      <rPr>
        <b/>
        <vertAlign val="superscript"/>
        <sz val="13"/>
        <color theme="1"/>
        <rFont val="Calibri"/>
        <family val="2"/>
        <scheme val="minor"/>
      </rPr>
      <t>7</t>
    </r>
  </si>
  <si>
    <r>
      <t>Teaching/Learning Assistant (TA/LA) participation</t>
    </r>
    <r>
      <rPr>
        <b/>
        <vertAlign val="superscript"/>
        <sz val="13"/>
        <color theme="1"/>
        <rFont val="Calibri"/>
        <family val="2"/>
        <scheme val="minor"/>
      </rPr>
      <t>8</t>
    </r>
  </si>
  <si>
    <r>
      <t>Number of cooperating physics teachers</t>
    </r>
    <r>
      <rPr>
        <b/>
        <vertAlign val="superscript"/>
        <sz val="13"/>
        <color theme="1"/>
        <rFont val="Calibri"/>
        <family val="2"/>
        <scheme val="minor"/>
      </rPr>
      <t>11</t>
    </r>
    <r>
      <rPr>
        <b/>
        <sz val="13"/>
        <color theme="1"/>
        <rFont val="Calibri"/>
        <family val="2"/>
        <scheme val="minor"/>
      </rPr>
      <t xml:space="preserve">
</t>
    </r>
    <r>
      <rPr>
        <b/>
        <sz val="13"/>
        <color rgb="FF6DA6D9"/>
        <rFont val="Calibri"/>
        <family val="2"/>
        <scheme val="minor"/>
      </rPr>
      <t>PREVALENT</t>
    </r>
  </si>
  <si>
    <r>
      <t>Quality of cooperating physics teachers</t>
    </r>
    <r>
      <rPr>
        <b/>
        <vertAlign val="superscript"/>
        <sz val="13"/>
        <color theme="1"/>
        <rFont val="Calibri"/>
        <family val="2"/>
        <scheme val="minor"/>
      </rPr>
      <t>11</t>
    </r>
    <r>
      <rPr>
        <b/>
        <sz val="13"/>
        <color theme="1"/>
        <rFont val="Calibri"/>
        <family val="2"/>
        <scheme val="minor"/>
      </rPr>
      <t xml:space="preserve">
</t>
    </r>
    <r>
      <rPr>
        <b/>
        <sz val="13"/>
        <color rgb="FF6DA6D9"/>
        <rFont val="Calibri"/>
        <family val="2"/>
        <scheme val="minor"/>
      </rPr>
      <t>PREVALENT</t>
    </r>
  </si>
  <si>
    <r>
      <t>Field experiences</t>
    </r>
    <r>
      <rPr>
        <b/>
        <vertAlign val="superscript"/>
        <sz val="13"/>
        <color theme="1"/>
        <rFont val="Calibri"/>
        <family val="2"/>
        <scheme val="minor"/>
      </rPr>
      <t>9</t>
    </r>
    <r>
      <rPr>
        <b/>
        <sz val="13"/>
        <color theme="1"/>
        <rFont val="Calibri"/>
        <family val="2"/>
        <scheme val="minor"/>
      </rPr>
      <t xml:space="preserve"> in physics
</t>
    </r>
    <r>
      <rPr>
        <b/>
        <sz val="13"/>
        <color rgb="FF6DA6D9"/>
        <rFont val="Calibri"/>
        <family val="2"/>
        <scheme val="minor"/>
      </rPr>
      <t>PREVALENT</t>
    </r>
  </si>
  <si>
    <r>
      <t>Quality of university supervisor</t>
    </r>
    <r>
      <rPr>
        <b/>
        <vertAlign val="superscript"/>
        <sz val="13"/>
        <color theme="1"/>
        <rFont val="Calibri"/>
        <family val="2"/>
        <scheme val="minor"/>
      </rPr>
      <t>12</t>
    </r>
    <r>
      <rPr>
        <b/>
        <sz val="13"/>
        <color theme="1"/>
        <rFont val="Calibri"/>
        <family val="2"/>
        <scheme val="minor"/>
      </rPr>
      <t xml:space="preserve"> for student teaching
</t>
    </r>
    <r>
      <rPr>
        <b/>
        <sz val="13"/>
        <color rgb="FF6DA6D9"/>
        <rFont val="Calibri"/>
        <family val="2"/>
        <scheme val="minor"/>
      </rPr>
      <t>PREVALENT</t>
    </r>
  </si>
  <si>
    <t>Coordinated mentoring</t>
  </si>
  <si>
    <r>
      <t>Community of physics/STEM teacher candidates</t>
    </r>
    <r>
      <rPr>
        <b/>
        <vertAlign val="superscript"/>
        <sz val="13"/>
        <color theme="1"/>
        <rFont val="Calibri"/>
        <family val="2"/>
        <scheme val="minor"/>
      </rPr>
      <t>3</t>
    </r>
  </si>
  <si>
    <r>
      <t>Feedback</t>
    </r>
    <r>
      <rPr>
        <b/>
        <vertAlign val="superscript"/>
        <sz val="13"/>
        <color theme="1"/>
        <rFont val="Calibri"/>
        <family val="2"/>
        <scheme val="minor"/>
      </rPr>
      <t xml:space="preserve">3 </t>
    </r>
    <r>
      <rPr>
        <b/>
        <sz val="13"/>
        <color theme="1"/>
        <rFont val="Calibri"/>
        <family val="2"/>
        <scheme val="minor"/>
      </rPr>
      <t xml:space="preserve">from stakeholders
</t>
    </r>
    <r>
      <rPr>
        <b/>
        <sz val="13"/>
        <color rgb="FFAEB651"/>
        <rFont val="Calibri"/>
        <family val="2"/>
        <scheme val="minor"/>
      </rPr>
      <t>PREVALENT</t>
    </r>
  </si>
  <si>
    <r>
      <t>Assessing learning outcomes</t>
    </r>
    <r>
      <rPr>
        <b/>
        <vertAlign val="superscript"/>
        <sz val="13"/>
        <color theme="1"/>
        <rFont val="Calibri"/>
        <family val="2"/>
        <scheme val="minor"/>
      </rPr>
      <t>4</t>
    </r>
    <r>
      <rPr>
        <b/>
        <sz val="13"/>
        <color theme="1"/>
        <rFont val="Calibri"/>
        <family val="2"/>
        <scheme val="minor"/>
      </rPr>
      <t xml:space="preserve"> for physics teacher candidates</t>
    </r>
  </si>
  <si>
    <r>
      <t xml:space="preserve">Communication with university administrators
</t>
    </r>
    <r>
      <rPr>
        <b/>
        <sz val="13"/>
        <color rgb="FFAEB651"/>
        <rFont val="Calibri"/>
        <family val="2"/>
        <scheme val="minor"/>
      </rPr>
      <t>PREVALENT</t>
    </r>
  </si>
  <si>
    <t>University-level support for STEM education</t>
  </si>
  <si>
    <t>Administrative recognition for physics teacher education (PTE) program</t>
  </si>
  <si>
    <t>University-level support for teacher education</t>
  </si>
  <si>
    <t>Arts &amp; Sciences (A&amp;S)–level support for teacher education</t>
  </si>
  <si>
    <t>School of Education (SoE)–level support for physics teacher education</t>
  </si>
  <si>
    <t>Time for PTE program leaders to engage</t>
  </si>
  <si>
    <t>Recognition for PTE program team</t>
  </si>
  <si>
    <t>Engaged staff</t>
  </si>
  <si>
    <t>Institutional funding</t>
  </si>
  <si>
    <t>Stability of program operational funding</t>
  </si>
  <si>
    <t>Common vision among the PTE program team</t>
  </si>
  <si>
    <t>Communication across units on PTE program elements</t>
  </si>
  <si>
    <t>Boundary crossers</t>
  </si>
  <si>
    <t>Collaboration with PTE mentor on student teacher placement</t>
  </si>
  <si>
    <t>University supervisor collaboration with PTE team</t>
  </si>
  <si>
    <t>Collaboration on licensure pathway for physics students</t>
  </si>
  <si>
    <t>Physics majors</t>
  </si>
  <si>
    <t>Physics-aligned majors</t>
  </si>
  <si>
    <t>Accurate information about career benefits of teaching</t>
  </si>
  <si>
    <t>Program promotion</t>
  </si>
  <si>
    <t>Undergraduate licensure pathway</t>
  </si>
  <si>
    <t>Post-baccalaureate licensure pathway</t>
  </si>
  <si>
    <t>Time to certification for physics teacher candidates</t>
  </si>
  <si>
    <t>Physics degree for physics teacher candidates</t>
  </si>
  <si>
    <t>Scientific practices credits</t>
  </si>
  <si>
    <t>Physics microteaching experiences</t>
  </si>
  <si>
    <t>Teaching/Learning Assistant (TA/LA) participation</t>
  </si>
  <si>
    <t>Number of cooperating physics teachers</t>
  </si>
  <si>
    <t>Quality of cooperating physics teachers</t>
  </si>
  <si>
    <t>Field experiences in physics</t>
  </si>
  <si>
    <t>Quality of university supervisor for student teaching</t>
  </si>
  <si>
    <t>Student advising and career mentoring in physics</t>
  </si>
  <si>
    <t>Academic advising of physics teacher candidates</t>
  </si>
  <si>
    <t>PTE mentor for physics teacher candidates</t>
  </si>
  <si>
    <t>Community of physics/STEM teacher candidates</t>
  </si>
  <si>
    <t>PTE mentor for beginning teachers</t>
  </si>
  <si>
    <t>Career persistence</t>
  </si>
  <si>
    <t>Tracking program metrics</t>
  </si>
  <si>
    <t>Feedback from stakeholders</t>
  </si>
  <si>
    <t>Assessing learning outcomes for physics teacher candidates</t>
  </si>
  <si>
    <t>Program improvement from feedback and program data</t>
  </si>
  <si>
    <t>Publicity and advocacy</t>
  </si>
  <si>
    <t>Component 4B: Pedagogy Courses and Curriculum</t>
  </si>
  <si>
    <t xml:space="preserve">Component 4C: Practical K–12 School Experiences </t>
  </si>
  <si>
    <t>PTE program leader(s) are granted significant time to engage in PTE activities.[6]</t>
  </si>
  <si>
    <t xml:space="preserve">PTE program leader(s) are granted modest time to engage in PTE activities.[6] </t>
  </si>
  <si>
    <t>Members of the PTE program team have received modest recognition[8] for engaging in PTE (in the past three years).</t>
  </si>
  <si>
    <t>Members of the PTE program team have received concrete recognition[9] for engaging in PTE (in the past three years).</t>
  </si>
  <si>
    <t xml:space="preserve">The TIR interacts with teacher candidates in more than one venue and engages in at least one other recommended TIR activity.[5] </t>
  </si>
  <si>
    <t>The TIR is deeply integrated in the program, intersecting with teacher candidates and faculty in multiple settings, and engages in at least two other recommended TIR activities.[5]</t>
  </si>
  <si>
    <t>Several physics faculty/staff and at least one other entity[3] actively refer students to the PTE program.</t>
  </si>
  <si>
    <r>
      <t>The program provides physics teacher candidates with high-quality, practical teaching experiences in the discipline (i.e. “clinical experiences”) to put education coursework into practice in a K–12 school setting. Such practical experiences may include practicum, observation, field experiences,</t>
    </r>
    <r>
      <rPr>
        <i/>
        <vertAlign val="superscript"/>
        <sz val="13"/>
        <color rgb="FF000000"/>
        <rFont val="Calibri"/>
        <family val="2"/>
        <scheme val="minor"/>
      </rPr>
      <t>9</t>
    </r>
    <r>
      <rPr>
        <i/>
        <sz val="13"/>
        <color rgb="FF000000"/>
        <rFont val="Calibri"/>
        <family val="2"/>
        <scheme val="minor"/>
      </rPr>
      <t xml:space="preserve"> and student teaching.</t>
    </r>
    <r>
      <rPr>
        <i/>
        <vertAlign val="superscript"/>
        <sz val="13"/>
        <color rgb="FF000000"/>
        <rFont val="Calibri"/>
        <family val="2"/>
        <scheme val="minor"/>
      </rPr>
      <t>10</t>
    </r>
    <r>
      <rPr>
        <i/>
        <sz val="13"/>
        <color rgb="FF000000"/>
        <rFont val="Calibri"/>
        <family val="2"/>
        <scheme val="minor"/>
      </rPr>
      <t xml:space="preserve"> </t>
    </r>
  </si>
  <si>
    <r>
      <t xml:space="preserve">[1] </t>
    </r>
    <r>
      <rPr>
        <b/>
        <sz val="11"/>
        <color theme="1"/>
        <rFont val="Calibri"/>
        <family val="2"/>
        <scheme val="minor"/>
      </rPr>
      <t>Evidence of support</t>
    </r>
    <r>
      <rPr>
        <sz val="11"/>
        <color theme="1"/>
        <rFont val="Calibri"/>
        <family val="2"/>
        <scheme val="minor"/>
      </rPr>
      <t xml:space="preserve"> for education (STEM, teacher, or physics teacher) could encompass regular inclusion in strategic planning, public declarations of need for programs or educational change, verbal protection of the program, inclusion in or strong alignment with an explicit mission statement, a long-term plan, the School of Education (SoE) providing a science licensure program, and so on. </t>
    </r>
    <r>
      <rPr>
        <b/>
        <sz val="11"/>
        <color theme="1"/>
        <rFont val="Calibri"/>
        <family val="2"/>
        <scheme val="minor"/>
      </rPr>
      <t>Concrete support</t>
    </r>
    <r>
      <rPr>
        <sz val="11"/>
        <color theme="1"/>
        <rFont val="Calibri"/>
        <family val="2"/>
        <scheme val="minor"/>
      </rPr>
      <t xml:space="preserve"> includes policies, funding and/or space for programs, positions, an institute, and the like.</t>
    </r>
  </si>
  <si>
    <r>
      <t xml:space="preserve">[2] The </t>
    </r>
    <r>
      <rPr>
        <b/>
        <sz val="11"/>
        <color theme="1"/>
        <rFont val="Calibri"/>
        <family val="2"/>
        <scheme val="minor"/>
      </rPr>
      <t>physics teacher education (PTE) program</t>
    </r>
    <r>
      <rPr>
        <sz val="11"/>
        <color theme="1"/>
        <rFont val="Calibri"/>
        <family val="2"/>
        <scheme val="minor"/>
      </rPr>
      <t xml:space="preserve"> is either the formal named physics teacher education program (e.g., UTeach) or the informal collection of (1) courses and experiential learning opportunities for teachers with physics-specific content and (2) people (instructors, leaders) who directly serve physics teacher candidates. The program should include a presence in the physics department but need not be run out of the physics department.</t>
    </r>
  </si>
  <si>
    <r>
      <t xml:space="preserve">[4] </t>
    </r>
    <r>
      <rPr>
        <b/>
        <sz val="11"/>
        <color theme="1"/>
        <rFont val="Calibri"/>
        <family val="2"/>
        <scheme val="minor"/>
      </rPr>
      <t>School of Education (SoE)</t>
    </r>
    <r>
      <rPr>
        <sz val="11"/>
        <color theme="1"/>
        <rFont val="Calibri"/>
        <family val="2"/>
        <scheme val="minor"/>
      </rPr>
      <t xml:space="preserve"> or other academic unit that is charged with teacher education.</t>
    </r>
  </si>
  <si>
    <r>
      <t xml:space="preserve">[5] </t>
    </r>
    <r>
      <rPr>
        <b/>
        <sz val="11"/>
        <color theme="1"/>
        <rFont val="Calibri"/>
        <family val="2"/>
        <scheme val="minor"/>
      </rPr>
      <t>PTE program leaders</t>
    </r>
    <r>
      <rPr>
        <sz val="11"/>
        <color theme="1"/>
        <rFont val="Calibri"/>
        <family val="2"/>
        <scheme val="minor"/>
      </rPr>
      <t xml:space="preserve"> (also called champions) are those faculty members (tenure or non-tenure track) or administrators in physics or science education (or similar unit responsible specifically for PTE) who spearhead the program, advocate for resources such as funding and personnel, and negotiate with the institution for changes beneficial to physics teacher education.</t>
    </r>
  </si>
  <si>
    <r>
      <t xml:space="preserve">[6] </t>
    </r>
    <r>
      <rPr>
        <b/>
        <sz val="11"/>
        <color theme="1"/>
        <rFont val="Calibri"/>
        <family val="2"/>
        <scheme val="minor"/>
      </rPr>
      <t>Modest time to engage</t>
    </r>
    <r>
      <rPr>
        <sz val="11"/>
        <color theme="1"/>
        <rFont val="Calibri"/>
        <family val="2"/>
        <scheme val="minor"/>
      </rPr>
      <t xml:space="preserve"> includes summer salary, time release, or other support. </t>
    </r>
    <r>
      <rPr>
        <b/>
        <sz val="11"/>
        <color theme="1"/>
        <rFont val="Calibri"/>
        <family val="2"/>
        <scheme val="minor"/>
      </rPr>
      <t>Significant time to engage</t>
    </r>
    <r>
      <rPr>
        <sz val="11"/>
        <color theme="1"/>
        <rFont val="Calibri"/>
        <family val="2"/>
        <scheme val="minor"/>
      </rPr>
      <t xml:space="preserve"> includes course load modifications, PTE courses included in teaching load, or inclusion of PTE activities in regular duties.</t>
    </r>
  </si>
  <si>
    <r>
      <t xml:space="preserve">[7] The </t>
    </r>
    <r>
      <rPr>
        <b/>
        <sz val="11"/>
        <color theme="1"/>
        <rFont val="Calibri"/>
        <family val="2"/>
        <scheme val="minor"/>
      </rPr>
      <t>PTE program team</t>
    </r>
    <r>
      <rPr>
        <sz val="11"/>
        <color theme="1"/>
        <rFont val="Calibri"/>
        <family val="2"/>
        <scheme val="minor"/>
      </rPr>
      <t xml:space="preserve"> consists of the program leaders plus other personnel who are responsible for the daily operation of the PTE program.</t>
    </r>
  </si>
  <si>
    <r>
      <t xml:space="preserve">[8] </t>
    </r>
    <r>
      <rPr>
        <b/>
        <sz val="11"/>
        <color theme="1"/>
        <rFont val="Calibri"/>
        <family val="2"/>
        <scheme val="minor"/>
      </rPr>
      <t>Modest recognition</t>
    </r>
    <r>
      <rPr>
        <sz val="11"/>
        <color theme="1"/>
        <rFont val="Calibri"/>
        <family val="2"/>
        <scheme val="minor"/>
      </rPr>
      <t xml:space="preserve"> could include a thank-you letter, a notice in the departmental newsletter, verbal recognition for PTE activities, or broad recognition for educational activities but not specific recognition for PTE.</t>
    </r>
  </si>
  <si>
    <r>
      <t>[9]</t>
    </r>
    <r>
      <rPr>
        <b/>
        <sz val="11"/>
        <color theme="1"/>
        <rFont val="Calibri"/>
        <family val="2"/>
        <scheme val="minor"/>
      </rPr>
      <t xml:space="preserve"> Concrete recognition</t>
    </r>
    <r>
      <rPr>
        <sz val="11"/>
        <color theme="1"/>
        <rFont val="Calibri"/>
        <family val="2"/>
        <scheme val="minor"/>
      </rPr>
      <t xml:space="preserve"> could include award nominations for PTE, frequent written or verbal recognition at the department or college level, financial rewards, and so on.</t>
    </r>
  </si>
  <si>
    <r>
      <t xml:space="preserve">[10] </t>
    </r>
    <r>
      <rPr>
        <b/>
        <sz val="11"/>
        <color theme="1"/>
        <rFont val="Calibri"/>
        <family val="2"/>
        <scheme val="minor"/>
      </rPr>
      <t>Engaged staff</t>
    </r>
    <r>
      <rPr>
        <sz val="11"/>
        <color theme="1"/>
        <rFont val="Calibri"/>
        <family val="2"/>
        <scheme val="minor"/>
      </rPr>
      <t xml:space="preserve"> include non-faculty administrative or other staff who support the program, including Teachers in Residence. Staff may include those funded on external grants.  </t>
    </r>
  </si>
  <si>
    <r>
      <t>[11]</t>
    </r>
    <r>
      <rPr>
        <b/>
        <sz val="11"/>
        <color theme="1"/>
        <rFont val="Calibri"/>
        <family val="2"/>
        <scheme val="minor"/>
      </rPr>
      <t xml:space="preserve"> Institutional funding</t>
    </r>
    <r>
      <rPr>
        <sz val="11"/>
        <color theme="1"/>
        <rFont val="Calibri"/>
        <family val="2"/>
        <scheme val="minor"/>
      </rPr>
      <t xml:space="preserve"> can include the portion of site leaders’ salaries dedicated to PTE (beyond their normal duties), recruitment activities, Learning Assistant programs, scholarships, a Teacher in Residence, curricular design or reform, Teacher Advisory Groups, or other resources supporting PTE. Except in rare cases, do NOT count the portion of site leaders’ or team members’ salaries that can be considered part of normal duties (even if they serve physics teacher candidates), such as physics faculty teaching an introductory physics course or advising majors or education faculty teaching a science methods course.</t>
    </r>
  </si>
  <si>
    <r>
      <t xml:space="preserve">[12] </t>
    </r>
    <r>
      <rPr>
        <b/>
        <sz val="11"/>
        <color theme="1"/>
        <rFont val="Calibri"/>
        <family val="2"/>
        <scheme val="minor"/>
      </rPr>
      <t>Operational funding</t>
    </r>
    <r>
      <rPr>
        <sz val="11"/>
        <color theme="1"/>
        <rFont val="Calibri"/>
        <family val="2"/>
        <scheme val="minor"/>
      </rPr>
      <t xml:space="preserve"> can be internal or external funding and is the specifically dedicated funding required for the program to run successfully (as defined by the program leader), such as funding for a Teacher in Residence or Learning Assistant program. Except in rare cases, faculty salary would not be included, as this does not require dedication of PTE-focused funding.</t>
    </r>
  </si>
  <si>
    <r>
      <rPr>
        <sz val="11"/>
        <color theme="1"/>
        <rFont val="Calibri"/>
        <family val="2"/>
        <scheme val="minor"/>
      </rPr>
      <t xml:space="preserve">[1] </t>
    </r>
    <r>
      <rPr>
        <b/>
        <sz val="11"/>
        <color theme="1"/>
        <rFont val="Calibri"/>
        <family val="2"/>
        <scheme val="minor"/>
      </rPr>
      <t>PTE program leaders</t>
    </r>
    <r>
      <rPr>
        <sz val="11"/>
        <color theme="1"/>
        <rFont val="Calibri"/>
        <family val="2"/>
        <scheme val="minor"/>
      </rPr>
      <t xml:space="preserve"> (also called champions) are those faculty members (tenure or non-tenure track) or administrators in physics or science education (or similar unit responsible specifically for PTE) who spearhead the program, advocate for resources such as funding and personnel, and negotiate with the institution for changes beneficial to physics teacher education.</t>
    </r>
  </si>
  <si>
    <r>
      <t>[3] A</t>
    </r>
    <r>
      <rPr>
        <b/>
        <sz val="11"/>
        <color theme="1"/>
        <rFont val="Calibri"/>
        <family val="2"/>
        <scheme val="minor"/>
      </rPr>
      <t xml:space="preserve"> Teacher in Residence</t>
    </r>
    <r>
      <rPr>
        <sz val="11"/>
        <color theme="1"/>
        <rFont val="Calibri"/>
        <family val="2"/>
        <scheme val="minor"/>
      </rPr>
      <t xml:space="preserve"> (TIR) is a person with exemplary understanding of teaching and experience teaching in K–12 schools who functions as an essential colleague to the PTE program. A science TIR has a strong science background and K–12 science teaching experience. A physics TIR has a strong physics background and K–12 physics teaching experience.</t>
    </r>
  </si>
  <si>
    <r>
      <rPr>
        <sz val="11"/>
        <color theme="1"/>
        <rFont val="Calibri"/>
        <family val="2"/>
        <scheme val="minor"/>
      </rPr>
      <t xml:space="preserve">[4] A </t>
    </r>
    <r>
      <rPr>
        <b/>
        <sz val="11"/>
        <color theme="1"/>
        <rFont val="Calibri"/>
        <family val="2"/>
        <scheme val="minor"/>
      </rPr>
      <t xml:space="preserve">Teacher Advisory Group </t>
    </r>
    <r>
      <rPr>
        <sz val="11"/>
        <color theme="1"/>
        <rFont val="Calibri"/>
        <family val="2"/>
        <scheme val="minor"/>
      </rPr>
      <t>(TAG) is a group of local physics teachers that meet regularly with the PTE team to help improve pre-service teacher education.</t>
    </r>
  </si>
  <si>
    <r>
      <rPr>
        <sz val="11"/>
        <color theme="1"/>
        <rFont val="Calibri"/>
        <family val="2"/>
        <scheme val="minor"/>
      </rPr>
      <t xml:space="preserve">[2] The </t>
    </r>
    <r>
      <rPr>
        <b/>
        <sz val="11"/>
        <color theme="1"/>
        <rFont val="Calibri"/>
        <family val="2"/>
        <scheme val="minor"/>
      </rPr>
      <t>PTE program team</t>
    </r>
    <r>
      <rPr>
        <sz val="11"/>
        <color theme="1"/>
        <rFont val="Calibri"/>
        <family val="2"/>
        <scheme val="minor"/>
      </rPr>
      <t xml:space="preserve"> consists of the faculty leaders and other personnel who are responsible for the daily operation of the PTE program.</t>
    </r>
  </si>
  <si>
    <r>
      <t xml:space="preserve">[5] </t>
    </r>
    <r>
      <rPr>
        <b/>
        <sz val="11"/>
        <color theme="1"/>
        <rFont val="Calibri"/>
        <family val="2"/>
        <scheme val="minor"/>
      </rPr>
      <t>TIR recommended activities</t>
    </r>
    <r>
      <rPr>
        <sz val="11"/>
        <color theme="1"/>
        <rFont val="Calibri"/>
        <family val="2"/>
        <scheme val="minor"/>
      </rPr>
      <t xml:space="preserve"> include: Recruit candidates, work with LA programs, mentor teacher candidates, partner with local teachers, organize TAG meetings, solicit feedback from program participants and graduates, hold regular meetings with faculty leaders, teach or co-teach science methods courses, organize and mentor candidates in field experiences, develop assessment plans for the program, observe and mentor recent graduates, and more (see for example Plisch et al., </t>
    </r>
    <r>
      <rPr>
        <i/>
        <sz val="11"/>
        <color theme="1"/>
        <rFont val="Calibri"/>
        <family val="2"/>
        <scheme val="minor"/>
      </rPr>
      <t>The PhysTEC Teacher in Residence</t>
    </r>
    <r>
      <rPr>
        <sz val="11"/>
        <color theme="1"/>
        <rFont val="Calibri"/>
        <family val="2"/>
        <scheme val="minor"/>
      </rPr>
      <t xml:space="preserve">, in C. Sandifer and E. Brewe, </t>
    </r>
    <r>
      <rPr>
        <i/>
        <sz val="11"/>
        <color theme="1"/>
        <rFont val="Calibri"/>
        <family val="2"/>
        <scheme val="minor"/>
      </rPr>
      <t>Recruiting and Educating Future Physics Teachers</t>
    </r>
    <r>
      <rPr>
        <sz val="11"/>
        <color theme="1"/>
        <rFont val="Calibri"/>
        <family val="2"/>
        <scheme val="minor"/>
      </rPr>
      <t>, American Physical Society, 2015).</t>
    </r>
  </si>
  <si>
    <r>
      <t xml:space="preserve">[10] The </t>
    </r>
    <r>
      <rPr>
        <b/>
        <sz val="11"/>
        <color theme="1"/>
        <rFont val="Calibri"/>
        <family val="2"/>
        <scheme val="minor"/>
      </rPr>
      <t>licensure pathway</t>
    </r>
    <r>
      <rPr>
        <sz val="11"/>
        <color theme="1"/>
        <rFont val="Calibri"/>
        <family val="2"/>
        <scheme val="minor"/>
      </rPr>
      <t xml:space="preserve"> includes course requirements for licensure and content of licensure courses. Desirable modifications include, for example, adding physics content to licensure courses, satisfying multiple requirements with a single activity, and reducing (or not increasing) time to certification.</t>
    </r>
  </si>
  <si>
    <r>
      <t xml:space="preserve">[9] A </t>
    </r>
    <r>
      <rPr>
        <b/>
        <sz val="11"/>
        <color theme="1"/>
        <rFont val="Calibri"/>
        <family val="2"/>
        <scheme val="minor"/>
      </rPr>
      <t>university supervisor</t>
    </r>
    <r>
      <rPr>
        <sz val="11"/>
        <color theme="1"/>
        <rFont val="Calibri"/>
        <family val="2"/>
        <scheme val="minor"/>
      </rPr>
      <t xml:space="preserve"> is a member of the university faculty with expertise in teacher education who is the instructor of record for the student teaching experience, which includes observing and supporting teacher candidates during student teaching. </t>
    </r>
  </si>
  <si>
    <r>
      <t>[8] A</t>
    </r>
    <r>
      <rPr>
        <b/>
        <sz val="11"/>
        <color theme="1"/>
        <rFont val="Calibri"/>
        <family val="2"/>
        <scheme val="minor"/>
      </rPr>
      <t xml:space="preserve"> PTE mentor </t>
    </r>
    <r>
      <rPr>
        <sz val="11"/>
        <color theme="1"/>
        <rFont val="Calibri"/>
        <family val="2"/>
        <scheme val="minor"/>
      </rPr>
      <t>is a university employee who mentors and coaches teacher candidates in careers, skills, and teaching development (not just academic advising). The PTE mentor may be, for example, a faculty member who specializes in physics teacher education or a physics TIR.</t>
    </r>
  </si>
  <si>
    <r>
      <t xml:space="preserve">[7] </t>
    </r>
    <r>
      <rPr>
        <b/>
        <sz val="11"/>
        <color theme="1"/>
        <rFont val="Calibri"/>
        <family val="2"/>
        <scheme val="minor"/>
      </rPr>
      <t>Boundary crossers</t>
    </r>
    <r>
      <rPr>
        <sz val="11"/>
        <color theme="1"/>
        <rFont val="Calibri"/>
        <family val="2"/>
        <scheme val="minor"/>
      </rPr>
      <t xml:space="preserve"> are people who have activities in both the academic unit housing the physics teacher education program (e.g., physics, education) and another unit involved with physics teacher education, such as joint appointment, co-teaching, research collaboration, or significant committee service.</t>
    </r>
  </si>
  <si>
    <r>
      <t xml:space="preserve">[6] </t>
    </r>
    <r>
      <rPr>
        <b/>
        <sz val="11"/>
        <color theme="1"/>
        <rFont val="Calibri"/>
        <family val="2"/>
        <scheme val="minor"/>
      </rPr>
      <t>PTE program elements</t>
    </r>
    <r>
      <rPr>
        <sz val="11"/>
        <color theme="1"/>
        <rFont val="Calibri"/>
        <family val="2"/>
        <scheme val="minor"/>
      </rPr>
      <t xml:space="preserve"> could include students, curriculum, placement, instructor assignments, or advising.</t>
    </r>
  </si>
  <si>
    <r>
      <t xml:space="preserve">[2] </t>
    </r>
    <r>
      <rPr>
        <b/>
        <sz val="11"/>
        <color theme="1"/>
        <rFont val="Calibri"/>
        <family val="2"/>
        <scheme val="minor"/>
      </rPr>
      <t>Physics-aligned majors</t>
    </r>
    <r>
      <rPr>
        <sz val="11"/>
        <color theme="1"/>
        <rFont val="Calibri"/>
        <family val="2"/>
        <scheme val="minor"/>
      </rPr>
      <t xml:space="preserve"> are majors with enough physics content knowledge to constitute a minor in physics (e.g., astronomy, mechanical engineering, electrical engineering, etc.). It’s best to evaluate according to the topics covered in coursework for each major.</t>
    </r>
  </si>
  <si>
    <r>
      <t xml:space="preserve">[3] </t>
    </r>
    <r>
      <rPr>
        <b/>
        <sz val="11"/>
        <color theme="1"/>
        <rFont val="Calibri"/>
        <family val="2"/>
        <scheme val="minor"/>
      </rPr>
      <t>Other entities</t>
    </r>
    <r>
      <rPr>
        <sz val="11"/>
        <color theme="1"/>
        <rFont val="Calibri"/>
        <family val="2"/>
        <scheme val="minor"/>
      </rPr>
      <t xml:space="preserve"> may include other departments, programs, or high school teachers.</t>
    </r>
  </si>
  <si>
    <r>
      <t xml:space="preserve">[4] </t>
    </r>
    <r>
      <rPr>
        <b/>
        <sz val="11"/>
        <color theme="1"/>
        <rFont val="Calibri"/>
        <family val="2"/>
        <scheme val="minor"/>
      </rPr>
      <t>Career benefits</t>
    </r>
    <r>
      <rPr>
        <sz val="11"/>
        <color theme="1"/>
        <rFont val="Calibri"/>
        <family val="2"/>
        <scheme val="minor"/>
      </rPr>
      <t xml:space="preserve"> include the following less commonly known advantages: (1) Financial benefits, such as accurate salary information, desirable retirement benefits, student loan forgiveness programs, scholarships, and opportunities for supplementary income. Many of these benefits are typically underestimated (including salary). (2) Other advantages, such as high intellectual challenge, high overall job satisfaction, opportunities for ongoing scientific professional development, easy job placement, and geographic mobility due to high demand for teachers. These advantages are greater in the teaching profession than in other STEM professional fields. See https://www.aps.org/units/fed/newsletters/fall2017/survey.cfm for more information.  </t>
    </r>
  </si>
  <si>
    <r>
      <t xml:space="preserve">[9] A </t>
    </r>
    <r>
      <rPr>
        <b/>
        <sz val="11"/>
        <color theme="1"/>
        <rFont val="Calibri"/>
        <family val="2"/>
        <scheme val="minor"/>
      </rPr>
      <t>physics teacher candidate</t>
    </r>
    <r>
      <rPr>
        <sz val="11"/>
        <color theme="1"/>
        <rFont val="Calibri"/>
        <family val="2"/>
        <scheme val="minor"/>
      </rPr>
      <t xml:space="preserve"> is a student who has committed to completing a program of physics teacher education.</t>
    </r>
  </si>
  <si>
    <r>
      <t>[8]</t>
    </r>
    <r>
      <rPr>
        <b/>
        <sz val="11"/>
        <color theme="1"/>
        <rFont val="Calibri"/>
        <family val="2"/>
        <scheme val="minor"/>
      </rPr>
      <t xml:space="preserve"> Time to certification</t>
    </r>
    <r>
      <rPr>
        <sz val="11"/>
        <color theme="1"/>
        <rFont val="Calibri"/>
        <family val="2"/>
        <scheme val="minor"/>
      </rPr>
      <t xml:space="preserve"> should be calculated using the undergraduate or post-baccalaureate licensure pathway, whichever is present and/or most commonly used. While not required to achieve this item, it is recommended to build the licensure pathway such that students may complete the certification requirements within the allotted time, even if they decide to pursue licensure after their sophomore year.</t>
    </r>
  </si>
  <si>
    <r>
      <t xml:space="preserve">[6] </t>
    </r>
    <r>
      <rPr>
        <b/>
        <sz val="11"/>
        <color theme="1"/>
        <rFont val="Calibri"/>
        <family val="2"/>
        <scheme val="minor"/>
      </rPr>
      <t>Early teaching experiences</t>
    </r>
    <r>
      <rPr>
        <sz val="11"/>
        <color theme="1"/>
        <rFont val="Calibri"/>
        <family val="2"/>
        <scheme val="minor"/>
      </rPr>
      <t xml:space="preserve"> are those teaching experiences intended to give first- and second-year students experience with teaching, such as sustained tutoring, sustained outreach, Learning Assistant opportunities, and UTeach Step 1 or other entry-level courses, among other possibilities. Experiences intended to develop the teaching practice (such as student teaching) are documented elsewhere (see Standard 4, Components 4C and 4D). </t>
    </r>
  </si>
  <si>
    <r>
      <t xml:space="preserve">[1] </t>
    </r>
    <r>
      <rPr>
        <b/>
        <sz val="11"/>
        <color theme="1"/>
        <rFont val="Calibri"/>
        <family val="2"/>
        <scheme val="minor"/>
      </rPr>
      <t>Physics content knowledge</t>
    </r>
    <r>
      <rPr>
        <sz val="11"/>
        <color theme="1"/>
        <rFont val="Calibri"/>
        <family val="2"/>
        <scheme val="minor"/>
      </rPr>
      <t xml:space="preserve"> differs depending on how the curriculum is organized (e.g., around concepts, phenomena, or projects). This instrument does not assess the approach to physics teaching that is promoted by a PTE program. It also does not define “physics content,” which may be understood to include scientific practices or crosscutting concepts as well as disciplinary core ideas.</t>
    </r>
  </si>
  <si>
    <r>
      <t xml:space="preserve">[2] </t>
    </r>
    <r>
      <rPr>
        <b/>
        <sz val="11"/>
        <color theme="1"/>
        <rFont val="Calibri"/>
        <family val="2"/>
        <scheme val="minor"/>
      </rPr>
      <t>Physics degree</t>
    </r>
    <r>
      <rPr>
        <sz val="11"/>
        <color theme="1"/>
        <rFont val="Calibri"/>
        <family val="2"/>
        <scheme val="minor"/>
      </rPr>
      <t xml:space="preserve"> is a physics major or minor or its equivalent. “Physics minor equivalent” is defined at http://www.phystec.org/webdocs/physicsMinor.cfm.   </t>
    </r>
  </si>
  <si>
    <r>
      <t xml:space="preserve">[3] A </t>
    </r>
    <r>
      <rPr>
        <b/>
        <sz val="11"/>
        <color theme="1"/>
        <rFont val="Calibri"/>
        <family val="2"/>
        <scheme val="minor"/>
      </rPr>
      <t>physics teacher candidate</t>
    </r>
    <r>
      <rPr>
        <sz val="11"/>
        <color theme="1"/>
        <rFont val="Calibri"/>
        <family val="2"/>
        <scheme val="minor"/>
      </rPr>
      <t xml:space="preserve"> is a student who has committed to completing a program of physics teacher education.</t>
    </r>
  </si>
  <si>
    <t xml:space="preserve">[4] Note: The PTEPA Rubric assesses only the physics-specific elements of the curriculum for teacher candidates. It is not intended to fully characterize a teacher preparation program curriculum and training, and thus it does not emphasize areas that lie primarily within the domain of a school of education; for those wishing to assess the overall quality of a program, we recommend the Teacher Education Program Assessment (TEPA) by C. Coble (2014). </t>
  </si>
  <si>
    <r>
      <t>[6]</t>
    </r>
    <r>
      <rPr>
        <b/>
        <sz val="11"/>
        <color theme="1"/>
        <rFont val="Calibri"/>
        <family val="2"/>
        <scheme val="minor"/>
      </rPr>
      <t xml:space="preserve"> Scientific practices</t>
    </r>
    <r>
      <rPr>
        <sz val="11"/>
        <color theme="1"/>
        <rFont val="Calibri"/>
        <family val="2"/>
        <scheme val="minor"/>
      </rPr>
      <t xml:space="preserve"> are an element of the Next Generation Science Standards (NGSS) and include, but are not limited to, asking questions and defining problems, analyzing and interpreting data, and engaging in argument from evidence. See http://ngss.nsta.org/PracticesFull.aspx for the full list.</t>
    </r>
  </si>
  <si>
    <r>
      <t xml:space="preserve">[8] </t>
    </r>
    <r>
      <rPr>
        <b/>
        <sz val="11"/>
        <color theme="1"/>
        <rFont val="Calibri"/>
        <family val="2"/>
        <scheme val="minor"/>
      </rPr>
      <t xml:space="preserve">Teaching/Learning Assistantships </t>
    </r>
    <r>
      <rPr>
        <sz val="11"/>
        <color theme="1"/>
        <rFont val="Calibri"/>
        <family val="2"/>
        <scheme val="minor"/>
      </rPr>
      <t>(TA/LA) are positions in physics (or physics-aligned) departments in which undergraduates are trained to work with faculty as instructional assistants to make courses more interactive or to support interactive engagement in already reformed courses.</t>
    </r>
  </si>
  <si>
    <r>
      <t xml:space="preserve">[12] A </t>
    </r>
    <r>
      <rPr>
        <b/>
        <sz val="11"/>
        <color theme="1"/>
        <rFont val="Calibri"/>
        <family val="2"/>
        <scheme val="minor"/>
      </rPr>
      <t>university supervisor</t>
    </r>
    <r>
      <rPr>
        <sz val="11"/>
        <color theme="1"/>
        <rFont val="Calibri"/>
        <family val="2"/>
        <scheme val="minor"/>
      </rPr>
      <t xml:space="preserve"> is a member of the university faculty with expertise in teacher education who is the instructor of record for the student teaching experience, which includes observing and supporting teacher candidates during student teaching.</t>
    </r>
  </si>
  <si>
    <r>
      <t xml:space="preserve">[11] A </t>
    </r>
    <r>
      <rPr>
        <b/>
        <sz val="11"/>
        <color theme="1"/>
        <rFont val="Calibri"/>
        <family val="2"/>
        <scheme val="minor"/>
      </rPr>
      <t>cooperating teacher</t>
    </r>
    <r>
      <rPr>
        <sz val="11"/>
        <color theme="1"/>
        <rFont val="Calibri"/>
        <family val="2"/>
        <scheme val="minor"/>
      </rPr>
      <t xml:space="preserve"> is a certified teacher (preferably a physics teacher) who hosts and supervises students during field experiences and/or student teaching. If the quality of cooperating teachers for field experiences is quite different from those for student teaching, emphasize the quality of the cooperating teachers for the student teaching experience.</t>
    </r>
  </si>
  <si>
    <r>
      <t>[10]</t>
    </r>
    <r>
      <rPr>
        <b/>
        <sz val="11"/>
        <color theme="1"/>
        <rFont val="Calibri"/>
        <family val="2"/>
        <scheme val="minor"/>
      </rPr>
      <t xml:space="preserve"> Student teaching</t>
    </r>
    <r>
      <rPr>
        <sz val="11"/>
        <color theme="1"/>
        <rFont val="Calibri"/>
        <family val="2"/>
        <scheme val="minor"/>
      </rPr>
      <t xml:space="preserve"> is a capstone field experience in which a teacher candidate teaches in a K–12 setting with full control of multiple classes for at least a semester, fulfilling licensure requirements. The student teaching experience is jointly supervised by the “cooperating teacher” at the K–12 school and the “university supervisor” at the university.</t>
    </r>
  </si>
  <si>
    <r>
      <t xml:space="preserve">[1] </t>
    </r>
    <r>
      <rPr>
        <b/>
        <sz val="11"/>
        <color theme="1"/>
        <rFont val="Calibri"/>
        <family val="2"/>
        <scheme val="minor"/>
      </rPr>
      <t>Advising</t>
    </r>
    <r>
      <rPr>
        <sz val="11"/>
        <color theme="1"/>
        <rFont val="Calibri"/>
        <family val="2"/>
        <scheme val="minor"/>
      </rPr>
      <t xml:space="preserve"> refers to helping students select course sequences and navigate the path towards their degree or licensure. </t>
    </r>
    <r>
      <rPr>
        <b/>
        <sz val="11"/>
        <color theme="1"/>
        <rFont val="Calibri"/>
        <family val="2"/>
        <scheme val="minor"/>
      </rPr>
      <t>Mentoring</t>
    </r>
    <r>
      <rPr>
        <sz val="11"/>
        <color theme="1"/>
        <rFont val="Calibri"/>
        <family val="2"/>
        <scheme val="minor"/>
      </rPr>
      <t xml:space="preserve"> includes physics skill development and support for career progress. </t>
    </r>
    <r>
      <rPr>
        <b/>
        <sz val="11"/>
        <color theme="1"/>
        <rFont val="Calibri"/>
        <family val="2"/>
        <scheme val="minor"/>
      </rPr>
      <t>Tailoring academic programs to career interests</t>
    </r>
    <r>
      <rPr>
        <sz val="11"/>
        <color theme="1"/>
        <rFont val="Calibri"/>
        <family val="2"/>
        <scheme val="minor"/>
      </rPr>
      <t xml:space="preserve"> includes taking advantage of program flexibilities, removing barriers, and advising about scholarships and external opportunities, including internships and research experiences.</t>
    </r>
  </si>
  <si>
    <r>
      <t>[2] A</t>
    </r>
    <r>
      <rPr>
        <b/>
        <sz val="11"/>
        <color theme="1"/>
        <rFont val="Calibri"/>
        <family val="2"/>
        <scheme val="minor"/>
      </rPr>
      <t xml:space="preserve"> PTE mentor</t>
    </r>
    <r>
      <rPr>
        <sz val="11"/>
        <color theme="1"/>
        <rFont val="Calibri"/>
        <family val="2"/>
        <scheme val="minor"/>
      </rPr>
      <t xml:space="preserve"> is a university employee who mentors and coaches teacher candidates in careers, skills, and teaching development (not just academic advising). The PTE mentor may be, for example, a faculty member who specializes in physics teacher education or a physics TIR.</t>
    </r>
  </si>
  <si>
    <r>
      <t xml:space="preserve">[3] </t>
    </r>
    <r>
      <rPr>
        <b/>
        <sz val="11"/>
        <color theme="1"/>
        <rFont val="Calibri"/>
        <family val="2"/>
        <scheme val="minor"/>
      </rPr>
      <t>Community of physics/STEM teachers</t>
    </r>
    <r>
      <rPr>
        <sz val="11"/>
        <color theme="1"/>
        <rFont val="Calibri"/>
        <family val="2"/>
        <scheme val="minor"/>
      </rPr>
      <t>. In those institutions with insufficient numbers to create a community among physics teacher candidates, a community of STEM teacher candidates should be considered for this item.</t>
    </r>
  </si>
  <si>
    <r>
      <t xml:space="preserve">[1] </t>
    </r>
    <r>
      <rPr>
        <b/>
        <sz val="11"/>
        <color theme="1"/>
        <rFont val="Calibri"/>
        <family val="2"/>
        <scheme val="minor"/>
      </rPr>
      <t>Career persistence</t>
    </r>
    <r>
      <rPr>
        <sz val="11"/>
        <color theme="1"/>
        <rFont val="Calibri"/>
        <family val="2"/>
        <scheme val="minor"/>
      </rPr>
      <t xml:space="preserve"> is among the PTE program graduates who become teachers.</t>
    </r>
  </si>
  <si>
    <r>
      <t xml:space="preserve">[2] </t>
    </r>
    <r>
      <rPr>
        <b/>
        <sz val="11"/>
        <color theme="1"/>
        <rFont val="Calibri"/>
        <family val="2"/>
        <scheme val="minor"/>
      </rPr>
      <t>Tracking program metrics</t>
    </r>
    <r>
      <rPr>
        <sz val="11"/>
        <color theme="1"/>
        <rFont val="Calibri"/>
        <family val="2"/>
        <scheme val="minor"/>
      </rPr>
      <t>. If the academic unit housing the program (such as the school of education) tracks these numbers, this can be considered as program tracking.</t>
    </r>
  </si>
  <si>
    <r>
      <t xml:space="preserve">[3] </t>
    </r>
    <r>
      <rPr>
        <b/>
        <sz val="11"/>
        <color theme="1"/>
        <rFont val="Calibri"/>
        <family val="2"/>
        <scheme val="minor"/>
      </rPr>
      <t xml:space="preserve">Feedback </t>
    </r>
    <r>
      <rPr>
        <sz val="11"/>
        <color theme="1"/>
        <rFont val="Calibri"/>
        <family val="2"/>
        <scheme val="minor"/>
      </rPr>
      <t>may be collected through exit interviews, surveys, and so on.</t>
    </r>
  </si>
  <si>
    <r>
      <t xml:space="preserve">[4] </t>
    </r>
    <r>
      <rPr>
        <b/>
        <sz val="11"/>
        <color theme="1"/>
        <rFont val="Calibri"/>
        <family val="2"/>
        <scheme val="minor"/>
      </rPr>
      <t xml:space="preserve">Learning outcomes </t>
    </r>
    <r>
      <rPr>
        <sz val="11"/>
        <color theme="1"/>
        <rFont val="Calibri"/>
        <family val="2"/>
        <scheme val="minor"/>
      </rPr>
      <t>for teacher candidates include grades, DFW rates, learning gains from concept inventories, Praxis II scores, measures of pedagogical skills (e.g., Reformed Teaching Observation Protocol, UTeach Observation Protocol), and K–12 student outcomes in classrooms of program alumni.</t>
    </r>
  </si>
  <si>
    <r>
      <t xml:space="preserve">[5] </t>
    </r>
    <r>
      <rPr>
        <b/>
        <sz val="11"/>
        <color theme="1"/>
        <rFont val="Calibri"/>
        <family val="2"/>
        <scheme val="minor"/>
      </rPr>
      <t xml:space="preserve">Program data </t>
    </r>
    <r>
      <rPr>
        <sz val="11"/>
        <color theme="1"/>
        <rFont val="Calibri"/>
        <family val="2"/>
        <scheme val="minor"/>
      </rPr>
      <t>include program metrics, learning outcomes, Physics Teacher Education Program Analysis (PTEPA) Rubric ratings, or other evaluative measures.</t>
    </r>
  </si>
  <si>
    <r>
      <t xml:space="preserve">[6] </t>
    </r>
    <r>
      <rPr>
        <b/>
        <sz val="11"/>
        <color theme="1"/>
        <rFont val="Calibri"/>
        <family val="2"/>
        <scheme val="minor"/>
      </rPr>
      <t xml:space="preserve">Advocacy </t>
    </r>
    <r>
      <rPr>
        <sz val="11"/>
        <color theme="1"/>
        <rFont val="Calibri"/>
        <family val="2"/>
        <scheme val="minor"/>
      </rPr>
      <t>includes advocating for changes to state policy that could benefit physics teachers (e.g., serving on a state committee or issuing a policy brief).</t>
    </r>
  </si>
  <si>
    <t>More
Information
Needed</t>
  </si>
  <si>
    <t>More information needed</t>
  </si>
  <si>
    <t>unanswered</t>
  </si>
  <si>
    <t>[use this area to reflect on the results]</t>
  </si>
  <si>
    <t>Untitled1</t>
  </si>
  <si>
    <t>Untitled2</t>
  </si>
  <si>
    <t>Developing</t>
  </si>
  <si>
    <t>Benchmark</t>
  </si>
  <si>
    <t>Exemplary</t>
  </si>
  <si>
    <t>1.  Answer the interview questions below. These will help you in completing the instrument.</t>
  </si>
  <si>
    <r>
      <rPr>
        <b/>
        <sz val="15"/>
        <color rgb="FF0070C0"/>
        <rFont val="Calibri"/>
        <family val="2"/>
      </rPr>
      <t xml:space="preserve">Not Present: </t>
    </r>
    <r>
      <rPr>
        <sz val="15"/>
        <color theme="1"/>
        <rFont val="Calibri"/>
        <family val="2"/>
      </rPr>
      <t>Item is not present in the program.</t>
    </r>
    <r>
      <rPr>
        <b/>
        <sz val="15"/>
        <color rgb="FF0070C0"/>
        <rFont val="Calibri"/>
        <family val="2"/>
      </rPr>
      <t xml:space="preserve">
Developing: </t>
    </r>
    <r>
      <rPr>
        <sz val="15"/>
        <color rgb="FF000000"/>
        <rFont val="Calibri"/>
        <family val="2"/>
      </rPr>
      <t xml:space="preserve">The program performs better than a typical U.S. institution of higher education on that item.
</t>
    </r>
    <r>
      <rPr>
        <b/>
        <sz val="15"/>
        <color rgb="FF0070C0"/>
        <rFont val="Calibri"/>
        <family val="2"/>
      </rPr>
      <t>Benchmark:</t>
    </r>
    <r>
      <rPr>
        <sz val="15"/>
        <color rgb="FF000000"/>
        <rFont val="Calibri"/>
        <family val="2"/>
      </rPr>
      <t xml:space="preserve"> The program performs at a recommended level on that item.
</t>
    </r>
    <r>
      <rPr>
        <b/>
        <sz val="15"/>
        <color rgb="FF0070C0"/>
        <rFont val="Calibri"/>
        <family val="2"/>
      </rPr>
      <t>Exemplary:</t>
    </r>
    <r>
      <rPr>
        <sz val="15"/>
        <color rgb="FF000000"/>
        <rFont val="Calibri"/>
        <family val="2"/>
      </rPr>
      <t xml:space="preserve"> The program is among the best-performing on that item.
</t>
    </r>
    <r>
      <rPr>
        <b/>
        <sz val="15"/>
        <color rgb="FF0070C0"/>
        <rFont val="Calibri"/>
        <family val="2"/>
      </rPr>
      <t xml:space="preserve">Prevalent: </t>
    </r>
    <r>
      <rPr>
        <sz val="15"/>
        <color rgb="FF000000"/>
        <rFont val="Calibri"/>
        <family val="2"/>
      </rPr>
      <t>Majority of studied sites achieved Benchmark level on the item.</t>
    </r>
  </si>
  <si>
    <t>5. Use the Overview tab to identify items needing review, and see your results as a whole.</t>
  </si>
  <si>
    <t>6. Use the Report tab to examine results by Standard, and make plans for addressing issues.</t>
  </si>
  <si>
    <t>7.  Remember to save your responses before closing the workbook.</t>
  </si>
  <si>
    <t xml:space="preserve">The faculty members or administrators who spearhead the program, advocate for resources such as funding and personnel, and negotiate with the institution for changes beneficial to physics teacher education. </t>
  </si>
  <si>
    <t xml:space="preserve">A team consisting of the program leaders plus other personnel who are responsible for the daily operation of the PTE program. </t>
  </si>
  <si>
    <t>A university employee who mentors and coaches teacher candidates in careers, skills, and teaching development (not just academic advising). The PTE mentor may be, for example, a faculty member who specializes in physics teacher education or a physics TIR.</t>
  </si>
  <si>
    <t xml:space="preserve">A member of the university faculty with expertise in teacher education who is the instructor of record for the student teaching experience, which includes observing and supporting teacher candidates during student teaching. </t>
  </si>
  <si>
    <t>Licensure pathway</t>
  </si>
  <si>
    <t>This includes course requirements for licensure and content of licensure courses. Desirable modifications include, for example, adding physics content to licensure courses, satisfying multiple requirements with a single activity, and reducing (or not increasing) time to certification.</t>
  </si>
  <si>
    <t xml:space="preserve">Those teaching experiences intended to give first- and second-year students experience with teaching, such as sustained tutoring, sustained outreach, Learning Assistant opportunities, and UTeach “Step 1” or other entry-level courses, among other possibilities. </t>
  </si>
  <si>
    <t>Teaching or Learning Assistants</t>
  </si>
  <si>
    <t>Positions in physics (or physics-aligned) departments in which undergraduates are trained to work with faculty as instructional assistants to make courses more interactive or to support interactive engagement in already reformed courses.</t>
  </si>
  <si>
    <t xml:space="preserve">Credits earned either through (1) completing a standalone course devoted to physics teaching and learning or (2) completing a science methods or other course that has a component about physics teaching and learning (in which case only a fraction of credit is considered as physics pedagogy). </t>
  </si>
  <si>
    <t>An in-classroom K–12 teaching experience for teacher candidates, preferably in a physics or physical-science classroom with an on-campus course component, which occurs prior to student teaching.</t>
  </si>
  <si>
    <t xml:space="preserve">A capstone field experience in which a teacher candidate teaches in a K–12 setting with full control of multiple classes for at least a semester, fulfilling licensure requirements. </t>
  </si>
  <si>
    <t xml:space="preserve">A certified teacher (preferably a physics teacher) who hosts and supervises student teaching experiences at a school as part of field experiences or student teaching. </t>
  </si>
  <si>
    <t>more info needed</t>
  </si>
  <si>
    <t>Action Plan:</t>
  </si>
  <si>
    <r>
      <rPr>
        <b/>
        <sz val="15"/>
        <color rgb="FF0070C0"/>
        <rFont val="Calibri (Body)"/>
      </rPr>
      <t xml:space="preserve"> A&amp;S  </t>
    </r>
    <r>
      <rPr>
        <sz val="15"/>
        <color rgb="FF000000"/>
        <rFont val="Calibri"/>
        <family val="2"/>
        <scheme val="minor"/>
      </rPr>
      <t xml:space="preserve">  College of Arts &amp; Sciences or equivalent
</t>
    </r>
    <r>
      <rPr>
        <b/>
        <sz val="15"/>
        <color rgb="FF0070C0"/>
        <rFont val="Calibri (Body)"/>
      </rPr>
      <t xml:space="preserve"> FTE  </t>
    </r>
    <r>
      <rPr>
        <sz val="15"/>
        <color rgb="FF000000"/>
        <rFont val="Calibri"/>
        <family val="2"/>
        <scheme val="minor"/>
      </rPr>
      <t xml:space="preserve"> Full-Time Equivalent
</t>
    </r>
    <r>
      <rPr>
        <b/>
        <sz val="15"/>
        <color rgb="FF0070C0"/>
        <rFont val="Calibri (Body)"/>
      </rPr>
      <t xml:space="preserve"> LA   </t>
    </r>
    <r>
      <rPr>
        <sz val="15"/>
        <color rgb="FF000000"/>
        <rFont val="Calibri"/>
        <family val="2"/>
        <scheme val="minor"/>
      </rPr>
      <t xml:space="preserve">  Learning Assistant
</t>
    </r>
    <r>
      <rPr>
        <b/>
        <sz val="15"/>
        <color rgb="FF0070C0"/>
        <rFont val="Calibri (Body)"/>
      </rPr>
      <t xml:space="preserve"> PTE   </t>
    </r>
    <r>
      <rPr>
        <sz val="15"/>
        <color rgb="FF000000"/>
        <rFont val="Calibri"/>
        <family val="2"/>
        <scheme val="minor"/>
      </rPr>
      <t xml:space="preserve"> Physics Teacher Education 
</t>
    </r>
    <r>
      <rPr>
        <b/>
        <sz val="15"/>
        <color rgb="FF0070C0"/>
        <rFont val="Calibri (Body)"/>
      </rPr>
      <t xml:space="preserve"> SoE </t>
    </r>
    <r>
      <rPr>
        <sz val="15"/>
        <color rgb="FF000000"/>
        <rFont val="Calibri"/>
        <family val="2"/>
        <scheme val="minor"/>
      </rPr>
      <t xml:space="preserve">   School of Education or equivalent
</t>
    </r>
    <r>
      <rPr>
        <b/>
        <sz val="15"/>
        <color rgb="FF0070C0"/>
        <rFont val="Calibri (Body)"/>
      </rPr>
      <t xml:space="preserve"> STEM</t>
    </r>
    <r>
      <rPr>
        <sz val="15"/>
        <color rgb="FF000000"/>
        <rFont val="Calibri"/>
        <family val="2"/>
        <scheme val="minor"/>
      </rPr>
      <t xml:space="preserve">    Science, Technology, Engineering, and Mathematics
</t>
    </r>
    <r>
      <rPr>
        <b/>
        <sz val="15"/>
        <color rgb="FF0070C0"/>
        <rFont val="Calibri (Body)"/>
      </rPr>
      <t xml:space="preserve"> TA  </t>
    </r>
    <r>
      <rPr>
        <sz val="15"/>
        <color rgb="FF000000"/>
        <rFont val="Calibri"/>
        <family val="2"/>
        <scheme val="minor"/>
      </rPr>
      <t xml:space="preserve">   Teaching Assistant
</t>
    </r>
    <r>
      <rPr>
        <b/>
        <sz val="15"/>
        <color rgb="FF0070C0"/>
        <rFont val="Calibri (Body)"/>
      </rPr>
      <t xml:space="preserve"> TIR    </t>
    </r>
    <r>
      <rPr>
        <sz val="15"/>
        <color rgb="FF000000"/>
        <rFont val="Calibri"/>
        <family val="2"/>
        <scheme val="minor"/>
      </rPr>
      <t xml:space="preserve"> Teacher in Residence</t>
    </r>
  </si>
  <si>
    <t>8. Please consider sharing your data with the PhysTEC evaluators; contact phystec@aps.org.</t>
  </si>
  <si>
    <t>9. Complete the data on an annual basis (see Annual Review tab), and compare results to last year.</t>
  </si>
  <si>
    <t>Component 2A: Program Team Members</t>
  </si>
  <si>
    <t>Component 2B: Program Team Attributes</t>
  </si>
  <si>
    <t>Component 2C: Program Collaboration</t>
  </si>
  <si>
    <t>There is a strong institutional commitment to science, technology, engineering, and math (STEM) teacher education, with physics teacher preparation as an explicit component.</t>
  </si>
  <si>
    <r>
      <t xml:space="preserve">There is evidence of SoE support for </t>
    </r>
    <r>
      <rPr>
        <i/>
        <sz val="11"/>
        <color theme="1"/>
        <rFont val="Calibri"/>
        <family val="2"/>
        <scheme val="minor"/>
      </rPr>
      <t>science</t>
    </r>
    <r>
      <rPr>
        <sz val="11"/>
        <color theme="1"/>
        <rFont val="Calibri"/>
        <family val="2"/>
        <scheme val="minor"/>
      </rPr>
      <t xml:space="preserve"> teacher education.</t>
    </r>
  </si>
  <si>
    <r>
      <t xml:space="preserve">Additionally, there is evidence of SoE support for </t>
    </r>
    <r>
      <rPr>
        <i/>
        <sz val="11"/>
        <color theme="1"/>
        <rFont val="Calibri"/>
        <family val="2"/>
        <scheme val="minor"/>
      </rPr>
      <t>physics</t>
    </r>
    <r>
      <rPr>
        <sz val="11"/>
        <color theme="1"/>
        <rFont val="Calibri"/>
        <family val="2"/>
        <scheme val="minor"/>
      </rPr>
      <t xml:space="preserve"> teacher education.</t>
    </r>
  </si>
  <si>
    <r>
      <t>There is concrete support from the SoE for</t>
    </r>
    <r>
      <rPr>
        <i/>
        <sz val="11"/>
        <color theme="1"/>
        <rFont val="Calibri"/>
        <family val="2"/>
        <scheme val="minor"/>
      </rPr>
      <t xml:space="preserve"> physics</t>
    </r>
    <r>
      <rPr>
        <sz val="11"/>
        <color theme="1"/>
        <rFont val="Calibri"/>
        <family val="2"/>
        <scheme val="minor"/>
      </rPr>
      <t xml:space="preserve"> teacher education.</t>
    </r>
  </si>
  <si>
    <t>0.5–1.0 FTE engaged staff.</t>
  </si>
  <si>
    <t>Institutional funding is $25K–$100K/year.</t>
  </si>
  <si>
    <t>External funding is $25K–$100K/year.</t>
  </si>
  <si>
    <r>
      <t xml:space="preserve">PTE </t>
    </r>
    <r>
      <rPr>
        <i/>
        <sz val="11"/>
        <color theme="1"/>
        <rFont val="Calibri"/>
        <family val="2"/>
        <scheme val="minor"/>
      </rPr>
      <t>program leaders</t>
    </r>
    <r>
      <rPr>
        <sz val="11"/>
        <color theme="1"/>
        <rFont val="Calibri"/>
        <family val="2"/>
        <scheme val="minor"/>
      </rPr>
      <t xml:space="preserve"> include faculty in both the physics and education departments.</t>
    </r>
  </si>
  <si>
    <t>One person in physics can provide detailed advising regarding becoming a physics teacher and serves as the PTE mentor for teacher candidates.</t>
  </si>
  <si>
    <r>
      <t xml:space="preserve">Potential PTE candidates are exposed to a positive ambassador for the </t>
    </r>
    <r>
      <rPr>
        <i/>
        <sz val="11"/>
        <color theme="1"/>
        <rFont val="Calibri"/>
        <family val="2"/>
        <scheme val="minor"/>
      </rPr>
      <t>science</t>
    </r>
    <r>
      <rPr>
        <sz val="11"/>
        <color theme="1"/>
        <rFont val="Calibri"/>
        <family val="2"/>
        <scheme val="minor"/>
      </rPr>
      <t xml:space="preserve"> teaching profession.</t>
    </r>
  </si>
  <si>
    <r>
      <t xml:space="preserve">Potential PTE candidates are exposed to a positive ambassador for the </t>
    </r>
    <r>
      <rPr>
        <i/>
        <sz val="11"/>
        <color theme="1"/>
        <rFont val="Calibri"/>
        <family val="2"/>
        <scheme val="minor"/>
      </rPr>
      <t>physics</t>
    </r>
    <r>
      <rPr>
        <sz val="11"/>
        <color theme="1"/>
        <rFont val="Calibri"/>
        <family val="2"/>
        <scheme val="minor"/>
      </rPr>
      <t xml:space="preserve"> teaching profession.</t>
    </r>
  </si>
  <si>
    <r>
      <t xml:space="preserve">Potential PTE candidates are exposed to a positive ambassador for the </t>
    </r>
    <r>
      <rPr>
        <i/>
        <sz val="11"/>
        <color theme="1"/>
        <rFont val="Calibri"/>
        <family val="2"/>
        <scheme val="minor"/>
      </rPr>
      <t>physics</t>
    </r>
    <r>
      <rPr>
        <sz val="11"/>
        <color theme="1"/>
        <rFont val="Calibri"/>
        <family val="2"/>
        <scheme val="minor"/>
      </rPr>
      <t xml:space="preserve"> teaching profession who has K–12 teaching experience.</t>
    </r>
  </si>
  <si>
    <r>
      <t xml:space="preserve">Potential PTE candidates reliably get accurate information about financial compensation for </t>
    </r>
    <r>
      <rPr>
        <i/>
        <sz val="11"/>
        <color theme="1"/>
        <rFont val="Calibri"/>
        <family val="2"/>
        <scheme val="minor"/>
      </rPr>
      <t>local</t>
    </r>
    <r>
      <rPr>
        <sz val="11"/>
        <color theme="1"/>
        <rFont val="Calibri"/>
        <family val="2"/>
        <scheme val="minor"/>
      </rPr>
      <t xml:space="preserve"> teachers, as well as at least two less commonly known advantages of the profession.</t>
    </r>
  </si>
  <si>
    <r>
      <t xml:space="preserve">Early teaching experiences are </t>
    </r>
    <r>
      <rPr>
        <i/>
        <sz val="11"/>
        <color theme="1"/>
        <rFont val="Calibri"/>
        <family val="2"/>
        <scheme val="minor"/>
      </rPr>
      <t>somewhat</t>
    </r>
    <r>
      <rPr>
        <sz val="11"/>
        <color theme="1"/>
        <rFont val="Calibri"/>
        <family val="2"/>
        <scheme val="minor"/>
      </rPr>
      <t xml:space="preserve"> attractive to physics students (e.g., low physics content, time-intensive).</t>
    </r>
  </si>
  <si>
    <r>
      <t xml:space="preserve">Early teaching experiences are </t>
    </r>
    <r>
      <rPr>
        <i/>
        <sz val="11"/>
        <color theme="1"/>
        <rFont val="Calibri"/>
        <family val="2"/>
        <scheme val="minor"/>
      </rPr>
      <t>very</t>
    </r>
    <r>
      <rPr>
        <sz val="11"/>
        <color theme="1"/>
        <rFont val="Calibri"/>
        <family val="2"/>
        <scheme val="minor"/>
      </rPr>
      <t xml:space="preserve"> attractive to physics students (e.g., high physics content, paid, or other incentives to participate).</t>
    </r>
  </si>
  <si>
    <r>
      <t xml:space="preserve">Early teaching experiences include </t>
    </r>
    <r>
      <rPr>
        <i/>
        <sz val="11"/>
        <color theme="1"/>
        <rFont val="Calibri"/>
        <family val="2"/>
        <scheme val="minor"/>
      </rPr>
      <t>some</t>
    </r>
    <r>
      <rPr>
        <sz val="11"/>
        <color theme="1"/>
        <rFont val="Calibri"/>
        <family val="2"/>
        <scheme val="minor"/>
      </rPr>
      <t xml:space="preserve"> exposure to 4th–12th grade environments or students, with a physics or physical science focus.</t>
    </r>
  </si>
  <si>
    <r>
      <t xml:space="preserve">Early teaching experiences include </t>
    </r>
    <r>
      <rPr>
        <i/>
        <sz val="11"/>
        <color theme="1"/>
        <rFont val="Calibri"/>
        <family val="2"/>
        <scheme val="minor"/>
      </rPr>
      <t>substantial</t>
    </r>
    <r>
      <rPr>
        <sz val="11"/>
        <color theme="1"/>
        <rFont val="Calibri"/>
        <family val="2"/>
        <scheme val="minor"/>
      </rPr>
      <t xml:space="preserve"> exposure to 4th–12th grade environments or students, with a physics or physical science focus.</t>
    </r>
  </si>
  <si>
    <r>
      <t xml:space="preserve">Early teaching experiences occur </t>
    </r>
    <r>
      <rPr>
        <i/>
        <sz val="11"/>
        <color theme="1"/>
        <rFont val="Calibri"/>
        <family val="2"/>
        <scheme val="minor"/>
      </rPr>
      <t>primarily</t>
    </r>
    <r>
      <rPr>
        <sz val="11"/>
        <color theme="1"/>
        <rFont val="Calibri"/>
        <family val="2"/>
        <scheme val="minor"/>
      </rPr>
      <t xml:space="preserve"> in 4th–12th grade environments, with a physics or physical science focus.</t>
    </r>
  </si>
  <si>
    <t>Most physics teacher candidates will require four and a half years (including the undergraduate degree) to achieve certification.</t>
  </si>
  <si>
    <t>Standard 5</t>
  </si>
  <si>
    <r>
      <t xml:space="preserve">Candidates have a </t>
    </r>
    <r>
      <rPr>
        <i/>
        <sz val="11"/>
        <color theme="1"/>
        <rFont val="Calibri"/>
        <family val="2"/>
        <scheme val="minor"/>
      </rPr>
      <t>high-quality</t>
    </r>
    <r>
      <rPr>
        <sz val="11"/>
        <color theme="1"/>
        <rFont val="Calibri"/>
        <family val="2"/>
        <scheme val="minor"/>
      </rPr>
      <t>[9] K–12 physics or physical science field experience.</t>
    </r>
  </si>
  <si>
    <r>
      <t xml:space="preserve">[7] </t>
    </r>
    <r>
      <rPr>
        <b/>
        <sz val="11"/>
        <color theme="1"/>
        <rFont val="Calibri"/>
        <family val="2"/>
        <scheme val="minor"/>
      </rPr>
      <t>Microteaching experiences</t>
    </r>
    <r>
      <rPr>
        <sz val="11"/>
        <color theme="1"/>
        <rFont val="Calibri"/>
        <family val="2"/>
        <scheme val="minor"/>
      </rPr>
      <t xml:space="preserve"> are short lessons (20 minutes or less) delivered to peers, usually followed by reflection and feedback from peers (see E. Etkina, </t>
    </r>
    <r>
      <rPr>
        <i/>
        <sz val="11"/>
        <color theme="1"/>
        <rFont val="Calibri"/>
        <family val="2"/>
        <scheme val="minor"/>
      </rPr>
      <t>Phys. Rev. Spec. Top: Phys. Ed. Rsrch</t>
    </r>
    <r>
      <rPr>
        <sz val="11"/>
        <color theme="1"/>
        <rFont val="Calibri"/>
        <family val="2"/>
        <scheme val="minor"/>
      </rPr>
      <t>., 7, 020110, 2010).</t>
    </r>
  </si>
  <si>
    <r>
      <t xml:space="preserve">[5] </t>
    </r>
    <r>
      <rPr>
        <b/>
        <sz val="11"/>
        <color theme="1"/>
        <rFont val="Calibri"/>
        <family val="2"/>
        <scheme val="minor"/>
      </rPr>
      <t>Physics pedagogy credits</t>
    </r>
    <r>
      <rPr>
        <sz val="11"/>
        <color theme="1"/>
        <rFont val="Calibri"/>
        <family val="2"/>
        <scheme val="minor"/>
      </rPr>
      <t xml:space="preserve"> are earned through either (1) completing a </t>
    </r>
    <r>
      <rPr>
        <i/>
        <sz val="11"/>
        <color theme="1"/>
        <rFont val="Calibri"/>
        <family val="2"/>
        <scheme val="minor"/>
      </rPr>
      <t>standalone</t>
    </r>
    <r>
      <rPr>
        <sz val="11"/>
        <color theme="1"/>
        <rFont val="Calibri"/>
        <family val="2"/>
        <scheme val="minor"/>
      </rPr>
      <t xml:space="preserve"> course devoted to physics teaching and learning, in which case the number of physics pedagogy credits is the same as the number of course credits, or (2) completing a course that has a </t>
    </r>
    <r>
      <rPr>
        <i/>
        <sz val="11"/>
        <color theme="1"/>
        <rFont val="Calibri"/>
        <family val="2"/>
        <scheme val="minor"/>
      </rPr>
      <t>component</t>
    </r>
    <r>
      <rPr>
        <sz val="11"/>
        <color theme="1"/>
        <rFont val="Calibri"/>
        <family val="2"/>
        <scheme val="minor"/>
      </rPr>
      <t xml:space="preserve"> about physics teaching and learning (such as a science methods course; a guided inquiry physics course, like Physics by Inquiry; an outreach course; or an experiential learning opportunity for teacher candidates, such as a Teaching/Learning Assistantship), in which case the number of physics pedagogy credits is determined by the fraction of time spent on physics pedagogy. For example, if one-third of the course is physics and it is a three-credit course, then physics pedagogy accounts for one credit.</t>
    </r>
  </si>
  <si>
    <r>
      <t>[9] A</t>
    </r>
    <r>
      <rPr>
        <b/>
        <sz val="11"/>
        <color theme="1"/>
        <rFont val="Calibri"/>
        <family val="2"/>
        <scheme val="minor"/>
      </rPr>
      <t xml:space="preserve"> field experience</t>
    </r>
    <r>
      <rPr>
        <sz val="11"/>
        <color theme="1"/>
        <rFont val="Calibri"/>
        <family val="2"/>
        <scheme val="minor"/>
      </rPr>
      <t xml:space="preserve"> is an in-classroom K–12 teaching experience for teacher candidates, preferably in a physics or physical-science classroom with an on-campus course component, that occurs </t>
    </r>
    <r>
      <rPr>
        <i/>
        <sz val="11"/>
        <color theme="1"/>
        <rFont val="Calibri"/>
        <family val="2"/>
        <scheme val="minor"/>
      </rPr>
      <t>prior</t>
    </r>
    <r>
      <rPr>
        <sz val="11"/>
        <color theme="1"/>
        <rFont val="Calibri"/>
        <family val="2"/>
        <scheme val="minor"/>
      </rPr>
      <t xml:space="preserve"> to student teaching. The goal of a field experience is to put education coursework into practice in a school setting by observing or teaching a pre-college class. College-level teaching experiences (including most LA programs) and student teaching should not be counted toward this item, as they appear elsewhere. A </t>
    </r>
    <r>
      <rPr>
        <i/>
        <sz val="11"/>
        <color theme="1"/>
        <rFont val="Calibri"/>
        <family val="2"/>
        <scheme val="minor"/>
      </rPr>
      <t>high-quality</t>
    </r>
    <r>
      <rPr>
        <sz val="11"/>
        <color theme="1"/>
        <rFont val="Calibri"/>
        <family val="2"/>
        <scheme val="minor"/>
      </rPr>
      <t xml:space="preserve"> field experience is one that is accompanied by a university course, where students teach at least five lessons on their own along with structured feedback, and in which the learning environment uses research-validated practices that reflect the practices described in certification coursework.</t>
    </r>
  </si>
  <si>
    <t>The physics program structures and its student community help teacher candidates persist and thrive in their progress toward a physics degree.</t>
  </si>
  <si>
    <r>
      <t xml:space="preserve">Program feedback is collected from most candidates </t>
    </r>
    <r>
      <rPr>
        <i/>
        <sz val="11"/>
        <color theme="1"/>
        <rFont val="Calibri"/>
        <family val="2"/>
        <scheme val="minor"/>
      </rPr>
      <t>and</t>
    </r>
    <r>
      <rPr>
        <sz val="11"/>
        <color theme="1"/>
        <rFont val="Calibri"/>
        <family val="2"/>
        <scheme val="minor"/>
      </rPr>
      <t xml:space="preserve"> alumni or employers.</t>
    </r>
  </si>
  <si>
    <r>
      <t xml:space="preserve">[1] </t>
    </r>
    <r>
      <rPr>
        <b/>
        <sz val="11"/>
        <color theme="1"/>
        <rFont val="Calibri"/>
        <family val="2"/>
        <scheme val="minor"/>
      </rPr>
      <t>Numbers of physics majors</t>
    </r>
    <r>
      <rPr>
        <sz val="11"/>
        <color theme="1"/>
        <rFont val="Calibri"/>
        <family val="2"/>
        <scheme val="minor"/>
      </rPr>
      <t xml:space="preserve"> can be determined using data at https://www.aps.org/programs/education/statistics/compare.cfm.</t>
    </r>
  </si>
  <si>
    <t>Under-represented racial/ethnic groups comprise at least 10% of physics teacher candidates.</t>
  </si>
  <si>
    <t>Under-represented racial/ethnic groups comprise significantly more than 10% of physics teacher candidates.</t>
  </si>
  <si>
    <t>At least 75% of PTE program graduates remain in the profession after five years.</t>
  </si>
  <si>
    <t>About the PTEPA</t>
  </si>
  <si>
    <r>
      <rPr>
        <b/>
        <sz val="20"/>
        <color theme="1"/>
        <rFont val="Calibri (Body)_x0000_"/>
      </rPr>
      <t xml:space="preserve">About the PTEPA </t>
    </r>
    <r>
      <rPr>
        <sz val="15"/>
        <color theme="1"/>
        <rFont val="Calibri"/>
        <family val="2"/>
        <scheme val="minor"/>
      </rPr>
      <t xml:space="preserve">
The purpose of the Physics Teacher Education Program Analysis (PTEPA) Rubric is to characterize physics teacher education programs. The PTEPA Rubric emphasizes elements that have been observed in “thriving” physics teacher education programs (programs at large universities that typically graduate five or more physics teachers in a year). It is intended to provide programs with feedback, to guide programs in self-reflection toward improvement, and to provide a means to characterize and research program growth. </t>
    </r>
    <r>
      <rPr>
        <b/>
        <sz val="15"/>
        <color theme="1"/>
        <rFont val="Calibri"/>
        <family val="2"/>
        <scheme val="minor"/>
      </rPr>
      <t xml:space="preserve">
</t>
    </r>
  </si>
  <si>
    <r>
      <rPr>
        <b/>
        <sz val="14"/>
        <color rgb="FF002060"/>
        <rFont val="Calibri (Body)_x0000_"/>
      </rPr>
      <t>Instructions.</t>
    </r>
    <r>
      <rPr>
        <sz val="14"/>
        <color theme="1"/>
        <rFont val="Calibri"/>
        <family val="2"/>
        <scheme val="minor"/>
      </rPr>
      <t xml:space="preserve"> Includes preliminary questions and definitions.</t>
    </r>
  </si>
  <si>
    <t>The PTEPA Standards:</t>
  </si>
  <si>
    <t xml:space="preserve">     1 - Institutional Commitment</t>
  </si>
  <si>
    <t xml:space="preserve">     2 - Leadership and Collaboration</t>
  </si>
  <si>
    <t xml:space="preserve">     3 - Recruitment</t>
  </si>
  <si>
    <t xml:space="preserve">     4 - Knowledge and Skills for Teaching Physics</t>
  </si>
  <si>
    <t xml:space="preserve">     5 - Mentoring, Community, and Professional Support</t>
  </si>
  <si>
    <t xml:space="preserve">     6 - Program Assessment</t>
  </si>
  <si>
    <r>
      <rPr>
        <b/>
        <sz val="14"/>
        <color rgb="FF002060"/>
        <rFont val="Calibri (Body)_x0000_"/>
      </rPr>
      <t>Overview</t>
    </r>
    <r>
      <rPr>
        <sz val="14"/>
        <color theme="1"/>
        <rFont val="Calibri"/>
        <family val="2"/>
        <scheme val="minor"/>
      </rPr>
      <t>. Results at-a-glance, and remaining items to address.</t>
    </r>
  </si>
  <si>
    <r>
      <rPr>
        <b/>
        <sz val="14"/>
        <color rgb="FF002060"/>
        <rFont val="Calibri (Body)_x0000_"/>
      </rPr>
      <t>Report.</t>
    </r>
    <r>
      <rPr>
        <sz val="14"/>
        <color theme="1"/>
        <rFont val="Calibri"/>
        <family val="2"/>
        <scheme val="minor"/>
      </rPr>
      <t xml:space="preserve"> Detailed results and action plans.</t>
    </r>
  </si>
  <si>
    <t>We acknowledge funding from NSF-0808790 and APS’s 21st Century Campaign for development of the PTEPA Rubric.
This work was conducted by Chasteen Educational Consulting and Scherr &amp; Associates. 
Interactive Excel PTEPA Rubric by Claudia Fracchiolla.</t>
  </si>
  <si>
    <r>
      <rPr>
        <b/>
        <sz val="14"/>
        <color rgb="FF002060"/>
        <rFont val="Calibri (Body)_x0000_"/>
      </rPr>
      <t xml:space="preserve">Annual Review. </t>
    </r>
    <r>
      <rPr>
        <sz val="14"/>
        <color theme="1"/>
        <rFont val="Calibri"/>
        <family val="2"/>
        <scheme val="minor"/>
      </rPr>
      <t>Coming soon: Compare your results to last year's results.</t>
    </r>
  </si>
  <si>
    <r>
      <t xml:space="preserve">Possible attributes at 
</t>
    </r>
    <r>
      <rPr>
        <b/>
        <sz val="12"/>
        <color theme="1"/>
        <rFont val="Calibri"/>
        <family val="2"/>
        <scheme val="minor"/>
      </rPr>
      <t>Developing Level</t>
    </r>
  </si>
  <si>
    <r>
      <rPr>
        <sz val="12"/>
        <color theme="1"/>
        <rFont val="Calibri"/>
        <family val="2"/>
        <scheme val="minor"/>
      </rPr>
      <t xml:space="preserve">Possible attributes at 
</t>
    </r>
    <r>
      <rPr>
        <b/>
        <sz val="12"/>
        <color theme="1"/>
        <rFont val="Calibri"/>
        <family val="2"/>
        <scheme val="minor"/>
      </rPr>
      <t>Benchmark Level</t>
    </r>
  </si>
  <si>
    <r>
      <rPr>
        <sz val="12"/>
        <color theme="1"/>
        <rFont val="Calibri"/>
        <family val="2"/>
        <scheme val="minor"/>
      </rPr>
      <t xml:space="preserve">Possible attributes at 
</t>
    </r>
    <r>
      <rPr>
        <b/>
        <sz val="12"/>
        <color theme="1"/>
        <rFont val="Calibri"/>
        <family val="2"/>
        <scheme val="minor"/>
      </rPr>
      <t>Exemplary Level</t>
    </r>
  </si>
  <si>
    <t>ALL PTEPA STANDARDS</t>
  </si>
  <si>
    <t>Your PTEPA Rubric Results</t>
  </si>
  <si>
    <t>The length of each bar represents the percentage of items falling at the given level (NP/ Developing / Benchmark / Exemplary) for that Standard or Component.</t>
  </si>
  <si>
    <t>The shading represents the level achieved, with the lightest shade representing NP, and the darkest shade Exemplary.</t>
  </si>
  <si>
    <t>The center line represents the division between Developing and Benchmark, to aid you in identifying areas where your program does not meet Benchmark status.</t>
  </si>
  <si>
    <t>See http://phystec.org/thriving for more information on interpreting your results.</t>
  </si>
  <si>
    <t>PTEPA Rubric Element*</t>
  </si>
  <si>
    <t>The physics program allows some teaching credits to count toward physics degree requirements (e.g., electives or humanities requirements).</t>
  </si>
  <si>
    <t>There is a local/regional physics teachers group that meets at least two times/year.</t>
  </si>
  <si>
    <t>There is a local/regional physics teachers group that meets at least two times/year and has significant interaction with the PTE program.</t>
  </si>
  <si>
    <t>The dean of the College of A&amp;S verbally prioritizes teacher education, but as yet there is little to no evidence of this support.</t>
  </si>
  <si>
    <r>
      <t>[7] The</t>
    </r>
    <r>
      <rPr>
        <b/>
        <sz val="11"/>
        <color theme="1"/>
        <rFont val="Calibri"/>
        <family val="2"/>
        <scheme val="minor"/>
      </rPr>
      <t xml:space="preserve"> licensure pathway</t>
    </r>
    <r>
      <rPr>
        <sz val="11"/>
        <color theme="1"/>
        <rFont val="Calibri"/>
        <family val="2"/>
        <scheme val="minor"/>
      </rPr>
      <t xml:space="preserve"> includes the degree and course requirements for physics teaching licensure. Examples of expedited options for a post-baccalaureate program include waiving some certification requirements, allowing undergraduate experiences (such as Learning Assistant experience) to count towards the entry or certification requirements for the post-baccalaureate program, or allowing students to take courses in the post-baccalaureate program as undergraduates. </t>
    </r>
  </si>
  <si>
    <t>Additionally, at least half of cooperating physics teachers are excellent quality (e.g., teach physics and primarily use research-validated teaching practices).</t>
  </si>
  <si>
    <t>B+E</t>
  </si>
  <si>
    <t>Physics Teacher Education Program Analysis (PTEPA)</t>
  </si>
  <si>
    <t>Interactive Rubric</t>
  </si>
  <si>
    <t>Flagged items from the rubric</t>
  </si>
  <si>
    <t>Level**</t>
  </si>
  <si>
    <r>
      <t>**</t>
    </r>
    <r>
      <rPr>
        <b/>
        <sz val="11"/>
        <rFont val="Calibri"/>
        <family val="2"/>
        <scheme val="minor"/>
      </rPr>
      <t>Percent</t>
    </r>
    <r>
      <rPr>
        <sz val="11"/>
        <rFont val="Calibri"/>
        <family val="2"/>
        <scheme val="minor"/>
      </rPr>
      <t xml:space="preserve"> represents the items rated at least Benchmark level in that standard or component</t>
    </r>
  </si>
  <si>
    <t>The program consists of a team whose members enable effective leadership.</t>
  </si>
  <si>
    <t>The PTE program consists of a team whose expertise, identity, and activities strengthen the program.</t>
  </si>
  <si>
    <t>Early teaching experiences give first- or second-year students a taste of the rewards and challenges of teaching.</t>
  </si>
  <si>
    <t>Standard 5: Mentoring, Community, and</t>
  </si>
  <si>
    <t>Professional Support</t>
  </si>
  <si>
    <t>Component 5A: Mentoring Toward a Physics Degree</t>
  </si>
  <si>
    <t>Component 5B: Mentoring Toward Becoming a Physics Teacher</t>
  </si>
  <si>
    <t>Component 3C: Early Teaching Experiences for Recruitment</t>
  </si>
  <si>
    <t>Program successes are publicized at the city or county level (e.g., newspaper articles), OR program leaders engage in state advocacy.</t>
  </si>
  <si>
    <t>What are the names and positions of the people who completed this PTEPA Rubric?</t>
  </si>
  <si>
    <t>What is the name of your institution?</t>
  </si>
  <si>
    <t>What is the name of your Physics Teacher Education (PTE) program?</t>
  </si>
  <si>
    <t>Please provide more detail about your program below</t>
  </si>
  <si>
    <t>Any comments on the PTEPA Rubric (after completing it)?</t>
  </si>
  <si>
    <t>Briefly describe the process you used to complete this rubric (e.g,. How did you come to consensus? Did members complete individually prior to a consensus meeting?)</t>
  </si>
  <si>
    <t>Please provide the number of future physics teachers graduating in each of the past 3 years (i.e., a graduate who has a physics major or minor or equivalent and is certified as a secondary teacher) from your program.</t>
  </si>
  <si>
    <t>Please describe your institution. Is it research-intensive, primarily undergraduate, private, etc.?</t>
  </si>
  <si>
    <t>Current year</t>
  </si>
  <si>
    <t>Previous year</t>
  </si>
  <si>
    <t>Standard 5: Mentoring, Community, and Professional Support</t>
  </si>
  <si>
    <t>Level</t>
  </si>
  <si>
    <t>Component 1A</t>
  </si>
  <si>
    <t>Component 1B</t>
  </si>
  <si>
    <t>Component 1C</t>
  </si>
  <si>
    <t>Component 2A</t>
  </si>
  <si>
    <t>Component 2B</t>
  </si>
  <si>
    <t>Component 2C</t>
  </si>
  <si>
    <t>Component 3A</t>
  </si>
  <si>
    <t>Component 3B</t>
  </si>
  <si>
    <t>Component 3C</t>
  </si>
  <si>
    <t>Component 3D</t>
  </si>
  <si>
    <t>Component 4A</t>
  </si>
  <si>
    <t>Component 4B</t>
  </si>
  <si>
    <t>Component 4C</t>
  </si>
  <si>
    <t>Standard 5</t>
  </si>
  <si>
    <t>Component 5A</t>
  </si>
  <si>
    <t>Component 5B</t>
  </si>
  <si>
    <t>Component 5C</t>
  </si>
  <si>
    <t>Component 6A</t>
  </si>
  <si>
    <t>Component 6B</t>
  </si>
  <si>
    <t>Component 6C</t>
  </si>
  <si>
    <t>Last year</t>
  </si>
  <si>
    <t>All Standards</t>
  </si>
  <si>
    <t>%BENCHMARK</t>
  </si>
  <si>
    <t>%EXEMPLARY</t>
  </si>
  <si>
    <t>Comp 5A prev</t>
  </si>
  <si>
    <t>Comp 6A prev</t>
  </si>
  <si>
    <t>ALL (prev)</t>
  </si>
  <si>
    <t>ALL (now)</t>
  </si>
  <si>
    <t>Std1 (prev)</t>
  </si>
  <si>
    <t>Std1 (now)</t>
  </si>
  <si>
    <t>Std2 (prev)</t>
  </si>
  <si>
    <t>Std2 (now)</t>
  </si>
  <si>
    <t>Std3 (prev)</t>
  </si>
  <si>
    <t>Std3 (now)</t>
  </si>
  <si>
    <t>Std4 (prev)</t>
  </si>
  <si>
    <t>Std4 (now)</t>
  </si>
  <si>
    <t>Std5 (prev)</t>
  </si>
  <si>
    <t>Std5 (now)</t>
  </si>
  <si>
    <t>Std6 (prev)</t>
  </si>
  <si>
    <t>Std6 (now)</t>
  </si>
  <si>
    <t>Comp 1A (prev)</t>
  </si>
  <si>
    <t>Comp 1A (now)</t>
  </si>
  <si>
    <t>Comp 1B (prev)</t>
  </si>
  <si>
    <t>Comp 1B (now)</t>
  </si>
  <si>
    <t>Comp 1C (prev)</t>
  </si>
  <si>
    <t>Comp 1C (now)</t>
  </si>
  <si>
    <t>Comp 2A (prev)</t>
  </si>
  <si>
    <t>Comp 2A (now)</t>
  </si>
  <si>
    <t>Comp 2B (prev)</t>
  </si>
  <si>
    <t>Comp 2B (now)</t>
  </si>
  <si>
    <t>Comp 2C (prev)</t>
  </si>
  <si>
    <t>Comp 2C (now)</t>
  </si>
  <si>
    <t>Comp 3A (prev)</t>
  </si>
  <si>
    <t>Comp 3A (now)</t>
  </si>
  <si>
    <t>Comp 3B (prev)</t>
  </si>
  <si>
    <t>Comp 3B (now)</t>
  </si>
  <si>
    <t>Comp 3C (prev)</t>
  </si>
  <si>
    <t>Comp 3C (now)</t>
  </si>
  <si>
    <t>Comp 3D (prev)</t>
  </si>
  <si>
    <t>Comp 3D (now)</t>
  </si>
  <si>
    <t>Comp 4A (prev)</t>
  </si>
  <si>
    <t>Comp 4A (now)</t>
  </si>
  <si>
    <t>Comp 4B (prev)</t>
  </si>
  <si>
    <t>Comp 4B (now)</t>
  </si>
  <si>
    <t>Comp 4C (prev)</t>
  </si>
  <si>
    <t>Comp 4C (now)</t>
  </si>
  <si>
    <t>Comp 5C (now)</t>
  </si>
  <si>
    <t>Comp 5C (prev)</t>
  </si>
  <si>
    <t>Comp 6C (prev)</t>
  </si>
  <si>
    <t>Comp 6C (now)</t>
  </si>
  <si>
    <t>Comp 5B (now)</t>
  </si>
  <si>
    <t>Comp 6B (now)</t>
  </si>
  <si>
    <t>Comp 6B (prev)</t>
  </si>
  <si>
    <t>Comp 5B (prev)</t>
  </si>
  <si>
    <t>Comp 5A (now)</t>
  </si>
  <si>
    <t>Comp 6A (now)</t>
  </si>
  <si>
    <t>Unanswered</t>
  </si>
  <si>
    <t>-</t>
  </si>
  <si>
    <t xml:space="preserve">Developing </t>
  </si>
  <si>
    <t xml:space="preserve">More info needed </t>
  </si>
  <si>
    <t>0</t>
  </si>
  <si>
    <t>+1</t>
  </si>
  <si>
    <t>+2</t>
  </si>
  <si>
    <t>+3</t>
  </si>
  <si>
    <t>-1</t>
  </si>
  <si>
    <t>-2</t>
  </si>
  <si>
    <t>-3</t>
  </si>
  <si>
    <t>Change</t>
  </si>
  <si>
    <t>Total level changes</t>
  </si>
  <si>
    <r>
      <t>Staff engaged in supporting PTE (non-faculty)</t>
    </r>
    <r>
      <rPr>
        <b/>
        <vertAlign val="superscript"/>
        <sz val="13"/>
        <color theme="1"/>
        <rFont val="Calibri"/>
        <family val="2"/>
        <scheme val="minor"/>
      </rPr>
      <t>10</t>
    </r>
    <r>
      <rPr>
        <b/>
        <sz val="13"/>
        <color theme="1"/>
        <rFont val="Calibri"/>
        <family val="2"/>
        <scheme val="minor"/>
      </rPr>
      <t xml:space="preserve">
</t>
    </r>
    <r>
      <rPr>
        <b/>
        <sz val="13"/>
        <color rgb="FF79709F"/>
        <rFont val="Calibri"/>
        <family val="2"/>
        <scheme val="minor"/>
      </rPr>
      <t>PREVALENT</t>
    </r>
  </si>
  <si>
    <r>
      <t>Institutional funding related to PTE</t>
    </r>
    <r>
      <rPr>
        <b/>
        <vertAlign val="superscript"/>
        <sz val="13"/>
        <color theme="1"/>
        <rFont val="Calibri"/>
        <family val="2"/>
        <scheme val="minor"/>
      </rPr>
      <t>11</t>
    </r>
    <r>
      <rPr>
        <b/>
        <sz val="13"/>
        <color theme="1"/>
        <rFont val="Calibri"/>
        <family val="2"/>
        <scheme val="minor"/>
      </rPr>
      <t xml:space="preserve">
</t>
    </r>
    <r>
      <rPr>
        <b/>
        <sz val="13"/>
        <color rgb="FF79709F"/>
        <rFont val="Calibri"/>
        <family val="2"/>
        <scheme val="minor"/>
      </rPr>
      <t>PREVALENT</t>
    </r>
  </si>
  <si>
    <r>
      <t xml:space="preserve">External funding related to PTE
</t>
    </r>
    <r>
      <rPr>
        <b/>
        <sz val="13"/>
        <color rgb="FF79709F"/>
        <rFont val="Calibri"/>
        <family val="2"/>
        <scheme val="minor"/>
      </rPr>
      <t>PREVALENT</t>
    </r>
  </si>
  <si>
    <r>
      <t>Stability of PTE program operational funding</t>
    </r>
    <r>
      <rPr>
        <b/>
        <vertAlign val="superscript"/>
        <sz val="13"/>
        <color theme="1"/>
        <rFont val="Calibri"/>
        <family val="2"/>
        <scheme val="minor"/>
      </rPr>
      <t>12</t>
    </r>
  </si>
  <si>
    <t>PTE program space</t>
  </si>
  <si>
    <r>
      <t xml:space="preserve">[3] </t>
    </r>
    <r>
      <rPr>
        <b/>
        <sz val="11"/>
        <color theme="1"/>
        <rFont val="Calibri"/>
        <family val="2"/>
        <scheme val="minor"/>
      </rPr>
      <t>Arts &amp; Sciences (A&amp;S)</t>
    </r>
    <r>
      <rPr>
        <sz val="11"/>
        <color theme="1"/>
        <rFont val="Calibri"/>
        <family val="2"/>
        <scheme val="minor"/>
      </rPr>
      <t xml:space="preserve"> or other academic unit that includes physics and other related disciplinary departments. If there is no division above the department level, use the same rating as in 1A-4.</t>
    </r>
  </si>
  <si>
    <r>
      <t>PTE program leaders ("champions")</t>
    </r>
    <r>
      <rPr>
        <b/>
        <vertAlign val="superscript"/>
        <sz val="13"/>
        <color theme="1"/>
        <rFont val="Calibri"/>
        <family val="2"/>
        <scheme val="minor"/>
      </rPr>
      <t>1</t>
    </r>
    <r>
      <rPr>
        <b/>
        <sz val="13"/>
        <color theme="1"/>
        <rFont val="Calibri"/>
        <family val="2"/>
        <scheme val="minor"/>
      </rPr>
      <t xml:space="preserve">
</t>
    </r>
    <r>
      <rPr>
        <b/>
        <sz val="13"/>
        <color rgb="FFE27B6E"/>
        <rFont val="Calibri"/>
        <family val="2"/>
        <scheme val="minor"/>
      </rPr>
      <t>PREVALENT</t>
    </r>
  </si>
  <si>
    <r>
      <t>Teacher in Residence (TIR) or similar</t>
    </r>
    <r>
      <rPr>
        <b/>
        <vertAlign val="superscript"/>
        <sz val="13"/>
        <color theme="1"/>
        <rFont val="Calibri"/>
        <family val="2"/>
        <scheme val="minor"/>
      </rPr>
      <t xml:space="preserve">3
</t>
    </r>
    <r>
      <rPr>
        <b/>
        <sz val="13"/>
        <color rgb="FFE27B6E"/>
        <rFont val="Calibri"/>
        <family val="2"/>
        <scheme val="minor"/>
      </rPr>
      <t>PREVALENT</t>
    </r>
  </si>
  <si>
    <r>
      <t>Teacher Advisory Group (TAG) or similar</t>
    </r>
    <r>
      <rPr>
        <b/>
        <vertAlign val="superscript"/>
        <sz val="13"/>
        <color theme="1"/>
        <rFont val="Calibri"/>
        <family val="2"/>
        <scheme val="minor"/>
      </rPr>
      <t>4</t>
    </r>
  </si>
  <si>
    <t>At least one team member is moderately motivated to improve PTE.</t>
  </si>
  <si>
    <t>At least one  team member is strongly motivated to improve PTE.</t>
  </si>
  <si>
    <r>
      <t>Boundary crossers (formal or informal)</t>
    </r>
    <r>
      <rPr>
        <b/>
        <vertAlign val="superscript"/>
        <sz val="13"/>
        <color theme="1"/>
        <rFont val="Calibri"/>
        <family val="2"/>
        <scheme val="minor"/>
      </rPr>
      <t>7</t>
    </r>
    <r>
      <rPr>
        <b/>
        <sz val="13"/>
        <color theme="1"/>
        <rFont val="Calibri"/>
        <family val="2"/>
        <scheme val="minor"/>
      </rPr>
      <t xml:space="preserve">
</t>
    </r>
    <r>
      <rPr>
        <b/>
        <sz val="13"/>
        <color rgb="FFE27B6E"/>
        <rFont val="Calibri"/>
        <family val="2"/>
        <scheme val="minor"/>
      </rPr>
      <t>PREVALENT</t>
    </r>
  </si>
  <si>
    <t>The number of physics degrees granted is in 2nd national quartile (3–4/year B.S.-granting programs; 8–13/year PhD-granting  programs).</t>
  </si>
  <si>
    <t>The number of physics degrees granted is in 3rd national quartile (5–8/year B.S.-granting; 14–24/year PhD-granting).</t>
  </si>
  <si>
    <t>The number of physics degrees granted is in 4th national quartile (9+/year B.S.-granting; 25+/year PhD-granting).</t>
  </si>
  <si>
    <r>
      <t xml:space="preserve">Positive role model ("ambasador") for the teaching profession
</t>
    </r>
    <r>
      <rPr>
        <b/>
        <sz val="13"/>
        <color rgb="FFD8B35C"/>
        <rFont val="Calibri"/>
        <family val="2"/>
        <scheme val="minor"/>
      </rPr>
      <t>PREVALENT</t>
    </r>
  </si>
  <si>
    <r>
      <t>Post-baccalaureate or Master's licensure pathway</t>
    </r>
    <r>
      <rPr>
        <b/>
        <vertAlign val="superscript"/>
        <sz val="13"/>
        <color theme="1"/>
        <rFont val="Calibri"/>
        <family val="2"/>
        <scheme val="minor"/>
      </rPr>
      <t>7</t>
    </r>
  </si>
  <si>
    <r>
      <t>Time to certification</t>
    </r>
    <r>
      <rPr>
        <b/>
        <vertAlign val="superscript"/>
        <sz val="13"/>
        <color theme="1"/>
        <rFont val="Calibri"/>
        <family val="2"/>
        <scheme val="minor"/>
      </rPr>
      <t>8</t>
    </r>
    <r>
      <rPr>
        <b/>
        <sz val="13"/>
        <color theme="1"/>
        <rFont val="Calibri"/>
        <family val="2"/>
        <scheme val="minor"/>
      </rPr>
      <t xml:space="preserve"> for undergraduate licensure pathway</t>
    </r>
    <r>
      <rPr>
        <b/>
        <vertAlign val="superscript"/>
        <sz val="13"/>
        <color theme="1"/>
        <rFont val="Calibri"/>
        <family val="2"/>
        <scheme val="minor"/>
      </rPr>
      <t>9</t>
    </r>
  </si>
  <si>
    <t>There is a post-baccalaureate or Master's licensure option.</t>
  </si>
  <si>
    <t>There is a post-baccalaureate or Master's licensure option that is of appropriate length (up to 1 year post-bac, 2 years Master's)</t>
  </si>
  <si>
    <t>Additionally, there are other flexibility or accessibility options (part-time option, evening courses, flexible start date, credits can be earned as undergraduate, etc.)</t>
  </si>
  <si>
    <r>
      <t xml:space="preserve">[5] </t>
    </r>
    <r>
      <rPr>
        <b/>
        <sz val="11"/>
        <color theme="1"/>
        <rFont val="Calibri"/>
        <family val="2"/>
        <scheme val="minor"/>
      </rPr>
      <t>Program promotion</t>
    </r>
    <r>
      <rPr>
        <sz val="11"/>
        <color theme="1"/>
        <rFont val="Calibri"/>
        <family val="2"/>
        <scheme val="minor"/>
      </rPr>
      <t xml:space="preserve"> includes any marketing that can benefit the PTE program, including marketing of the program itself, marketing of the broader STEM teacher preparation program OR marketing of early teaching experiences that primarily feed into the program (such as an LA program from which there is significant recruitment) in a way that reaches the target audience of potential </t>
    </r>
    <r>
      <rPr>
        <i/>
        <sz val="11"/>
        <color theme="1"/>
        <rFont val="Calibri"/>
        <family val="2"/>
        <scheme val="minor"/>
      </rPr>
      <t>physics</t>
    </r>
    <r>
      <rPr>
        <sz val="11"/>
        <color theme="1"/>
        <rFont val="Calibri"/>
        <family val="2"/>
        <scheme val="minor"/>
      </rPr>
      <t xml:space="preserve"> teachers. Marketing practices may include announcements in introductory courses, announcements at first-year student orientation, outreach events, a table at career fairs, advertising materials (flyers, brochures, postcards, promotional products, bus advertisements), letters to students (incoming students or continuing students), and announcements (in campus newsletters, email lists, etc.). Any one of these counts as a practice.</t>
    </r>
  </si>
  <si>
    <t>A minority of majors experience introductory physics courses that use research-based teaching methods.</t>
  </si>
  <si>
    <t>At least half of majors experience introductory physics courses that use research-based teaching methods.</t>
  </si>
  <si>
    <t>Almost all of majors experience introductory physics courses that use research-based teaching methods.</t>
  </si>
  <si>
    <t>At least half of physics teacher candidates take the equivalent of 1–3 credits of physics pedagogy.</t>
  </si>
  <si>
    <t>Almost all physics teacher candidates take the equivalent of 1–3 credits of physics pedagogy.</t>
  </si>
  <si>
    <t>Almost all physics teacher candidates take the equivalent of four or more credits of physics pedagogy.</t>
  </si>
  <si>
    <r>
      <t>Physics pedagogy credits equivalent</t>
    </r>
    <r>
      <rPr>
        <b/>
        <vertAlign val="superscript"/>
        <sz val="13"/>
        <color theme="1"/>
        <rFont val="Calibri"/>
        <family val="2"/>
        <scheme val="minor"/>
      </rPr>
      <t>5</t>
    </r>
  </si>
  <si>
    <r>
      <t>Scientific practices pedagogy credit equivalent</t>
    </r>
    <r>
      <rPr>
        <b/>
        <vertAlign val="superscript"/>
        <sz val="13"/>
        <color theme="1"/>
        <rFont val="Calibri"/>
        <family val="2"/>
        <scheme val="minor"/>
      </rPr>
      <t>6</t>
    </r>
  </si>
  <si>
    <r>
      <t>Academic advising</t>
    </r>
    <r>
      <rPr>
        <b/>
        <vertAlign val="superscript"/>
        <sz val="13"/>
        <color theme="1"/>
        <rFont val="Calibri"/>
        <family val="2"/>
        <scheme val="minor"/>
      </rPr>
      <t>1</t>
    </r>
    <r>
      <rPr>
        <b/>
        <sz val="13"/>
        <color theme="1"/>
        <rFont val="Calibri"/>
        <family val="2"/>
        <scheme val="minor"/>
      </rPr>
      <t xml:space="preserve"> of physics teacher candidates towards PTE program completion
</t>
    </r>
    <r>
      <rPr>
        <b/>
        <sz val="13"/>
        <color rgb="FFC08750"/>
        <rFont val="Calibri"/>
        <family val="2"/>
        <scheme val="minor"/>
      </rPr>
      <t>PREVALENT</t>
    </r>
  </si>
  <si>
    <r>
      <t>PTE mentor</t>
    </r>
    <r>
      <rPr>
        <b/>
        <vertAlign val="superscript"/>
        <sz val="13"/>
        <color theme="1"/>
        <rFont val="Calibri"/>
        <family val="2"/>
        <scheme val="minor"/>
      </rPr>
      <t>2</t>
    </r>
    <r>
      <rPr>
        <b/>
        <sz val="13"/>
        <color theme="1"/>
        <rFont val="Calibri"/>
        <family val="2"/>
        <scheme val="minor"/>
      </rPr>
      <t xml:space="preserve"> for physics teacher candidates for teaching skill development</t>
    </r>
    <r>
      <rPr>
        <b/>
        <vertAlign val="superscript"/>
        <sz val="13"/>
        <color theme="1"/>
        <rFont val="Calibri"/>
        <family val="2"/>
        <scheme val="minor"/>
      </rPr>
      <t xml:space="preserve">
</t>
    </r>
    <r>
      <rPr>
        <b/>
        <sz val="13"/>
        <color rgb="FFC08750"/>
        <rFont val="Calibri"/>
        <family val="2"/>
        <scheme val="minor"/>
      </rPr>
      <t>PREVALENT</t>
    </r>
  </si>
  <si>
    <r>
      <t xml:space="preserve">This interactive PTEPA Rubric provides a mechanism to navigate and complete the instrument and to generate ready-made visuals of your results.  
</t>
    </r>
    <r>
      <rPr>
        <b/>
        <i/>
        <sz val="16"/>
        <color theme="1"/>
        <rFont val="Times New Roman"/>
        <family val="1"/>
      </rPr>
      <t>This is PTEPA Rubric Version 2.1, released January 2021.</t>
    </r>
    <r>
      <rPr>
        <b/>
        <sz val="16"/>
        <color theme="1"/>
        <rFont val="Times New Roman"/>
        <family val="1"/>
      </rPr>
      <t xml:space="preserve">
</t>
    </r>
    <r>
      <rPr>
        <b/>
        <sz val="16"/>
        <color rgb="FFC35A23"/>
        <rFont val="Times New Roman"/>
        <family val="1"/>
      </rPr>
      <t>Supporting materials for the PTEPA Rubric can be found at http://phystec.org/thriving.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</si>
</sst>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0"/>
      <color rgb="FF000000"/>
      <name val="Calibri"/>
      <family val="2"/>
      <scheme val="minor"/>
    </font>
    <font>
      <sz val="11"/>
      <color theme="1"/>
      <name val="Calibri"/>
      <family val="2"/>
      <scheme val="minor"/>
    </font>
    <font>
      <sz val="11"/>
      <color theme="1"/>
      <name val="Calibri"/>
      <family val="2"/>
      <scheme val="minor"/>
    </font>
    <font>
      <i/>
      <sz val="11"/>
      <color rgb="FF000000"/>
      <name val="Calibri"/>
      <family val="2"/>
      <scheme val="minor"/>
    </font>
    <font>
      <b/>
      <sz val="14"/>
      <color theme="1"/>
      <name val="Calibri"/>
      <family val="2"/>
      <scheme val="minor"/>
    </font>
    <font>
      <b/>
      <sz val="13"/>
      <color theme="1"/>
      <name val="Calibri"/>
      <family val="2"/>
      <scheme val="minor"/>
    </font>
    <font>
      <b/>
      <sz val="11"/>
      <color theme="0"/>
      <name val="Calibri"/>
      <family val="2"/>
      <scheme val="minor"/>
    </font>
    <font>
      <b/>
      <sz val="11"/>
      <name val="Calibri"/>
      <family val="2"/>
      <scheme val="minor"/>
    </font>
    <font>
      <sz val="11"/>
      <color theme="0"/>
      <name val="Calibri"/>
      <family val="2"/>
      <scheme val="minor"/>
    </font>
    <font>
      <sz val="11"/>
      <name val="Calibri"/>
      <family val="2"/>
      <scheme val="minor"/>
    </font>
    <font>
      <sz val="20"/>
      <color rgb="FF000000"/>
      <name val="Arial"/>
      <family val="2"/>
    </font>
    <font>
      <i/>
      <sz val="14"/>
      <color rgb="FF000000"/>
      <name val="Arial"/>
      <family val="2"/>
    </font>
    <font>
      <sz val="14"/>
      <color rgb="FF000000"/>
      <name val="Arial"/>
      <family val="2"/>
    </font>
    <font>
      <i/>
      <sz val="10"/>
      <color theme="1"/>
      <name val="Arial"/>
      <family val="2"/>
    </font>
    <font>
      <b/>
      <sz val="10"/>
      <color rgb="FF000000"/>
      <name val="Arial"/>
      <family val="2"/>
    </font>
    <font>
      <sz val="10"/>
      <color rgb="FF000000"/>
      <name val="Arial"/>
      <family val="2"/>
    </font>
    <font>
      <i/>
      <sz val="10"/>
      <color rgb="FF000000"/>
      <name val="Arial"/>
      <family val="2"/>
    </font>
    <font>
      <sz val="9"/>
      <color rgb="FF000000"/>
      <name val="Calibri"/>
      <family val="2"/>
      <scheme val="minor"/>
    </font>
    <font>
      <sz val="12"/>
      <color rgb="FF000000"/>
      <name val="Calibri"/>
      <family val="2"/>
      <scheme val="minor"/>
    </font>
    <font>
      <sz val="18"/>
      <color rgb="FF000000"/>
      <name val="Calibri"/>
      <family val="2"/>
      <scheme val="minor"/>
    </font>
    <font>
      <sz val="10"/>
      <color theme="1"/>
      <name val="Arial"/>
      <family val="2"/>
    </font>
    <font>
      <sz val="14"/>
      <color theme="1"/>
      <name val="Arial"/>
      <family val="2"/>
    </font>
    <font>
      <b/>
      <sz val="14"/>
      <name val="Calibri"/>
      <family val="2"/>
      <scheme val="minor"/>
    </font>
    <font>
      <sz val="14"/>
      <color theme="1"/>
      <name val="Calibri"/>
      <family val="2"/>
      <scheme val="minor"/>
    </font>
    <font>
      <b/>
      <sz val="18"/>
      <name val="Calibri"/>
      <family val="2"/>
      <scheme val="minor"/>
    </font>
    <font>
      <sz val="18"/>
      <color theme="1"/>
      <name val="Calibri"/>
      <family val="2"/>
      <scheme val="minor"/>
    </font>
    <font>
      <sz val="14"/>
      <name val="Calibri"/>
      <family val="2"/>
      <scheme val="minor"/>
    </font>
    <font>
      <i/>
      <sz val="10"/>
      <name val="Arial"/>
      <family val="2"/>
    </font>
    <font>
      <sz val="14"/>
      <name val="Arial"/>
      <family val="2"/>
    </font>
    <font>
      <sz val="20"/>
      <color theme="1"/>
      <name val="Arial"/>
      <family val="2"/>
    </font>
    <font>
      <sz val="11"/>
      <color theme="1"/>
      <name val="Arial"/>
      <family val="2"/>
    </font>
    <font>
      <b/>
      <sz val="11"/>
      <color rgb="FFFF0000"/>
      <name val="Calibri"/>
      <family val="2"/>
      <scheme val="minor"/>
    </font>
    <font>
      <sz val="20"/>
      <color theme="1"/>
      <name val="Calibri"/>
      <family val="2"/>
      <scheme val="minor"/>
    </font>
    <font>
      <sz val="11"/>
      <color theme="4"/>
      <name val="Calibri"/>
      <family val="2"/>
      <scheme val="minor"/>
    </font>
    <font>
      <b/>
      <sz val="40"/>
      <color rgb="FF365177"/>
      <name val="Calibri"/>
      <family val="2"/>
      <scheme val="minor"/>
    </font>
    <font>
      <b/>
      <sz val="20"/>
      <color rgb="FF365177"/>
      <name val="Calibri"/>
      <family val="2"/>
      <scheme val="minor"/>
    </font>
    <font>
      <b/>
      <i/>
      <sz val="30"/>
      <color theme="5" tint="-0.249977111117893"/>
      <name val="Calibri"/>
      <family val="2"/>
      <scheme val="minor"/>
    </font>
    <font>
      <i/>
      <sz val="15"/>
      <color theme="1"/>
      <name val="Calibri"/>
      <family val="2"/>
      <scheme val="minor"/>
    </font>
    <font>
      <b/>
      <sz val="15"/>
      <color theme="1"/>
      <name val="Calibri"/>
      <family val="2"/>
      <scheme val="minor"/>
    </font>
    <font>
      <sz val="15"/>
      <color theme="1"/>
      <name val="Calibri"/>
      <family val="2"/>
      <scheme val="minor"/>
    </font>
    <font>
      <sz val="15"/>
      <color rgb="FF000000"/>
      <name val="Calibri"/>
      <family val="2"/>
    </font>
    <font>
      <b/>
      <sz val="15"/>
      <color rgb="FF0070C0"/>
      <name val="Calibri"/>
      <family val="2"/>
    </font>
    <font>
      <i/>
      <sz val="14"/>
      <color rgb="FF000000"/>
      <name val="Calibri"/>
      <family val="2"/>
    </font>
    <font>
      <sz val="13"/>
      <color theme="1"/>
      <name val="Calibri"/>
      <family val="2"/>
    </font>
    <font>
      <sz val="13"/>
      <name val="Calibri"/>
      <family val="2"/>
    </font>
    <font>
      <b/>
      <sz val="17"/>
      <color theme="1"/>
      <name val="Calibri"/>
      <family val="2"/>
      <scheme val="minor"/>
    </font>
    <font>
      <b/>
      <sz val="17"/>
      <color theme="1"/>
      <name val="Calibri"/>
      <family val="2"/>
    </font>
    <font>
      <b/>
      <sz val="20"/>
      <color theme="0"/>
      <name val="Calibri"/>
      <family val="2"/>
      <scheme val="minor"/>
    </font>
    <font>
      <i/>
      <sz val="13"/>
      <color rgb="FF000000"/>
      <name val="Calibri"/>
      <family val="2"/>
      <scheme val="minor"/>
    </font>
    <font>
      <sz val="17"/>
      <color rgb="FF57507D"/>
      <name val="Calibri"/>
      <family val="2"/>
      <scheme val="minor"/>
    </font>
    <font>
      <sz val="11"/>
      <color rgb="FF57507D"/>
      <name val="Calibri"/>
      <family val="2"/>
      <scheme val="minor"/>
    </font>
    <font>
      <b/>
      <sz val="20"/>
      <color rgb="FF5F588F"/>
      <name val="Calibri"/>
      <family val="2"/>
      <scheme val="minor"/>
    </font>
    <font>
      <b/>
      <sz val="17"/>
      <color rgb="FF5F588F"/>
      <name val="Calibri"/>
      <family val="2"/>
      <scheme val="minor"/>
    </font>
    <font>
      <b/>
      <sz val="20"/>
      <color rgb="FFDB5D55"/>
      <name val="Calibri"/>
      <family val="2"/>
      <scheme val="minor"/>
    </font>
    <font>
      <b/>
      <sz val="20"/>
      <color rgb="FFCFA335"/>
      <name val="Calibri"/>
      <family val="2"/>
      <scheme val="minor"/>
    </font>
    <font>
      <b/>
      <sz val="17"/>
      <color rgb="FFDB5D55"/>
      <name val="Calibri"/>
      <family val="2"/>
      <scheme val="minor"/>
    </font>
    <font>
      <b/>
      <sz val="17"/>
      <color rgb="FFCFA335"/>
      <name val="Calibri"/>
      <family val="2"/>
      <scheme val="minor"/>
    </font>
    <font>
      <b/>
      <sz val="20"/>
      <color rgb="FF4496D1"/>
      <name val="Calibri"/>
      <family val="2"/>
      <scheme val="minor"/>
    </font>
    <font>
      <b/>
      <sz val="17"/>
      <color rgb="FF4496D1"/>
      <name val="Calibri"/>
      <family val="2"/>
      <scheme val="minor"/>
    </font>
    <font>
      <b/>
      <sz val="20"/>
      <color rgb="FFB2702E"/>
      <name val="Calibri"/>
      <family val="2"/>
      <scheme val="minor"/>
    </font>
    <font>
      <b/>
      <sz val="17"/>
      <color rgb="FFB2702E"/>
      <name val="Calibri"/>
      <family val="2"/>
      <scheme val="minor"/>
    </font>
    <font>
      <b/>
      <sz val="20"/>
      <color rgb="FF9CA725"/>
      <name val="Calibri"/>
      <family val="2"/>
      <scheme val="minor"/>
    </font>
    <font>
      <b/>
      <sz val="17"/>
      <color rgb="FF9CA725"/>
      <name val="Calibri"/>
      <family val="2"/>
      <scheme val="minor"/>
    </font>
    <font>
      <b/>
      <vertAlign val="superscript"/>
      <sz val="13"/>
      <color theme="1"/>
      <name val="Calibri"/>
      <family val="2"/>
      <scheme val="minor"/>
    </font>
    <font>
      <b/>
      <sz val="13"/>
      <color rgb="FF79709F"/>
      <name val="Calibri"/>
      <family val="2"/>
      <scheme val="minor"/>
    </font>
    <font>
      <b/>
      <sz val="13"/>
      <color rgb="FFE27B6E"/>
      <name val="Calibri"/>
      <family val="2"/>
      <scheme val="minor"/>
    </font>
    <font>
      <b/>
      <sz val="13"/>
      <color rgb="FFD8B35C"/>
      <name val="Calibri"/>
      <family val="2"/>
      <scheme val="minor"/>
    </font>
    <font>
      <b/>
      <sz val="13"/>
      <color rgb="FF6DA6D9"/>
      <name val="Calibri"/>
      <family val="2"/>
      <scheme val="minor"/>
    </font>
    <font>
      <b/>
      <sz val="13"/>
      <color rgb="FFC08750"/>
      <name val="Calibri"/>
      <family val="2"/>
      <scheme val="minor"/>
    </font>
    <font>
      <b/>
      <sz val="13"/>
      <color rgb="FFAEB651"/>
      <name val="Calibri"/>
      <family val="2"/>
      <scheme val="minor"/>
    </font>
    <font>
      <i/>
      <vertAlign val="superscript"/>
      <sz val="13"/>
      <color rgb="FF000000"/>
      <name val="Calibri"/>
      <family val="2"/>
      <scheme val="minor"/>
    </font>
    <font>
      <b/>
      <sz val="18"/>
      <color theme="0"/>
      <name val="Calibri"/>
      <family val="2"/>
      <scheme val="minor"/>
    </font>
    <font>
      <sz val="8"/>
      <color theme="0"/>
      <name val="Calibri"/>
      <family val="2"/>
      <scheme val="minor"/>
    </font>
    <font>
      <b/>
      <sz val="14"/>
      <color rgb="FF5F588F"/>
      <name val="Calibri"/>
      <family val="2"/>
      <scheme val="minor"/>
    </font>
    <font>
      <b/>
      <sz val="11"/>
      <color rgb="FF5F588F"/>
      <name val="Calibri"/>
      <family val="2"/>
      <scheme val="minor"/>
    </font>
    <font>
      <sz val="8"/>
      <color rgb="FF5F588F"/>
      <name val="Calibri"/>
      <family val="2"/>
      <scheme val="minor"/>
    </font>
    <font>
      <b/>
      <sz val="14"/>
      <color theme="0"/>
      <name val="Calibri"/>
      <family val="2"/>
      <scheme val="minor"/>
    </font>
    <font>
      <sz val="11"/>
      <color rgb="FFDB5D55"/>
      <name val="Calibri"/>
      <family val="2"/>
      <scheme val="minor"/>
    </font>
    <font>
      <sz val="11"/>
      <color rgb="FFCFA335"/>
      <name val="Calibri"/>
      <family val="2"/>
      <scheme val="minor"/>
    </font>
    <font>
      <sz val="11"/>
      <color rgb="FF4496D1"/>
      <name val="Calibri"/>
      <family val="2"/>
      <scheme val="minor"/>
    </font>
    <font>
      <b/>
      <sz val="14"/>
      <color rgb="FFB2702E"/>
      <name val="Calibri"/>
      <family val="2"/>
      <scheme val="minor"/>
    </font>
    <font>
      <sz val="11"/>
      <color rgb="FFB2702E"/>
      <name val="Calibri"/>
      <family val="2"/>
      <scheme val="minor"/>
    </font>
    <font>
      <sz val="11"/>
      <color rgb="FF9CA725"/>
      <name val="Calibri"/>
      <family val="2"/>
      <scheme val="minor"/>
    </font>
    <font>
      <u/>
      <sz val="11"/>
      <color theme="10"/>
      <name val="Calibri"/>
      <family val="2"/>
      <scheme val="minor"/>
    </font>
    <font>
      <sz val="11"/>
      <color rgb="FF0070C0"/>
      <name val="Calibri"/>
      <family val="2"/>
      <scheme val="minor"/>
    </font>
    <font>
      <b/>
      <sz val="16"/>
      <color theme="1"/>
      <name val="Calibri"/>
      <family val="2"/>
    </font>
    <font>
      <sz val="16"/>
      <color theme="1"/>
      <name val="Calibri"/>
      <family val="2"/>
    </font>
    <font>
      <b/>
      <sz val="14"/>
      <color rgb="FF0070C0"/>
      <name val="Calibri"/>
      <family val="2"/>
    </font>
    <font>
      <u/>
      <sz val="11"/>
      <color theme="11"/>
      <name val="Calibri"/>
      <family val="2"/>
      <scheme val="minor"/>
    </font>
    <font>
      <b/>
      <sz val="16"/>
      <color rgb="FF000000"/>
      <name val="Calibri"/>
      <family val="2"/>
      <scheme val="minor"/>
    </font>
    <font>
      <b/>
      <i/>
      <sz val="10"/>
      <color rgb="FFFF0000"/>
      <name val="Arial"/>
      <family val="2"/>
    </font>
    <font>
      <u/>
      <sz val="11"/>
      <color theme="1"/>
      <name val="Calibri"/>
      <family val="2"/>
      <scheme val="minor"/>
    </font>
    <font>
      <b/>
      <vertAlign val="superscript"/>
      <sz val="17"/>
      <color rgb="FF4496D1"/>
      <name val="Calibri"/>
      <family val="2"/>
      <scheme val="minor"/>
    </font>
    <font>
      <i/>
      <sz val="11"/>
      <color theme="1"/>
      <name val="Calibri"/>
      <family val="2"/>
      <scheme val="minor"/>
    </font>
    <font>
      <sz val="11"/>
      <color rgb="FFFF0000"/>
      <name val="Calibri"/>
      <family val="2"/>
      <scheme val="minor"/>
    </font>
    <font>
      <sz val="8"/>
      <color theme="1"/>
      <name val="Calibri"/>
      <family val="2"/>
      <scheme val="minor"/>
    </font>
    <font>
      <b/>
      <sz val="14"/>
      <color rgb="FFFF0000"/>
      <name val="Arial"/>
      <family val="2"/>
    </font>
    <font>
      <sz val="15"/>
      <color theme="1"/>
      <name val="Calibri"/>
      <family val="2"/>
    </font>
    <font>
      <sz val="15"/>
      <color rgb="FFFF0000"/>
      <name val="Calibri"/>
      <family val="2"/>
      <scheme val="minor"/>
    </font>
    <font>
      <sz val="12"/>
      <color rgb="FF000000"/>
      <name val="Calibri"/>
      <family val="2"/>
    </font>
    <font>
      <sz val="15"/>
      <color rgb="FF000000"/>
      <name val="Calibri"/>
      <family val="2"/>
      <scheme val="minor"/>
    </font>
    <font>
      <b/>
      <sz val="15"/>
      <color rgb="FF0070C0"/>
      <name val="Calibri (Body)"/>
    </font>
    <font>
      <sz val="11"/>
      <color theme="0"/>
      <name val="Calibri (Body)_x0000_"/>
    </font>
    <font>
      <b/>
      <sz val="17"/>
      <color theme="0"/>
      <name val="Calibri (Body)_x0000_"/>
    </font>
    <font>
      <b/>
      <sz val="16"/>
      <color theme="1"/>
      <name val="Times New Roman"/>
      <family val="1"/>
    </font>
    <font>
      <b/>
      <i/>
      <sz val="16"/>
      <color theme="1"/>
      <name val="Times New Roman"/>
      <family val="1"/>
    </font>
    <font>
      <b/>
      <sz val="16"/>
      <color rgb="FFC35A23"/>
      <name val="Times New Roman"/>
      <family val="1"/>
    </font>
    <font>
      <b/>
      <sz val="20"/>
      <color theme="1"/>
      <name val="Calibri"/>
      <family val="2"/>
      <scheme val="minor"/>
    </font>
    <font>
      <b/>
      <sz val="20"/>
      <color theme="1"/>
      <name val="Calibri (Body)_x0000_"/>
    </font>
    <font>
      <b/>
      <sz val="14"/>
      <color rgb="FF002060"/>
      <name val="Calibri (Body)_x0000_"/>
    </font>
    <font>
      <b/>
      <sz val="12"/>
      <color theme="1"/>
      <name val="Calibri"/>
      <family val="2"/>
      <scheme val="minor"/>
    </font>
    <font>
      <b/>
      <sz val="12"/>
      <color theme="4"/>
      <name val="Calibri"/>
      <family val="2"/>
      <scheme val="minor"/>
    </font>
    <font>
      <sz val="12"/>
      <color theme="4"/>
      <name val="Calibri"/>
      <family val="2"/>
      <scheme val="minor"/>
    </font>
    <font>
      <b/>
      <sz val="16"/>
      <color theme="0"/>
      <name val="Calibri"/>
      <family val="2"/>
      <scheme val="minor"/>
    </font>
    <font>
      <b/>
      <sz val="12"/>
      <name val="Calibri"/>
      <family val="2"/>
      <scheme val="minor"/>
    </font>
    <font>
      <sz val="12"/>
      <name val="Calibri"/>
      <family val="2"/>
      <scheme val="minor"/>
    </font>
    <font>
      <b/>
      <sz val="32"/>
      <color theme="0"/>
      <name val="Calibri"/>
      <family val="2"/>
      <scheme val="minor"/>
    </font>
    <font>
      <sz val="12"/>
      <color theme="0"/>
      <name val="Calibri"/>
      <family val="2"/>
      <scheme val="minor"/>
    </font>
    <font>
      <b/>
      <sz val="12"/>
      <color rgb="FF4472C4"/>
      <name val="Calibri"/>
      <family val="2"/>
      <scheme val="minor"/>
    </font>
    <font>
      <i/>
      <sz val="11"/>
      <color theme="0"/>
      <name val="Calibri"/>
      <family val="2"/>
      <scheme val="minor"/>
    </font>
    <font>
      <b/>
      <sz val="12"/>
      <color theme="0"/>
      <name val="Calibri"/>
      <family val="2"/>
      <scheme val="minor"/>
    </font>
    <font>
      <sz val="12"/>
      <color theme="1"/>
      <name val="Calibri"/>
      <family val="2"/>
    </font>
    <font>
      <b/>
      <sz val="12"/>
      <color theme="1"/>
      <name val="Calibri"/>
      <family val="2"/>
    </font>
    <font>
      <sz val="11"/>
      <color rgb="FF9C7C33"/>
      <name val="Calibri"/>
      <family val="2"/>
      <scheme val="minor"/>
    </font>
    <font>
      <b/>
      <sz val="14"/>
      <color rgb="FF9C7C33"/>
      <name val="Calibri"/>
      <family val="2"/>
      <scheme val="minor"/>
    </font>
    <font>
      <sz val="11"/>
      <color rgb="FF858F21"/>
      <name val="Calibri"/>
      <family val="2"/>
      <scheme val="minor"/>
    </font>
    <font>
      <b/>
      <sz val="11"/>
      <color rgb="FF9C7C33"/>
      <name val="Calibri"/>
      <family val="2"/>
      <scheme val="minor"/>
    </font>
    <font>
      <b/>
      <sz val="11"/>
      <color rgb="FFB2702E"/>
      <name val="Calibri"/>
      <family val="2"/>
      <scheme val="minor"/>
    </font>
    <font>
      <b/>
      <sz val="11"/>
      <color rgb="FF3880B4"/>
      <name val="Calibri"/>
      <family val="2"/>
      <scheme val="minor"/>
    </font>
    <font>
      <sz val="11"/>
      <color rgb="FF3880B4"/>
      <name val="Calibri"/>
      <family val="2"/>
      <scheme val="minor"/>
    </font>
    <font>
      <b/>
      <sz val="14"/>
      <color rgb="FF3880B4"/>
      <name val="Calibri"/>
      <family val="2"/>
      <scheme val="minor"/>
    </font>
    <font>
      <b/>
      <sz val="14"/>
      <color rgb="FFC5524D"/>
      <name val="Calibri"/>
      <family val="2"/>
      <scheme val="minor"/>
    </font>
    <font>
      <b/>
      <sz val="11"/>
      <color rgb="FFC5524D"/>
      <name val="Calibri"/>
      <family val="2"/>
      <scheme val="minor"/>
    </font>
    <font>
      <b/>
      <sz val="12"/>
      <color theme="0"/>
      <name val="Calibri"/>
      <family val="2"/>
    </font>
    <font>
      <sz val="11"/>
      <color rgb="FF848E21"/>
      <name val="Calibri"/>
      <family val="2"/>
      <scheme val="minor"/>
    </font>
    <font>
      <b/>
      <sz val="11"/>
      <color rgb="FF77821F"/>
      <name val="Calibri"/>
      <family val="2"/>
      <scheme val="minor"/>
    </font>
    <font>
      <b/>
      <sz val="14"/>
      <color rgb="FF77821F"/>
      <name val="Calibri"/>
      <family val="2"/>
      <scheme val="minor"/>
    </font>
    <font>
      <i/>
      <sz val="13"/>
      <name val="Calibri"/>
      <family val="2"/>
    </font>
    <font>
      <sz val="18"/>
      <name val="Calibri"/>
      <family val="2"/>
      <scheme val="minor"/>
    </font>
    <font>
      <sz val="8"/>
      <color rgb="FF000000"/>
      <name val="Segoe UI"/>
      <charset val="1"/>
    </font>
  </fonts>
  <fills count="1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5F588F"/>
        <bgColor indexed="64"/>
      </patternFill>
    </fill>
    <fill>
      <patternFill patternType="solid">
        <fgColor rgb="FFDB5D55"/>
        <bgColor indexed="64"/>
      </patternFill>
    </fill>
    <fill>
      <patternFill patternType="solid">
        <fgColor rgb="FFB2702E"/>
        <bgColor indexed="64"/>
      </patternFill>
    </fill>
    <fill>
      <patternFill patternType="solid">
        <fgColor rgb="FF9CA725"/>
        <bgColor indexed="64"/>
      </patternFill>
    </fill>
    <fill>
      <patternFill patternType="solid">
        <fgColor rgb="FFCFA335"/>
        <bgColor indexed="64"/>
      </patternFill>
    </fill>
    <fill>
      <patternFill patternType="solid">
        <fgColor rgb="FF4496D1"/>
        <bgColor indexed="64"/>
      </patternFill>
    </fill>
    <fill>
      <patternFill patternType="solid">
        <fgColor rgb="FFDFDBE7"/>
        <bgColor indexed="64"/>
      </patternFill>
    </fill>
    <fill>
      <patternFill patternType="solid">
        <fgColor rgb="FFFAE2DB"/>
        <bgColor indexed="64"/>
      </patternFill>
    </fill>
    <fill>
      <patternFill patternType="solid">
        <fgColor rgb="FFF6EDDA"/>
        <bgColor indexed="64"/>
      </patternFill>
    </fill>
    <fill>
      <patternFill patternType="solid">
        <fgColor rgb="FFE0E9F6"/>
        <bgColor indexed="64"/>
      </patternFill>
    </fill>
    <fill>
      <patternFill patternType="solid">
        <fgColor rgb="FFF0E1D2"/>
        <bgColor indexed="64"/>
      </patternFill>
    </fill>
    <fill>
      <patternFill patternType="solid">
        <fgColor rgb="FFECEDD7"/>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808080"/>
        <bgColor indexed="64"/>
      </patternFill>
    </fill>
  </fills>
  <borders count="75">
    <border>
      <left/>
      <right/>
      <top/>
      <bottom/>
      <diagonal/>
    </border>
    <border>
      <left/>
      <right/>
      <top/>
      <bottom style="thin">
        <color auto="1"/>
      </bottom>
      <diagonal/>
    </border>
    <border>
      <left/>
      <right/>
      <top style="thin">
        <color auto="1"/>
      </top>
      <bottom style="thin">
        <color auto="1"/>
      </bottom>
      <diagonal/>
    </border>
    <border>
      <left/>
      <right/>
      <top style="thin">
        <color theme="4" tint="0.39997558519241921"/>
      </top>
      <bottom/>
      <diagonal/>
    </border>
    <border>
      <left/>
      <right style="thin">
        <color theme="4" tint="0.39994506668294322"/>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style="thin">
        <color theme="4" tint="0.39994506668294322"/>
      </left>
      <right/>
      <top/>
      <bottom/>
      <diagonal/>
    </border>
    <border>
      <left/>
      <right/>
      <top style="thin">
        <color auto="1"/>
      </top>
      <bottom/>
      <diagonal/>
    </border>
    <border>
      <left/>
      <right/>
      <top/>
      <bottom style="medium">
        <color theme="2" tint="-9.9948118533890809E-2"/>
      </bottom>
      <diagonal/>
    </border>
    <border>
      <left/>
      <right/>
      <top style="medium">
        <color theme="2" tint="-9.9948118533890809E-2"/>
      </top>
      <bottom style="medium">
        <color theme="2" tint="-9.9948118533890809E-2"/>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right style="thin">
        <color theme="4" tint="0.39994506668294322"/>
      </right>
      <top style="thin">
        <color auto="1"/>
      </top>
      <bottom style="thin">
        <color theme="4" tint="0.39994506668294322"/>
      </bottom>
      <diagonal/>
    </border>
    <border>
      <left/>
      <right/>
      <top style="thin">
        <color theme="4" tint="0.39994506668294322"/>
      </top>
      <bottom/>
      <diagonal/>
    </border>
    <border>
      <left/>
      <right style="thin">
        <color theme="4" tint="0.39994506668294322"/>
      </right>
      <top style="thin">
        <color theme="4" tint="0.39994506668294322"/>
      </top>
      <bottom/>
      <diagonal/>
    </border>
    <border>
      <left/>
      <right/>
      <top style="thin">
        <color auto="1"/>
      </top>
      <bottom style="thin">
        <color theme="4" tint="0.39994506668294322"/>
      </bottom>
      <diagonal/>
    </border>
    <border>
      <left/>
      <right style="thin">
        <color theme="4" tint="0.39994506668294322"/>
      </right>
      <top style="thin">
        <color auto="1"/>
      </top>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theme="4" tint="0.39994506668294322"/>
      </right>
      <top style="thin">
        <color theme="4" tint="0.39994506668294322"/>
      </top>
      <bottom style="thin">
        <color theme="4" tint="0.39991454817346722"/>
      </bottom>
      <diagonal/>
    </border>
    <border>
      <left/>
      <right/>
      <top/>
      <bottom style="thin">
        <color theme="4" tint="0.39994506668294322"/>
      </bottom>
      <diagonal/>
    </border>
    <border>
      <left/>
      <right style="thin">
        <color theme="4" tint="0.39994506668294322"/>
      </right>
      <top/>
      <bottom style="thin">
        <color theme="4" tint="0.39994506668294322"/>
      </bottom>
      <diagonal/>
    </border>
    <border>
      <left/>
      <right/>
      <top style="thin">
        <color theme="4" tint="0.39994506668294322"/>
      </top>
      <bottom style="thin">
        <color theme="4" tint="0.39991454817346722"/>
      </bottom>
      <diagonal/>
    </border>
    <border>
      <left/>
      <right/>
      <top style="thin">
        <color theme="4" tint="0.39994506668294322"/>
      </top>
      <bottom style="thin">
        <color auto="1"/>
      </bottom>
      <diagonal/>
    </border>
    <border>
      <left/>
      <right style="thin">
        <color theme="4" tint="0.39994506668294322"/>
      </right>
      <top style="thin">
        <color theme="4" tint="0.39991454817346722"/>
      </top>
      <bottom style="thin">
        <color auto="1"/>
      </bottom>
      <diagonal/>
    </border>
    <border>
      <left/>
      <right style="thin">
        <color theme="4" tint="0.39994506668294322"/>
      </right>
      <top style="thin">
        <color theme="4" tint="0.39994506668294322"/>
      </top>
      <bottom style="thin">
        <color auto="1"/>
      </bottom>
      <diagonal/>
    </border>
    <border>
      <left/>
      <right/>
      <top style="medium">
        <color theme="2" tint="-9.9948118533890809E-2"/>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auto="1"/>
      </top>
      <bottom style="thin">
        <color theme="4" tint="0.399945066682943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theme="2" tint="-9.9948118533890809E-2"/>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style="medium">
        <color theme="2" tint="-9.9948118533890809E-2"/>
      </bottom>
      <diagonal/>
    </border>
    <border>
      <left/>
      <right/>
      <top/>
      <bottom style="thin">
        <color theme="2" tint="-9.9948118533890809E-2"/>
      </bottom>
      <diagonal/>
    </border>
    <border>
      <left/>
      <right/>
      <top style="thin">
        <color theme="2" tint="-9.9948118533890809E-2"/>
      </top>
      <bottom style="thin">
        <color theme="2" tint="-9.9948118533890809E-2"/>
      </bottom>
      <diagonal/>
    </border>
    <border>
      <left/>
      <right/>
      <top style="thin">
        <color theme="2" tint="-9.9948118533890809E-2"/>
      </top>
      <bottom/>
      <diagonal/>
    </border>
    <border>
      <left/>
      <right/>
      <top/>
      <bottom style="medium">
        <color theme="2" tint="-9.9887081514938816E-2"/>
      </bottom>
      <diagonal/>
    </border>
    <border>
      <left/>
      <right style="thin">
        <color theme="4" tint="0.39994506668294322"/>
      </right>
      <top/>
      <bottom style="thin">
        <color auto="1"/>
      </bottom>
      <diagonal/>
    </border>
    <border>
      <left/>
      <right/>
      <top style="thin">
        <color theme="4" tint="0.39991454817346722"/>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medium">
        <color auto="1"/>
      </left>
      <right/>
      <top style="thin">
        <color auto="1"/>
      </top>
      <bottom/>
      <diagonal/>
    </border>
  </borders>
  <cellStyleXfs count="4">
    <xf numFmtId="0" fontId="0" fillId="0" borderId="0"/>
    <xf numFmtId="0" fontId="88"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cellStyleXfs>
  <cellXfs count="655">
    <xf numFmtId="0" fontId="0" fillId="0" borderId="0" xfId="0"/>
    <xf numFmtId="0" fontId="6" fillId="2" borderId="0" xfId="0" applyFont="1" applyFill="1" applyBorder="1" applyAlignment="1">
      <alignment horizontal="center"/>
    </xf>
    <xf numFmtId="0" fontId="6" fillId="2" borderId="0" xfId="0" applyFont="1" applyFill="1" applyBorder="1"/>
    <xf numFmtId="0" fontId="0" fillId="2" borderId="0" xfId="0" applyFill="1"/>
    <xf numFmtId="0" fontId="0" fillId="2" borderId="0" xfId="0" applyFont="1" applyFill="1" applyBorder="1"/>
    <xf numFmtId="0" fontId="13" fillId="2" borderId="0" xfId="0" applyFont="1" applyFill="1" applyBorder="1" applyAlignment="1">
      <alignment horizontal="center"/>
    </xf>
    <xf numFmtId="0" fontId="0" fillId="2" borderId="5" xfId="0" applyFont="1" applyFill="1" applyBorder="1" applyAlignment="1">
      <alignment horizontal="center"/>
    </xf>
    <xf numFmtId="0" fontId="13" fillId="2" borderId="0" xfId="0" applyFont="1" applyFill="1" applyBorder="1"/>
    <xf numFmtId="2" fontId="0" fillId="2" borderId="5" xfId="0" applyNumberFormat="1" applyFont="1" applyFill="1" applyBorder="1" applyAlignment="1">
      <alignment horizontal="center"/>
    </xf>
    <xf numFmtId="10" fontId="6" fillId="2" borderId="0" xfId="0" applyNumberFormat="1" applyFont="1" applyFill="1" applyBorder="1"/>
    <xf numFmtId="0" fontId="0" fillId="2" borderId="0" xfId="0" applyFont="1" applyFill="1" applyBorder="1" applyAlignment="1">
      <alignment horizontal="center"/>
    </xf>
    <xf numFmtId="10" fontId="0" fillId="2" borderId="0" xfId="0" applyNumberFormat="1" applyFont="1" applyFill="1" applyBorder="1" applyAlignment="1">
      <alignment horizontal="center"/>
    </xf>
    <xf numFmtId="2" fontId="0" fillId="2" borderId="0" xfId="0" applyNumberFormat="1" applyFont="1" applyFill="1" applyBorder="1" applyAlignment="1">
      <alignment horizontal="center"/>
    </xf>
    <xf numFmtId="10" fontId="14" fillId="2" borderId="0" xfId="0" applyNumberFormat="1" applyFont="1" applyFill="1" applyBorder="1" applyAlignment="1">
      <alignment horizontal="center" vertical="center"/>
    </xf>
    <xf numFmtId="0" fontId="14" fillId="2" borderId="8" xfId="0" applyFont="1" applyFill="1" applyBorder="1" applyAlignment="1">
      <alignment horizontal="center"/>
    </xf>
    <xf numFmtId="0" fontId="0" fillId="2" borderId="8" xfId="0" applyFont="1" applyFill="1" applyBorder="1"/>
    <xf numFmtId="0" fontId="29" fillId="2" borderId="9" xfId="0" applyFont="1" applyFill="1" applyBorder="1" applyAlignment="1">
      <alignment horizontal="center"/>
    </xf>
    <xf numFmtId="0" fontId="14" fillId="2" borderId="9" xfId="0" applyFont="1" applyFill="1" applyBorder="1" applyAlignment="1">
      <alignment horizontal="left" indent="4"/>
    </xf>
    <xf numFmtId="9" fontId="29" fillId="2" borderId="9" xfId="0" applyNumberFormat="1" applyFont="1" applyFill="1" applyBorder="1" applyAlignment="1">
      <alignment horizontal="center"/>
    </xf>
    <xf numFmtId="0" fontId="27" fillId="2" borderId="3" xfId="0" applyFont="1" applyFill="1" applyBorder="1" applyAlignment="1">
      <alignment horizontal="left"/>
    </xf>
    <xf numFmtId="0" fontId="30" fillId="2" borderId="0" xfId="0" applyFont="1" applyFill="1" applyBorder="1"/>
    <xf numFmtId="0" fontId="28" fillId="2" borderId="0" xfId="0" applyFont="1" applyFill="1" applyBorder="1" applyAlignment="1">
      <alignment horizontal="center"/>
    </xf>
    <xf numFmtId="0" fontId="28" fillId="2" borderId="0" xfId="0" applyFont="1" applyFill="1" applyBorder="1"/>
    <xf numFmtId="0" fontId="14" fillId="2" borderId="0" xfId="0" applyFont="1" applyFill="1" applyBorder="1" applyAlignment="1">
      <alignment horizontal="center"/>
    </xf>
    <xf numFmtId="0" fontId="14" fillId="2" borderId="9" xfId="0" applyFont="1" applyFill="1" applyBorder="1" applyAlignment="1">
      <alignment horizontal="center"/>
    </xf>
    <xf numFmtId="9" fontId="14" fillId="2" borderId="9" xfId="0" applyNumberFormat="1" applyFont="1" applyFill="1" applyBorder="1" applyAlignment="1">
      <alignment horizontal="center"/>
    </xf>
    <xf numFmtId="0" fontId="14" fillId="2" borderId="9" xfId="0" applyFont="1" applyFill="1" applyBorder="1" applyAlignment="1">
      <alignment horizontal="left" indent="3"/>
    </xf>
    <xf numFmtId="0" fontId="27" fillId="2" borderId="9" xfId="0" applyFont="1" applyFill="1" applyBorder="1" applyAlignment="1">
      <alignment horizontal="left" indent="1"/>
    </xf>
    <xf numFmtId="0" fontId="27" fillId="2" borderId="9" xfId="0" applyFont="1" applyFill="1" applyBorder="1" applyAlignment="1">
      <alignment horizontal="center"/>
    </xf>
    <xf numFmtId="9" fontId="27" fillId="2" borderId="9" xfId="0" applyNumberFormat="1" applyFont="1" applyFill="1" applyBorder="1" applyAlignment="1">
      <alignment horizontal="center"/>
    </xf>
    <xf numFmtId="0" fontId="29" fillId="2" borderId="9" xfId="0" applyFont="1" applyFill="1" applyBorder="1" applyAlignment="1">
      <alignment horizontal="left"/>
    </xf>
    <xf numFmtId="0" fontId="0" fillId="2" borderId="4" xfId="0" applyFont="1" applyFill="1" applyBorder="1" applyAlignment="1">
      <alignment horizontal="left"/>
    </xf>
    <xf numFmtId="0" fontId="12" fillId="2" borderId="0" xfId="0" applyFont="1" applyFill="1" applyBorder="1" applyAlignment="1">
      <alignment horizontal="center"/>
    </xf>
    <xf numFmtId="0" fontId="27" fillId="2" borderId="0" xfId="0" applyFont="1" applyFill="1" applyBorder="1" applyAlignment="1">
      <alignment horizontal="center"/>
    </xf>
    <xf numFmtId="0" fontId="31" fillId="2" borderId="0" xfId="0" applyFont="1" applyFill="1" applyBorder="1" applyAlignment="1">
      <alignment horizontal="center"/>
    </xf>
    <xf numFmtId="0" fontId="29" fillId="2" borderId="0" xfId="0" applyFont="1" applyFill="1" applyBorder="1" applyAlignment="1">
      <alignment horizontal="center"/>
    </xf>
    <xf numFmtId="0" fontId="36" fillId="0" borderId="0" xfId="0" applyFont="1"/>
    <xf numFmtId="0" fontId="0" fillId="0" borderId="0" xfId="0" applyAlignment="1">
      <alignment horizontal="left" indent="2"/>
    </xf>
    <xf numFmtId="0" fontId="9" fillId="0" borderId="0" xfId="0" applyFont="1"/>
    <xf numFmtId="0" fontId="0" fillId="0" borderId="0" xfId="0" applyAlignment="1">
      <alignment horizontal="left"/>
    </xf>
    <xf numFmtId="0" fontId="38" fillId="2" borderId="2" xfId="0" applyFont="1" applyFill="1" applyBorder="1" applyAlignment="1" applyProtection="1">
      <alignment vertical="top" wrapText="1"/>
      <protection locked="0"/>
    </xf>
    <xf numFmtId="0" fontId="38" fillId="2" borderId="0" xfId="0" applyFont="1" applyFill="1" applyBorder="1" applyAlignment="1" applyProtection="1">
      <alignment vertical="top" wrapText="1"/>
      <protection locked="0"/>
    </xf>
    <xf numFmtId="0" fontId="30" fillId="2" borderId="19" xfId="0" applyFont="1" applyFill="1" applyBorder="1" applyAlignment="1">
      <alignment horizontal="left"/>
    </xf>
    <xf numFmtId="0" fontId="30" fillId="2" borderId="20" xfId="0" applyFont="1" applyFill="1" applyBorder="1" applyAlignment="1">
      <alignment horizontal="center"/>
    </xf>
    <xf numFmtId="0" fontId="30" fillId="2" borderId="21" xfId="0" applyFont="1" applyFill="1" applyBorder="1"/>
    <xf numFmtId="0" fontId="39" fillId="2" borderId="0" xfId="0" applyFont="1" applyFill="1"/>
    <xf numFmtId="0" fontId="0" fillId="2" borderId="0" xfId="0" applyFill="1" applyBorder="1"/>
    <xf numFmtId="0" fontId="39" fillId="2" borderId="0" xfId="0" applyFont="1" applyFill="1" applyBorder="1"/>
    <xf numFmtId="0" fontId="42" fillId="2" borderId="0" xfId="0" applyFont="1" applyFill="1" applyBorder="1"/>
    <xf numFmtId="0" fontId="41" fillId="2" borderId="0" xfId="0" applyFont="1" applyFill="1" applyBorder="1"/>
    <xf numFmtId="0" fontId="0" fillId="2" borderId="0" xfId="0" applyFill="1" applyAlignment="1"/>
    <xf numFmtId="0" fontId="0" fillId="2" borderId="0" xfId="0" applyFill="1" applyBorder="1" applyAlignment="1"/>
    <xf numFmtId="0" fontId="14" fillId="2" borderId="0" xfId="0" applyFont="1" applyFill="1" applyProtection="1">
      <protection locked="0"/>
    </xf>
    <xf numFmtId="0" fontId="7" fillId="2" borderId="0" xfId="0" applyFont="1" applyFill="1" applyBorder="1" applyAlignment="1" applyProtection="1">
      <protection locked="0"/>
    </xf>
    <xf numFmtId="0" fontId="27" fillId="2" borderId="0" xfId="0" applyFont="1" applyFill="1" applyBorder="1" applyAlignment="1">
      <alignment horizontal="left"/>
    </xf>
    <xf numFmtId="0" fontId="14" fillId="2" borderId="0" xfId="0" applyFont="1" applyFill="1" applyBorder="1" applyAlignment="1">
      <alignment horizontal="left"/>
    </xf>
    <xf numFmtId="0" fontId="0" fillId="2" borderId="34" xfId="0" applyFont="1" applyFill="1" applyBorder="1" applyAlignment="1">
      <alignment horizontal="center"/>
    </xf>
    <xf numFmtId="2" fontId="0" fillId="2" borderId="34" xfId="0" applyNumberFormat="1" applyFont="1" applyFill="1" applyBorder="1" applyAlignment="1">
      <alignment horizontal="center"/>
    </xf>
    <xf numFmtId="0" fontId="78" fillId="2" borderId="36" xfId="0" applyFont="1" applyFill="1" applyBorder="1" applyAlignment="1">
      <alignment horizontal="left"/>
    </xf>
    <xf numFmtId="0" fontId="79" fillId="2" borderId="36" xfId="0" applyFont="1" applyFill="1" applyBorder="1" applyAlignment="1">
      <alignment horizontal="center"/>
    </xf>
    <xf numFmtId="9" fontId="80" fillId="2" borderId="36" xfId="0" applyNumberFormat="1" applyFont="1" applyFill="1" applyBorder="1" applyAlignment="1">
      <alignment horizontal="center" vertical="center"/>
    </xf>
    <xf numFmtId="0" fontId="27" fillId="2" borderId="7" xfId="0" applyFont="1" applyFill="1" applyBorder="1" applyAlignment="1">
      <alignment horizontal="center"/>
    </xf>
    <xf numFmtId="0" fontId="14" fillId="2" borderId="7" xfId="0" applyFont="1" applyFill="1" applyBorder="1" applyAlignment="1">
      <alignment horizontal="center"/>
    </xf>
    <xf numFmtId="0" fontId="13" fillId="2" borderId="7" xfId="0" applyFont="1" applyFill="1" applyBorder="1" applyAlignment="1">
      <alignment horizontal="center"/>
    </xf>
    <xf numFmtId="0" fontId="27" fillId="2" borderId="7" xfId="0" applyFont="1" applyFill="1" applyBorder="1" applyAlignment="1">
      <alignment horizontal="left"/>
    </xf>
    <xf numFmtId="0" fontId="76" fillId="4" borderId="7" xfId="0" applyFont="1" applyFill="1" applyBorder="1" applyAlignment="1">
      <alignment horizontal="left"/>
    </xf>
    <xf numFmtId="0" fontId="11" fillId="4" borderId="7" xfId="0" applyFont="1" applyFill="1" applyBorder="1" applyAlignment="1">
      <alignment horizontal="center"/>
    </xf>
    <xf numFmtId="9" fontId="77" fillId="4" borderId="7" xfId="0" applyNumberFormat="1" applyFont="1" applyFill="1" applyBorder="1" applyAlignment="1">
      <alignment horizontal="center" vertical="center"/>
    </xf>
    <xf numFmtId="0" fontId="82" fillId="2" borderId="36" xfId="0" applyFont="1" applyFill="1" applyBorder="1"/>
    <xf numFmtId="2" fontId="82" fillId="2" borderId="36" xfId="0" applyNumberFormat="1" applyFont="1" applyFill="1" applyBorder="1" applyAlignment="1">
      <alignment horizontal="center"/>
    </xf>
    <xf numFmtId="2" fontId="82" fillId="2" borderId="36" xfId="0" applyNumberFormat="1" applyFont="1" applyFill="1" applyBorder="1" applyAlignment="1">
      <alignment horizontal="center" vertical="center"/>
    </xf>
    <xf numFmtId="0" fontId="76" fillId="8" borderId="7" xfId="0" applyFont="1" applyFill="1" applyBorder="1" applyAlignment="1">
      <alignment horizontal="left"/>
    </xf>
    <xf numFmtId="0" fontId="11" fillId="8" borderId="7" xfId="0" applyFont="1" applyFill="1" applyBorder="1" applyAlignment="1">
      <alignment horizontal="center"/>
    </xf>
    <xf numFmtId="9" fontId="77" fillId="8" borderId="7" xfId="0" applyNumberFormat="1" applyFont="1" applyFill="1" applyBorder="1" applyAlignment="1">
      <alignment horizontal="center" vertical="center"/>
    </xf>
    <xf numFmtId="0" fontId="83" fillId="2" borderId="36" xfId="0" applyFont="1" applyFill="1" applyBorder="1"/>
    <xf numFmtId="2" fontId="83" fillId="2" borderId="36" xfId="0" applyNumberFormat="1" applyFont="1" applyFill="1" applyBorder="1" applyAlignment="1">
      <alignment horizontal="center"/>
    </xf>
    <xf numFmtId="2" fontId="83" fillId="2" borderId="36" xfId="0" applyNumberFormat="1" applyFont="1" applyFill="1" applyBorder="1" applyAlignment="1">
      <alignment horizontal="center" vertical="center"/>
    </xf>
    <xf numFmtId="0" fontId="76" fillId="9" borderId="7" xfId="0" applyFont="1" applyFill="1" applyBorder="1" applyAlignment="1">
      <alignment horizontal="left"/>
    </xf>
    <xf numFmtId="0" fontId="11" fillId="9" borderId="7" xfId="0" applyFont="1" applyFill="1" applyBorder="1" applyAlignment="1">
      <alignment horizontal="center"/>
    </xf>
    <xf numFmtId="9" fontId="77" fillId="9" borderId="7" xfId="0" applyNumberFormat="1" applyFont="1" applyFill="1" applyBorder="1" applyAlignment="1">
      <alignment horizontal="center" vertical="center"/>
    </xf>
    <xf numFmtId="0" fontId="84" fillId="2" borderId="36" xfId="0" applyFont="1" applyFill="1" applyBorder="1"/>
    <xf numFmtId="2" fontId="84" fillId="2" borderId="36" xfId="0" applyNumberFormat="1" applyFont="1" applyFill="1" applyBorder="1" applyAlignment="1">
      <alignment horizontal="center"/>
    </xf>
    <xf numFmtId="2" fontId="84" fillId="2" borderId="36" xfId="0" applyNumberFormat="1" applyFont="1" applyFill="1" applyBorder="1" applyAlignment="1">
      <alignment horizontal="center" vertical="center"/>
    </xf>
    <xf numFmtId="0" fontId="76" fillId="6" borderId="7" xfId="0" applyFont="1" applyFill="1" applyBorder="1" applyAlignment="1">
      <alignment horizontal="left"/>
    </xf>
    <xf numFmtId="0" fontId="11" fillId="6" borderId="7" xfId="0" applyFont="1" applyFill="1" applyBorder="1" applyAlignment="1">
      <alignment horizontal="center"/>
    </xf>
    <xf numFmtId="9" fontId="77" fillId="6" borderId="7" xfId="0" applyNumberFormat="1" applyFont="1" applyFill="1" applyBorder="1" applyAlignment="1">
      <alignment horizontal="center" vertical="center"/>
    </xf>
    <xf numFmtId="0" fontId="85" fillId="2" borderId="36" xfId="0" applyFont="1" applyFill="1" applyBorder="1" applyAlignment="1">
      <alignment horizontal="left"/>
    </xf>
    <xf numFmtId="0" fontId="86" fillId="2" borderId="36" xfId="0" applyFont="1" applyFill="1" applyBorder="1"/>
    <xf numFmtId="2" fontId="86" fillId="2" borderId="36" xfId="0" applyNumberFormat="1" applyFont="1" applyFill="1" applyBorder="1" applyAlignment="1">
      <alignment horizontal="center"/>
    </xf>
    <xf numFmtId="2" fontId="86" fillId="2" borderId="36" xfId="0" applyNumberFormat="1" applyFont="1" applyFill="1" applyBorder="1" applyAlignment="1">
      <alignment horizontal="center" vertical="center"/>
    </xf>
    <xf numFmtId="0" fontId="76" fillId="7" borderId="7" xfId="0" applyFont="1" applyFill="1" applyBorder="1" applyAlignment="1">
      <alignment horizontal="left"/>
    </xf>
    <xf numFmtId="0" fontId="11" fillId="7" borderId="7" xfId="0" applyFont="1" applyFill="1" applyBorder="1" applyAlignment="1">
      <alignment horizontal="center"/>
    </xf>
    <xf numFmtId="9" fontId="77" fillId="7" borderId="7" xfId="0" applyNumberFormat="1" applyFont="1" applyFill="1" applyBorder="1" applyAlignment="1">
      <alignment horizontal="center" vertical="center"/>
    </xf>
    <xf numFmtId="0" fontId="87" fillId="2" borderId="36" xfId="0" applyFont="1" applyFill="1" applyBorder="1"/>
    <xf numFmtId="2" fontId="87" fillId="2" borderId="36" xfId="0" applyNumberFormat="1" applyFont="1" applyFill="1" applyBorder="1" applyAlignment="1">
      <alignment horizontal="center"/>
    </xf>
    <xf numFmtId="2" fontId="87" fillId="2" borderId="36" xfId="0" applyNumberFormat="1" applyFont="1" applyFill="1" applyBorder="1" applyAlignment="1">
      <alignment horizontal="center" vertical="center"/>
    </xf>
    <xf numFmtId="0" fontId="0" fillId="2" borderId="34" xfId="0" applyFont="1" applyFill="1" applyBorder="1"/>
    <xf numFmtId="2" fontId="14" fillId="2" borderId="34" xfId="0" applyNumberFormat="1" applyFont="1" applyFill="1" applyBorder="1" applyAlignment="1">
      <alignment horizontal="center" vertical="center"/>
    </xf>
    <xf numFmtId="2" fontId="14" fillId="2" borderId="0" xfId="0" applyNumberFormat="1" applyFont="1" applyFill="1" applyBorder="1" applyAlignment="1">
      <alignment horizontal="center" vertical="center"/>
    </xf>
    <xf numFmtId="0" fontId="81" fillId="6" borderId="9" xfId="0" applyFont="1" applyFill="1" applyBorder="1" applyAlignment="1">
      <alignment horizontal="left" indent="1"/>
    </xf>
    <xf numFmtId="0" fontId="81" fillId="7" borderId="9" xfId="0" applyFont="1" applyFill="1" applyBorder="1" applyAlignment="1">
      <alignment horizontal="left" indent="1"/>
    </xf>
    <xf numFmtId="0" fontId="81" fillId="9" borderId="9" xfId="0" applyFont="1" applyFill="1" applyBorder="1" applyAlignment="1">
      <alignment horizontal="left" indent="1"/>
    </xf>
    <xf numFmtId="0" fontId="81" fillId="8" borderId="9" xfId="0" applyFont="1" applyFill="1" applyBorder="1" applyAlignment="1">
      <alignment horizontal="left" indent="1"/>
    </xf>
    <xf numFmtId="0" fontId="81" fillId="5" borderId="9" xfId="0" applyFont="1" applyFill="1" applyBorder="1" applyAlignment="1">
      <alignment horizontal="left" indent="1"/>
    </xf>
    <xf numFmtId="0" fontId="81" fillId="4" borderId="9" xfId="0" applyFont="1" applyFill="1" applyBorder="1" applyAlignment="1">
      <alignment horizontal="left" indent="1"/>
    </xf>
    <xf numFmtId="0" fontId="76" fillId="16" borderId="9" xfId="0" applyFont="1" applyFill="1" applyBorder="1" applyAlignment="1">
      <alignment horizontal="left"/>
    </xf>
    <xf numFmtId="0" fontId="0" fillId="2" borderId="0" xfId="0" applyFill="1" applyBorder="1" applyAlignment="1" applyProtection="1">
      <protection locked="0"/>
    </xf>
    <xf numFmtId="0" fontId="0" fillId="2" borderId="0" xfId="0" applyFill="1" applyAlignment="1" applyProtection="1">
      <protection locked="0"/>
    </xf>
    <xf numFmtId="0" fontId="0" fillId="0" borderId="0" xfId="0" applyAlignment="1" applyProtection="1">
      <protection locked="0"/>
    </xf>
    <xf numFmtId="0" fontId="0" fillId="2" borderId="0" xfId="0" applyFill="1" applyBorder="1" applyAlignment="1" applyProtection="1"/>
    <xf numFmtId="0" fontId="0" fillId="2" borderId="0" xfId="0" applyFill="1" applyAlignment="1" applyProtection="1"/>
    <xf numFmtId="0" fontId="0" fillId="0" borderId="0" xfId="0" applyAlignment="1" applyProtection="1"/>
    <xf numFmtId="0" fontId="38" fillId="2" borderId="0" xfId="0" applyFont="1" applyFill="1" applyAlignment="1" applyProtection="1">
      <alignment horizontal="left" vertical="top" wrapText="1"/>
      <protection locked="0"/>
    </xf>
    <xf numFmtId="0" fontId="38" fillId="2" borderId="17" xfId="0" applyFont="1" applyFill="1" applyBorder="1" applyAlignment="1" applyProtection="1">
      <alignment horizontal="left" vertical="top" wrapText="1"/>
      <protection locked="0"/>
    </xf>
    <xf numFmtId="0" fontId="38" fillId="0" borderId="0" xfId="0" applyFont="1" applyFill="1" applyAlignment="1" applyProtection="1">
      <alignment horizontal="left" vertical="top" wrapText="1"/>
      <protection locked="0"/>
    </xf>
    <xf numFmtId="0" fontId="38" fillId="2" borderId="0" xfId="0" applyFont="1" applyFill="1" applyBorder="1" applyAlignment="1" applyProtection="1">
      <alignment horizontal="left" vertical="top" wrapText="1"/>
      <protection locked="0"/>
    </xf>
    <xf numFmtId="0" fontId="38" fillId="2" borderId="7" xfId="0" applyFont="1" applyFill="1" applyBorder="1" applyAlignment="1" applyProtection="1">
      <alignment horizontal="left" vertical="top" wrapText="1"/>
      <protection locked="0"/>
    </xf>
    <xf numFmtId="0" fontId="56" fillId="2" borderId="0" xfId="0" applyFont="1" applyFill="1" applyProtection="1"/>
    <xf numFmtId="0" fontId="7" fillId="2" borderId="0" xfId="0" applyFont="1" applyFill="1" applyProtection="1"/>
    <xf numFmtId="0" fontId="53" fillId="2" borderId="0" xfId="0" applyFont="1" applyFill="1" applyAlignment="1" applyProtection="1">
      <alignment vertical="center"/>
    </xf>
    <xf numFmtId="0" fontId="8" fillId="2" borderId="0" xfId="0" applyFont="1" applyFill="1" applyAlignment="1" applyProtection="1">
      <alignment vertical="center"/>
    </xf>
    <xf numFmtId="0" fontId="57" fillId="2" borderId="17" xfId="0" applyFont="1" applyFill="1" applyBorder="1" applyProtection="1"/>
    <xf numFmtId="0" fontId="54" fillId="2" borderId="17" xfId="0" applyFont="1" applyFill="1" applyBorder="1" applyProtection="1"/>
    <xf numFmtId="0" fontId="7" fillId="2" borderId="17" xfId="0" applyFont="1" applyFill="1" applyBorder="1" applyProtection="1"/>
    <xf numFmtId="0" fontId="4" fillId="10" borderId="2" xfId="0" applyFont="1" applyFill="1" applyBorder="1" applyAlignment="1" applyProtection="1">
      <alignment horizontal="center" vertical="center"/>
    </xf>
    <xf numFmtId="0" fontId="10" fillId="10" borderId="2" xfId="0" applyFont="1" applyFill="1" applyBorder="1" applyAlignment="1" applyProtection="1">
      <alignment vertical="center" wrapText="1"/>
    </xf>
    <xf numFmtId="0" fontId="4" fillId="0" borderId="2" xfId="0" applyFont="1" applyFill="1" applyBorder="1" applyAlignment="1" applyProtection="1">
      <alignment horizontal="center" vertical="center"/>
    </xf>
    <xf numFmtId="0" fontId="10" fillId="0" borderId="2" xfId="0" applyFont="1" applyFill="1" applyBorder="1" applyAlignment="1" applyProtection="1">
      <alignment vertical="center"/>
    </xf>
    <xf numFmtId="0" fontId="0" fillId="2" borderId="0" xfId="0" applyFont="1" applyFill="1" applyBorder="1" applyProtection="1"/>
    <xf numFmtId="0" fontId="7" fillId="2" borderId="0" xfId="0" applyFont="1" applyFill="1" applyBorder="1" applyProtection="1"/>
    <xf numFmtId="0" fontId="55" fillId="2" borderId="17" xfId="0" applyFont="1" applyFill="1" applyBorder="1" applyProtection="1"/>
    <xf numFmtId="0" fontId="4" fillId="2" borderId="2" xfId="0" applyFont="1" applyFill="1" applyBorder="1" applyAlignment="1" applyProtection="1">
      <alignment horizontal="center" vertical="center"/>
    </xf>
    <xf numFmtId="0" fontId="10" fillId="2" borderId="2" xfId="0" applyFont="1" applyFill="1" applyBorder="1" applyAlignment="1" applyProtection="1">
      <alignment vertical="center"/>
    </xf>
    <xf numFmtId="0" fontId="0" fillId="2" borderId="7" xfId="0" applyFont="1" applyFill="1" applyBorder="1" applyAlignment="1" applyProtection="1">
      <alignment horizontal="left" vertical="center"/>
    </xf>
    <xf numFmtId="0" fontId="7" fillId="2" borderId="7" xfId="0" applyFont="1" applyFill="1" applyBorder="1" applyProtection="1"/>
    <xf numFmtId="0" fontId="7" fillId="2" borderId="0" xfId="0" applyFont="1" applyFill="1" applyBorder="1" applyAlignment="1" applyProtection="1">
      <alignment vertical="center"/>
    </xf>
    <xf numFmtId="0" fontId="58" fillId="2" borderId="0" xfId="0" applyFont="1" applyFill="1" applyProtection="1"/>
    <xf numFmtId="0" fontId="60" fillId="2" borderId="17" xfId="0" applyFont="1" applyFill="1" applyBorder="1" applyProtection="1"/>
    <xf numFmtId="0" fontId="4" fillId="11" borderId="2" xfId="0" applyFont="1" applyFill="1" applyBorder="1" applyAlignment="1" applyProtection="1">
      <alignment horizontal="center" vertical="center"/>
    </xf>
    <xf numFmtId="0" fontId="10" fillId="11" borderId="2" xfId="0" applyFont="1" applyFill="1" applyBorder="1" applyAlignment="1" applyProtection="1">
      <alignment vertical="center" wrapText="1"/>
    </xf>
    <xf numFmtId="0" fontId="10" fillId="2" borderId="7" xfId="0" applyFont="1" applyFill="1" applyBorder="1" applyAlignment="1" applyProtection="1">
      <alignment vertical="center"/>
    </xf>
    <xf numFmtId="0" fontId="7" fillId="2" borderId="7" xfId="0" applyFont="1" applyFill="1" applyBorder="1" applyAlignment="1" applyProtection="1">
      <alignment horizontal="left" vertical="center" wrapText="1" indent="4"/>
    </xf>
    <xf numFmtId="0" fontId="7" fillId="2" borderId="0" xfId="0" applyFont="1" applyFill="1" applyBorder="1" applyAlignment="1" applyProtection="1"/>
    <xf numFmtId="0" fontId="0" fillId="2"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38" fillId="2" borderId="0" xfId="0" applyFont="1" applyFill="1" applyAlignment="1" applyProtection="1">
      <alignment vertical="top" wrapText="1"/>
      <protection locked="0"/>
    </xf>
    <xf numFmtId="0" fontId="38" fillId="2" borderId="17" xfId="0" applyFont="1" applyFill="1" applyBorder="1" applyAlignment="1" applyProtection="1">
      <alignment vertical="top" wrapText="1"/>
      <protection locked="0"/>
    </xf>
    <xf numFmtId="0" fontId="38" fillId="2" borderId="7" xfId="0" applyFont="1" applyFill="1" applyBorder="1" applyAlignment="1" applyProtection="1">
      <alignment vertical="top" wrapText="1"/>
      <protection locked="0"/>
    </xf>
    <xf numFmtId="0" fontId="59" fillId="2" borderId="0" xfId="0" applyFont="1" applyFill="1" applyProtection="1"/>
    <xf numFmtId="0" fontId="61" fillId="2" borderId="17" xfId="0" applyFont="1" applyFill="1" applyBorder="1" applyProtection="1"/>
    <xf numFmtId="0" fontId="4" fillId="12" borderId="2" xfId="0" applyFont="1" applyFill="1" applyBorder="1" applyAlignment="1" applyProtection="1">
      <alignment horizontal="center" vertical="center"/>
    </xf>
    <xf numFmtId="0" fontId="10" fillId="12" borderId="2" xfId="0" applyFont="1" applyFill="1" applyBorder="1" applyAlignment="1" applyProtection="1">
      <alignment vertical="center" wrapText="1"/>
    </xf>
    <xf numFmtId="0" fontId="0" fillId="2" borderId="0" xfId="0" applyFont="1" applyFill="1" applyBorder="1" applyAlignment="1" applyProtection="1">
      <alignment vertical="center"/>
    </xf>
    <xf numFmtId="0" fontId="88" fillId="2" borderId="0" xfId="1" applyFill="1" applyBorder="1" applyAlignment="1" applyProtection="1">
      <alignment horizontal="left" vertical="center"/>
    </xf>
    <xf numFmtId="0" fontId="10" fillId="2" borderId="0" xfId="0" applyFont="1" applyFill="1" applyBorder="1" applyAlignment="1" applyProtection="1">
      <alignment vertical="center"/>
    </xf>
    <xf numFmtId="0" fontId="7" fillId="2" borderId="0" xfId="0" applyFont="1" applyFill="1" applyBorder="1" applyAlignment="1" applyProtection="1">
      <alignment horizontal="left" vertical="center" wrapText="1" indent="4"/>
    </xf>
    <xf numFmtId="0" fontId="62" fillId="2" borderId="0" xfId="0" applyFont="1" applyFill="1" applyProtection="1"/>
    <xf numFmtId="0" fontId="63" fillId="2" borderId="17" xfId="0" applyFont="1" applyFill="1" applyBorder="1" applyProtection="1"/>
    <xf numFmtId="0" fontId="4" fillId="13" borderId="2" xfId="0" applyFont="1" applyFill="1" applyBorder="1" applyAlignment="1" applyProtection="1">
      <alignment horizontal="center" vertical="center"/>
    </xf>
    <xf numFmtId="0" fontId="10" fillId="13" borderId="2" xfId="0" applyFont="1" applyFill="1" applyBorder="1" applyAlignment="1" applyProtection="1">
      <alignment vertical="center" wrapText="1"/>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left"/>
    </xf>
    <xf numFmtId="0" fontId="64" fillId="0" borderId="0" xfId="0" applyFont="1" applyFill="1" applyProtection="1"/>
    <xf numFmtId="0" fontId="65" fillId="2" borderId="17" xfId="0" applyFont="1" applyFill="1" applyBorder="1" applyProtection="1"/>
    <xf numFmtId="0" fontId="7" fillId="14" borderId="2" xfId="0" applyFont="1" applyFill="1" applyBorder="1" applyAlignment="1" applyProtection="1">
      <alignment horizontal="center" vertical="center"/>
    </xf>
    <xf numFmtId="0" fontId="10" fillId="14" borderId="2" xfId="0" applyFont="1" applyFill="1" applyBorder="1" applyAlignment="1" applyProtection="1">
      <alignment vertical="center" wrapText="1"/>
    </xf>
    <xf numFmtId="0" fontId="7" fillId="2" borderId="2" xfId="0" applyFont="1" applyFill="1" applyBorder="1" applyAlignment="1" applyProtection="1">
      <alignment horizontal="center" vertical="center"/>
    </xf>
    <xf numFmtId="0" fontId="66" fillId="2" borderId="0" xfId="0" applyFont="1" applyFill="1" applyProtection="1"/>
    <xf numFmtId="0" fontId="67" fillId="2" borderId="17" xfId="0" applyFont="1" applyFill="1" applyBorder="1" applyProtection="1"/>
    <xf numFmtId="0" fontId="7" fillId="15" borderId="2" xfId="0" applyFont="1" applyFill="1" applyBorder="1" applyAlignment="1" applyProtection="1">
      <alignment horizontal="center" vertical="center"/>
    </xf>
    <xf numFmtId="0" fontId="10" fillId="15" borderId="2" xfId="0" applyFont="1" applyFill="1" applyBorder="1" applyAlignment="1" applyProtection="1">
      <alignment vertical="center" wrapText="1"/>
    </xf>
    <xf numFmtId="0" fontId="0" fillId="2" borderId="7" xfId="0" applyFill="1" applyBorder="1" applyAlignment="1" applyProtection="1"/>
    <xf numFmtId="0" fontId="4" fillId="2" borderId="9" xfId="0" applyFont="1" applyFill="1" applyBorder="1" applyAlignment="1">
      <alignment horizontal="left" indent="4"/>
    </xf>
    <xf numFmtId="0" fontId="4" fillId="2" borderId="9" xfId="0" applyFont="1" applyFill="1" applyBorder="1" applyAlignment="1">
      <alignment horizontal="left" indent="3"/>
    </xf>
    <xf numFmtId="0" fontId="0" fillId="2" borderId="0"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0" fillId="2" borderId="0" xfId="0" applyFill="1" applyProtection="1"/>
    <xf numFmtId="0" fontId="50" fillId="3" borderId="19" xfId="0" applyFont="1" applyFill="1" applyBorder="1" applyProtection="1"/>
    <xf numFmtId="0" fontId="0" fillId="3" borderId="20" xfId="0" applyFill="1" applyBorder="1" applyProtection="1"/>
    <xf numFmtId="0" fontId="0" fillId="3" borderId="21" xfId="0" applyFill="1" applyBorder="1" applyProtection="1"/>
    <xf numFmtId="0" fontId="0" fillId="2" borderId="0" xfId="0" applyFill="1" applyBorder="1" applyProtection="1"/>
    <xf numFmtId="0" fontId="44" fillId="2" borderId="11" xfId="0" applyFont="1" applyFill="1" applyBorder="1" applyProtection="1"/>
    <xf numFmtId="0" fontId="0" fillId="2" borderId="12" xfId="0" applyFill="1" applyBorder="1" applyProtection="1"/>
    <xf numFmtId="0" fontId="0" fillId="2" borderId="13" xfId="0" applyFill="1" applyBorder="1" applyProtection="1"/>
    <xf numFmtId="0" fontId="44" fillId="2" borderId="14" xfId="0" applyFont="1" applyFill="1" applyBorder="1" applyProtection="1"/>
    <xf numFmtId="0" fontId="0" fillId="2" borderId="15" xfId="0" applyFill="1" applyBorder="1" applyProtection="1"/>
    <xf numFmtId="0" fontId="4" fillId="2" borderId="0" xfId="0" applyFont="1" applyFill="1" applyBorder="1" applyProtection="1"/>
    <xf numFmtId="0" fontId="36" fillId="2" borderId="0" xfId="0" applyFont="1" applyFill="1" applyBorder="1" applyProtection="1"/>
    <xf numFmtId="0" fontId="36" fillId="2" borderId="0" xfId="0" applyFont="1" applyFill="1" applyProtection="1"/>
    <xf numFmtId="0" fontId="51" fillId="3" borderId="11" xfId="0" applyFont="1" applyFill="1" applyBorder="1" applyProtection="1"/>
    <xf numFmtId="0" fontId="48" fillId="3" borderId="12" xfId="0" applyFont="1" applyFill="1" applyBorder="1" applyProtection="1"/>
    <xf numFmtId="0" fontId="51" fillId="3" borderId="12" xfId="0" applyFont="1" applyFill="1" applyBorder="1" applyProtection="1"/>
    <xf numFmtId="0" fontId="48" fillId="3" borderId="13" xfId="0" applyFont="1" applyFill="1" applyBorder="1" applyProtection="1"/>
    <xf numFmtId="0" fontId="7" fillId="2" borderId="0" xfId="0" applyFont="1" applyFill="1" applyAlignment="1" applyProtection="1">
      <alignment wrapText="1"/>
      <protection locked="0"/>
    </xf>
    <xf numFmtId="0" fontId="0" fillId="2" borderId="0" xfId="0" applyFill="1" applyBorder="1" applyAlignment="1" applyProtection="1">
      <alignment wrapText="1"/>
      <protection locked="0"/>
    </xf>
    <xf numFmtId="0" fontId="7" fillId="2" borderId="0" xfId="0" applyFont="1" applyFill="1" applyBorder="1" applyAlignment="1" applyProtection="1">
      <alignment wrapText="1"/>
      <protection locked="0"/>
    </xf>
    <xf numFmtId="0" fontId="7" fillId="2" borderId="0" xfId="0" applyFont="1" applyFill="1" applyBorder="1" applyAlignment="1" applyProtection="1">
      <alignment horizontal="left" wrapText="1"/>
      <protection locked="0"/>
    </xf>
    <xf numFmtId="0" fontId="15" fillId="0" borderId="0" xfId="0" applyFont="1" applyFill="1" applyBorder="1" applyAlignment="1">
      <alignment vertical="center"/>
    </xf>
    <xf numFmtId="0" fontId="0" fillId="0" borderId="0" xfId="0" applyFill="1" applyBorder="1"/>
    <xf numFmtId="0" fontId="16"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Fill="1" applyBorder="1"/>
    <xf numFmtId="0" fontId="19" fillId="0" borderId="0" xfId="0" applyFont="1" applyFill="1" applyBorder="1" applyAlignment="1">
      <alignment vertical="center" wrapText="1"/>
    </xf>
    <xf numFmtId="0" fontId="5" fillId="0" borderId="0" xfId="0" applyFont="1" applyFill="1" applyBorder="1" applyAlignment="1">
      <alignment vertical="top" wrapText="1"/>
    </xf>
    <xf numFmtId="0" fontId="21" fillId="0" borderId="0" xfId="0" applyFont="1" applyFill="1" applyBorder="1" applyAlignment="1">
      <alignment vertical="center"/>
    </xf>
    <xf numFmtId="0" fontId="23" fillId="0" borderId="0" xfId="0" applyFont="1" applyFill="1" applyBorder="1" applyAlignment="1">
      <alignment vertical="center"/>
    </xf>
    <xf numFmtId="0" fontId="95" fillId="0" borderId="0" xfId="0" applyFont="1" applyFill="1" applyBorder="1" applyAlignment="1">
      <alignment vertical="center"/>
    </xf>
    <xf numFmtId="0" fontId="22" fillId="0" borderId="0" xfId="0" applyFont="1" applyFill="1" applyBorder="1" applyAlignment="1">
      <alignment vertical="center"/>
    </xf>
    <xf numFmtId="0" fontId="32" fillId="0" borderId="0" xfId="0" applyFont="1" applyFill="1" applyBorder="1"/>
    <xf numFmtId="0" fontId="33" fillId="0" borderId="0" xfId="0" applyFont="1" applyFill="1" applyBorder="1"/>
    <xf numFmtId="0" fontId="20" fillId="0" borderId="0" xfId="0" applyFont="1" applyFill="1" applyBorder="1" applyAlignment="1">
      <alignment vertical="top" wrapText="1"/>
    </xf>
    <xf numFmtId="0" fontId="20" fillId="0" borderId="0" xfId="0" applyFont="1" applyFill="1" applyBorder="1" applyAlignment="1">
      <alignment vertical="center" wrapText="1"/>
    </xf>
    <xf numFmtId="0" fontId="95" fillId="0" borderId="0" xfId="0" applyFont="1" applyFill="1" applyBorder="1"/>
    <xf numFmtId="0" fontId="34" fillId="0" borderId="0" xfId="0" applyFont="1" applyFill="1" applyBorder="1"/>
    <xf numFmtId="0" fontId="35" fillId="0" borderId="0" xfId="0" applyFont="1" applyFill="1" applyBorder="1"/>
    <xf numFmtId="0" fontId="26" fillId="0" borderId="0" xfId="0" applyFont="1" applyFill="1" applyBorder="1"/>
    <xf numFmtId="0" fontId="24" fillId="0" borderId="0" xfId="0" applyFont="1" applyFill="1" applyBorder="1" applyAlignment="1">
      <alignment vertical="center"/>
    </xf>
    <xf numFmtId="0" fontId="0" fillId="0" borderId="0" xfId="0" applyFill="1" applyBorder="1" applyAlignment="1">
      <alignment wrapText="1"/>
    </xf>
    <xf numFmtId="0" fontId="25" fillId="0" borderId="0" xfId="0" applyFont="1" applyFill="1" applyBorder="1" applyAlignment="1">
      <alignment vertical="center" wrapText="1"/>
    </xf>
    <xf numFmtId="0" fontId="10" fillId="2" borderId="2" xfId="0" applyFont="1" applyFill="1" applyBorder="1" applyAlignment="1" applyProtection="1">
      <alignment vertical="center" wrapText="1"/>
    </xf>
    <xf numFmtId="0" fontId="0" fillId="2" borderId="44" xfId="0" applyFont="1" applyFill="1" applyBorder="1" applyAlignment="1">
      <alignment horizontal="center"/>
    </xf>
    <xf numFmtId="0" fontId="0" fillId="2" borderId="42" xfId="0" applyFont="1" applyFill="1" applyBorder="1" applyAlignment="1">
      <alignment horizontal="center"/>
    </xf>
    <xf numFmtId="2" fontId="0" fillId="2" borderId="42" xfId="0" applyNumberFormat="1" applyFont="1" applyFill="1" applyBorder="1" applyAlignment="1">
      <alignment horizontal="center"/>
    </xf>
    <xf numFmtId="0" fontId="4" fillId="2" borderId="42" xfId="0" applyFont="1" applyFill="1" applyBorder="1" applyAlignment="1">
      <alignment horizontal="left"/>
    </xf>
    <xf numFmtId="0" fontId="0" fillId="0" borderId="0" xfId="0" applyFont="1" applyFill="1" applyBorder="1"/>
    <xf numFmtId="0" fontId="0" fillId="2" borderId="0"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0" fillId="0" borderId="0" xfId="0" applyAlignment="1" applyProtection="1">
      <alignment wrapText="1"/>
    </xf>
    <xf numFmtId="0" fontId="7" fillId="2" borderId="0" xfId="0" applyFont="1" applyFill="1" applyBorder="1" applyAlignment="1" applyProtection="1">
      <alignment horizontal="left" wrapText="1"/>
    </xf>
    <xf numFmtId="0" fontId="4" fillId="0" borderId="0" xfId="0" applyFont="1" applyFill="1" applyBorder="1"/>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7" fillId="2" borderId="0" xfId="0" applyFont="1" applyFill="1" applyBorder="1" applyAlignment="1" applyProtection="1">
      <alignment vertical="center"/>
      <protection locked="0"/>
    </xf>
    <xf numFmtId="0" fontId="0" fillId="2" borderId="7"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xf>
    <xf numFmtId="0" fontId="0" fillId="0" borderId="0" xfId="0" applyFill="1" applyAlignment="1" applyProtection="1">
      <alignment wrapText="1"/>
    </xf>
    <xf numFmtId="0" fontId="99" fillId="2" borderId="0" xfId="0" applyFont="1" applyFill="1" applyBorder="1" applyAlignment="1">
      <alignment horizontal="center"/>
    </xf>
    <xf numFmtId="0" fontId="99" fillId="2" borderId="6" xfId="0" applyFont="1" applyFill="1" applyBorder="1" applyAlignment="1">
      <alignment horizontal="center"/>
    </xf>
    <xf numFmtId="0" fontId="99" fillId="2" borderId="0" xfId="0" applyFont="1" applyFill="1" applyBorder="1"/>
    <xf numFmtId="0" fontId="12" fillId="2" borderId="8" xfId="0" applyFont="1" applyFill="1" applyBorder="1" applyAlignment="1">
      <alignment horizontal="center"/>
    </xf>
    <xf numFmtId="0" fontId="4" fillId="2" borderId="9" xfId="0" applyFont="1" applyFill="1" applyBorder="1" applyAlignment="1">
      <alignment horizontal="left" vertical="top" wrapText="1"/>
    </xf>
    <xf numFmtId="0" fontId="100" fillId="2" borderId="48" xfId="0" applyFont="1" applyFill="1" applyBorder="1" applyAlignment="1">
      <alignment horizontal="left" indent="4"/>
    </xf>
    <xf numFmtId="0" fontId="14" fillId="2" borderId="48" xfId="0" applyFont="1" applyFill="1" applyBorder="1" applyAlignment="1">
      <alignment horizontal="center"/>
    </xf>
    <xf numFmtId="9" fontId="14" fillId="2" borderId="48" xfId="0" applyNumberFormat="1" applyFont="1" applyFill="1" applyBorder="1" applyAlignment="1">
      <alignment horizontal="center"/>
    </xf>
    <xf numFmtId="0" fontId="4" fillId="2" borderId="8" xfId="0" applyFont="1" applyFill="1" applyBorder="1" applyAlignment="1">
      <alignment horizontal="left" vertical="top" wrapText="1"/>
    </xf>
    <xf numFmtId="0" fontId="36" fillId="0" borderId="0" xfId="0" applyFont="1" applyFill="1" applyBorder="1"/>
    <xf numFmtId="0" fontId="101" fillId="0" borderId="0" xfId="0" applyFont="1" applyFill="1" applyBorder="1" applyAlignment="1">
      <alignment vertical="center"/>
    </xf>
    <xf numFmtId="0" fontId="89" fillId="2" borderId="0" xfId="0" applyFont="1" applyFill="1" applyBorder="1" applyProtection="1"/>
    <xf numFmtId="0" fontId="103" fillId="2" borderId="14" xfId="0" applyFont="1" applyFill="1" applyBorder="1" applyProtection="1"/>
    <xf numFmtId="0" fontId="99" fillId="2" borderId="0" xfId="0" applyFont="1" applyFill="1" applyBorder="1" applyProtection="1"/>
    <xf numFmtId="0" fontId="44" fillId="2" borderId="16" xfId="0" applyFont="1" applyFill="1" applyBorder="1" applyProtection="1"/>
    <xf numFmtId="0" fontId="36" fillId="2" borderId="17" xfId="0" applyFont="1" applyFill="1" applyBorder="1" applyProtection="1"/>
    <xf numFmtId="0" fontId="36" fillId="2" borderId="18" xfId="0" applyFont="1" applyFill="1" applyBorder="1" applyProtection="1"/>
    <xf numFmtId="164" fontId="12" fillId="2" borderId="8" xfId="0" applyNumberFormat="1" applyFont="1" applyFill="1" applyBorder="1" applyAlignment="1">
      <alignment horizontal="center"/>
    </xf>
    <xf numFmtId="164" fontId="29" fillId="2" borderId="9" xfId="0" applyNumberFormat="1" applyFont="1" applyFill="1" applyBorder="1" applyAlignment="1">
      <alignment horizontal="center"/>
    </xf>
    <xf numFmtId="164" fontId="29" fillId="2" borderId="0" xfId="0" applyNumberFormat="1" applyFont="1" applyFill="1" applyBorder="1" applyAlignment="1">
      <alignment horizontal="center"/>
    </xf>
    <xf numFmtId="164" fontId="27" fillId="2" borderId="9" xfId="0" applyNumberFormat="1" applyFont="1" applyFill="1" applyBorder="1" applyAlignment="1">
      <alignment horizontal="center"/>
    </xf>
    <xf numFmtId="164" fontId="27" fillId="2" borderId="0" xfId="0" applyNumberFormat="1" applyFont="1" applyFill="1" applyBorder="1" applyAlignment="1">
      <alignment horizontal="center"/>
    </xf>
    <xf numFmtId="164" fontId="14" fillId="2" borderId="0" xfId="0" applyNumberFormat="1" applyFont="1" applyFill="1" applyBorder="1" applyAlignment="1">
      <alignment horizontal="center"/>
    </xf>
    <xf numFmtId="164" fontId="0" fillId="2" borderId="0" xfId="0" applyNumberFormat="1" applyFont="1" applyFill="1" applyBorder="1"/>
    <xf numFmtId="164" fontId="6" fillId="2" borderId="0" xfId="0" applyNumberFormat="1" applyFont="1" applyFill="1" applyBorder="1"/>
    <xf numFmtId="164" fontId="12" fillId="2" borderId="8" xfId="0" applyNumberFormat="1" applyFont="1" applyFill="1" applyBorder="1" applyAlignment="1">
      <alignment horizontal="center" wrapText="1"/>
    </xf>
    <xf numFmtId="0" fontId="0" fillId="2" borderId="4" xfId="0" applyFont="1" applyFill="1" applyBorder="1" applyAlignment="1"/>
    <xf numFmtId="0" fontId="0" fillId="2" borderId="35" xfId="0" applyFont="1" applyFill="1" applyBorder="1" applyAlignment="1"/>
    <xf numFmtId="0" fontId="0" fillId="2" borderId="41" xfId="0" applyFont="1" applyFill="1" applyBorder="1" applyAlignment="1"/>
    <xf numFmtId="0" fontId="0" fillId="2" borderId="46" xfId="0" applyFont="1" applyFill="1" applyBorder="1" applyAlignment="1"/>
    <xf numFmtId="0" fontId="0" fillId="2" borderId="47" xfId="0" applyFont="1" applyFill="1" applyBorder="1" applyAlignment="1"/>
    <xf numFmtId="0" fontId="0" fillId="2" borderId="34" xfId="0" applyFont="1" applyFill="1" applyBorder="1" applyAlignment="1"/>
    <xf numFmtId="0" fontId="0" fillId="2" borderId="0" xfId="0" applyFont="1" applyFill="1" applyBorder="1" applyAlignment="1"/>
    <xf numFmtId="0" fontId="6" fillId="2" borderId="0" xfId="0" applyFont="1" applyFill="1" applyBorder="1" applyAlignment="1"/>
    <xf numFmtId="0" fontId="0" fillId="2" borderId="0" xfId="0" applyFill="1" applyAlignment="1">
      <alignment horizontal="center"/>
    </xf>
    <xf numFmtId="0" fontId="0" fillId="2" borderId="0" xfId="0" applyFill="1" applyAlignment="1">
      <alignment horizontal="left"/>
    </xf>
    <xf numFmtId="0" fontId="26" fillId="0" borderId="0" xfId="0" applyFont="1" applyFill="1" applyBorder="1" applyAlignment="1">
      <alignment vertical="center"/>
    </xf>
    <xf numFmtId="0" fontId="40" fillId="2" borderId="0" xfId="0" applyFont="1" applyFill="1" applyBorder="1"/>
    <xf numFmtId="0" fontId="107" fillId="2" borderId="0" xfId="0" applyFont="1" applyFill="1" applyBorder="1"/>
    <xf numFmtId="0" fontId="107" fillId="0" borderId="0" xfId="0" applyFont="1" applyFill="1" applyBorder="1"/>
    <xf numFmtId="0" fontId="44" fillId="2" borderId="0" xfId="0" applyFont="1" applyFill="1" applyBorder="1" applyAlignment="1">
      <alignment vertical="top" wrapText="1"/>
    </xf>
    <xf numFmtId="0" fontId="108" fillId="2" borderId="0" xfId="0" applyFont="1" applyFill="1" applyBorder="1" applyAlignment="1">
      <alignment vertical="center" wrapText="1"/>
    </xf>
    <xf numFmtId="0" fontId="109" fillId="2" borderId="0" xfId="0" applyFont="1" applyFill="1" applyBorder="1" applyAlignment="1">
      <alignment horizontal="left" vertical="top" wrapText="1"/>
    </xf>
    <xf numFmtId="0" fontId="112" fillId="2" borderId="56" xfId="0" applyFont="1" applyFill="1" applyBorder="1" applyAlignment="1">
      <alignment horizontal="left"/>
    </xf>
    <xf numFmtId="0" fontId="0" fillId="2" borderId="57" xfId="0" applyFill="1" applyBorder="1"/>
    <xf numFmtId="0" fontId="28" fillId="2" borderId="57" xfId="0" applyFont="1" applyFill="1" applyBorder="1"/>
    <xf numFmtId="0" fontId="37" fillId="2" borderId="0" xfId="0" applyFont="1" applyFill="1" applyBorder="1"/>
    <xf numFmtId="0" fontId="114" fillId="2" borderId="57" xfId="0" applyFont="1" applyFill="1" applyBorder="1"/>
    <xf numFmtId="0" fontId="0" fillId="2" borderId="0" xfId="0" applyFill="1" applyBorder="1" applyAlignment="1">
      <alignment vertical="top" wrapText="1"/>
    </xf>
    <xf numFmtId="0" fontId="0" fillId="2" borderId="0" xfId="0" applyFill="1" applyAlignment="1">
      <alignment vertical="top" wrapText="1"/>
    </xf>
    <xf numFmtId="0" fontId="28" fillId="2" borderId="58" xfId="0" applyFont="1" applyFill="1" applyBorder="1"/>
    <xf numFmtId="0" fontId="3" fillId="2" borderId="2" xfId="0" applyFont="1" applyFill="1" applyBorder="1" applyProtection="1"/>
    <xf numFmtId="0" fontId="3" fillId="2" borderId="2" xfId="0" applyFont="1" applyFill="1" applyBorder="1" applyAlignment="1" applyProtection="1">
      <alignment horizontal="left" vertical="center" wrapText="1" indent="4"/>
    </xf>
    <xf numFmtId="0" fontId="3" fillId="17" borderId="2" xfId="0" applyFont="1" applyFill="1" applyBorder="1" applyAlignment="1" applyProtection="1">
      <alignment horizontal="left" vertical="center" wrapText="1" indent="4"/>
    </xf>
    <xf numFmtId="0" fontId="115" fillId="3" borderId="2" xfId="0" applyFont="1" applyFill="1" applyBorder="1" applyAlignment="1" applyProtection="1">
      <alignment horizontal="center" wrapText="1"/>
    </xf>
    <xf numFmtId="0" fontId="3" fillId="3" borderId="2" xfId="0" applyFont="1" applyFill="1" applyBorder="1" applyAlignment="1" applyProtection="1">
      <alignment horizontal="center" wrapText="1"/>
    </xf>
    <xf numFmtId="0" fontId="115" fillId="2" borderId="1" xfId="0" applyFont="1" applyFill="1" applyBorder="1" applyAlignment="1" applyProtection="1">
      <alignment horizontal="center" wrapText="1"/>
    </xf>
    <xf numFmtId="0" fontId="116" fillId="2" borderId="1" xfId="0" applyFont="1" applyFill="1" applyBorder="1" applyAlignment="1" applyProtection="1">
      <alignment wrapText="1"/>
      <protection locked="0"/>
    </xf>
    <xf numFmtId="0" fontId="116" fillId="2" borderId="1" xfId="0" applyFont="1" applyFill="1" applyBorder="1" applyAlignment="1" applyProtection="1">
      <alignment horizontal="left" wrapText="1"/>
      <protection locked="0"/>
    </xf>
    <xf numFmtId="0" fontId="117" fillId="2" borderId="2" xfId="0" applyFont="1" applyFill="1" applyBorder="1" applyAlignment="1" applyProtection="1">
      <alignment vertical="top" wrapText="1"/>
      <protection locked="0"/>
    </xf>
    <xf numFmtId="0" fontId="117" fillId="2" borderId="7" xfId="0" applyFont="1" applyFill="1" applyBorder="1" applyAlignment="1" applyProtection="1">
      <alignment vertical="top" wrapText="1"/>
      <protection locked="0"/>
    </xf>
    <xf numFmtId="0" fontId="117" fillId="2" borderId="0" xfId="0" applyFont="1" applyFill="1" applyAlignment="1" applyProtection="1">
      <alignment vertical="top" wrapText="1"/>
      <protection locked="0"/>
    </xf>
    <xf numFmtId="0" fontId="117" fillId="2" borderId="1" xfId="0" applyFont="1" applyFill="1" applyBorder="1" applyAlignment="1" applyProtection="1">
      <alignment vertical="top" wrapText="1"/>
      <protection locked="0"/>
    </xf>
    <xf numFmtId="0" fontId="117" fillId="2" borderId="2" xfId="0" applyFont="1" applyFill="1" applyBorder="1" applyAlignment="1" applyProtection="1">
      <alignment horizontal="left" vertical="top" wrapText="1"/>
      <protection locked="0"/>
    </xf>
    <xf numFmtId="0" fontId="117" fillId="2" borderId="0" xfId="0" applyFont="1" applyFill="1" applyBorder="1" applyAlignment="1" applyProtection="1">
      <alignment horizontal="left" vertical="top" wrapText="1"/>
      <protection locked="0"/>
    </xf>
    <xf numFmtId="0" fontId="118" fillId="16" borderId="9" xfId="0" applyFont="1" applyFill="1" applyBorder="1" applyAlignment="1">
      <alignment horizontal="left"/>
    </xf>
    <xf numFmtId="0" fontId="119" fillId="2" borderId="0" xfId="0" applyFont="1" applyFill="1" applyBorder="1" applyAlignment="1">
      <alignment horizontal="center"/>
    </xf>
    <xf numFmtId="164" fontId="3" fillId="2" borderId="0" xfId="0" applyNumberFormat="1" applyFont="1" applyFill="1" applyBorder="1"/>
    <xf numFmtId="0" fontId="3" fillId="2" borderId="0" xfId="0" applyFont="1" applyFill="1" applyBorder="1"/>
    <xf numFmtId="0" fontId="115" fillId="2" borderId="59" xfId="0" applyFont="1" applyFill="1" applyBorder="1" applyAlignment="1">
      <alignment horizontal="left" indent="2"/>
    </xf>
    <xf numFmtId="0" fontId="115" fillId="2" borderId="60" xfId="0" applyFont="1" applyFill="1" applyBorder="1" applyAlignment="1">
      <alignment horizontal="left" indent="2"/>
    </xf>
    <xf numFmtId="0" fontId="115" fillId="2" borderId="61" xfId="0" applyFont="1" applyFill="1" applyBorder="1" applyAlignment="1">
      <alignment horizontal="left" indent="2"/>
    </xf>
    <xf numFmtId="164" fontId="12" fillId="2" borderId="0" xfId="0" applyNumberFormat="1" applyFont="1" applyFill="1" applyBorder="1" applyAlignment="1">
      <alignment horizontal="center" vertical="center"/>
    </xf>
    <xf numFmtId="164" fontId="12" fillId="2" borderId="0" xfId="0" applyNumberFormat="1" applyFont="1" applyFill="1" applyBorder="1" applyAlignment="1">
      <alignment horizontal="center" wrapText="1"/>
    </xf>
    <xf numFmtId="0" fontId="76" fillId="18" borderId="0" xfId="0" applyFont="1" applyFill="1" applyBorder="1" applyAlignment="1">
      <alignment horizontal="center"/>
    </xf>
    <xf numFmtId="164" fontId="118" fillId="18" borderId="0" xfId="0" applyNumberFormat="1" applyFont="1" applyFill="1" applyBorder="1" applyAlignment="1">
      <alignment horizontal="center"/>
    </xf>
    <xf numFmtId="0" fontId="118" fillId="18" borderId="0" xfId="0" applyFont="1" applyFill="1" applyBorder="1" applyAlignment="1">
      <alignment horizontal="center"/>
    </xf>
    <xf numFmtId="0" fontId="76" fillId="4" borderId="0" xfId="0" applyFont="1" applyFill="1" applyBorder="1" applyAlignment="1">
      <alignment horizontal="center"/>
    </xf>
    <xf numFmtId="164" fontId="81" fillId="4" borderId="0" xfId="0" applyNumberFormat="1" applyFont="1" applyFill="1" applyBorder="1" applyAlignment="1">
      <alignment horizontal="center"/>
    </xf>
    <xf numFmtId="0" fontId="81" fillId="4" borderId="0" xfId="0" applyFont="1" applyFill="1" applyBorder="1" applyAlignment="1">
      <alignment horizontal="center"/>
    </xf>
    <xf numFmtId="0" fontId="27" fillId="2" borderId="62" xfId="0" applyFont="1" applyFill="1" applyBorder="1" applyAlignment="1">
      <alignment horizontal="center"/>
    </xf>
    <xf numFmtId="164" fontId="120" fillId="2" borderId="62" xfId="0" applyNumberFormat="1" applyFont="1" applyFill="1" applyBorder="1" applyAlignment="1">
      <alignment horizontal="center"/>
    </xf>
    <xf numFmtId="0" fontId="120" fillId="2" borderId="62" xfId="0" applyFont="1" applyFill="1" applyBorder="1" applyAlignment="1">
      <alignment horizontal="center"/>
    </xf>
    <xf numFmtId="0" fontId="27" fillId="2" borderId="63" xfId="0" applyFont="1" applyFill="1" applyBorder="1" applyAlignment="1">
      <alignment horizontal="center"/>
    </xf>
    <xf numFmtId="164" fontId="120" fillId="2" borderId="63" xfId="0" applyNumberFormat="1" applyFont="1" applyFill="1" applyBorder="1" applyAlignment="1">
      <alignment horizontal="center"/>
    </xf>
    <xf numFmtId="0" fontId="120" fillId="2" borderId="63" xfId="0" applyFont="1" applyFill="1" applyBorder="1" applyAlignment="1">
      <alignment horizontal="center"/>
    </xf>
    <xf numFmtId="0" fontId="14" fillId="2" borderId="64" xfId="0" applyFont="1" applyFill="1" applyBorder="1" applyAlignment="1">
      <alignment horizontal="center"/>
    </xf>
    <xf numFmtId="164" fontId="120" fillId="2" borderId="64" xfId="0" applyNumberFormat="1" applyFont="1" applyFill="1" applyBorder="1" applyAlignment="1">
      <alignment horizontal="center"/>
    </xf>
    <xf numFmtId="0" fontId="120" fillId="2" borderId="64" xfId="0" applyFont="1" applyFill="1" applyBorder="1" applyAlignment="1">
      <alignment horizontal="center"/>
    </xf>
    <xf numFmtId="0" fontId="13" fillId="5" borderId="0" xfId="0" applyFont="1" applyFill="1" applyBorder="1" applyAlignment="1">
      <alignment horizontal="center"/>
    </xf>
    <xf numFmtId="164" fontId="81" fillId="5" borderId="0" xfId="0" applyNumberFormat="1" applyFont="1" applyFill="1" applyBorder="1" applyAlignment="1">
      <alignment horizontal="center"/>
    </xf>
    <xf numFmtId="0" fontId="81" fillId="5" borderId="0" xfId="0" applyFont="1" applyFill="1" applyBorder="1" applyAlignment="1">
      <alignment horizontal="center"/>
    </xf>
    <xf numFmtId="0" fontId="14" fillId="2" borderId="62" xfId="0" applyFont="1" applyFill="1" applyBorder="1" applyAlignment="1">
      <alignment horizontal="center"/>
    </xf>
    <xf numFmtId="0" fontId="14" fillId="2" borderId="63" xfId="0" applyFont="1" applyFill="1" applyBorder="1" applyAlignment="1">
      <alignment horizontal="center"/>
    </xf>
    <xf numFmtId="0" fontId="27" fillId="2" borderId="64" xfId="0" applyFont="1" applyFill="1" applyBorder="1" applyAlignment="1">
      <alignment horizontal="center"/>
    </xf>
    <xf numFmtId="0" fontId="81" fillId="8" borderId="0" xfId="0" applyFont="1" applyFill="1" applyBorder="1" applyAlignment="1">
      <alignment horizontal="center"/>
    </xf>
    <xf numFmtId="164" fontId="81" fillId="8" borderId="0" xfId="0" applyNumberFormat="1" applyFont="1" applyFill="1" applyBorder="1" applyAlignment="1">
      <alignment horizontal="center"/>
    </xf>
    <xf numFmtId="0" fontId="81" fillId="9" borderId="0" xfId="0" applyFont="1" applyFill="1" applyBorder="1" applyAlignment="1">
      <alignment horizontal="center"/>
    </xf>
    <xf numFmtId="164" fontId="81" fillId="9" borderId="0" xfId="0" applyNumberFormat="1" applyFont="1" applyFill="1" applyBorder="1" applyAlignment="1">
      <alignment horizontal="center"/>
    </xf>
    <xf numFmtId="0" fontId="13" fillId="6" borderId="0" xfId="0" applyFont="1" applyFill="1" applyBorder="1" applyAlignment="1">
      <alignment horizontal="center"/>
    </xf>
    <xf numFmtId="164" fontId="81" fillId="6" borderId="0" xfId="0" applyNumberFormat="1" applyFont="1" applyFill="1" applyBorder="1" applyAlignment="1">
      <alignment horizontal="center"/>
    </xf>
    <xf numFmtId="0" fontId="81" fillId="6" borderId="0" xfId="0" applyFont="1" applyFill="1" applyBorder="1" applyAlignment="1">
      <alignment horizontal="center"/>
    </xf>
    <xf numFmtId="0" fontId="81" fillId="7" borderId="0" xfId="0" applyFont="1" applyFill="1" applyBorder="1" applyAlignment="1">
      <alignment horizontal="center"/>
    </xf>
    <xf numFmtId="164" fontId="81" fillId="7" borderId="0" xfId="0" applyNumberFormat="1" applyFont="1" applyFill="1" applyBorder="1" applyAlignment="1">
      <alignment horizontal="center"/>
    </xf>
    <xf numFmtId="0" fontId="121" fillId="16" borderId="0" xfId="0" applyFont="1" applyFill="1" applyAlignment="1">
      <alignment horizontal="left" vertical="center" readingOrder="1"/>
    </xf>
    <xf numFmtId="0" fontId="13" fillId="16" borderId="0" xfId="0" applyFont="1" applyFill="1" applyAlignment="1">
      <alignment horizontal="center"/>
    </xf>
    <xf numFmtId="0" fontId="13" fillId="16" borderId="0" xfId="0" applyFont="1" applyFill="1" applyBorder="1"/>
    <xf numFmtId="164" fontId="122" fillId="16" borderId="0" xfId="0" applyNumberFormat="1" applyFont="1" applyFill="1" applyBorder="1"/>
    <xf numFmtId="0" fontId="122" fillId="16" borderId="0" xfId="0" applyFont="1" applyFill="1" applyBorder="1"/>
    <xf numFmtId="0" fontId="0" fillId="2" borderId="0" xfId="0" applyFill="1" applyBorder="1" applyAlignment="1">
      <alignment horizontal="center"/>
    </xf>
    <xf numFmtId="0" fontId="123" fillId="2" borderId="0" xfId="0" applyFont="1" applyFill="1" applyBorder="1" applyAlignment="1">
      <alignment horizontal="left" vertical="center" indent="1"/>
    </xf>
    <xf numFmtId="0" fontId="6" fillId="4" borderId="0" xfId="0" applyFont="1" applyFill="1" applyBorder="1" applyAlignment="1">
      <alignment horizontal="center"/>
    </xf>
    <xf numFmtId="0" fontId="6" fillId="5" borderId="0" xfId="0" applyFont="1" applyFill="1" applyBorder="1" applyAlignment="1">
      <alignment horizontal="center"/>
    </xf>
    <xf numFmtId="0" fontId="6" fillId="8" borderId="0" xfId="0" applyFont="1" applyFill="1" applyBorder="1" applyAlignment="1">
      <alignment horizontal="center"/>
    </xf>
    <xf numFmtId="0" fontId="6" fillId="7" borderId="0" xfId="0" applyFont="1" applyFill="1" applyBorder="1" applyAlignment="1">
      <alignment horizontal="center"/>
    </xf>
    <xf numFmtId="0" fontId="6" fillId="9" borderId="0" xfId="0" applyFont="1" applyFill="1" applyBorder="1" applyAlignment="1">
      <alignment horizontal="center"/>
    </xf>
    <xf numFmtId="0" fontId="6" fillId="6" borderId="0" xfId="0" applyFont="1" applyFill="1" applyBorder="1" applyAlignment="1">
      <alignment horizontal="center"/>
    </xf>
    <xf numFmtId="0" fontId="123" fillId="2" borderId="65" xfId="0" applyFont="1" applyFill="1" applyBorder="1" applyAlignment="1">
      <alignment horizontal="left" vertical="center" indent="1"/>
    </xf>
    <xf numFmtId="0" fontId="0" fillId="2" borderId="65" xfId="0" applyFill="1" applyBorder="1" applyAlignment="1">
      <alignment horizontal="center"/>
    </xf>
    <xf numFmtId="164" fontId="3" fillId="2" borderId="65" xfId="0" applyNumberFormat="1" applyFont="1" applyFill="1" applyBorder="1"/>
    <xf numFmtId="0" fontId="3" fillId="2" borderId="65" xfId="0" applyFont="1" applyFill="1" applyBorder="1"/>
    <xf numFmtId="0" fontId="11" fillId="4" borderId="0" xfId="0" applyFont="1" applyFill="1" applyBorder="1" applyAlignment="1">
      <alignment horizontal="center"/>
    </xf>
    <xf numFmtId="9" fontId="77" fillId="4" borderId="0" xfId="0" applyNumberFormat="1" applyFont="1" applyFill="1" applyBorder="1" applyAlignment="1">
      <alignment horizontal="center" vertical="center"/>
    </xf>
    <xf numFmtId="0" fontId="76" fillId="5" borderId="7" xfId="0" applyFont="1" applyFill="1" applyBorder="1" applyAlignment="1">
      <alignment horizontal="left"/>
    </xf>
    <xf numFmtId="0" fontId="11" fillId="5" borderId="7" xfId="0" applyFont="1" applyFill="1" applyBorder="1" applyAlignment="1">
      <alignment horizontal="center"/>
    </xf>
    <xf numFmtId="9" fontId="77" fillId="5" borderId="7" xfId="0" applyNumberFormat="1" applyFont="1" applyFill="1" applyBorder="1" applyAlignment="1">
      <alignment horizontal="center" vertical="center"/>
    </xf>
    <xf numFmtId="0" fontId="11" fillId="5" borderId="0" xfId="0" applyFont="1" applyFill="1" applyBorder="1" applyAlignment="1">
      <alignment horizontal="center"/>
    </xf>
    <xf numFmtId="9" fontId="77" fillId="5" borderId="0" xfId="0" applyNumberFormat="1" applyFont="1" applyFill="1" applyBorder="1" applyAlignment="1">
      <alignment horizontal="center" vertical="center"/>
    </xf>
    <xf numFmtId="0" fontId="11" fillId="8" borderId="0" xfId="0" applyFont="1" applyFill="1" applyBorder="1" applyAlignment="1">
      <alignment horizontal="center"/>
    </xf>
    <xf numFmtId="9" fontId="77" fillId="8" borderId="0" xfId="0" applyNumberFormat="1" applyFont="1" applyFill="1" applyBorder="1" applyAlignment="1">
      <alignment horizontal="center" vertical="center"/>
    </xf>
    <xf numFmtId="0" fontId="124" fillId="8" borderId="0" xfId="0" applyFont="1" applyFill="1" applyBorder="1" applyAlignment="1">
      <alignment horizontal="left"/>
    </xf>
    <xf numFmtId="0" fontId="124" fillId="5" borderId="0" xfId="0" applyFont="1" applyFill="1" applyBorder="1" applyAlignment="1">
      <alignment horizontal="left"/>
    </xf>
    <xf numFmtId="0" fontId="124" fillId="4" borderId="0" xfId="0" applyFont="1" applyFill="1" applyBorder="1" applyAlignment="1">
      <alignment horizontal="left"/>
    </xf>
    <xf numFmtId="0" fontId="11" fillId="9" borderId="0" xfId="0" applyFont="1" applyFill="1" applyBorder="1" applyAlignment="1">
      <alignment horizontal="center"/>
    </xf>
    <xf numFmtId="9" fontId="77" fillId="9" borderId="0" xfId="0" applyNumberFormat="1" applyFont="1" applyFill="1" applyBorder="1" applyAlignment="1">
      <alignment horizontal="center" vertical="center"/>
    </xf>
    <xf numFmtId="0" fontId="124" fillId="9" borderId="0" xfId="0" applyFont="1" applyFill="1" applyBorder="1" applyAlignment="1">
      <alignment horizontal="left"/>
    </xf>
    <xf numFmtId="0" fontId="11" fillId="6" borderId="0" xfId="0" applyFont="1" applyFill="1" applyBorder="1" applyAlignment="1">
      <alignment horizontal="center"/>
    </xf>
    <xf numFmtId="9" fontId="77" fillId="6" borderId="0" xfId="0" applyNumberFormat="1" applyFont="1" applyFill="1" applyBorder="1" applyAlignment="1">
      <alignment horizontal="center" vertical="center"/>
    </xf>
    <xf numFmtId="0" fontId="124" fillId="6" borderId="0" xfId="0" applyFont="1" applyFill="1" applyBorder="1" applyAlignment="1">
      <alignment horizontal="left"/>
    </xf>
    <xf numFmtId="0" fontId="11" fillId="7" borderId="0" xfId="0" applyFont="1" applyFill="1" applyBorder="1" applyAlignment="1">
      <alignment horizontal="center"/>
    </xf>
    <xf numFmtId="9" fontId="77" fillId="7" borderId="0" xfId="0" applyNumberFormat="1" applyFont="1" applyFill="1" applyBorder="1" applyAlignment="1">
      <alignment horizontal="center" vertical="center"/>
    </xf>
    <xf numFmtId="0" fontId="124" fillId="7" borderId="0" xfId="0" applyFont="1" applyFill="1" applyBorder="1" applyAlignment="1">
      <alignment horizontal="left"/>
    </xf>
    <xf numFmtId="0" fontId="0" fillId="2" borderId="67" xfId="0" applyFont="1" applyFill="1" applyBorder="1" applyAlignment="1">
      <alignment horizontal="center"/>
    </xf>
    <xf numFmtId="0" fontId="11" fillId="9" borderId="1" xfId="0" applyFont="1" applyFill="1" applyBorder="1" applyAlignment="1">
      <alignment horizontal="center"/>
    </xf>
    <xf numFmtId="0" fontId="4" fillId="3" borderId="53" xfId="0" applyFont="1" applyFill="1" applyBorder="1" applyAlignment="1">
      <alignment horizontal="left"/>
    </xf>
    <xf numFmtId="0" fontId="4" fillId="3" borderId="52" xfId="0" applyFont="1" applyFill="1" applyBorder="1" applyAlignment="1">
      <alignment horizontal="left"/>
    </xf>
    <xf numFmtId="9" fontId="27" fillId="2" borderId="10" xfId="0" applyNumberFormat="1" applyFont="1" applyFill="1" applyBorder="1" applyAlignment="1">
      <alignment horizontal="center"/>
    </xf>
    <xf numFmtId="9" fontId="29" fillId="2" borderId="10" xfId="0" applyNumberFormat="1" applyFont="1" applyFill="1" applyBorder="1" applyAlignment="1">
      <alignment horizontal="center"/>
    </xf>
    <xf numFmtId="0" fontId="13" fillId="2" borderId="0" xfId="0" applyFont="1" applyFill="1" applyAlignment="1">
      <alignment horizontal="center"/>
    </xf>
    <xf numFmtId="9" fontId="13" fillId="2" borderId="0" xfId="0" applyNumberFormat="1" applyFont="1" applyFill="1" applyAlignment="1">
      <alignment horizontal="center"/>
    </xf>
    <xf numFmtId="0" fontId="98" fillId="2" borderId="65" xfId="0" applyFont="1" applyFill="1" applyBorder="1"/>
    <xf numFmtId="0" fontId="7" fillId="2" borderId="0" xfId="0" applyFont="1" applyFill="1" applyBorder="1" applyAlignment="1" applyProtection="1">
      <alignment horizontal="left" vertical="top" wrapText="1"/>
    </xf>
    <xf numFmtId="0" fontId="0" fillId="0" borderId="0" xfId="0" applyAlignment="1" applyProtection="1">
      <alignment wrapText="1"/>
    </xf>
    <xf numFmtId="0" fontId="2" fillId="10" borderId="5" xfId="0" applyFont="1" applyFill="1" applyBorder="1" applyAlignment="1">
      <alignment horizontal="center"/>
    </xf>
    <xf numFmtId="0" fontId="115" fillId="10" borderId="5" xfId="0" applyFont="1" applyFill="1" applyBorder="1" applyAlignment="1">
      <alignment horizontal="left"/>
    </xf>
    <xf numFmtId="0" fontId="2" fillId="2" borderId="5" xfId="0" applyFont="1" applyFill="1" applyBorder="1" applyAlignment="1">
      <alignment horizontal="center"/>
    </xf>
    <xf numFmtId="0" fontId="115" fillId="2" borderId="5" xfId="0" applyFont="1" applyFill="1" applyBorder="1" applyAlignment="1">
      <alignment horizontal="left"/>
    </xf>
    <xf numFmtId="0" fontId="2" fillId="2" borderId="34" xfId="0" applyFont="1" applyFill="1" applyBorder="1" applyAlignment="1">
      <alignment horizontal="center"/>
    </xf>
    <xf numFmtId="0" fontId="115" fillId="2" borderId="34" xfId="0" applyFont="1" applyFill="1" applyBorder="1" applyAlignment="1">
      <alignment horizontal="left"/>
    </xf>
    <xf numFmtId="0" fontId="126" fillId="2" borderId="5" xfId="0" applyFont="1" applyFill="1" applyBorder="1" applyAlignment="1">
      <alignment horizontal="center"/>
    </xf>
    <xf numFmtId="0" fontId="127" fillId="2" borderId="5" xfId="0" applyFont="1" applyFill="1" applyBorder="1" applyAlignment="1">
      <alignment horizontal="left"/>
    </xf>
    <xf numFmtId="0" fontId="126" fillId="2" borderId="34" xfId="0" applyFont="1" applyFill="1" applyBorder="1" applyAlignment="1">
      <alignment horizontal="center"/>
    </xf>
    <xf numFmtId="0" fontId="127" fillId="2" borderId="34" xfId="0" applyFont="1" applyFill="1" applyBorder="1" applyAlignment="1">
      <alignment horizontal="left"/>
    </xf>
    <xf numFmtId="0" fontId="126" fillId="10" borderId="5" xfId="0" applyFont="1" applyFill="1" applyBorder="1" applyAlignment="1">
      <alignment horizontal="center"/>
    </xf>
    <xf numFmtId="0" fontId="127" fillId="10" borderId="5" xfId="0" applyFont="1" applyFill="1" applyBorder="1" applyAlignment="1">
      <alignment horizontal="left"/>
    </xf>
    <xf numFmtId="0" fontId="126" fillId="11" borderId="5" xfId="0" applyFont="1" applyFill="1" applyBorder="1" applyAlignment="1">
      <alignment horizontal="center"/>
    </xf>
    <xf numFmtId="0" fontId="127" fillId="11" borderId="5" xfId="0" applyFont="1" applyFill="1" applyBorder="1" applyAlignment="1">
      <alignment horizontal="left"/>
    </xf>
    <xf numFmtId="0" fontId="126" fillId="12" borderId="5" xfId="0" applyFont="1" applyFill="1" applyBorder="1" applyAlignment="1">
      <alignment horizontal="center"/>
    </xf>
    <xf numFmtId="0" fontId="127" fillId="12" borderId="5" xfId="0" applyFont="1" applyFill="1" applyBorder="1" applyAlignment="1">
      <alignment horizontal="left"/>
    </xf>
    <xf numFmtId="0" fontId="126" fillId="2" borderId="45" xfId="0" applyFont="1" applyFill="1" applyBorder="1" applyAlignment="1">
      <alignment horizontal="center"/>
    </xf>
    <xf numFmtId="0" fontId="127" fillId="2" borderId="45" xfId="0" applyFont="1" applyFill="1" applyBorder="1" applyAlignment="1">
      <alignment horizontal="left"/>
    </xf>
    <xf numFmtId="0" fontId="126" fillId="13" borderId="5" xfId="0" applyFont="1" applyFill="1" applyBorder="1" applyAlignment="1">
      <alignment horizontal="center"/>
    </xf>
    <xf numFmtId="0" fontId="127" fillId="13" borderId="5" xfId="0" applyFont="1" applyFill="1" applyBorder="1" applyAlignment="1">
      <alignment horizontal="left"/>
    </xf>
    <xf numFmtId="0" fontId="126" fillId="14" borderId="5" xfId="0" applyFont="1" applyFill="1" applyBorder="1" applyAlignment="1">
      <alignment horizontal="center"/>
    </xf>
    <xf numFmtId="0" fontId="127" fillId="14" borderId="5" xfId="0" applyFont="1" applyFill="1" applyBorder="1" applyAlignment="1">
      <alignment horizontal="left"/>
    </xf>
    <xf numFmtId="0" fontId="126" fillId="15" borderId="5" xfId="0" applyFont="1" applyFill="1" applyBorder="1" applyAlignment="1">
      <alignment horizontal="center"/>
    </xf>
    <xf numFmtId="0" fontId="127" fillId="15" borderId="5" xfId="0" applyFont="1" applyFill="1" applyBorder="1" applyAlignment="1">
      <alignment horizontal="left"/>
    </xf>
    <xf numFmtId="0" fontId="128" fillId="2" borderId="36" xfId="0" applyFont="1" applyFill="1" applyBorder="1"/>
    <xf numFmtId="0" fontId="129" fillId="2" borderId="36" xfId="0" applyFont="1" applyFill="1" applyBorder="1" applyAlignment="1">
      <alignment horizontal="left"/>
    </xf>
    <xf numFmtId="0" fontId="130" fillId="2" borderId="36" xfId="0" applyFont="1" applyFill="1" applyBorder="1"/>
    <xf numFmtId="0" fontId="79" fillId="2" borderId="33" xfId="0" applyFont="1" applyFill="1" applyBorder="1" applyAlignment="1">
      <alignment horizontal="left"/>
    </xf>
    <xf numFmtId="0" fontId="131" fillId="2" borderId="33" xfId="0" applyFont="1" applyFill="1" applyBorder="1" applyAlignment="1"/>
    <xf numFmtId="0" fontId="131" fillId="2" borderId="43" xfId="0" applyFont="1" applyFill="1" applyBorder="1" applyAlignment="1"/>
    <xf numFmtId="0" fontId="132" fillId="2" borderId="33" xfId="0" applyFont="1" applyFill="1" applyBorder="1" applyAlignment="1"/>
    <xf numFmtId="0" fontId="133" fillId="2" borderId="33" xfId="0" applyFont="1" applyFill="1" applyBorder="1" applyAlignment="1"/>
    <xf numFmtId="0" fontId="134" fillId="2" borderId="36" xfId="0" applyFont="1" applyFill="1" applyBorder="1"/>
    <xf numFmtId="0" fontId="135" fillId="2" borderId="36" xfId="0" applyFont="1" applyFill="1" applyBorder="1" applyAlignment="1">
      <alignment horizontal="left"/>
    </xf>
    <xf numFmtId="0" fontId="136" fillId="2" borderId="36" xfId="0" applyFont="1" applyFill="1" applyBorder="1" applyAlignment="1">
      <alignment horizontal="left"/>
    </xf>
    <xf numFmtId="0" fontId="137" fillId="2" borderId="55" xfId="0" applyFont="1" applyFill="1" applyBorder="1" applyAlignment="1"/>
    <xf numFmtId="0" fontId="137" fillId="2" borderId="33" xfId="0" applyFont="1" applyFill="1" applyBorder="1" applyAlignment="1"/>
    <xf numFmtId="0" fontId="76" fillId="6" borderId="0" xfId="0" applyFont="1" applyFill="1" applyBorder="1" applyAlignment="1">
      <alignment horizontal="left"/>
    </xf>
    <xf numFmtId="0" fontId="139" fillId="2" borderId="36" xfId="0" applyFont="1" applyFill="1" applyBorder="1"/>
    <xf numFmtId="0" fontId="140" fillId="2" borderId="33" xfId="0" applyFont="1" applyFill="1" applyBorder="1" applyAlignment="1"/>
    <xf numFmtId="0" fontId="141" fillId="2" borderId="36" xfId="0" applyFont="1" applyFill="1" applyBorder="1" applyAlignment="1">
      <alignment horizontal="left"/>
    </xf>
    <xf numFmtId="0" fontId="94" fillId="3" borderId="19" xfId="0" applyFont="1" applyFill="1" applyBorder="1" applyAlignment="1" applyProtection="1">
      <alignment horizontal="left" vertical="center"/>
    </xf>
    <xf numFmtId="0" fontId="92" fillId="2" borderId="23" xfId="0" applyFont="1" applyFill="1" applyBorder="1" applyAlignment="1" applyProtection="1">
      <alignment horizontal="left" vertical="top" wrapText="1"/>
    </xf>
    <xf numFmtId="0" fontId="92" fillId="2" borderId="2" xfId="0" applyFont="1" applyFill="1" applyBorder="1" applyAlignment="1" applyProtection="1">
      <alignment horizontal="left" vertical="top" wrapText="1"/>
    </xf>
    <xf numFmtId="0" fontId="92" fillId="2" borderId="40" xfId="0" applyFont="1" applyFill="1" applyBorder="1" applyAlignment="1" applyProtection="1">
      <alignment horizontal="left" vertical="center" wrapText="1"/>
    </xf>
    <xf numFmtId="0" fontId="7" fillId="2" borderId="0" xfId="0" applyFont="1" applyFill="1" applyAlignment="1" applyProtection="1">
      <alignment wrapText="1"/>
    </xf>
    <xf numFmtId="0" fontId="0" fillId="2" borderId="0" xfId="0" applyFill="1" applyBorder="1" applyAlignment="1" applyProtection="1">
      <alignment wrapText="1"/>
    </xf>
    <xf numFmtId="0" fontId="0" fillId="2" borderId="0" xfId="0" applyFill="1" applyAlignment="1" applyProtection="1">
      <alignment wrapText="1"/>
    </xf>
    <xf numFmtId="0" fontId="7" fillId="2" borderId="0" xfId="0" applyFont="1" applyFill="1" applyBorder="1" applyAlignment="1" applyProtection="1">
      <alignment wrapText="1"/>
    </xf>
    <xf numFmtId="0" fontId="79" fillId="2" borderId="0" xfId="0" applyFont="1" applyFill="1" applyBorder="1" applyAlignment="1">
      <alignment horizontal="center"/>
    </xf>
    <xf numFmtId="9" fontId="29" fillId="2" borderId="0" xfId="0" applyNumberFormat="1" applyFont="1" applyFill="1" applyBorder="1" applyAlignment="1">
      <alignment horizontal="center"/>
    </xf>
    <xf numFmtId="9" fontId="27" fillId="2" borderId="0" xfId="0" applyNumberFormat="1" applyFont="1" applyFill="1" applyBorder="1" applyAlignment="1">
      <alignment horizontal="center"/>
    </xf>
    <xf numFmtId="0" fontId="11" fillId="2" borderId="0" xfId="0" applyFont="1" applyFill="1" applyBorder="1" applyAlignment="1">
      <alignment horizontal="center"/>
    </xf>
    <xf numFmtId="0" fontId="138" fillId="2" borderId="0" xfId="0" applyFont="1" applyFill="1" applyBorder="1" applyAlignment="1">
      <alignment horizontal="left" wrapText="1"/>
    </xf>
    <xf numFmtId="0" fontId="79" fillId="2" borderId="0" xfId="0" applyFont="1" applyFill="1" applyBorder="1" applyAlignment="1">
      <alignment horizontal="left"/>
    </xf>
    <xf numFmtId="0" fontId="78" fillId="2" borderId="0" xfId="0" applyFont="1" applyFill="1" applyBorder="1" applyAlignment="1">
      <alignment horizontal="left"/>
    </xf>
    <xf numFmtId="0" fontId="2" fillId="10" borderId="0" xfId="0" applyFont="1" applyFill="1" applyBorder="1" applyAlignment="1">
      <alignment horizontal="center"/>
    </xf>
    <xf numFmtId="0" fontId="115" fillId="10" borderId="0" xfId="0" applyFont="1" applyFill="1" applyBorder="1" applyAlignment="1">
      <alignment horizontal="left"/>
    </xf>
    <xf numFmtId="0" fontId="2" fillId="2" borderId="0" xfId="0" applyFont="1" applyFill="1" applyBorder="1" applyAlignment="1">
      <alignment horizontal="center"/>
    </xf>
    <xf numFmtId="0" fontId="115" fillId="2" borderId="0" xfId="0" applyFont="1" applyFill="1" applyBorder="1" applyAlignment="1">
      <alignment horizontal="left"/>
    </xf>
    <xf numFmtId="0" fontId="126" fillId="2" borderId="0" xfId="0" applyFont="1" applyFill="1" applyBorder="1" applyAlignment="1">
      <alignment horizontal="center"/>
    </xf>
    <xf numFmtId="0" fontId="127" fillId="2" borderId="0" xfId="0" applyFont="1" applyFill="1" applyBorder="1" applyAlignment="1">
      <alignment horizontal="left"/>
    </xf>
    <xf numFmtId="0" fontId="126" fillId="10" borderId="0" xfId="0" applyFont="1" applyFill="1" applyBorder="1" applyAlignment="1">
      <alignment horizontal="center"/>
    </xf>
    <xf numFmtId="0" fontId="127" fillId="10" borderId="0" xfId="0" applyFont="1" applyFill="1" applyBorder="1" applyAlignment="1">
      <alignment horizontal="left"/>
    </xf>
    <xf numFmtId="0" fontId="136" fillId="2" borderId="0" xfId="0" applyFont="1" applyFill="1" applyBorder="1" applyAlignment="1">
      <alignment horizontal="left"/>
    </xf>
    <xf numFmtId="0" fontId="82" fillId="2" borderId="0" xfId="0" applyFont="1" applyFill="1" applyBorder="1"/>
    <xf numFmtId="0" fontId="126" fillId="11" borderId="0" xfId="0" applyFont="1" applyFill="1" applyBorder="1" applyAlignment="1">
      <alignment horizontal="center"/>
    </xf>
    <xf numFmtId="0" fontId="127" fillId="11" borderId="0" xfId="0" applyFont="1" applyFill="1" applyBorder="1" applyAlignment="1">
      <alignment horizontal="left"/>
    </xf>
    <xf numFmtId="0" fontId="129" fillId="2" borderId="0" xfId="0" applyFont="1" applyFill="1" applyBorder="1" applyAlignment="1">
      <alignment horizontal="left"/>
    </xf>
    <xf numFmtId="0" fontId="128" fillId="2" borderId="0" xfId="0" applyFont="1" applyFill="1" applyBorder="1"/>
    <xf numFmtId="0" fontId="126" fillId="12" borderId="0" xfId="0" applyFont="1" applyFill="1" applyBorder="1" applyAlignment="1">
      <alignment horizontal="center"/>
    </xf>
    <xf numFmtId="0" fontId="127" fillId="12" borderId="0" xfId="0" applyFont="1" applyFill="1" applyBorder="1" applyAlignment="1">
      <alignment horizontal="left"/>
    </xf>
    <xf numFmtId="0" fontId="4" fillId="2" borderId="0" xfId="0" applyFont="1" applyFill="1" applyBorder="1" applyAlignment="1">
      <alignment horizontal="left"/>
    </xf>
    <xf numFmtId="0" fontId="83" fillId="2" borderId="0" xfId="0" applyFont="1" applyFill="1" applyBorder="1"/>
    <xf numFmtId="0" fontId="135" fillId="2" borderId="0" xfId="0" applyFont="1" applyFill="1" applyBorder="1" applyAlignment="1">
      <alignment horizontal="left"/>
    </xf>
    <xf numFmtId="0" fontId="84" fillId="2" borderId="0" xfId="0" applyFont="1" applyFill="1" applyBorder="1"/>
    <xf numFmtId="0" fontId="126" fillId="13" borderId="0" xfId="0" applyFont="1" applyFill="1" applyBorder="1" applyAlignment="1">
      <alignment horizontal="center"/>
    </xf>
    <xf numFmtId="0" fontId="127" fillId="13" borderId="0" xfId="0" applyFont="1" applyFill="1" applyBorder="1" applyAlignment="1">
      <alignment horizontal="left"/>
    </xf>
    <xf numFmtId="0" fontId="134" fillId="2" borderId="0" xfId="0" applyFont="1" applyFill="1" applyBorder="1"/>
    <xf numFmtId="0" fontId="85" fillId="2" borderId="0" xfId="0" applyFont="1" applyFill="1" applyBorder="1" applyAlignment="1">
      <alignment horizontal="left"/>
    </xf>
    <xf numFmtId="0" fontId="86" fillId="2" borderId="0" xfId="0" applyFont="1" applyFill="1" applyBorder="1"/>
    <xf numFmtId="0" fontId="126" fillId="14" borderId="0" xfId="0" applyFont="1" applyFill="1" applyBorder="1" applyAlignment="1">
      <alignment horizontal="center"/>
    </xf>
    <xf numFmtId="0" fontId="127" fillId="14" borderId="0" xfId="0" applyFont="1" applyFill="1" applyBorder="1" applyAlignment="1">
      <alignment horizontal="left"/>
    </xf>
    <xf numFmtId="0" fontId="141" fillId="2" borderId="0" xfId="0" applyFont="1" applyFill="1" applyBorder="1" applyAlignment="1">
      <alignment horizontal="left"/>
    </xf>
    <xf numFmtId="0" fontId="139" fillId="2" borderId="0" xfId="0" applyFont="1" applyFill="1" applyBorder="1"/>
    <xf numFmtId="0" fontId="126" fillId="15" borderId="0" xfId="0" applyFont="1" applyFill="1" applyBorder="1" applyAlignment="1">
      <alignment horizontal="center"/>
    </xf>
    <xf numFmtId="0" fontId="127" fillId="15" borderId="0" xfId="0" applyFont="1" applyFill="1" applyBorder="1" applyAlignment="1">
      <alignment horizontal="left"/>
    </xf>
    <xf numFmtId="0" fontId="130" fillId="2" borderId="0" xfId="0" applyFont="1" applyFill="1" applyBorder="1"/>
    <xf numFmtId="0" fontId="87" fillId="2" borderId="0" xfId="0" applyFont="1" applyFill="1" applyBorder="1"/>
    <xf numFmtId="0" fontId="76" fillId="2" borderId="0" xfId="0" applyFont="1" applyFill="1" applyBorder="1" applyAlignment="1">
      <alignment horizontal="left"/>
    </xf>
    <xf numFmtId="0" fontId="6" fillId="17" borderId="0" xfId="0" applyFont="1" applyFill="1" applyBorder="1" applyAlignment="1">
      <alignment horizontal="center"/>
    </xf>
    <xf numFmtId="9" fontId="77" fillId="17" borderId="0" xfId="0" applyNumberFormat="1" applyFont="1" applyFill="1" applyBorder="1" applyAlignment="1">
      <alignment horizontal="center" vertical="center"/>
    </xf>
    <xf numFmtId="9" fontId="80" fillId="17" borderId="0" xfId="0" applyNumberFormat="1" applyFont="1" applyFill="1" applyBorder="1" applyAlignment="1">
      <alignment horizontal="center" vertical="center"/>
    </xf>
    <xf numFmtId="0" fontId="119" fillId="17" borderId="0" xfId="0" applyFont="1" applyFill="1" applyBorder="1" applyAlignment="1">
      <alignment horizontal="center" wrapText="1"/>
    </xf>
    <xf numFmtId="0" fontId="13" fillId="0" borderId="0" xfId="0" applyFont="1" applyFill="1" applyBorder="1" applyAlignment="1">
      <alignment horizontal="center"/>
    </xf>
    <xf numFmtId="0" fontId="0" fillId="2" borderId="0" xfId="0" applyFont="1" applyFill="1" applyBorder="1" applyAlignment="1">
      <alignment horizontal="center"/>
    </xf>
    <xf numFmtId="0" fontId="27" fillId="2" borderId="0" xfId="0" applyFont="1" applyFill="1" applyBorder="1" applyAlignment="1">
      <alignment horizontal="center"/>
    </xf>
    <xf numFmtId="0" fontId="27" fillId="2" borderId="0" xfId="0" applyFont="1" applyFill="1" applyBorder="1" applyAlignment="1">
      <alignment horizontal="center"/>
    </xf>
    <xf numFmtId="9" fontId="13" fillId="2" borderId="0" xfId="0" applyNumberFormat="1" applyFont="1" applyFill="1" applyBorder="1" applyAlignment="1">
      <alignment horizontal="center"/>
    </xf>
    <xf numFmtId="9" fontId="13" fillId="2" borderId="0" xfId="0" applyNumberFormat="1" applyFont="1" applyFill="1" applyBorder="1"/>
    <xf numFmtId="0" fontId="13" fillId="2" borderId="0" xfId="0" applyFont="1" applyFill="1" applyBorder="1" applyAlignment="1">
      <alignment horizontal="left"/>
    </xf>
    <xf numFmtId="0" fontId="13" fillId="2" borderId="0" xfId="0" applyFont="1" applyFill="1" applyBorder="1" applyAlignment="1">
      <alignment wrapText="1"/>
    </xf>
    <xf numFmtId="49" fontId="13" fillId="2" borderId="0" xfId="0" applyNumberFormat="1" applyFont="1" applyFill="1" applyBorder="1"/>
    <xf numFmtId="0" fontId="11" fillId="2" borderId="0" xfId="0" applyFont="1" applyFill="1" applyBorder="1" applyAlignment="1">
      <alignment horizontal="left"/>
    </xf>
    <xf numFmtId="9" fontId="11" fillId="2" borderId="0" xfId="0" applyNumberFormat="1" applyFont="1" applyFill="1" applyBorder="1" applyAlignment="1">
      <alignment horizontal="center"/>
    </xf>
    <xf numFmtId="0" fontId="6" fillId="2" borderId="0" xfId="0" applyFont="1" applyFill="1" applyBorder="1" applyProtection="1">
      <protection locked="0"/>
    </xf>
    <xf numFmtId="0" fontId="119" fillId="2" borderId="0" xfId="0" applyFont="1" applyFill="1" applyBorder="1" applyAlignment="1" applyProtection="1">
      <alignment horizontal="center"/>
      <protection locked="0"/>
    </xf>
    <xf numFmtId="0" fontId="79" fillId="2" borderId="0"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9" fontId="27" fillId="2" borderId="0" xfId="0" applyNumberFormat="1" applyFont="1" applyFill="1" applyBorder="1" applyAlignment="1" applyProtection="1">
      <alignment horizontal="center"/>
      <protection locked="0"/>
    </xf>
    <xf numFmtId="9" fontId="29" fillId="2" borderId="0" xfId="0" applyNumberFormat="1" applyFont="1" applyFill="1" applyBorder="1" applyAlignment="1" applyProtection="1">
      <alignment horizontal="center"/>
      <protection locked="0"/>
    </xf>
    <xf numFmtId="0" fontId="14" fillId="2" borderId="0" xfId="0" applyFont="1" applyFill="1" applyBorder="1" applyAlignment="1" applyProtection="1">
      <alignment horizontal="left"/>
    </xf>
    <xf numFmtId="0" fontId="119" fillId="2" borderId="0" xfId="0" applyFont="1" applyFill="1" applyBorder="1" applyAlignment="1" applyProtection="1">
      <alignment horizontal="center"/>
    </xf>
    <xf numFmtId="0" fontId="0" fillId="2" borderId="0" xfId="0" applyFont="1" applyFill="1" applyBorder="1" applyAlignment="1" applyProtection="1">
      <alignment horizontal="center"/>
    </xf>
    <xf numFmtId="0" fontId="6" fillId="2" borderId="0" xfId="0" applyFont="1" applyFill="1" applyBorder="1" applyProtection="1"/>
    <xf numFmtId="0" fontId="79" fillId="2" borderId="0" xfId="0" applyFont="1" applyFill="1" applyBorder="1" applyAlignment="1" applyProtection="1">
      <alignment horizontal="center"/>
    </xf>
    <xf numFmtId="0" fontId="11" fillId="2" borderId="0" xfId="0" applyFont="1" applyFill="1" applyBorder="1" applyAlignment="1" applyProtection="1">
      <alignment horizontal="center"/>
    </xf>
    <xf numFmtId="9" fontId="27" fillId="2" borderId="0" xfId="0" applyNumberFormat="1" applyFont="1" applyFill="1" applyBorder="1" applyAlignment="1" applyProtection="1">
      <alignment horizontal="center"/>
    </xf>
    <xf numFmtId="9" fontId="29" fillId="2" borderId="0" xfId="0" applyNumberFormat="1" applyFont="1" applyFill="1" applyBorder="1" applyAlignment="1" applyProtection="1">
      <alignment horizontal="center"/>
    </xf>
    <xf numFmtId="0" fontId="13" fillId="2" borderId="0" xfId="0" applyFont="1" applyFill="1" applyBorder="1" applyAlignment="1">
      <alignment horizontal="center"/>
    </xf>
    <xf numFmtId="0" fontId="30" fillId="3" borderId="19" xfId="0" applyFont="1" applyFill="1" applyBorder="1" applyAlignment="1" applyProtection="1">
      <alignment horizontal="left"/>
    </xf>
    <xf numFmtId="0" fontId="0" fillId="3" borderId="20" xfId="0" applyFont="1" applyFill="1" applyBorder="1" applyAlignment="1" applyProtection="1">
      <alignment horizontal="center"/>
    </xf>
    <xf numFmtId="0" fontId="99" fillId="3" borderId="20" xfId="0" applyFont="1" applyFill="1" applyBorder="1"/>
    <xf numFmtId="0" fontId="30" fillId="3" borderId="20" xfId="0" applyFont="1" applyFill="1" applyBorder="1" applyAlignment="1">
      <alignment horizontal="center"/>
    </xf>
    <xf numFmtId="2" fontId="30" fillId="3" borderId="20" xfId="0" applyNumberFormat="1" applyFont="1" applyFill="1" applyBorder="1" applyAlignment="1">
      <alignment horizontal="center"/>
    </xf>
    <xf numFmtId="1" fontId="6" fillId="17" borderId="0" xfId="0" applyNumberFormat="1" applyFont="1" applyFill="1" applyBorder="1" applyAlignment="1">
      <alignment horizontal="center"/>
    </xf>
    <xf numFmtId="1" fontId="143" fillId="3" borderId="21" xfId="0" applyNumberFormat="1" applyFont="1" applyFill="1" applyBorder="1" applyAlignment="1">
      <alignment horizontal="center" vertical="center"/>
    </xf>
    <xf numFmtId="1" fontId="13" fillId="2" borderId="0" xfId="0" applyNumberFormat="1" applyFont="1" applyFill="1" applyBorder="1"/>
    <xf numFmtId="0" fontId="14" fillId="2" borderId="0" xfId="0" applyFont="1" applyFill="1" applyBorder="1"/>
    <xf numFmtId="9" fontId="14" fillId="2" borderId="0" xfId="0" applyNumberFormat="1" applyFont="1" applyFill="1" applyBorder="1"/>
    <xf numFmtId="1" fontId="14" fillId="2" borderId="0" xfId="0" applyNumberFormat="1" applyFont="1" applyFill="1" applyBorder="1"/>
    <xf numFmtId="0" fontId="13" fillId="0" borderId="0" xfId="0" applyFont="1" applyFill="1" applyBorder="1"/>
    <xf numFmtId="0" fontId="0" fillId="2" borderId="0" xfId="0" applyFont="1" applyFill="1" applyBorder="1" applyAlignment="1" applyProtection="1">
      <alignment horizontal="center"/>
      <protection locked="0"/>
    </xf>
    <xf numFmtId="0" fontId="38" fillId="2" borderId="2" xfId="0" applyFont="1" applyFill="1" applyBorder="1" applyAlignment="1" applyProtection="1">
      <alignment vertical="center" wrapText="1"/>
      <protection locked="0"/>
    </xf>
    <xf numFmtId="0" fontId="117" fillId="2" borderId="2" xfId="0" applyFont="1" applyFill="1" applyBorder="1" applyAlignment="1" applyProtection="1">
      <alignment wrapText="1"/>
      <protection locked="0"/>
    </xf>
    <xf numFmtId="0" fontId="44"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90" fillId="3" borderId="19" xfId="0" applyFont="1" applyFill="1" applyBorder="1" applyAlignment="1" applyProtection="1">
      <alignment horizontal="left" vertical="top" wrapText="1"/>
    </xf>
    <xf numFmtId="0" fontId="91" fillId="3" borderId="20" xfId="0" applyFont="1" applyFill="1" applyBorder="1" applyAlignment="1" applyProtection="1">
      <alignment horizontal="left" vertical="top" wrapText="1"/>
    </xf>
    <xf numFmtId="0" fontId="91" fillId="3" borderId="21" xfId="0" applyFont="1" applyFill="1" applyBorder="1" applyAlignment="1" applyProtection="1">
      <alignment horizontal="left" vertical="top" wrapText="1"/>
    </xf>
    <xf numFmtId="0" fontId="45" fillId="2" borderId="11" xfId="0" applyFont="1" applyFill="1" applyBorder="1" applyAlignment="1" applyProtection="1">
      <alignment horizontal="left" vertical="center" wrapText="1"/>
    </xf>
    <xf numFmtId="0" fontId="45" fillId="2" borderId="12" xfId="0" applyFont="1" applyFill="1" applyBorder="1" applyAlignment="1" applyProtection="1">
      <alignment horizontal="left" vertical="center" wrapText="1"/>
    </xf>
    <xf numFmtId="0" fontId="45" fillId="2" borderId="13" xfId="0" applyFont="1" applyFill="1" applyBorder="1" applyAlignment="1" applyProtection="1">
      <alignment horizontal="left" vertical="center" wrapText="1"/>
    </xf>
    <xf numFmtId="0" fontId="45" fillId="2" borderId="14" xfId="0" applyFont="1" applyFill="1" applyBorder="1" applyAlignment="1" applyProtection="1">
      <alignment horizontal="left" vertical="center" wrapText="1"/>
    </xf>
    <xf numFmtId="0" fontId="45" fillId="2" borderId="0" xfId="0" applyFont="1" applyFill="1" applyBorder="1" applyAlignment="1" applyProtection="1">
      <alignment horizontal="left" vertical="center" wrapText="1"/>
    </xf>
    <xf numFmtId="0" fontId="45" fillId="2" borderId="15" xfId="0" applyFont="1" applyFill="1" applyBorder="1" applyAlignment="1" applyProtection="1">
      <alignment horizontal="left" vertical="center" wrapText="1"/>
    </xf>
    <xf numFmtId="0" fontId="45" fillId="2" borderId="16" xfId="0" applyFont="1" applyFill="1" applyBorder="1" applyAlignment="1" applyProtection="1">
      <alignment horizontal="left" vertical="center" wrapText="1"/>
    </xf>
    <xf numFmtId="0" fontId="45" fillId="2" borderId="17" xfId="0" applyFont="1" applyFill="1" applyBorder="1" applyAlignment="1" applyProtection="1">
      <alignment horizontal="left" vertical="center" wrapText="1"/>
    </xf>
    <xf numFmtId="0" fontId="45" fillId="2" borderId="18" xfId="0" applyFont="1" applyFill="1" applyBorder="1" applyAlignment="1" applyProtection="1">
      <alignment horizontal="left" vertical="center" wrapText="1"/>
    </xf>
    <xf numFmtId="0" fontId="105" fillId="0" borderId="11" xfId="0" applyFont="1" applyFill="1" applyBorder="1" applyAlignment="1" applyProtection="1">
      <alignment horizontal="left" vertical="center" wrapText="1"/>
    </xf>
    <xf numFmtId="0" fontId="105" fillId="0" borderId="12" xfId="0" applyFont="1" applyFill="1" applyBorder="1" applyAlignment="1" applyProtection="1">
      <alignment horizontal="left" vertical="center" wrapText="1"/>
    </xf>
    <xf numFmtId="0" fontId="105" fillId="0" borderId="13" xfId="0" applyFont="1" applyFill="1" applyBorder="1" applyAlignment="1" applyProtection="1">
      <alignment horizontal="left" vertical="center" wrapText="1"/>
    </xf>
    <xf numFmtId="0" fontId="105" fillId="0" borderId="14" xfId="0" applyFont="1" applyFill="1" applyBorder="1" applyAlignment="1" applyProtection="1">
      <alignment horizontal="left" vertical="center" wrapText="1"/>
    </xf>
    <xf numFmtId="0" fontId="105" fillId="0" borderId="0" xfId="0" applyFont="1" applyFill="1" applyBorder="1" applyAlignment="1" applyProtection="1">
      <alignment horizontal="left" vertical="center" wrapText="1"/>
    </xf>
    <xf numFmtId="0" fontId="105" fillId="0" borderId="15" xfId="0" applyFont="1" applyFill="1" applyBorder="1" applyAlignment="1" applyProtection="1">
      <alignment horizontal="left" vertical="center" wrapText="1"/>
    </xf>
    <xf numFmtId="0" fontId="105" fillId="0" borderId="16" xfId="0" applyFont="1" applyFill="1" applyBorder="1" applyAlignment="1" applyProtection="1">
      <alignment horizontal="left" vertical="center" wrapText="1"/>
    </xf>
    <xf numFmtId="0" fontId="105" fillId="0" borderId="17" xfId="0" applyFont="1" applyFill="1" applyBorder="1" applyAlignment="1" applyProtection="1">
      <alignment horizontal="left" vertical="center" wrapText="1"/>
    </xf>
    <xf numFmtId="0" fontId="105" fillId="0" borderId="18" xfId="0" applyFont="1" applyFill="1" applyBorder="1" applyAlignment="1" applyProtection="1">
      <alignment horizontal="left" vertical="center" wrapText="1"/>
    </xf>
    <xf numFmtId="0" fontId="90" fillId="3" borderId="11" xfId="0" applyFont="1" applyFill="1" applyBorder="1" applyAlignment="1" applyProtection="1">
      <alignment horizontal="left" vertical="center"/>
    </xf>
    <xf numFmtId="0" fontId="90" fillId="3" borderId="12" xfId="0" applyFont="1" applyFill="1" applyBorder="1" applyAlignment="1" applyProtection="1">
      <alignment horizontal="left" vertical="center"/>
    </xf>
    <xf numFmtId="0" fontId="90" fillId="3" borderId="13" xfId="0" applyFont="1" applyFill="1" applyBorder="1" applyAlignment="1" applyProtection="1">
      <alignment horizontal="left" vertical="center"/>
    </xf>
    <xf numFmtId="0" fontId="48" fillId="2" borderId="26" xfId="0" applyFont="1" applyFill="1" applyBorder="1" applyAlignment="1" applyProtection="1">
      <alignment horizontal="left" vertical="top" wrapText="1"/>
    </xf>
    <xf numFmtId="0" fontId="48" fillId="2" borderId="2" xfId="0" applyFont="1" applyFill="1" applyBorder="1" applyAlignment="1" applyProtection="1">
      <alignment horizontal="left" vertical="top" wrapText="1"/>
    </xf>
    <xf numFmtId="0" fontId="48" fillId="2" borderId="68" xfId="0" applyFont="1" applyFill="1" applyBorder="1" applyAlignment="1" applyProtection="1">
      <alignment horizontal="center" wrapText="1"/>
      <protection locked="0"/>
    </xf>
    <xf numFmtId="0" fontId="48" fillId="2" borderId="69" xfId="0" applyFont="1" applyFill="1" applyBorder="1" applyAlignment="1" applyProtection="1">
      <alignment horizontal="center" wrapText="1"/>
      <protection locked="0"/>
    </xf>
    <xf numFmtId="0" fontId="48" fillId="2" borderId="70" xfId="0" applyFont="1" applyFill="1" applyBorder="1" applyAlignment="1" applyProtection="1">
      <alignment horizontal="center" wrapText="1"/>
      <protection locked="0"/>
    </xf>
    <xf numFmtId="0" fontId="47" fillId="3" borderId="14" xfId="0" applyFont="1" applyFill="1" applyBorder="1" applyAlignment="1" applyProtection="1">
      <alignment horizontal="left" vertical="top"/>
    </xf>
    <xf numFmtId="0" fontId="47" fillId="3" borderId="0" xfId="0" applyFont="1" applyFill="1" applyBorder="1" applyAlignment="1" applyProtection="1">
      <alignment horizontal="left" vertical="top"/>
    </xf>
    <xf numFmtId="0" fontId="47" fillId="3" borderId="15" xfId="0" applyFont="1" applyFill="1" applyBorder="1" applyAlignment="1" applyProtection="1">
      <alignment horizontal="left" vertical="top"/>
    </xf>
    <xf numFmtId="0" fontId="49" fillId="2" borderId="28" xfId="0" applyFont="1" applyFill="1" applyBorder="1" applyAlignment="1" applyProtection="1">
      <alignment horizontal="left" vertical="top" wrapText="1"/>
    </xf>
    <xf numFmtId="0" fontId="49" fillId="2" borderId="10" xfId="0" applyFont="1" applyFill="1" applyBorder="1" applyAlignment="1" applyProtection="1">
      <alignment horizontal="left" vertical="top" wrapText="1"/>
    </xf>
    <xf numFmtId="0" fontId="49" fillId="2" borderId="25" xfId="0" applyFont="1" applyFill="1" applyBorder="1" applyAlignment="1" applyProtection="1">
      <alignment horizontal="left" vertical="top" wrapText="1"/>
    </xf>
    <xf numFmtId="0" fontId="48" fillId="2" borderId="28" xfId="0" applyFont="1" applyFill="1" applyBorder="1" applyAlignment="1" applyProtection="1">
      <alignment horizontal="center" wrapText="1"/>
      <protection locked="0"/>
    </xf>
    <xf numFmtId="0" fontId="48" fillId="2" borderId="10" xfId="0" applyFont="1" applyFill="1" applyBorder="1" applyAlignment="1" applyProtection="1">
      <alignment horizontal="center" wrapText="1"/>
      <protection locked="0"/>
    </xf>
    <xf numFmtId="0" fontId="48" fillId="2" borderId="27" xfId="0" applyFont="1" applyFill="1" applyBorder="1" applyAlignment="1" applyProtection="1">
      <alignment horizontal="center" wrapText="1"/>
      <protection locked="0"/>
    </xf>
    <xf numFmtId="0" fontId="92" fillId="2" borderId="22" xfId="0" applyFont="1" applyFill="1" applyBorder="1" applyAlignment="1" applyProtection="1">
      <alignment horizontal="left" vertical="top" wrapText="1"/>
    </xf>
    <xf numFmtId="0" fontId="92" fillId="2" borderId="23" xfId="0" applyFont="1" applyFill="1" applyBorder="1" applyAlignment="1" applyProtection="1">
      <alignment horizontal="left" vertical="top" wrapText="1"/>
    </xf>
    <xf numFmtId="0" fontId="104" fillId="2" borderId="23" xfId="0" applyFont="1" applyFill="1" applyBorder="1" applyAlignment="1" applyProtection="1">
      <alignment vertical="top" wrapText="1"/>
    </xf>
    <xf numFmtId="0" fontId="104" fillId="2" borderId="24" xfId="0" applyFont="1" applyFill="1" applyBorder="1" applyAlignment="1" applyProtection="1">
      <alignment vertical="top" wrapText="1"/>
    </xf>
    <xf numFmtId="0" fontId="92" fillId="2" borderId="26" xfId="0" applyFont="1" applyFill="1" applyBorder="1" applyAlignment="1" applyProtection="1">
      <alignment horizontal="left" vertical="top" wrapText="1"/>
    </xf>
    <xf numFmtId="0" fontId="92" fillId="2" borderId="2" xfId="0" applyFont="1" applyFill="1" applyBorder="1" applyAlignment="1" applyProtection="1">
      <alignment horizontal="left" vertical="top" wrapText="1"/>
    </xf>
    <xf numFmtId="0" fontId="104" fillId="2" borderId="2" xfId="0" applyFont="1" applyFill="1" applyBorder="1" applyAlignment="1" applyProtection="1">
      <alignment vertical="top" wrapText="1"/>
    </xf>
    <xf numFmtId="0" fontId="104" fillId="2" borderId="32" xfId="0" applyFont="1" applyFill="1" applyBorder="1" applyAlignment="1" applyProtection="1">
      <alignment vertical="top" wrapText="1"/>
    </xf>
    <xf numFmtId="0" fontId="48" fillId="2" borderId="29" xfId="0" applyFont="1" applyFill="1" applyBorder="1" applyAlignment="1" applyProtection="1">
      <alignment horizontal="center" wrapText="1"/>
      <protection locked="0"/>
    </xf>
    <xf numFmtId="0" fontId="48" fillId="2" borderId="30" xfId="0" applyFont="1" applyFill="1" applyBorder="1" applyAlignment="1" applyProtection="1">
      <alignment horizontal="center" wrapText="1"/>
      <protection locked="0"/>
    </xf>
    <xf numFmtId="0" fontId="48" fillId="2" borderId="31" xfId="0" applyFont="1" applyFill="1" applyBorder="1" applyAlignment="1" applyProtection="1">
      <alignment horizontal="center" wrapText="1"/>
      <protection locked="0"/>
    </xf>
    <xf numFmtId="0" fontId="49" fillId="2" borderId="26" xfId="0" applyFont="1" applyFill="1" applyBorder="1" applyAlignment="1" applyProtection="1">
      <alignment horizontal="left" vertical="top" wrapText="1"/>
    </xf>
    <xf numFmtId="0" fontId="49" fillId="2" borderId="2" xfId="0" applyFont="1" applyFill="1" applyBorder="1" applyAlignment="1" applyProtection="1">
      <alignment horizontal="left" vertical="top" wrapText="1"/>
    </xf>
    <xf numFmtId="0" fontId="92" fillId="2" borderId="39" xfId="0" applyFont="1" applyFill="1" applyBorder="1" applyAlignment="1" applyProtection="1">
      <alignment horizontal="left" vertical="center" wrapText="1"/>
    </xf>
    <xf numFmtId="0" fontId="92" fillId="2" borderId="40" xfId="0" applyFont="1" applyFill="1" applyBorder="1" applyAlignment="1" applyProtection="1">
      <alignment horizontal="left" vertical="center" wrapText="1"/>
    </xf>
    <xf numFmtId="0" fontId="104" fillId="2" borderId="40" xfId="0" applyFont="1" applyFill="1" applyBorder="1" applyAlignment="1" applyProtection="1">
      <alignment horizontal="left" vertical="top" wrapText="1"/>
    </xf>
    <xf numFmtId="0" fontId="104" fillId="2" borderId="38" xfId="0" applyFont="1" applyFill="1" applyBorder="1" applyAlignment="1" applyProtection="1">
      <alignment horizontal="left" vertical="top" wrapText="1"/>
    </xf>
    <xf numFmtId="0" fontId="48" fillId="2" borderId="0" xfId="0" applyFont="1" applyFill="1" applyBorder="1" applyAlignment="1" applyProtection="1">
      <alignment horizontal="left" vertical="top"/>
    </xf>
    <xf numFmtId="0" fontId="48" fillId="2" borderId="0" xfId="0" applyFont="1" applyFill="1" applyBorder="1" applyAlignment="1" applyProtection="1">
      <alignment horizontal="center" wrapText="1"/>
      <protection locked="0"/>
    </xf>
    <xf numFmtId="0" fontId="48" fillId="2" borderId="73" xfId="0" applyFont="1" applyFill="1" applyBorder="1" applyAlignment="1" applyProtection="1">
      <alignment horizontal="center" wrapText="1"/>
      <protection locked="0"/>
    </xf>
    <xf numFmtId="0" fontId="48" fillId="2" borderId="71" xfId="0" applyFont="1" applyFill="1" applyBorder="1" applyAlignment="1" applyProtection="1">
      <alignment horizontal="center" wrapText="1"/>
      <protection locked="0"/>
    </xf>
    <xf numFmtId="0" fontId="48" fillId="2" borderId="72" xfId="0" applyFont="1" applyFill="1" applyBorder="1" applyAlignment="1" applyProtection="1">
      <alignment horizontal="center" wrapText="1"/>
      <protection locked="0"/>
    </xf>
    <xf numFmtId="0" fontId="48" fillId="2" borderId="19" xfId="0" applyFont="1" applyFill="1" applyBorder="1" applyAlignment="1" applyProtection="1">
      <alignment horizontal="left" vertical="top"/>
    </xf>
    <xf numFmtId="0" fontId="48" fillId="2" borderId="20" xfId="0" applyFont="1" applyFill="1" applyBorder="1" applyAlignment="1" applyProtection="1">
      <alignment horizontal="left" vertical="top"/>
    </xf>
    <xf numFmtId="0" fontId="48" fillId="2" borderId="21" xfId="0" applyFont="1" applyFill="1" applyBorder="1" applyAlignment="1" applyProtection="1">
      <alignment horizontal="left" vertical="top"/>
    </xf>
    <xf numFmtId="0" fontId="142" fillId="2" borderId="26" xfId="0" applyFont="1" applyFill="1" applyBorder="1" applyAlignment="1" applyProtection="1">
      <alignment horizontal="center" vertical="center" wrapText="1"/>
    </xf>
    <xf numFmtId="0" fontId="142" fillId="2" borderId="2" xfId="0" applyFont="1" applyFill="1" applyBorder="1" applyAlignment="1" applyProtection="1">
      <alignment horizontal="center" vertical="center" wrapText="1"/>
    </xf>
    <xf numFmtId="0" fontId="142" fillId="2" borderId="0" xfId="0" applyFont="1" applyFill="1" applyBorder="1" applyAlignment="1" applyProtection="1">
      <alignment horizontal="center" vertical="center" wrapText="1"/>
    </xf>
    <xf numFmtId="0" fontId="142" fillId="2" borderId="15" xfId="0" applyFont="1" applyFill="1" applyBorder="1" applyAlignment="1" applyProtection="1">
      <alignment horizontal="center" vertical="center" wrapText="1"/>
    </xf>
    <xf numFmtId="0" fontId="48" fillId="2" borderId="74" xfId="0" applyFont="1" applyFill="1" applyBorder="1" applyAlignment="1" applyProtection="1">
      <alignment horizontal="left" vertical="top"/>
    </xf>
    <xf numFmtId="0" fontId="48" fillId="2" borderId="7" xfId="0" applyFont="1" applyFill="1" applyBorder="1" applyAlignment="1" applyProtection="1">
      <alignment horizontal="left" vertical="top"/>
    </xf>
    <xf numFmtId="0" fontId="0" fillId="2" borderId="0"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52" fillId="4" borderId="0" xfId="0" applyFont="1" applyFill="1" applyAlignment="1" applyProtection="1">
      <alignment horizontal="center" vertical="center"/>
    </xf>
    <xf numFmtId="0" fontId="0" fillId="2" borderId="7" xfId="0" applyFont="1" applyFill="1" applyBorder="1" applyAlignment="1" applyProtection="1">
      <alignment horizontal="left" vertical="top" wrapText="1"/>
    </xf>
    <xf numFmtId="0" fontId="7" fillId="2" borderId="7" xfId="0" applyFont="1" applyFill="1" applyBorder="1" applyAlignment="1" applyProtection="1">
      <alignment horizontal="left" vertical="top" wrapText="1"/>
    </xf>
    <xf numFmtId="0" fontId="52" fillId="5" borderId="0" xfId="0" applyFont="1" applyFill="1" applyAlignment="1" applyProtection="1">
      <alignment horizontal="center" vertical="center"/>
    </xf>
    <xf numFmtId="0" fontId="4" fillId="2" borderId="7"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0" fillId="2" borderId="7" xfId="0" applyFont="1" applyFill="1" applyBorder="1" applyAlignment="1" applyProtection="1">
      <alignment horizontal="left" vertical="center" wrapText="1"/>
    </xf>
    <xf numFmtId="0" fontId="52" fillId="8" borderId="0" xfId="0" applyFont="1" applyFill="1" applyAlignment="1" applyProtection="1">
      <alignment horizontal="center" vertical="center"/>
    </xf>
    <xf numFmtId="0" fontId="0" fillId="0" borderId="0" xfId="0" applyAlignment="1" applyProtection="1">
      <alignment wrapText="1"/>
    </xf>
    <xf numFmtId="0" fontId="0" fillId="2" borderId="0" xfId="0" applyFont="1" applyFill="1" applyBorder="1" applyAlignment="1" applyProtection="1">
      <alignment horizontal="left" vertical="center"/>
    </xf>
    <xf numFmtId="0" fontId="52" fillId="9" borderId="0" xfId="0" applyFont="1" applyFill="1" applyAlignment="1" applyProtection="1">
      <alignment horizontal="center" vertical="center"/>
    </xf>
    <xf numFmtId="0" fontId="7" fillId="2" borderId="0" xfId="0" applyFont="1" applyFill="1" applyBorder="1" applyAlignment="1" applyProtection="1">
      <alignment horizontal="left" wrapText="1"/>
    </xf>
    <xf numFmtId="0" fontId="52" fillId="6" borderId="0" xfId="0" applyFont="1" applyFill="1" applyAlignment="1" applyProtection="1">
      <alignment horizontal="center" vertical="center"/>
    </xf>
    <xf numFmtId="0" fontId="52" fillId="7" borderId="0" xfId="0" applyFont="1" applyFill="1" applyAlignment="1" applyProtection="1">
      <alignment horizontal="center" vertical="center"/>
    </xf>
    <xf numFmtId="0" fontId="14" fillId="2" borderId="53" xfId="0" applyFont="1" applyFill="1" applyBorder="1" applyAlignment="1">
      <alignment horizontal="left" vertical="top" wrapText="1"/>
    </xf>
    <xf numFmtId="0" fontId="14" fillId="2" borderId="54" xfId="0" applyFont="1" applyFill="1" applyBorder="1" applyAlignment="1">
      <alignment horizontal="left" vertical="top" wrapText="1"/>
    </xf>
    <xf numFmtId="0" fontId="6" fillId="2" borderId="53" xfId="0" applyFont="1" applyFill="1" applyBorder="1" applyAlignment="1">
      <alignment horizontal="left" vertical="top" wrapText="1"/>
    </xf>
    <xf numFmtId="0" fontId="6" fillId="2" borderId="54" xfId="0" applyFont="1" applyFill="1" applyBorder="1" applyAlignment="1">
      <alignment horizontal="left" vertical="top" wrapText="1"/>
    </xf>
    <xf numFmtId="0" fontId="14" fillId="2" borderId="10" xfId="0" applyFont="1" applyFill="1" applyBorder="1" applyAlignment="1">
      <alignment horizontal="left" vertical="top" wrapText="1"/>
    </xf>
    <xf numFmtId="0" fontId="6" fillId="2" borderId="10" xfId="0" applyFont="1" applyFill="1" applyBorder="1" applyAlignment="1">
      <alignment horizontal="left" vertical="top" wrapText="1"/>
    </xf>
    <xf numFmtId="0" fontId="0" fillId="2" borderId="53" xfId="0" applyFont="1" applyFill="1" applyBorder="1" applyAlignment="1">
      <alignment horizontal="left" vertical="top" wrapText="1"/>
    </xf>
    <xf numFmtId="0" fontId="125" fillId="7" borderId="37" xfId="0" applyFont="1" applyFill="1" applyBorder="1" applyAlignment="1">
      <alignment horizontal="left" vertical="center" wrapText="1"/>
    </xf>
    <xf numFmtId="0" fontId="125" fillId="7" borderId="66" xfId="0" applyFont="1" applyFill="1" applyBorder="1" applyAlignment="1">
      <alignment horizontal="left" vertical="center" wrapText="1"/>
    </xf>
    <xf numFmtId="0" fontId="138" fillId="4" borderId="37" xfId="0" applyFont="1" applyFill="1" applyBorder="1" applyAlignment="1">
      <alignment horizontal="left" wrapText="1"/>
    </xf>
    <xf numFmtId="0" fontId="138" fillId="4" borderId="66" xfId="0" applyFont="1" applyFill="1" applyBorder="1" applyAlignment="1">
      <alignment horizontal="left" wrapText="1"/>
    </xf>
    <xf numFmtId="0" fontId="138" fillId="5" borderId="7" xfId="0" applyFont="1" applyFill="1" applyBorder="1" applyAlignment="1">
      <alignment horizontal="left" vertical="center" wrapText="1"/>
    </xf>
    <xf numFmtId="0" fontId="138" fillId="5" borderId="1" xfId="0" applyFont="1" applyFill="1" applyBorder="1" applyAlignment="1">
      <alignment horizontal="left" vertical="center" wrapText="1"/>
    </xf>
    <xf numFmtId="0" fontId="138" fillId="8" borderId="37" xfId="0" applyFont="1" applyFill="1" applyBorder="1" applyAlignment="1">
      <alignment horizontal="left" vertical="center" wrapText="1"/>
    </xf>
    <xf numFmtId="0" fontId="138" fillId="8" borderId="66" xfId="0" applyFont="1" applyFill="1" applyBorder="1" applyAlignment="1">
      <alignment horizontal="left" vertical="center" wrapText="1"/>
    </xf>
    <xf numFmtId="0" fontId="138" fillId="9" borderId="37" xfId="0" applyFont="1" applyFill="1" applyBorder="1" applyAlignment="1">
      <alignment horizontal="left" vertical="center" wrapText="1"/>
    </xf>
    <xf numFmtId="0" fontId="138" fillId="9" borderId="66" xfId="0" applyFont="1" applyFill="1" applyBorder="1" applyAlignment="1">
      <alignment horizontal="left" vertical="center" wrapText="1"/>
    </xf>
    <xf numFmtId="0" fontId="138" fillId="6" borderId="37" xfId="0" applyFont="1" applyFill="1" applyBorder="1" applyAlignment="1">
      <alignment horizontal="left" vertical="center" wrapText="1"/>
    </xf>
    <xf numFmtId="0" fontId="138" fillId="6" borderId="66" xfId="0" applyFont="1" applyFill="1" applyBorder="1" applyAlignment="1">
      <alignment horizontal="left" vertical="center" wrapText="1"/>
    </xf>
    <xf numFmtId="0" fontId="100" fillId="2" borderId="49" xfId="0" applyFont="1" applyFill="1" applyBorder="1" applyAlignment="1">
      <alignment horizontal="left" vertical="top"/>
    </xf>
    <xf numFmtId="0" fontId="100" fillId="2" borderId="50" xfId="0" applyFont="1" applyFill="1" applyBorder="1" applyAlignment="1">
      <alignment horizontal="left" vertical="top"/>
    </xf>
    <xf numFmtId="0" fontId="100" fillId="2" borderId="51" xfId="0" applyFont="1" applyFill="1" applyBorder="1" applyAlignment="1">
      <alignment horizontal="left" vertical="top"/>
    </xf>
    <xf numFmtId="0" fontId="13" fillId="2" borderId="0" xfId="0" applyFont="1" applyFill="1" applyBorder="1" applyAlignment="1">
      <alignment horizontal="center"/>
    </xf>
    <xf numFmtId="0" fontId="76" fillId="9" borderId="0" xfId="0" applyFont="1" applyFill="1" applyBorder="1" applyAlignment="1">
      <alignment horizontal="left"/>
    </xf>
    <xf numFmtId="0" fontId="76" fillId="7" borderId="0" xfId="0" applyFont="1" applyFill="1" applyBorder="1" applyAlignment="1">
      <alignment horizontal="left"/>
    </xf>
    <xf numFmtId="0" fontId="76" fillId="8" borderId="0" xfId="0" applyFont="1" applyFill="1" applyBorder="1" applyAlignment="1">
      <alignment horizontal="left"/>
    </xf>
    <xf numFmtId="0" fontId="76" fillId="5" borderId="0" xfId="0" applyFont="1" applyFill="1" applyBorder="1" applyAlignment="1">
      <alignment horizontal="left"/>
    </xf>
    <xf numFmtId="0" fontId="76" fillId="4" borderId="0" xfId="0" applyFont="1" applyFill="1" applyBorder="1" applyAlignment="1">
      <alignment horizontal="left"/>
    </xf>
    <xf numFmtId="0" fontId="27" fillId="2" borderId="0" xfId="0" applyFont="1" applyFill="1" applyBorder="1" applyAlignment="1" applyProtection="1">
      <alignment horizontal="center"/>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18" xfId="0" applyFont="1" applyFill="1" applyBorder="1" applyAlignment="1">
      <alignment horizontal="left" vertical="top" wrapText="1"/>
    </xf>
    <xf numFmtId="0" fontId="0" fillId="0" borderId="0" xfId="0" applyAlignment="1">
      <alignment wrapText="1"/>
    </xf>
    <xf numFmtId="0" fontId="0" fillId="0" borderId="0" xfId="0" applyAlignment="1"/>
  </cellXfs>
  <cellStyles count="4">
    <cellStyle name="Followed Hyperlink" xfId="2" builtinId="9" hidden="1"/>
    <cellStyle name="Followed Hyperlink" xfId="3" builtinId="9" hidden="1"/>
    <cellStyle name="Hyperlink" xfId="1" builtinId="8"/>
    <cellStyle name="Normal" xfId="0" builtinId="0"/>
  </cellStyles>
  <dxfs count="1021">
    <dxf>
      <fill>
        <patternFill>
          <bgColor rgb="FF9CA725"/>
        </patternFill>
      </fill>
    </dxf>
    <dxf>
      <fill>
        <patternFill>
          <bgColor rgb="FFBDC46E"/>
        </patternFill>
      </fill>
    </dxf>
    <dxf>
      <fill>
        <patternFill>
          <bgColor rgb="FFDEE2B6"/>
        </patternFill>
      </fill>
    </dxf>
    <dxf>
      <fill>
        <patternFill>
          <bgColor theme="0"/>
        </patternFill>
      </fill>
    </dxf>
    <dxf>
      <fill>
        <patternFill>
          <bgColor rgb="FF9CA725"/>
        </patternFill>
      </fill>
    </dxf>
    <dxf>
      <fill>
        <patternFill>
          <bgColor rgb="FFBDC46E"/>
        </patternFill>
      </fill>
    </dxf>
    <dxf>
      <fill>
        <patternFill>
          <bgColor rgb="FFDEE2B6"/>
        </patternFill>
      </fill>
    </dxf>
    <dxf>
      <fill>
        <patternFill>
          <bgColor theme="0"/>
        </patternFill>
      </fill>
    </dxf>
    <dxf>
      <fill>
        <patternFill>
          <bgColor rgb="FF9CA725"/>
        </patternFill>
      </fill>
    </dxf>
    <dxf>
      <fill>
        <patternFill>
          <bgColor rgb="FFBDC46E"/>
        </patternFill>
      </fill>
    </dxf>
    <dxf>
      <fill>
        <patternFill>
          <bgColor rgb="FFDEE2B6"/>
        </patternFill>
      </fill>
    </dxf>
    <dxf>
      <fill>
        <patternFill>
          <bgColor theme="0"/>
        </patternFill>
      </fill>
    </dxf>
    <dxf>
      <fill>
        <patternFill>
          <bgColor rgb="FF9CA725"/>
        </patternFill>
      </fill>
    </dxf>
    <dxf>
      <fill>
        <patternFill>
          <bgColor rgb="FFBDC46E"/>
        </patternFill>
      </fill>
    </dxf>
    <dxf>
      <fill>
        <patternFill>
          <bgColor rgb="FFDEE2B6"/>
        </patternFill>
      </fill>
    </dxf>
    <dxf>
      <fill>
        <patternFill>
          <bgColor theme="0"/>
        </patternFill>
      </fill>
    </dxf>
    <dxf>
      <fill>
        <patternFill>
          <bgColor rgb="FF9CA725"/>
        </patternFill>
      </fill>
    </dxf>
    <dxf>
      <fill>
        <patternFill>
          <bgColor rgb="FFBDC46E"/>
        </patternFill>
      </fill>
    </dxf>
    <dxf>
      <fill>
        <patternFill>
          <bgColor rgb="FFDEE2B6"/>
        </patternFill>
      </fill>
    </dxf>
    <dxf>
      <fill>
        <patternFill>
          <bgColor theme="0"/>
        </patternFill>
      </fill>
    </dxf>
    <dxf>
      <fill>
        <patternFill>
          <bgColor rgb="FF9CA725"/>
        </patternFill>
      </fill>
    </dxf>
    <dxf>
      <fill>
        <patternFill>
          <bgColor rgb="FFBDC46E"/>
        </patternFill>
      </fill>
    </dxf>
    <dxf>
      <fill>
        <patternFill>
          <bgColor rgb="FFDEE2B6"/>
        </patternFill>
      </fill>
    </dxf>
    <dxf>
      <fill>
        <patternFill>
          <bgColor theme="0"/>
        </patternFill>
      </fill>
    </dxf>
    <dxf>
      <fill>
        <patternFill>
          <bgColor rgb="FF9CA725"/>
        </patternFill>
      </fill>
    </dxf>
    <dxf>
      <fill>
        <patternFill>
          <bgColor rgb="FFBDC46E"/>
        </patternFill>
      </fill>
    </dxf>
    <dxf>
      <fill>
        <patternFill>
          <bgColor rgb="FFDEE2B6"/>
        </patternFill>
      </fill>
    </dxf>
    <dxf>
      <fill>
        <patternFill>
          <bgColor theme="0"/>
        </patternFill>
      </fill>
    </dxf>
    <dxf>
      <fill>
        <patternFill>
          <bgColor rgb="FF9CA725"/>
        </patternFill>
      </fill>
    </dxf>
    <dxf>
      <fill>
        <patternFill>
          <bgColor rgb="FFBDC46E"/>
        </patternFill>
      </fill>
    </dxf>
    <dxf>
      <fill>
        <patternFill>
          <bgColor rgb="FFDEE2B6"/>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4496D1"/>
        </patternFill>
      </fill>
    </dxf>
    <dxf>
      <fill>
        <patternFill>
          <bgColor rgb="FF82B9E0"/>
        </patternFill>
      </fill>
    </dxf>
    <dxf>
      <fill>
        <patternFill>
          <bgColor rgb="FFC1DCF0"/>
        </patternFill>
      </fill>
    </dxf>
    <dxf>
      <fill>
        <patternFill>
          <bgColor theme="0"/>
        </patternFill>
      </fill>
    </dxf>
    <dxf>
      <fill>
        <patternFill>
          <bgColor rgb="FF4496D1"/>
        </patternFill>
      </fill>
    </dxf>
    <dxf>
      <fill>
        <patternFill>
          <bgColor rgb="FF82B9E0"/>
        </patternFill>
      </fill>
    </dxf>
    <dxf>
      <fill>
        <patternFill>
          <bgColor rgb="FFC1DCF0"/>
        </patternFill>
      </fill>
    </dxf>
    <dxf>
      <fill>
        <patternFill>
          <bgColor theme="0"/>
        </patternFill>
      </fill>
    </dxf>
    <dxf>
      <fill>
        <patternFill>
          <bgColor rgb="FF4496D1"/>
        </patternFill>
      </fill>
    </dxf>
    <dxf>
      <fill>
        <patternFill>
          <bgColor rgb="FF82B9E0"/>
        </patternFill>
      </fill>
    </dxf>
    <dxf>
      <fill>
        <patternFill>
          <bgColor rgb="FFC1DCF0"/>
        </patternFill>
      </fill>
    </dxf>
    <dxf>
      <fill>
        <patternFill>
          <bgColor theme="0"/>
        </patternFill>
      </fill>
    </dxf>
    <dxf>
      <fill>
        <patternFill>
          <bgColor rgb="FF4496D1"/>
        </patternFill>
      </fill>
    </dxf>
    <dxf>
      <fill>
        <patternFill>
          <bgColor rgb="FF82B9E0"/>
        </patternFill>
      </fill>
    </dxf>
    <dxf>
      <fill>
        <patternFill>
          <bgColor rgb="FFC1DCF0"/>
        </patternFill>
      </fill>
    </dxf>
    <dxf>
      <fill>
        <patternFill>
          <bgColor theme="0"/>
        </patternFill>
      </fill>
    </dxf>
    <dxf>
      <fill>
        <patternFill>
          <bgColor rgb="FF4496D1"/>
        </patternFill>
      </fill>
    </dxf>
    <dxf>
      <fill>
        <patternFill>
          <bgColor rgb="FF82B9E0"/>
        </patternFill>
      </fill>
    </dxf>
    <dxf>
      <fill>
        <patternFill>
          <bgColor rgb="FFC1DCF0"/>
        </patternFill>
      </fill>
    </dxf>
    <dxf>
      <fill>
        <patternFill>
          <bgColor theme="0"/>
        </patternFill>
      </fill>
    </dxf>
    <dxf>
      <fill>
        <patternFill>
          <bgColor rgb="FF4496D1"/>
        </patternFill>
      </fill>
    </dxf>
    <dxf>
      <fill>
        <patternFill>
          <bgColor rgb="FF82B9E0"/>
        </patternFill>
      </fill>
    </dxf>
    <dxf>
      <fill>
        <patternFill>
          <bgColor rgb="FFC1DCF0"/>
        </patternFill>
      </fill>
    </dxf>
    <dxf>
      <fill>
        <patternFill>
          <bgColor theme="0"/>
        </patternFill>
      </fill>
    </dxf>
    <dxf>
      <fill>
        <patternFill>
          <bgColor rgb="FF4496D1"/>
        </patternFill>
      </fill>
    </dxf>
    <dxf>
      <fill>
        <patternFill>
          <bgColor rgb="FF82B9E0"/>
        </patternFill>
      </fill>
    </dxf>
    <dxf>
      <fill>
        <patternFill>
          <bgColor rgb="FFC1DCF0"/>
        </patternFill>
      </fill>
    </dxf>
    <dxf>
      <fill>
        <patternFill>
          <bgColor theme="0"/>
        </patternFill>
      </fill>
    </dxf>
    <dxf>
      <fill>
        <patternFill>
          <bgColor rgb="FF4496D1"/>
        </patternFill>
      </fill>
    </dxf>
    <dxf>
      <fill>
        <patternFill>
          <bgColor rgb="FF82B9E0"/>
        </patternFill>
      </fill>
    </dxf>
    <dxf>
      <fill>
        <patternFill>
          <bgColor rgb="FFC1DCF0"/>
        </patternFill>
      </fill>
    </dxf>
    <dxf>
      <fill>
        <patternFill>
          <bgColor theme="0"/>
        </patternFill>
      </fill>
    </dxf>
    <dxf>
      <fill>
        <patternFill>
          <bgColor rgb="FFCFA335"/>
        </patternFill>
      </fill>
    </dxf>
    <dxf>
      <fill>
        <patternFill>
          <bgColor rgb="FFDFC278"/>
        </patternFill>
      </fill>
    </dxf>
    <dxf>
      <fill>
        <patternFill>
          <bgColor rgb="FFEFE0BC"/>
        </patternFill>
      </fill>
    </dxf>
    <dxf>
      <fill>
        <patternFill>
          <bgColor theme="0"/>
        </patternFill>
      </fill>
    </dxf>
    <dxf>
      <fill>
        <patternFill>
          <bgColor rgb="FFCFA335"/>
        </patternFill>
      </fill>
    </dxf>
    <dxf>
      <fill>
        <patternFill>
          <bgColor rgb="FFDFC278"/>
        </patternFill>
      </fill>
    </dxf>
    <dxf>
      <fill>
        <patternFill>
          <bgColor rgb="FFEFE0BC"/>
        </patternFill>
      </fill>
    </dxf>
    <dxf>
      <fill>
        <patternFill>
          <bgColor theme="0"/>
        </patternFill>
      </fill>
    </dxf>
    <dxf>
      <fill>
        <patternFill>
          <bgColor rgb="FFCFA335"/>
        </patternFill>
      </fill>
    </dxf>
    <dxf>
      <fill>
        <patternFill>
          <bgColor rgb="FFDFC278"/>
        </patternFill>
      </fill>
    </dxf>
    <dxf>
      <fill>
        <patternFill>
          <bgColor rgb="FFEFE0BC"/>
        </patternFill>
      </fill>
    </dxf>
    <dxf>
      <fill>
        <patternFill>
          <bgColor theme="0"/>
        </patternFill>
      </fill>
    </dxf>
    <dxf>
      <fill>
        <patternFill>
          <bgColor rgb="FFCFA335"/>
        </patternFill>
      </fill>
    </dxf>
    <dxf>
      <fill>
        <patternFill>
          <bgColor rgb="FFDFC278"/>
        </patternFill>
      </fill>
    </dxf>
    <dxf>
      <fill>
        <patternFill>
          <bgColor rgb="FFEFE0BC"/>
        </patternFill>
      </fill>
    </dxf>
    <dxf>
      <fill>
        <patternFill>
          <bgColor theme="0"/>
        </patternFill>
      </fill>
    </dxf>
    <dxf>
      <fill>
        <patternFill>
          <bgColor rgb="FFCFA335"/>
        </patternFill>
      </fill>
    </dxf>
    <dxf>
      <fill>
        <patternFill>
          <bgColor rgb="FFDFC278"/>
        </patternFill>
      </fill>
    </dxf>
    <dxf>
      <fill>
        <patternFill>
          <bgColor rgb="FFEFE0BC"/>
        </patternFill>
      </fill>
    </dxf>
    <dxf>
      <fill>
        <patternFill>
          <bgColor theme="0"/>
        </patternFill>
      </fill>
    </dxf>
    <dxf>
      <fill>
        <patternFill>
          <bgColor rgb="FFCFA335"/>
        </patternFill>
      </fill>
    </dxf>
    <dxf>
      <fill>
        <patternFill>
          <bgColor rgb="FFDFC278"/>
        </patternFill>
      </fill>
    </dxf>
    <dxf>
      <fill>
        <patternFill>
          <bgColor rgb="FFEFE0BC"/>
        </patternFill>
      </fill>
    </dxf>
    <dxf>
      <fill>
        <patternFill>
          <bgColor theme="0"/>
        </patternFill>
      </fill>
    </dxf>
    <dxf>
      <fill>
        <patternFill>
          <bgColor rgb="FFCFA335"/>
        </patternFill>
      </fill>
    </dxf>
    <dxf>
      <fill>
        <patternFill>
          <bgColor rgb="FFDFC278"/>
        </patternFill>
      </fill>
    </dxf>
    <dxf>
      <fill>
        <patternFill>
          <bgColor rgb="FFEFE0BC"/>
        </patternFill>
      </fill>
    </dxf>
    <dxf>
      <fill>
        <patternFill>
          <bgColor theme="0"/>
        </patternFill>
      </fill>
    </dxf>
    <dxf>
      <fill>
        <patternFill>
          <bgColor rgb="FFCFA335"/>
        </patternFill>
      </fill>
    </dxf>
    <dxf>
      <fill>
        <patternFill>
          <bgColor rgb="FFDFC278"/>
        </patternFill>
      </fill>
    </dxf>
    <dxf>
      <fill>
        <patternFill>
          <bgColor rgb="FFEFE0BC"/>
        </patternFill>
      </fill>
    </dxf>
    <dxf>
      <fill>
        <patternFill>
          <bgColor theme="0"/>
        </patternFill>
      </fill>
    </dxf>
    <dxf>
      <fill>
        <patternFill>
          <bgColor rgb="FFDB5D55"/>
        </patternFill>
      </fill>
    </dxf>
    <dxf>
      <fill>
        <patternFill>
          <bgColor rgb="FFE7938E"/>
        </patternFill>
      </fill>
    </dxf>
    <dxf>
      <fill>
        <patternFill>
          <bgColor rgb="FFF3C9C6"/>
        </patternFill>
      </fill>
    </dxf>
    <dxf>
      <fill>
        <patternFill>
          <bgColor theme="0"/>
        </patternFill>
      </fill>
    </dxf>
    <dxf>
      <fill>
        <patternFill>
          <bgColor rgb="FFDB5D55"/>
        </patternFill>
      </fill>
    </dxf>
    <dxf>
      <fill>
        <patternFill>
          <bgColor rgb="FFE7938E"/>
        </patternFill>
      </fill>
    </dxf>
    <dxf>
      <fill>
        <patternFill>
          <bgColor rgb="FFF3C9C6"/>
        </patternFill>
      </fill>
    </dxf>
    <dxf>
      <fill>
        <patternFill>
          <bgColor theme="0"/>
        </patternFill>
      </fill>
    </dxf>
    <dxf>
      <fill>
        <patternFill>
          <bgColor rgb="FFDB5D55"/>
        </patternFill>
      </fill>
    </dxf>
    <dxf>
      <fill>
        <patternFill>
          <bgColor rgb="FFE7938E"/>
        </patternFill>
      </fill>
    </dxf>
    <dxf>
      <fill>
        <patternFill>
          <bgColor rgb="FFF3C9C6"/>
        </patternFill>
      </fill>
    </dxf>
    <dxf>
      <fill>
        <patternFill>
          <bgColor theme="0"/>
        </patternFill>
      </fill>
    </dxf>
    <dxf>
      <fill>
        <patternFill>
          <bgColor rgb="FFDB5D55"/>
        </patternFill>
      </fill>
    </dxf>
    <dxf>
      <fill>
        <patternFill>
          <bgColor rgb="FFE7938E"/>
        </patternFill>
      </fill>
    </dxf>
    <dxf>
      <fill>
        <patternFill>
          <bgColor rgb="FFF3C9C6"/>
        </patternFill>
      </fill>
    </dxf>
    <dxf>
      <fill>
        <patternFill>
          <bgColor theme="0"/>
        </patternFill>
      </fill>
    </dxf>
    <dxf>
      <fill>
        <patternFill>
          <bgColor rgb="FFDB5D55"/>
        </patternFill>
      </fill>
    </dxf>
    <dxf>
      <fill>
        <patternFill>
          <bgColor rgb="FFE7938E"/>
        </patternFill>
      </fill>
    </dxf>
    <dxf>
      <fill>
        <patternFill>
          <bgColor rgb="FFF3C9C6"/>
        </patternFill>
      </fill>
    </dxf>
    <dxf>
      <fill>
        <patternFill>
          <bgColor theme="0"/>
        </patternFill>
      </fill>
    </dxf>
    <dxf>
      <fill>
        <patternFill>
          <bgColor rgb="FFDB5D55"/>
        </patternFill>
      </fill>
    </dxf>
    <dxf>
      <fill>
        <patternFill>
          <bgColor rgb="FFE7938E"/>
        </patternFill>
      </fill>
    </dxf>
    <dxf>
      <fill>
        <patternFill>
          <bgColor rgb="FFF3C9C6"/>
        </patternFill>
      </fill>
    </dxf>
    <dxf>
      <fill>
        <patternFill>
          <bgColor theme="0"/>
        </patternFill>
      </fill>
    </dxf>
    <dxf>
      <fill>
        <patternFill>
          <bgColor rgb="FFDB5D55"/>
        </patternFill>
      </fill>
    </dxf>
    <dxf>
      <fill>
        <patternFill>
          <bgColor rgb="FFE7938E"/>
        </patternFill>
      </fill>
    </dxf>
    <dxf>
      <fill>
        <patternFill>
          <bgColor rgb="FFF3C9C6"/>
        </patternFill>
      </fill>
    </dxf>
    <dxf>
      <fill>
        <patternFill>
          <bgColor theme="0"/>
        </patternFill>
      </fill>
    </dxf>
    <dxf>
      <fill>
        <patternFill>
          <bgColor rgb="FFDB5D55"/>
        </patternFill>
      </fill>
    </dxf>
    <dxf>
      <fill>
        <patternFill>
          <bgColor rgb="FFE7938E"/>
        </patternFill>
      </fill>
    </dxf>
    <dxf>
      <fill>
        <patternFill>
          <bgColor rgb="FFF3C9C6"/>
        </patternFill>
      </fill>
    </dxf>
    <dxf>
      <fill>
        <patternFill>
          <bgColor theme="0"/>
        </patternFill>
      </fill>
    </dxf>
    <dxf>
      <fill>
        <patternFill>
          <bgColor rgb="FF5F588F"/>
        </patternFill>
      </fill>
    </dxf>
    <dxf>
      <fill>
        <patternFill>
          <bgColor rgb="FF9490B4"/>
        </patternFill>
      </fill>
    </dxf>
    <dxf>
      <fill>
        <patternFill>
          <bgColor rgb="FFCAC7DA"/>
        </patternFill>
      </fill>
    </dxf>
    <dxf>
      <fill>
        <patternFill>
          <bgColor theme="0"/>
        </patternFill>
      </fill>
    </dxf>
    <dxf>
      <fill>
        <patternFill>
          <bgColor rgb="FF5F588F"/>
        </patternFill>
      </fill>
    </dxf>
    <dxf>
      <fill>
        <patternFill>
          <bgColor rgb="FF9490B4"/>
        </patternFill>
      </fill>
    </dxf>
    <dxf>
      <fill>
        <patternFill>
          <bgColor rgb="FFCAC7DA"/>
        </patternFill>
      </fill>
    </dxf>
    <dxf>
      <fill>
        <patternFill>
          <bgColor theme="0"/>
        </patternFill>
      </fill>
    </dxf>
    <dxf>
      <fill>
        <patternFill>
          <bgColor rgb="FF5F588F"/>
        </patternFill>
      </fill>
    </dxf>
    <dxf>
      <fill>
        <patternFill>
          <bgColor rgb="FF9490B4"/>
        </patternFill>
      </fill>
    </dxf>
    <dxf>
      <fill>
        <patternFill>
          <bgColor rgb="FFCAC7DA"/>
        </patternFill>
      </fill>
    </dxf>
    <dxf>
      <fill>
        <patternFill>
          <bgColor theme="0"/>
        </patternFill>
      </fill>
    </dxf>
    <dxf>
      <fill>
        <patternFill>
          <bgColor rgb="FF5F588F"/>
        </patternFill>
      </fill>
    </dxf>
    <dxf>
      <fill>
        <patternFill>
          <bgColor rgb="FF9490B4"/>
        </patternFill>
      </fill>
    </dxf>
    <dxf>
      <fill>
        <patternFill>
          <bgColor rgb="FFCAC7DA"/>
        </patternFill>
      </fill>
    </dxf>
    <dxf>
      <fill>
        <patternFill>
          <bgColor theme="0"/>
        </patternFill>
      </fill>
    </dxf>
    <dxf>
      <fill>
        <patternFill>
          <bgColor rgb="FF5F588F"/>
        </patternFill>
      </fill>
    </dxf>
    <dxf>
      <fill>
        <patternFill>
          <bgColor rgb="FF9490B4"/>
        </patternFill>
      </fill>
    </dxf>
    <dxf>
      <fill>
        <patternFill>
          <bgColor rgb="FFCAC7DA"/>
        </patternFill>
      </fill>
    </dxf>
    <dxf>
      <fill>
        <patternFill>
          <bgColor theme="0"/>
        </patternFill>
      </fill>
    </dxf>
    <dxf>
      <fill>
        <patternFill>
          <bgColor rgb="FF5F588F"/>
        </patternFill>
      </fill>
    </dxf>
    <dxf>
      <fill>
        <patternFill>
          <bgColor rgb="FF9490B4"/>
        </patternFill>
      </fill>
    </dxf>
    <dxf>
      <fill>
        <patternFill>
          <bgColor rgb="FFCAC7DA"/>
        </patternFill>
      </fill>
    </dxf>
    <dxf>
      <fill>
        <patternFill>
          <bgColor theme="0"/>
        </patternFill>
      </fill>
    </dxf>
    <dxf>
      <fill>
        <patternFill>
          <bgColor rgb="FF5F588F"/>
        </patternFill>
      </fill>
    </dxf>
    <dxf>
      <fill>
        <patternFill>
          <bgColor rgb="FF9490B4"/>
        </patternFill>
      </fill>
    </dxf>
    <dxf>
      <fill>
        <patternFill>
          <bgColor rgb="FFCAC7DA"/>
        </patternFill>
      </fill>
    </dxf>
    <dxf>
      <fill>
        <patternFill>
          <bgColor theme="0"/>
        </patternFill>
      </fill>
    </dxf>
    <dxf>
      <fill>
        <patternFill>
          <bgColor rgb="FF5F588F"/>
        </patternFill>
      </fill>
    </dxf>
    <dxf>
      <fill>
        <patternFill>
          <bgColor rgb="FF9490B4"/>
        </patternFill>
      </fill>
    </dxf>
    <dxf>
      <fill>
        <patternFill>
          <bgColor rgb="FFCAC7DA"/>
        </patternFill>
      </fill>
    </dxf>
    <dxf>
      <fill>
        <patternFill>
          <bgColor theme="0"/>
        </patternFill>
      </fill>
    </dxf>
    <dxf>
      <fill>
        <patternFill>
          <bgColor rgb="FF5F588F"/>
        </patternFill>
      </fill>
    </dxf>
    <dxf>
      <fill>
        <patternFill>
          <bgColor rgb="FF9490B4"/>
        </patternFill>
      </fill>
    </dxf>
    <dxf>
      <fill>
        <patternFill>
          <bgColor rgb="FFCAC7DA"/>
        </patternFill>
      </fill>
    </dxf>
    <dxf>
      <fill>
        <patternFill>
          <bgColor theme="0"/>
        </patternFill>
      </fill>
    </dxf>
    <dxf>
      <fill>
        <patternFill>
          <bgColor theme="0" tint="-0.499984740745262"/>
        </patternFill>
      </fill>
    </dxf>
    <dxf>
      <fill>
        <patternFill>
          <bgColor theme="0" tint="-0.24994659260841701"/>
        </patternFill>
      </fill>
    </dxf>
    <dxf>
      <fill>
        <patternFill>
          <bgColor theme="0" tint="-4.9989318521683403E-2"/>
        </patternFill>
      </fill>
    </dxf>
    <dxf>
      <fill>
        <patternFill>
          <bgColor theme="0"/>
        </patternFill>
      </fill>
    </dxf>
    <dxf>
      <fill>
        <patternFill>
          <bgColor theme="0" tint="-0.499984740745262"/>
        </patternFill>
      </fill>
    </dxf>
    <dxf>
      <fill>
        <patternFill>
          <bgColor theme="0" tint="-0.24994659260841701"/>
        </patternFill>
      </fill>
    </dxf>
    <dxf>
      <fill>
        <patternFill>
          <bgColor theme="0" tint="-4.9989318521683403E-2"/>
        </patternFill>
      </fill>
    </dxf>
    <dxf>
      <fill>
        <patternFill>
          <bgColor theme="0"/>
        </patternFill>
      </fill>
    </dxf>
    <dxf>
      <fill>
        <patternFill>
          <bgColor theme="0" tint="-0.499984740745262"/>
        </patternFill>
      </fill>
    </dxf>
    <dxf>
      <fill>
        <patternFill>
          <bgColor theme="0" tint="-0.24994659260841701"/>
        </patternFill>
      </fill>
    </dxf>
    <dxf>
      <fill>
        <patternFill>
          <bgColor theme="0" tint="-4.9989318521683403E-2"/>
        </patternFill>
      </fill>
    </dxf>
    <dxf>
      <fill>
        <patternFill>
          <bgColor theme="0"/>
        </patternFill>
      </fill>
    </dxf>
    <dxf>
      <fill>
        <patternFill>
          <bgColor theme="0" tint="-0.499984740745262"/>
        </patternFill>
      </fill>
    </dxf>
    <dxf>
      <fill>
        <patternFill>
          <bgColor theme="0" tint="-0.24994659260841701"/>
        </patternFill>
      </fill>
    </dxf>
    <dxf>
      <fill>
        <patternFill>
          <bgColor theme="0" tint="-4.9989318521683403E-2"/>
        </patternFill>
      </fill>
    </dxf>
    <dxf>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9CA725"/>
        </patternFill>
      </fill>
    </dxf>
    <dxf>
      <fill>
        <patternFill>
          <bgColor rgb="FFBDC46E"/>
        </patternFill>
      </fill>
    </dxf>
    <dxf>
      <fill>
        <patternFill>
          <bgColor rgb="FFDEE2B6"/>
        </patternFill>
      </fill>
    </dxf>
    <dxf>
      <font>
        <color theme="0"/>
      </font>
      <fill>
        <patternFill>
          <bgColor rgb="FF9CA725"/>
        </patternFill>
      </fill>
    </dxf>
    <dxf>
      <fill>
        <patternFill>
          <bgColor rgb="FFBDC46E"/>
        </patternFill>
      </fill>
    </dxf>
    <dxf>
      <fill>
        <patternFill>
          <bgColor rgb="FFDEE2B6"/>
        </patternFill>
      </fill>
    </dxf>
    <dxf>
      <font>
        <color theme="0"/>
      </font>
      <fill>
        <patternFill>
          <bgColor rgb="FFB2702E"/>
        </patternFill>
      </fill>
    </dxf>
    <dxf>
      <fill>
        <patternFill>
          <bgColor rgb="FFCCA074"/>
        </patternFill>
      </fill>
    </dxf>
    <dxf>
      <fill>
        <patternFill>
          <bgColor rgb="FFE5CFB9"/>
        </patternFill>
      </fill>
    </dxf>
    <dxf>
      <font>
        <color theme="0"/>
      </font>
      <fill>
        <patternFill>
          <bgColor rgb="FFB2702E"/>
        </patternFill>
      </fill>
    </dxf>
    <dxf>
      <fill>
        <patternFill>
          <bgColor rgb="FFCCA074"/>
        </patternFill>
      </fill>
    </dxf>
    <dxf>
      <fill>
        <patternFill>
          <bgColor rgb="FFE5CFB9"/>
        </patternFill>
      </fill>
    </dxf>
    <dxf>
      <font>
        <color theme="0"/>
      </font>
      <fill>
        <patternFill>
          <bgColor rgb="FF4496D1"/>
        </patternFill>
      </fill>
    </dxf>
    <dxf>
      <fill>
        <patternFill>
          <bgColor rgb="FF82B9E0"/>
        </patternFill>
      </fill>
    </dxf>
    <dxf>
      <fill>
        <patternFill>
          <bgColor rgb="FFC1DCF0"/>
        </patternFill>
      </fill>
    </dxf>
    <dxf>
      <font>
        <color theme="0"/>
      </font>
      <fill>
        <patternFill>
          <bgColor rgb="FF4496D1"/>
        </patternFill>
      </fill>
    </dxf>
    <dxf>
      <fill>
        <patternFill>
          <bgColor rgb="FF82B9E0"/>
        </patternFill>
      </fill>
    </dxf>
    <dxf>
      <fill>
        <patternFill>
          <bgColor rgb="FFC1DCF0"/>
        </patternFill>
      </fill>
    </dxf>
    <dxf>
      <font>
        <color theme="0"/>
      </font>
      <fill>
        <patternFill>
          <bgColor rgb="FFCFA335"/>
        </patternFill>
      </fill>
    </dxf>
    <dxf>
      <fill>
        <patternFill>
          <bgColor rgb="FFDFC278"/>
        </patternFill>
      </fill>
    </dxf>
    <dxf>
      <fill>
        <patternFill>
          <bgColor rgb="FFEFE0BC"/>
        </patternFill>
      </fill>
    </dxf>
    <dxf>
      <font>
        <color theme="0"/>
      </font>
      <fill>
        <patternFill>
          <bgColor rgb="FFCFA335"/>
        </patternFill>
      </fill>
    </dxf>
    <dxf>
      <fill>
        <patternFill>
          <bgColor rgb="FFDFC278"/>
        </patternFill>
      </fill>
    </dxf>
    <dxf>
      <fill>
        <patternFill>
          <bgColor rgb="FFEFE0BC"/>
        </patternFill>
      </fill>
    </dxf>
    <dxf>
      <font>
        <color theme="0"/>
      </font>
      <fill>
        <patternFill>
          <bgColor rgb="FFDB5D55"/>
        </patternFill>
      </fill>
    </dxf>
    <dxf>
      <fill>
        <patternFill>
          <bgColor rgb="FFE7938E"/>
        </patternFill>
      </fill>
    </dxf>
    <dxf>
      <fill>
        <patternFill>
          <bgColor rgb="FFF3C9C6"/>
        </patternFill>
      </fill>
    </dxf>
    <dxf>
      <font>
        <color theme="0"/>
      </font>
      <fill>
        <patternFill>
          <bgColor rgb="FFDB5D55"/>
        </patternFill>
      </fill>
    </dxf>
    <dxf>
      <fill>
        <patternFill>
          <bgColor rgb="FFE7938E"/>
        </patternFill>
      </fill>
    </dxf>
    <dxf>
      <fill>
        <patternFill>
          <bgColor rgb="FFF3C9C6"/>
        </patternFill>
      </fill>
    </dxf>
    <dxf>
      <font>
        <color theme="0"/>
      </font>
      <fill>
        <patternFill>
          <bgColor rgb="FF5F588F"/>
        </patternFill>
      </fill>
    </dxf>
    <dxf>
      <fill>
        <patternFill>
          <bgColor rgb="FF9490B4"/>
        </patternFill>
      </fill>
    </dxf>
    <dxf>
      <fill>
        <patternFill>
          <bgColor rgb="FFCAC7DA"/>
        </patternFill>
      </fill>
    </dxf>
    <dxf>
      <font>
        <color theme="0"/>
      </font>
      <fill>
        <patternFill>
          <bgColor rgb="FF9CA725"/>
        </patternFill>
      </fill>
    </dxf>
    <dxf>
      <fill>
        <patternFill>
          <bgColor rgb="FFBDC46E"/>
        </patternFill>
      </fill>
    </dxf>
    <dxf>
      <fill>
        <patternFill>
          <bgColor rgb="FFDEE2B6"/>
        </patternFill>
      </fill>
    </dxf>
    <dxf>
      <font>
        <color theme="0"/>
      </font>
      <fill>
        <patternFill>
          <bgColor rgb="FF9CA725"/>
        </patternFill>
      </fill>
    </dxf>
    <dxf>
      <fill>
        <patternFill>
          <bgColor rgb="FFBDC46E"/>
        </patternFill>
      </fill>
    </dxf>
    <dxf>
      <fill>
        <patternFill>
          <bgColor rgb="FFDEE2B6"/>
        </patternFill>
      </fill>
    </dxf>
    <dxf>
      <font>
        <color theme="0"/>
      </font>
      <fill>
        <patternFill>
          <bgColor rgb="FF9CA725"/>
        </patternFill>
      </fill>
    </dxf>
    <dxf>
      <fill>
        <patternFill>
          <bgColor rgb="FFBDC46E"/>
        </patternFill>
      </fill>
    </dxf>
    <dxf>
      <fill>
        <patternFill>
          <bgColor rgb="FFDEE2B6"/>
        </patternFill>
      </fill>
    </dxf>
    <dxf>
      <font>
        <color theme="0"/>
      </font>
      <fill>
        <patternFill>
          <bgColor rgb="FF9CA725"/>
        </patternFill>
      </fill>
    </dxf>
    <dxf>
      <fill>
        <patternFill>
          <bgColor rgb="FFBDC46E"/>
        </patternFill>
      </fill>
    </dxf>
    <dxf>
      <fill>
        <patternFill>
          <bgColor rgb="FFDEE2B6"/>
        </patternFill>
      </fill>
    </dxf>
    <dxf>
      <font>
        <color theme="0"/>
      </font>
      <fill>
        <patternFill>
          <bgColor rgb="FFB2702E"/>
        </patternFill>
      </fill>
    </dxf>
    <dxf>
      <fill>
        <patternFill>
          <bgColor rgb="FFCCA074"/>
        </patternFill>
      </fill>
    </dxf>
    <dxf>
      <fill>
        <patternFill>
          <bgColor rgb="FFE5CFB9"/>
        </patternFill>
      </fill>
    </dxf>
    <dxf>
      <font>
        <color theme="0"/>
      </font>
      <fill>
        <patternFill>
          <bgColor rgb="FFB2702E"/>
        </patternFill>
      </fill>
    </dxf>
    <dxf>
      <fill>
        <patternFill>
          <bgColor rgb="FFCCA074"/>
        </patternFill>
      </fill>
    </dxf>
    <dxf>
      <fill>
        <patternFill>
          <bgColor rgb="FFE5CFB9"/>
        </patternFill>
      </fill>
    </dxf>
    <dxf>
      <font>
        <color theme="0"/>
      </font>
      <fill>
        <patternFill>
          <bgColor rgb="FFB2702E"/>
        </patternFill>
      </fill>
    </dxf>
    <dxf>
      <fill>
        <patternFill>
          <bgColor rgb="FFCCA074"/>
        </patternFill>
      </fill>
    </dxf>
    <dxf>
      <fill>
        <patternFill>
          <bgColor rgb="FFE5CFB9"/>
        </patternFill>
      </fill>
    </dxf>
    <dxf>
      <font>
        <color theme="0"/>
      </font>
      <fill>
        <patternFill>
          <bgColor rgb="FFB2702E"/>
        </patternFill>
      </fill>
    </dxf>
    <dxf>
      <fill>
        <patternFill>
          <bgColor rgb="FFCCA074"/>
        </patternFill>
      </fill>
    </dxf>
    <dxf>
      <fill>
        <patternFill>
          <bgColor rgb="FFE5CFB9"/>
        </patternFill>
      </fill>
    </dxf>
    <dxf>
      <font>
        <color theme="0"/>
      </font>
      <fill>
        <patternFill>
          <bgColor rgb="FF4496D1"/>
        </patternFill>
      </fill>
    </dxf>
    <dxf>
      <fill>
        <patternFill>
          <bgColor rgb="FF82B9E0"/>
        </patternFill>
      </fill>
    </dxf>
    <dxf>
      <fill>
        <patternFill>
          <bgColor rgb="FFC1DCF0"/>
        </patternFill>
      </fill>
    </dxf>
    <dxf>
      <font>
        <color theme="0"/>
      </font>
      <fill>
        <patternFill>
          <bgColor rgb="FF4496D1"/>
        </patternFill>
      </fill>
    </dxf>
    <dxf>
      <fill>
        <patternFill>
          <bgColor rgb="FF82B9E0"/>
        </patternFill>
      </fill>
    </dxf>
    <dxf>
      <fill>
        <patternFill>
          <bgColor rgb="FFC1DCF0"/>
        </patternFill>
      </fill>
    </dxf>
    <dxf>
      <font>
        <color theme="0"/>
      </font>
      <fill>
        <patternFill>
          <bgColor rgb="FF4496D1"/>
        </patternFill>
      </fill>
    </dxf>
    <dxf>
      <fill>
        <patternFill>
          <bgColor rgb="FF82B9E0"/>
        </patternFill>
      </fill>
    </dxf>
    <dxf>
      <fill>
        <patternFill>
          <bgColor rgb="FFC1DCF0"/>
        </patternFill>
      </fill>
    </dxf>
    <dxf>
      <font>
        <color theme="0"/>
      </font>
      <fill>
        <patternFill>
          <bgColor rgb="FF4496D1"/>
        </patternFill>
      </fill>
    </dxf>
    <dxf>
      <fill>
        <patternFill>
          <bgColor rgb="FF82B9E0"/>
        </patternFill>
      </fill>
    </dxf>
    <dxf>
      <fill>
        <patternFill>
          <bgColor rgb="FFC1DCF0"/>
        </patternFill>
      </fill>
    </dxf>
    <dxf>
      <font>
        <color theme="0"/>
      </font>
      <fill>
        <patternFill>
          <bgColor rgb="FFCFA335"/>
        </patternFill>
      </fill>
    </dxf>
    <dxf>
      <fill>
        <patternFill>
          <bgColor rgb="FFDFC278"/>
        </patternFill>
      </fill>
    </dxf>
    <dxf>
      <fill>
        <patternFill>
          <bgColor rgb="FFEFE0BC"/>
        </patternFill>
      </fill>
    </dxf>
    <dxf>
      <font>
        <color theme="0"/>
      </font>
      <fill>
        <patternFill>
          <bgColor rgb="FFCFA335"/>
        </patternFill>
      </fill>
    </dxf>
    <dxf>
      <fill>
        <patternFill>
          <bgColor rgb="FFDFC278"/>
        </patternFill>
      </fill>
    </dxf>
    <dxf>
      <fill>
        <patternFill>
          <bgColor rgb="FFEFE0BC"/>
        </patternFill>
      </fill>
    </dxf>
    <dxf>
      <font>
        <color theme="0"/>
      </font>
      <fill>
        <patternFill>
          <bgColor rgb="FFCFA335"/>
        </patternFill>
      </fill>
    </dxf>
    <dxf>
      <fill>
        <patternFill>
          <bgColor rgb="FFDFC278"/>
        </patternFill>
      </fill>
    </dxf>
    <dxf>
      <fill>
        <patternFill>
          <bgColor rgb="FFEFE0BC"/>
        </patternFill>
      </fill>
    </dxf>
    <dxf>
      <font>
        <color theme="0"/>
      </font>
      <fill>
        <patternFill>
          <bgColor rgb="FFCFA335"/>
        </patternFill>
      </fill>
    </dxf>
    <dxf>
      <fill>
        <patternFill>
          <bgColor rgb="FFDFC278"/>
        </patternFill>
      </fill>
    </dxf>
    <dxf>
      <fill>
        <patternFill>
          <bgColor rgb="FFEFE0BC"/>
        </patternFill>
      </fill>
    </dxf>
    <dxf>
      <font>
        <color theme="0"/>
      </font>
      <fill>
        <patternFill>
          <bgColor rgb="FFCFA335"/>
        </patternFill>
      </fill>
    </dxf>
    <dxf>
      <fill>
        <patternFill>
          <bgColor rgb="FFDFC278"/>
        </patternFill>
      </fill>
    </dxf>
    <dxf>
      <fill>
        <patternFill>
          <bgColor rgb="FFEFE0BC"/>
        </patternFill>
      </fill>
    </dxf>
    <dxf>
      <font>
        <color theme="0"/>
      </font>
      <fill>
        <patternFill>
          <bgColor rgb="FFDB5D55"/>
        </patternFill>
      </fill>
    </dxf>
    <dxf>
      <fill>
        <patternFill>
          <bgColor rgb="FFE7938E"/>
        </patternFill>
      </fill>
    </dxf>
    <dxf>
      <fill>
        <patternFill>
          <bgColor rgb="FFF3C9C6"/>
        </patternFill>
      </fill>
    </dxf>
    <dxf>
      <font>
        <color theme="0"/>
      </font>
      <fill>
        <patternFill>
          <bgColor rgb="FFDB5D55"/>
        </patternFill>
      </fill>
    </dxf>
    <dxf>
      <fill>
        <patternFill>
          <bgColor rgb="FFE7938E"/>
        </patternFill>
      </fill>
    </dxf>
    <dxf>
      <fill>
        <patternFill>
          <bgColor rgb="FFF3C9C6"/>
        </patternFill>
      </fill>
    </dxf>
    <dxf>
      <font>
        <color theme="0"/>
      </font>
      <fill>
        <patternFill>
          <bgColor rgb="FFDB5D55"/>
        </patternFill>
      </fill>
    </dxf>
    <dxf>
      <fill>
        <patternFill>
          <bgColor rgb="FFE7938E"/>
        </patternFill>
      </fill>
    </dxf>
    <dxf>
      <fill>
        <patternFill>
          <bgColor rgb="FFF3C9C6"/>
        </patternFill>
      </fill>
    </dxf>
    <dxf>
      <font>
        <color theme="0"/>
      </font>
      <fill>
        <patternFill>
          <bgColor rgb="FFDB5D55"/>
        </patternFill>
      </fill>
    </dxf>
    <dxf>
      <fill>
        <patternFill>
          <bgColor rgb="FFE7938E"/>
        </patternFill>
      </fill>
    </dxf>
    <dxf>
      <fill>
        <patternFill>
          <bgColor rgb="FFF3C9C6"/>
        </patternFill>
      </fill>
    </dxf>
    <dxf>
      <font>
        <color theme="0"/>
      </font>
      <fill>
        <patternFill>
          <bgColor rgb="FF5F588F"/>
        </patternFill>
      </fill>
    </dxf>
    <dxf>
      <fill>
        <patternFill>
          <bgColor rgb="FF9490B4"/>
        </patternFill>
      </fill>
    </dxf>
    <dxf>
      <fill>
        <patternFill>
          <bgColor rgb="FFCAC7DA"/>
        </patternFill>
      </fill>
    </dxf>
    <dxf>
      <font>
        <color theme="0"/>
      </font>
      <fill>
        <patternFill>
          <bgColor rgb="FF5F588F"/>
        </patternFill>
      </fill>
    </dxf>
    <dxf>
      <fill>
        <patternFill>
          <bgColor rgb="FF9490B4"/>
        </patternFill>
      </fill>
    </dxf>
    <dxf>
      <fill>
        <patternFill>
          <bgColor rgb="FFCAC7DA"/>
        </patternFill>
      </fill>
    </dxf>
    <dxf>
      <font>
        <color theme="0"/>
      </font>
      <fill>
        <patternFill>
          <bgColor rgb="FF5F588F"/>
        </patternFill>
      </fill>
    </dxf>
    <dxf>
      <fill>
        <patternFill>
          <bgColor rgb="FF9490B4"/>
        </patternFill>
      </fill>
    </dxf>
    <dxf>
      <fill>
        <patternFill>
          <bgColor rgb="FFCAC7DA"/>
        </patternFill>
      </fill>
    </dxf>
    <dxf>
      <font>
        <color theme="0"/>
      </font>
      <fill>
        <patternFill>
          <bgColor rgb="FF5F588F"/>
        </patternFill>
      </fill>
    </dxf>
    <dxf>
      <fill>
        <patternFill>
          <bgColor rgb="FF9490B4"/>
        </patternFill>
      </fill>
    </dxf>
    <dxf>
      <fill>
        <patternFill>
          <bgColor rgb="FFCAC7DA"/>
        </patternFill>
      </fill>
    </dxf>
    <dxf>
      <font>
        <color theme="0"/>
      </font>
      <fill>
        <patternFill>
          <bgColor rgb="FF5F588F"/>
        </patternFill>
      </fill>
    </dxf>
    <dxf>
      <fill>
        <patternFill>
          <bgColor rgb="FF9490B4"/>
        </patternFill>
      </fill>
    </dxf>
    <dxf>
      <fill>
        <patternFill>
          <bgColor rgb="FFCAC7DA"/>
        </patternFill>
      </fill>
    </dxf>
    <dxf>
      <font>
        <color theme="0"/>
      </font>
      <fill>
        <patternFill>
          <bgColor rgb="FF5F588F"/>
        </patternFill>
      </fill>
    </dxf>
    <dxf>
      <fill>
        <patternFill>
          <bgColor rgb="FF9490B4"/>
        </patternFill>
      </fill>
    </dxf>
    <dxf>
      <fill>
        <patternFill>
          <bgColor rgb="FFCAC7DA"/>
        </patternFill>
      </fill>
    </dxf>
    <dxf>
      <font>
        <color theme="0"/>
      </font>
      <fill>
        <patternFill>
          <bgColor rgb="FF5F588F"/>
        </patternFill>
      </fill>
    </dxf>
    <dxf>
      <fill>
        <patternFill>
          <bgColor rgb="FF9490B4"/>
        </patternFill>
      </fill>
    </dxf>
    <dxf>
      <fill>
        <patternFill>
          <bgColor rgb="FFCAC7DA"/>
        </patternFill>
      </fill>
    </dxf>
    <dxf>
      <font>
        <color theme="0"/>
      </font>
      <fill>
        <patternFill>
          <bgColor rgb="FF5F588F"/>
        </patternFill>
      </fill>
    </dxf>
    <dxf>
      <fill>
        <patternFill>
          <bgColor rgb="FF9490B4"/>
        </patternFill>
      </fill>
    </dxf>
    <dxf>
      <fill>
        <patternFill>
          <bgColor rgb="FFCAC7DA"/>
        </patternFill>
      </fill>
    </dxf>
    <dxf>
      <font>
        <color theme="0"/>
      </font>
      <fill>
        <patternFill>
          <bgColor rgb="FFB2702E"/>
        </patternFill>
      </fill>
    </dxf>
    <dxf>
      <fill>
        <patternFill>
          <bgColor rgb="FFCCA074"/>
        </patternFill>
      </fill>
    </dxf>
    <dxf>
      <fill>
        <patternFill>
          <bgColor rgb="FFE5CFB9"/>
        </patternFill>
      </fill>
    </dxf>
    <dxf>
      <fill>
        <patternFill>
          <bgColor theme="0"/>
        </patternFill>
      </fill>
    </dxf>
    <dxf>
      <font>
        <color theme="0"/>
      </font>
      <fill>
        <patternFill>
          <bgColor rgb="FFB2702E"/>
        </patternFill>
      </fill>
    </dxf>
    <dxf>
      <fill>
        <patternFill>
          <bgColor rgb="FFCCA074"/>
        </patternFill>
      </fill>
    </dxf>
    <dxf>
      <fill>
        <patternFill>
          <bgColor rgb="FFE5CFB9"/>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9CA725"/>
        </patternFill>
      </fill>
    </dxf>
    <dxf>
      <fill>
        <patternFill>
          <bgColor rgb="FFBDC46E"/>
        </patternFill>
      </fill>
    </dxf>
    <dxf>
      <fill>
        <patternFill>
          <bgColor rgb="FFDEE2B6"/>
        </patternFill>
      </fill>
    </dxf>
    <dxf>
      <fill>
        <patternFill>
          <bgColor theme="0"/>
        </patternFill>
      </fill>
    </dxf>
    <dxf>
      <fill>
        <patternFill>
          <bgColor rgb="FF9CA725"/>
        </patternFill>
      </fill>
    </dxf>
    <dxf>
      <fill>
        <patternFill>
          <bgColor rgb="FFBDC46E"/>
        </patternFill>
      </fill>
    </dxf>
    <dxf>
      <fill>
        <patternFill>
          <bgColor rgb="FFDEE2B6"/>
        </patternFill>
      </fill>
    </dxf>
    <dxf>
      <fill>
        <patternFill>
          <bgColor theme="0"/>
        </patternFill>
      </fill>
    </dxf>
    <dxf>
      <fill>
        <patternFill>
          <bgColor rgb="FF9CA725"/>
        </patternFill>
      </fill>
    </dxf>
    <dxf>
      <fill>
        <patternFill>
          <bgColor rgb="FFBDC46E"/>
        </patternFill>
      </fill>
    </dxf>
    <dxf>
      <fill>
        <patternFill>
          <bgColor rgb="FFDEE2B6"/>
        </patternFill>
      </fill>
    </dxf>
    <dxf>
      <fill>
        <patternFill>
          <bgColor theme="0"/>
        </patternFill>
      </fill>
    </dxf>
    <dxf>
      <fill>
        <patternFill>
          <bgColor rgb="FF9CA725"/>
        </patternFill>
      </fill>
    </dxf>
    <dxf>
      <fill>
        <patternFill>
          <bgColor rgb="FFBDC46E"/>
        </patternFill>
      </fill>
    </dxf>
    <dxf>
      <fill>
        <patternFill>
          <bgColor rgb="FFDEE2B6"/>
        </patternFill>
      </fill>
    </dxf>
    <dxf>
      <fill>
        <patternFill>
          <bgColor theme="0"/>
        </patternFill>
      </fill>
    </dxf>
    <dxf>
      <fill>
        <patternFill>
          <bgColor rgb="FF9CA725"/>
        </patternFill>
      </fill>
    </dxf>
    <dxf>
      <fill>
        <patternFill>
          <bgColor rgb="FFBDC46E"/>
        </patternFill>
      </fill>
    </dxf>
    <dxf>
      <fill>
        <patternFill>
          <bgColor rgb="FFDEE2B6"/>
        </patternFill>
      </fill>
    </dxf>
    <dxf>
      <fill>
        <patternFill>
          <bgColor theme="0"/>
        </patternFill>
      </fill>
    </dxf>
    <dxf>
      <fill>
        <patternFill>
          <bgColor rgb="FF9CA725"/>
        </patternFill>
      </fill>
    </dxf>
    <dxf>
      <fill>
        <patternFill>
          <bgColor rgb="FFBDC46E"/>
        </patternFill>
      </fill>
    </dxf>
    <dxf>
      <fill>
        <patternFill>
          <bgColor rgb="FFDEE2B6"/>
        </patternFill>
      </fill>
    </dxf>
    <dxf>
      <fill>
        <patternFill>
          <bgColor theme="0"/>
        </patternFill>
      </fill>
    </dxf>
    <dxf>
      <fill>
        <patternFill>
          <bgColor rgb="FF9CA725"/>
        </patternFill>
      </fill>
    </dxf>
    <dxf>
      <fill>
        <patternFill>
          <bgColor rgb="FFBDC46E"/>
        </patternFill>
      </fill>
    </dxf>
    <dxf>
      <fill>
        <patternFill>
          <bgColor rgb="FFDEE2B6"/>
        </patternFill>
      </fill>
    </dxf>
    <dxf>
      <fill>
        <patternFill>
          <bgColor theme="0"/>
        </patternFill>
      </fill>
    </dxf>
    <dxf>
      <fill>
        <patternFill>
          <bgColor rgb="FF9CA725"/>
        </patternFill>
      </fill>
    </dxf>
    <dxf>
      <fill>
        <patternFill>
          <bgColor rgb="FFBDC46E"/>
        </patternFill>
      </fill>
    </dxf>
    <dxf>
      <fill>
        <patternFill>
          <bgColor rgb="FFDEE2B6"/>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B2702E"/>
        </patternFill>
      </fill>
    </dxf>
    <dxf>
      <fill>
        <patternFill>
          <bgColor rgb="FFCCA074"/>
        </patternFill>
      </fill>
    </dxf>
    <dxf>
      <fill>
        <patternFill>
          <bgColor rgb="FFE5CFB9"/>
        </patternFill>
      </fill>
    </dxf>
    <dxf>
      <fill>
        <patternFill>
          <bgColor theme="0"/>
        </patternFill>
      </fill>
    </dxf>
    <dxf>
      <fill>
        <patternFill>
          <bgColor rgb="FF4496D1"/>
        </patternFill>
      </fill>
    </dxf>
    <dxf>
      <fill>
        <patternFill>
          <bgColor rgb="FF82B9E0"/>
        </patternFill>
      </fill>
    </dxf>
    <dxf>
      <fill>
        <patternFill>
          <bgColor rgb="FFC1DCF0"/>
        </patternFill>
      </fill>
    </dxf>
    <dxf>
      <fill>
        <patternFill>
          <bgColor theme="0"/>
        </patternFill>
      </fill>
    </dxf>
    <dxf>
      <fill>
        <patternFill>
          <bgColor rgb="FF4496D1"/>
        </patternFill>
      </fill>
    </dxf>
    <dxf>
      <fill>
        <patternFill>
          <bgColor rgb="FF82B9E0"/>
        </patternFill>
      </fill>
    </dxf>
    <dxf>
      <fill>
        <patternFill>
          <bgColor rgb="FFC1DCF0"/>
        </patternFill>
      </fill>
    </dxf>
    <dxf>
      <fill>
        <patternFill>
          <bgColor theme="0"/>
        </patternFill>
      </fill>
    </dxf>
    <dxf>
      <fill>
        <patternFill>
          <bgColor rgb="FF4496D1"/>
        </patternFill>
      </fill>
    </dxf>
    <dxf>
      <fill>
        <patternFill>
          <bgColor rgb="FF82B9E0"/>
        </patternFill>
      </fill>
    </dxf>
    <dxf>
      <fill>
        <patternFill>
          <bgColor rgb="FFC1DCF0"/>
        </patternFill>
      </fill>
    </dxf>
    <dxf>
      <fill>
        <patternFill>
          <bgColor theme="0"/>
        </patternFill>
      </fill>
    </dxf>
    <dxf>
      <fill>
        <patternFill>
          <bgColor rgb="FF4496D1"/>
        </patternFill>
      </fill>
    </dxf>
    <dxf>
      <fill>
        <patternFill>
          <bgColor rgb="FF82B9E0"/>
        </patternFill>
      </fill>
    </dxf>
    <dxf>
      <fill>
        <patternFill>
          <bgColor rgb="FFC1DCF0"/>
        </patternFill>
      </fill>
    </dxf>
    <dxf>
      <fill>
        <patternFill>
          <bgColor theme="0"/>
        </patternFill>
      </fill>
    </dxf>
    <dxf>
      <fill>
        <patternFill>
          <bgColor rgb="FF4496D1"/>
        </patternFill>
      </fill>
    </dxf>
    <dxf>
      <fill>
        <patternFill>
          <bgColor rgb="FF82B9E0"/>
        </patternFill>
      </fill>
    </dxf>
    <dxf>
      <fill>
        <patternFill>
          <bgColor rgb="FFC1DCF0"/>
        </patternFill>
      </fill>
    </dxf>
    <dxf>
      <fill>
        <patternFill>
          <bgColor theme="0"/>
        </patternFill>
      </fill>
    </dxf>
    <dxf>
      <fill>
        <patternFill>
          <bgColor rgb="FF4496D1"/>
        </patternFill>
      </fill>
    </dxf>
    <dxf>
      <fill>
        <patternFill>
          <bgColor rgb="FF82B9E0"/>
        </patternFill>
      </fill>
    </dxf>
    <dxf>
      <fill>
        <patternFill>
          <bgColor rgb="FFC1DCF0"/>
        </patternFill>
      </fill>
    </dxf>
    <dxf>
      <fill>
        <patternFill>
          <bgColor theme="0"/>
        </patternFill>
      </fill>
    </dxf>
    <dxf>
      <fill>
        <patternFill>
          <bgColor rgb="FF4496D1"/>
        </patternFill>
      </fill>
    </dxf>
    <dxf>
      <fill>
        <patternFill>
          <bgColor rgb="FF82B9E0"/>
        </patternFill>
      </fill>
    </dxf>
    <dxf>
      <fill>
        <patternFill>
          <bgColor rgb="FFC1DCF0"/>
        </patternFill>
      </fill>
    </dxf>
    <dxf>
      <fill>
        <patternFill>
          <bgColor theme="0"/>
        </patternFill>
      </fill>
    </dxf>
    <dxf>
      <fill>
        <patternFill>
          <bgColor rgb="FF4496D1"/>
        </patternFill>
      </fill>
    </dxf>
    <dxf>
      <fill>
        <patternFill>
          <bgColor rgb="FF82B9E0"/>
        </patternFill>
      </fill>
    </dxf>
    <dxf>
      <fill>
        <patternFill>
          <bgColor rgb="FFC1DCF0"/>
        </patternFill>
      </fill>
    </dxf>
    <dxf>
      <fill>
        <patternFill>
          <bgColor theme="0"/>
        </patternFill>
      </fill>
    </dxf>
    <dxf>
      <fill>
        <patternFill>
          <bgColor rgb="FFCFA335"/>
        </patternFill>
      </fill>
    </dxf>
    <dxf>
      <fill>
        <patternFill>
          <bgColor rgb="FFDFC278"/>
        </patternFill>
      </fill>
    </dxf>
    <dxf>
      <fill>
        <patternFill>
          <bgColor rgb="FFEFE0BC"/>
        </patternFill>
      </fill>
    </dxf>
    <dxf>
      <fill>
        <patternFill>
          <bgColor theme="0"/>
        </patternFill>
      </fill>
    </dxf>
    <dxf>
      <fill>
        <patternFill>
          <bgColor rgb="FFCFA335"/>
        </patternFill>
      </fill>
    </dxf>
    <dxf>
      <fill>
        <patternFill>
          <bgColor rgb="FFDFC278"/>
        </patternFill>
      </fill>
    </dxf>
    <dxf>
      <fill>
        <patternFill>
          <bgColor rgb="FFEFE0BC"/>
        </patternFill>
      </fill>
    </dxf>
    <dxf>
      <fill>
        <patternFill>
          <bgColor theme="0"/>
        </patternFill>
      </fill>
    </dxf>
    <dxf>
      <fill>
        <patternFill>
          <bgColor rgb="FFCFA335"/>
        </patternFill>
      </fill>
    </dxf>
    <dxf>
      <fill>
        <patternFill>
          <bgColor rgb="FFDFC278"/>
        </patternFill>
      </fill>
    </dxf>
    <dxf>
      <fill>
        <patternFill>
          <bgColor rgb="FFEFE0BC"/>
        </patternFill>
      </fill>
    </dxf>
    <dxf>
      <fill>
        <patternFill>
          <bgColor theme="0"/>
        </patternFill>
      </fill>
    </dxf>
    <dxf>
      <fill>
        <patternFill>
          <bgColor rgb="FFCFA335"/>
        </patternFill>
      </fill>
    </dxf>
    <dxf>
      <fill>
        <patternFill>
          <bgColor rgb="FFDFC278"/>
        </patternFill>
      </fill>
    </dxf>
    <dxf>
      <fill>
        <patternFill>
          <bgColor rgb="FFEFE0BC"/>
        </patternFill>
      </fill>
    </dxf>
    <dxf>
      <fill>
        <patternFill>
          <bgColor theme="0"/>
        </patternFill>
      </fill>
    </dxf>
    <dxf>
      <fill>
        <patternFill>
          <bgColor rgb="FFCFA335"/>
        </patternFill>
      </fill>
    </dxf>
    <dxf>
      <fill>
        <patternFill>
          <bgColor rgb="FFDFC278"/>
        </patternFill>
      </fill>
    </dxf>
    <dxf>
      <fill>
        <patternFill>
          <bgColor rgb="FFEFE0BC"/>
        </patternFill>
      </fill>
    </dxf>
    <dxf>
      <fill>
        <patternFill>
          <bgColor theme="0"/>
        </patternFill>
      </fill>
    </dxf>
    <dxf>
      <fill>
        <patternFill>
          <bgColor rgb="FFCFA335"/>
        </patternFill>
      </fill>
    </dxf>
    <dxf>
      <fill>
        <patternFill>
          <bgColor rgb="FFDFC278"/>
        </patternFill>
      </fill>
    </dxf>
    <dxf>
      <fill>
        <patternFill>
          <bgColor rgb="FFEFE0BC"/>
        </patternFill>
      </fill>
    </dxf>
    <dxf>
      <fill>
        <patternFill>
          <bgColor theme="0"/>
        </patternFill>
      </fill>
    </dxf>
    <dxf>
      <fill>
        <patternFill>
          <bgColor rgb="FFCFA335"/>
        </patternFill>
      </fill>
    </dxf>
    <dxf>
      <fill>
        <patternFill>
          <bgColor rgb="FFDFC278"/>
        </patternFill>
      </fill>
    </dxf>
    <dxf>
      <fill>
        <patternFill>
          <bgColor rgb="FFEFE0BC"/>
        </patternFill>
      </fill>
    </dxf>
    <dxf>
      <fill>
        <patternFill>
          <bgColor theme="0"/>
        </patternFill>
      </fill>
    </dxf>
    <dxf>
      <fill>
        <patternFill>
          <bgColor rgb="FFCFA335"/>
        </patternFill>
      </fill>
    </dxf>
    <dxf>
      <fill>
        <patternFill>
          <bgColor rgb="FFDFC278"/>
        </patternFill>
      </fill>
    </dxf>
    <dxf>
      <fill>
        <patternFill>
          <bgColor rgb="FFEFE0BC"/>
        </patternFill>
      </fill>
    </dxf>
    <dxf>
      <fill>
        <patternFill>
          <bgColor theme="0"/>
        </patternFill>
      </fill>
    </dxf>
    <dxf>
      <fill>
        <patternFill>
          <bgColor rgb="FFDB5D55"/>
        </patternFill>
      </fill>
    </dxf>
    <dxf>
      <fill>
        <patternFill>
          <bgColor rgb="FFE7938E"/>
        </patternFill>
      </fill>
    </dxf>
    <dxf>
      <fill>
        <patternFill>
          <bgColor rgb="FFF3C9C6"/>
        </patternFill>
      </fill>
    </dxf>
    <dxf>
      <fill>
        <patternFill>
          <bgColor theme="0"/>
        </patternFill>
      </fill>
    </dxf>
    <dxf>
      <fill>
        <patternFill>
          <bgColor rgb="FFDB5D55"/>
        </patternFill>
      </fill>
    </dxf>
    <dxf>
      <fill>
        <patternFill>
          <bgColor rgb="FFE7938E"/>
        </patternFill>
      </fill>
    </dxf>
    <dxf>
      <fill>
        <patternFill>
          <bgColor rgb="FFF3C9C6"/>
        </patternFill>
      </fill>
    </dxf>
    <dxf>
      <fill>
        <patternFill>
          <bgColor theme="0"/>
        </patternFill>
      </fill>
    </dxf>
    <dxf>
      <fill>
        <patternFill>
          <bgColor rgb="FFDB5D55"/>
        </patternFill>
      </fill>
    </dxf>
    <dxf>
      <fill>
        <patternFill>
          <bgColor rgb="FFE7938E"/>
        </patternFill>
      </fill>
    </dxf>
    <dxf>
      <fill>
        <patternFill>
          <bgColor rgb="FFF3C9C6"/>
        </patternFill>
      </fill>
    </dxf>
    <dxf>
      <fill>
        <patternFill>
          <bgColor theme="0"/>
        </patternFill>
      </fill>
    </dxf>
    <dxf>
      <fill>
        <patternFill>
          <bgColor rgb="FFDB5D55"/>
        </patternFill>
      </fill>
    </dxf>
    <dxf>
      <fill>
        <patternFill>
          <bgColor rgb="FFE7938E"/>
        </patternFill>
      </fill>
    </dxf>
    <dxf>
      <fill>
        <patternFill>
          <bgColor rgb="FFF3C9C6"/>
        </patternFill>
      </fill>
    </dxf>
    <dxf>
      <fill>
        <patternFill>
          <bgColor theme="0"/>
        </patternFill>
      </fill>
    </dxf>
    <dxf>
      <fill>
        <patternFill>
          <bgColor rgb="FFDB5D55"/>
        </patternFill>
      </fill>
    </dxf>
    <dxf>
      <fill>
        <patternFill>
          <bgColor rgb="FFE7938E"/>
        </patternFill>
      </fill>
    </dxf>
    <dxf>
      <fill>
        <patternFill>
          <bgColor rgb="FFF3C9C6"/>
        </patternFill>
      </fill>
    </dxf>
    <dxf>
      <fill>
        <patternFill>
          <bgColor theme="0"/>
        </patternFill>
      </fill>
    </dxf>
    <dxf>
      <fill>
        <patternFill>
          <bgColor rgb="FFDB5D55"/>
        </patternFill>
      </fill>
    </dxf>
    <dxf>
      <fill>
        <patternFill>
          <bgColor rgb="FFE7938E"/>
        </patternFill>
      </fill>
    </dxf>
    <dxf>
      <fill>
        <patternFill>
          <bgColor rgb="FFF3C9C6"/>
        </patternFill>
      </fill>
    </dxf>
    <dxf>
      <fill>
        <patternFill>
          <bgColor theme="0"/>
        </patternFill>
      </fill>
    </dxf>
    <dxf>
      <fill>
        <patternFill>
          <bgColor rgb="FFDB5D55"/>
        </patternFill>
      </fill>
    </dxf>
    <dxf>
      <fill>
        <patternFill>
          <bgColor rgb="FFE7938E"/>
        </patternFill>
      </fill>
    </dxf>
    <dxf>
      <fill>
        <patternFill>
          <bgColor rgb="FFF3C9C6"/>
        </patternFill>
      </fill>
    </dxf>
    <dxf>
      <fill>
        <patternFill>
          <bgColor theme="0"/>
        </patternFill>
      </fill>
    </dxf>
    <dxf>
      <fill>
        <patternFill>
          <bgColor rgb="FFDB5D55"/>
        </patternFill>
      </fill>
    </dxf>
    <dxf>
      <fill>
        <patternFill>
          <bgColor rgb="FFE7938E"/>
        </patternFill>
      </fill>
    </dxf>
    <dxf>
      <fill>
        <patternFill>
          <bgColor rgb="FFF3C9C6"/>
        </patternFill>
      </fill>
    </dxf>
    <dxf>
      <fill>
        <patternFill>
          <bgColor theme="0"/>
        </patternFill>
      </fill>
    </dxf>
    <dxf>
      <fill>
        <patternFill>
          <bgColor rgb="FF5F588F"/>
        </patternFill>
      </fill>
    </dxf>
    <dxf>
      <fill>
        <patternFill>
          <bgColor rgb="FF9490B4"/>
        </patternFill>
      </fill>
    </dxf>
    <dxf>
      <fill>
        <patternFill>
          <bgColor rgb="FFCAC7DA"/>
        </patternFill>
      </fill>
    </dxf>
    <dxf>
      <fill>
        <patternFill>
          <bgColor theme="0"/>
        </patternFill>
      </fill>
    </dxf>
    <dxf>
      <fill>
        <patternFill>
          <bgColor rgb="FF5F588F"/>
        </patternFill>
      </fill>
    </dxf>
    <dxf>
      <fill>
        <patternFill>
          <bgColor rgb="FF9490B4"/>
        </patternFill>
      </fill>
    </dxf>
    <dxf>
      <fill>
        <patternFill>
          <bgColor rgb="FFCAC7DA"/>
        </patternFill>
      </fill>
    </dxf>
    <dxf>
      <fill>
        <patternFill>
          <bgColor theme="0"/>
        </patternFill>
      </fill>
    </dxf>
    <dxf>
      <fill>
        <patternFill>
          <bgColor rgb="FF5F588F"/>
        </patternFill>
      </fill>
    </dxf>
    <dxf>
      <fill>
        <patternFill>
          <bgColor rgb="FF9490B4"/>
        </patternFill>
      </fill>
    </dxf>
    <dxf>
      <fill>
        <patternFill>
          <bgColor rgb="FFCAC7DA"/>
        </patternFill>
      </fill>
    </dxf>
    <dxf>
      <fill>
        <patternFill>
          <bgColor theme="0"/>
        </patternFill>
      </fill>
    </dxf>
    <dxf>
      <fill>
        <patternFill>
          <bgColor rgb="FF5F588F"/>
        </patternFill>
      </fill>
    </dxf>
    <dxf>
      <fill>
        <patternFill>
          <bgColor rgb="FF9490B4"/>
        </patternFill>
      </fill>
    </dxf>
    <dxf>
      <fill>
        <patternFill>
          <bgColor rgb="FFCAC7DA"/>
        </patternFill>
      </fill>
    </dxf>
    <dxf>
      <fill>
        <patternFill>
          <bgColor theme="0"/>
        </patternFill>
      </fill>
    </dxf>
    <dxf>
      <fill>
        <patternFill>
          <bgColor rgb="FF5F588F"/>
        </patternFill>
      </fill>
    </dxf>
    <dxf>
      <fill>
        <patternFill>
          <bgColor rgb="FF9490B4"/>
        </patternFill>
      </fill>
    </dxf>
    <dxf>
      <fill>
        <patternFill>
          <bgColor rgb="FFCAC7DA"/>
        </patternFill>
      </fill>
    </dxf>
    <dxf>
      <fill>
        <patternFill>
          <bgColor theme="0"/>
        </patternFill>
      </fill>
    </dxf>
    <dxf>
      <fill>
        <patternFill>
          <bgColor rgb="FF5F588F"/>
        </patternFill>
      </fill>
    </dxf>
    <dxf>
      <fill>
        <patternFill>
          <bgColor rgb="FF9490B4"/>
        </patternFill>
      </fill>
    </dxf>
    <dxf>
      <fill>
        <patternFill>
          <bgColor rgb="FFCAC7DA"/>
        </patternFill>
      </fill>
    </dxf>
    <dxf>
      <fill>
        <patternFill>
          <bgColor theme="0"/>
        </patternFill>
      </fill>
    </dxf>
    <dxf>
      <fill>
        <patternFill>
          <bgColor rgb="FF5F588F"/>
        </patternFill>
      </fill>
    </dxf>
    <dxf>
      <fill>
        <patternFill>
          <bgColor rgb="FF9490B4"/>
        </patternFill>
      </fill>
    </dxf>
    <dxf>
      <fill>
        <patternFill>
          <bgColor rgb="FFCAC7DA"/>
        </patternFill>
      </fill>
    </dxf>
    <dxf>
      <fill>
        <patternFill>
          <bgColor theme="0"/>
        </patternFill>
      </fill>
    </dxf>
    <dxf>
      <fill>
        <patternFill>
          <bgColor rgb="FF5F588F"/>
        </patternFill>
      </fill>
    </dxf>
    <dxf>
      <fill>
        <patternFill>
          <bgColor rgb="FF9490B4"/>
        </patternFill>
      </fill>
    </dxf>
    <dxf>
      <fill>
        <patternFill>
          <bgColor rgb="FFCAC7DA"/>
        </patternFill>
      </fill>
    </dxf>
    <dxf>
      <fill>
        <patternFill>
          <bgColor theme="0"/>
        </patternFill>
      </fill>
    </dxf>
    <dxf>
      <fill>
        <patternFill>
          <bgColor rgb="FF5F588F"/>
        </patternFill>
      </fill>
    </dxf>
    <dxf>
      <fill>
        <patternFill>
          <bgColor rgb="FF9490B4"/>
        </patternFill>
      </fill>
    </dxf>
    <dxf>
      <fill>
        <patternFill>
          <bgColor rgb="FFCAC7DA"/>
        </patternFill>
      </fill>
    </dxf>
    <dxf>
      <fill>
        <patternFill>
          <bgColor theme="0"/>
        </patternFill>
      </fill>
    </dxf>
    <dxf>
      <fill>
        <patternFill>
          <bgColor theme="0" tint="-0.499984740745262"/>
        </patternFill>
      </fill>
    </dxf>
    <dxf>
      <fill>
        <patternFill>
          <bgColor theme="0" tint="-0.24994659260841701"/>
        </patternFill>
      </fill>
    </dxf>
    <dxf>
      <fill>
        <patternFill>
          <bgColor theme="0" tint="-4.9989318521683403E-2"/>
        </patternFill>
      </fill>
    </dxf>
    <dxf>
      <fill>
        <patternFill>
          <bgColor theme="0"/>
        </patternFill>
      </fill>
    </dxf>
    <dxf>
      <fill>
        <patternFill>
          <bgColor theme="0" tint="-0.499984740745262"/>
        </patternFill>
      </fill>
    </dxf>
    <dxf>
      <fill>
        <patternFill>
          <bgColor theme="0" tint="-0.24994659260841701"/>
        </patternFill>
      </fill>
    </dxf>
    <dxf>
      <fill>
        <patternFill>
          <bgColor theme="0" tint="-4.9989318521683403E-2"/>
        </patternFill>
      </fill>
    </dxf>
    <dxf>
      <fill>
        <patternFill>
          <bgColor theme="0"/>
        </patternFill>
      </fill>
    </dxf>
    <dxf>
      <fill>
        <patternFill>
          <bgColor theme="0" tint="-0.499984740745262"/>
        </patternFill>
      </fill>
    </dxf>
    <dxf>
      <fill>
        <patternFill>
          <bgColor theme="0" tint="-0.24994659260841701"/>
        </patternFill>
      </fill>
    </dxf>
    <dxf>
      <fill>
        <patternFill>
          <bgColor theme="0" tint="-4.9989318521683403E-2"/>
        </patternFill>
      </fill>
    </dxf>
    <dxf>
      <fill>
        <patternFill>
          <bgColor theme="0"/>
        </patternFill>
      </fill>
    </dxf>
    <dxf>
      <fill>
        <patternFill>
          <bgColor theme="0" tint="-0.499984740745262"/>
        </patternFill>
      </fill>
    </dxf>
    <dxf>
      <fill>
        <patternFill>
          <bgColor theme="0" tint="-0.24994659260841701"/>
        </patternFill>
      </fill>
    </dxf>
    <dxf>
      <fill>
        <patternFill>
          <bgColor theme="0" tint="-4.9989318521683403E-2"/>
        </patternFill>
      </fill>
    </dxf>
    <dxf>
      <fill>
        <patternFill>
          <bgColor theme="0"/>
        </patternFill>
      </fill>
    </dxf>
    <dxf>
      <font>
        <color theme="0"/>
      </font>
      <fill>
        <patternFill>
          <bgColor rgb="FF9CA725"/>
        </patternFill>
      </fill>
    </dxf>
    <dxf>
      <fill>
        <patternFill>
          <bgColor rgb="FFBDC46E"/>
        </patternFill>
      </fill>
    </dxf>
    <dxf>
      <fill>
        <patternFill>
          <bgColor rgb="FFDEE2B6"/>
        </patternFill>
      </fill>
    </dxf>
    <dxf>
      <fill>
        <patternFill>
          <bgColor theme="0"/>
        </patternFill>
      </fill>
    </dxf>
    <dxf>
      <font>
        <color theme="0"/>
      </font>
      <fill>
        <patternFill>
          <bgColor rgb="FF9CA725"/>
        </patternFill>
      </fill>
    </dxf>
    <dxf>
      <fill>
        <patternFill>
          <bgColor rgb="FFBDC46E"/>
        </patternFill>
      </fill>
    </dxf>
    <dxf>
      <fill>
        <patternFill>
          <bgColor rgb="FFDEE2B6"/>
        </patternFill>
      </fill>
    </dxf>
    <dxf>
      <fill>
        <patternFill>
          <bgColor theme="0"/>
        </patternFill>
      </fill>
    </dxf>
    <dxf>
      <font>
        <color theme="0"/>
      </font>
      <fill>
        <patternFill>
          <bgColor rgb="FF9CA725"/>
        </patternFill>
      </fill>
    </dxf>
    <dxf>
      <fill>
        <patternFill>
          <bgColor rgb="FFBDC46E"/>
        </patternFill>
      </fill>
    </dxf>
    <dxf>
      <fill>
        <patternFill>
          <bgColor rgb="FFDEE2B6"/>
        </patternFill>
      </fill>
    </dxf>
    <dxf>
      <fill>
        <patternFill>
          <bgColor theme="0"/>
        </patternFill>
      </fill>
    </dxf>
    <dxf>
      <font>
        <color theme="0"/>
      </font>
      <fill>
        <patternFill>
          <bgColor rgb="FF808080"/>
        </patternFill>
      </fill>
    </dxf>
    <dxf>
      <fill>
        <patternFill>
          <bgColor rgb="FFBFBFBF"/>
        </patternFill>
      </fill>
    </dxf>
    <dxf>
      <fill>
        <patternFill>
          <bgColor rgb="FFF2F2F2"/>
        </patternFill>
      </fill>
    </dxf>
    <dxf>
      <fill>
        <patternFill>
          <bgColor theme="0"/>
        </patternFill>
      </fill>
    </dxf>
    <dxf>
      <font>
        <color theme="0"/>
      </font>
      <fill>
        <patternFill>
          <bgColor rgb="FFB2702E"/>
        </patternFill>
      </fill>
    </dxf>
    <dxf>
      <fill>
        <patternFill>
          <bgColor rgb="FFCCA074"/>
        </patternFill>
      </fill>
    </dxf>
    <dxf>
      <fill>
        <patternFill>
          <bgColor rgb="FFE5CFB9"/>
        </patternFill>
      </fill>
    </dxf>
    <dxf>
      <fill>
        <patternFill>
          <bgColor theme="0"/>
        </patternFill>
      </fill>
    </dxf>
    <dxf>
      <font>
        <color theme="0"/>
      </font>
      <fill>
        <patternFill>
          <bgColor rgb="FFB2702E"/>
        </patternFill>
      </fill>
    </dxf>
    <dxf>
      <fill>
        <patternFill>
          <bgColor rgb="FFCCA074"/>
        </patternFill>
      </fill>
    </dxf>
    <dxf>
      <fill>
        <patternFill>
          <bgColor rgb="FFE5CFB9"/>
        </patternFill>
      </fill>
    </dxf>
    <dxf>
      <fill>
        <patternFill>
          <bgColor theme="0"/>
        </patternFill>
      </fill>
    </dxf>
    <dxf>
      <font>
        <color theme="0"/>
      </font>
      <fill>
        <patternFill>
          <bgColor rgb="FFB2702E"/>
        </patternFill>
      </fill>
    </dxf>
    <dxf>
      <fill>
        <patternFill>
          <bgColor rgb="FFCCA074"/>
        </patternFill>
      </fill>
    </dxf>
    <dxf>
      <fill>
        <patternFill>
          <bgColor rgb="FFE5CFB9"/>
        </patternFill>
      </fill>
    </dxf>
    <dxf>
      <fill>
        <patternFill>
          <bgColor theme="0"/>
        </patternFill>
      </fill>
    </dxf>
    <dxf>
      <font>
        <color theme="0"/>
      </font>
      <fill>
        <patternFill>
          <bgColor rgb="FF808080"/>
        </patternFill>
      </fill>
    </dxf>
    <dxf>
      <fill>
        <patternFill>
          <bgColor rgb="FFBFBFBF"/>
        </patternFill>
      </fill>
    </dxf>
    <dxf>
      <fill>
        <patternFill>
          <bgColor rgb="FFF2F2F2"/>
        </patternFill>
      </fill>
    </dxf>
    <dxf>
      <fill>
        <patternFill>
          <bgColor theme="0"/>
        </patternFill>
      </fill>
    </dxf>
    <dxf>
      <font>
        <color theme="0"/>
      </font>
      <fill>
        <patternFill>
          <bgColor rgb="FF4496D1"/>
        </patternFill>
      </fill>
    </dxf>
    <dxf>
      <fill>
        <patternFill>
          <bgColor rgb="FF82B9E0"/>
        </patternFill>
      </fill>
    </dxf>
    <dxf>
      <fill>
        <patternFill>
          <bgColor rgb="FFC1DCF0"/>
        </patternFill>
      </fill>
    </dxf>
    <dxf>
      <fill>
        <patternFill>
          <bgColor theme="0"/>
        </patternFill>
      </fill>
    </dxf>
    <dxf>
      <font>
        <color theme="0"/>
      </font>
      <fill>
        <patternFill>
          <bgColor rgb="FF4496D1"/>
        </patternFill>
      </fill>
    </dxf>
    <dxf>
      <fill>
        <patternFill>
          <bgColor rgb="FF82B9E0"/>
        </patternFill>
      </fill>
    </dxf>
    <dxf>
      <fill>
        <patternFill>
          <bgColor rgb="FFC1DCF0"/>
        </patternFill>
      </fill>
    </dxf>
    <dxf>
      <fill>
        <patternFill>
          <bgColor theme="0"/>
        </patternFill>
      </fill>
    </dxf>
    <dxf>
      <font>
        <color theme="0"/>
      </font>
      <fill>
        <patternFill>
          <bgColor rgb="FF4496D1"/>
        </patternFill>
      </fill>
    </dxf>
    <dxf>
      <fill>
        <patternFill>
          <bgColor rgb="FF82B9E0"/>
        </patternFill>
      </fill>
    </dxf>
    <dxf>
      <fill>
        <patternFill>
          <bgColor rgb="FFC1DCF0"/>
        </patternFill>
      </fill>
    </dxf>
    <dxf>
      <fill>
        <patternFill>
          <bgColor theme="0"/>
        </patternFill>
      </fill>
    </dxf>
    <dxf>
      <font>
        <color theme="0"/>
      </font>
      <fill>
        <patternFill>
          <bgColor rgb="FF808080"/>
        </patternFill>
      </fill>
    </dxf>
    <dxf>
      <fill>
        <patternFill>
          <bgColor rgb="FFBFBFBF"/>
        </patternFill>
      </fill>
    </dxf>
    <dxf>
      <fill>
        <patternFill>
          <bgColor rgb="FFF2F2F2"/>
        </patternFill>
      </fill>
    </dxf>
    <dxf>
      <fill>
        <patternFill>
          <bgColor theme="0"/>
        </patternFill>
      </fill>
    </dxf>
    <dxf>
      <font>
        <color theme="0"/>
      </font>
      <fill>
        <patternFill>
          <bgColor rgb="FFCFA335"/>
        </patternFill>
      </fill>
    </dxf>
    <dxf>
      <fill>
        <patternFill>
          <bgColor rgb="FFDFC278"/>
        </patternFill>
      </fill>
    </dxf>
    <dxf>
      <fill>
        <patternFill>
          <bgColor rgb="FFEFE0BC"/>
        </patternFill>
      </fill>
    </dxf>
    <dxf>
      <fill>
        <patternFill>
          <bgColor theme="0"/>
        </patternFill>
      </fill>
    </dxf>
    <dxf>
      <font>
        <color theme="0"/>
      </font>
      <fill>
        <patternFill>
          <bgColor rgb="FFCFA335"/>
        </patternFill>
      </fill>
    </dxf>
    <dxf>
      <fill>
        <patternFill>
          <bgColor rgb="FFDFC278"/>
        </patternFill>
      </fill>
    </dxf>
    <dxf>
      <fill>
        <patternFill>
          <bgColor rgb="FFEFE0BC"/>
        </patternFill>
      </fill>
    </dxf>
    <dxf>
      <fill>
        <patternFill>
          <bgColor theme="0"/>
        </patternFill>
      </fill>
    </dxf>
    <dxf>
      <font>
        <color theme="0"/>
      </font>
      <fill>
        <patternFill>
          <bgColor rgb="FFCFA335"/>
        </patternFill>
      </fill>
    </dxf>
    <dxf>
      <fill>
        <patternFill>
          <bgColor rgb="FFDFC278"/>
        </patternFill>
      </fill>
    </dxf>
    <dxf>
      <fill>
        <patternFill>
          <bgColor rgb="FFEFE0BC"/>
        </patternFill>
      </fill>
    </dxf>
    <dxf>
      <fill>
        <patternFill>
          <bgColor theme="0"/>
        </patternFill>
      </fill>
    </dxf>
    <dxf>
      <font>
        <color theme="0"/>
      </font>
      <fill>
        <patternFill>
          <bgColor rgb="FFCFA335"/>
        </patternFill>
      </fill>
    </dxf>
    <dxf>
      <fill>
        <patternFill>
          <bgColor rgb="FFDFC278"/>
        </patternFill>
      </fill>
    </dxf>
    <dxf>
      <fill>
        <patternFill>
          <bgColor rgb="FFEFE0BC"/>
        </patternFill>
      </fill>
    </dxf>
    <dxf>
      <fill>
        <patternFill>
          <bgColor theme="0"/>
        </patternFill>
      </fill>
    </dxf>
    <dxf>
      <font>
        <color theme="0"/>
      </font>
      <fill>
        <patternFill>
          <bgColor rgb="FF808080"/>
        </patternFill>
      </fill>
    </dxf>
    <dxf>
      <fill>
        <patternFill>
          <bgColor rgb="FFBFBFBF"/>
        </patternFill>
      </fill>
    </dxf>
    <dxf>
      <fill>
        <patternFill>
          <bgColor rgb="FFF2F2F2"/>
        </patternFill>
      </fill>
    </dxf>
    <dxf>
      <fill>
        <patternFill>
          <bgColor theme="0"/>
        </patternFill>
      </fill>
    </dxf>
    <dxf>
      <font>
        <color theme="0"/>
      </font>
      <fill>
        <patternFill>
          <bgColor rgb="FFDB5D55"/>
        </patternFill>
      </fill>
    </dxf>
    <dxf>
      <fill>
        <patternFill>
          <bgColor rgb="FFE7938E"/>
        </patternFill>
      </fill>
    </dxf>
    <dxf>
      <fill>
        <patternFill>
          <bgColor rgb="FFF3C9C6"/>
        </patternFill>
      </fill>
    </dxf>
    <dxf>
      <fill>
        <patternFill>
          <bgColor theme="0"/>
        </patternFill>
      </fill>
    </dxf>
    <dxf>
      <font>
        <color theme="0"/>
      </font>
      <fill>
        <patternFill>
          <bgColor rgb="FFDB5D55"/>
        </patternFill>
      </fill>
    </dxf>
    <dxf>
      <fill>
        <patternFill>
          <bgColor rgb="FFE7938E"/>
        </patternFill>
      </fill>
    </dxf>
    <dxf>
      <fill>
        <patternFill>
          <bgColor rgb="FFF3C9C6"/>
        </patternFill>
      </fill>
    </dxf>
    <dxf>
      <fill>
        <patternFill>
          <bgColor theme="0"/>
        </patternFill>
      </fill>
    </dxf>
    <dxf>
      <font>
        <color theme="0"/>
      </font>
      <fill>
        <patternFill>
          <bgColor rgb="FFDB5D55"/>
        </patternFill>
      </fill>
    </dxf>
    <dxf>
      <fill>
        <patternFill>
          <bgColor rgb="FFE7938E"/>
        </patternFill>
      </fill>
    </dxf>
    <dxf>
      <fill>
        <patternFill>
          <bgColor rgb="FFF3C9C6"/>
        </patternFill>
      </fill>
    </dxf>
    <dxf>
      <fill>
        <patternFill>
          <bgColor theme="0"/>
        </patternFill>
      </fill>
    </dxf>
    <dxf>
      <font>
        <color theme="0"/>
      </font>
      <fill>
        <patternFill>
          <bgColor rgb="FF808080"/>
        </patternFill>
      </fill>
    </dxf>
    <dxf>
      <fill>
        <patternFill>
          <bgColor rgb="FFBFBFBF"/>
        </patternFill>
      </fill>
    </dxf>
    <dxf>
      <fill>
        <patternFill>
          <bgColor rgb="FFF2F2F2"/>
        </patternFill>
      </fill>
    </dxf>
    <dxf>
      <fill>
        <patternFill>
          <bgColor theme="0"/>
        </patternFill>
      </fill>
    </dxf>
    <dxf>
      <font>
        <color theme="0"/>
      </font>
      <fill>
        <patternFill>
          <bgColor rgb="FF5F588F"/>
        </patternFill>
      </fill>
    </dxf>
    <dxf>
      <fill>
        <patternFill>
          <bgColor rgb="FF9490B4"/>
        </patternFill>
      </fill>
    </dxf>
    <dxf>
      <fill>
        <patternFill>
          <bgColor rgb="FFCAC7DA"/>
        </patternFill>
      </fill>
    </dxf>
    <dxf>
      <fill>
        <patternFill>
          <bgColor theme="0"/>
        </patternFill>
      </fill>
    </dxf>
    <dxf>
      <font>
        <color theme="0"/>
      </font>
      <fill>
        <patternFill>
          <bgColor rgb="FF5F588F"/>
        </patternFill>
      </fill>
    </dxf>
    <dxf>
      <fill>
        <patternFill>
          <bgColor rgb="FF9490B4"/>
        </patternFill>
      </fill>
    </dxf>
    <dxf>
      <fill>
        <patternFill>
          <bgColor rgb="FFCAC7DA"/>
        </patternFill>
      </fill>
    </dxf>
    <dxf>
      <fill>
        <patternFill>
          <bgColor theme="0"/>
        </patternFill>
      </fill>
    </dxf>
    <dxf>
      <font>
        <color theme="0"/>
      </font>
      <fill>
        <patternFill>
          <bgColor rgb="FF5F588F"/>
        </patternFill>
      </fill>
    </dxf>
    <dxf>
      <fill>
        <patternFill>
          <bgColor rgb="FF9490B4"/>
        </patternFill>
      </fill>
    </dxf>
    <dxf>
      <fill>
        <patternFill>
          <bgColor rgb="FFCAC7DA"/>
        </patternFill>
      </fill>
    </dxf>
    <dxf>
      <fill>
        <patternFill>
          <bgColor theme="0"/>
        </patternFill>
      </fill>
    </dxf>
    <dxf>
      <font>
        <color theme="0"/>
      </font>
      <fill>
        <patternFill>
          <bgColor rgb="FF808080"/>
        </patternFill>
      </fill>
    </dxf>
    <dxf>
      <fill>
        <patternFill>
          <bgColor rgb="FFBFBFBF"/>
        </patternFill>
      </fill>
    </dxf>
    <dxf>
      <fill>
        <patternFill>
          <bgColor rgb="FFF2F2F2"/>
        </patternFill>
      </fill>
    </dxf>
    <dxf>
      <fill>
        <patternFill>
          <bgColor theme="0"/>
        </patternFill>
      </fill>
    </dxf>
    <dxf>
      <fill>
        <patternFill>
          <bgColor rgb="FFBDD7EE"/>
        </patternFill>
      </fill>
    </dxf>
    <dxf>
      <fill>
        <patternFill>
          <bgColor rgb="FFBDD7EE"/>
        </patternFill>
      </fill>
    </dxf>
    <dxf>
      <fill>
        <patternFill>
          <bgColor rgb="FFBDD7EE"/>
        </patternFill>
      </fill>
    </dxf>
    <dxf>
      <fill>
        <patternFill>
          <bgColor rgb="FFBDD7EE"/>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ill>
        <patternFill>
          <bgColor rgb="FFBDD7EE"/>
        </patternFill>
      </fill>
    </dxf>
    <dxf>
      <fill>
        <patternFill>
          <bgColor rgb="FFBDD7EE"/>
        </patternFill>
      </fill>
    </dxf>
    <dxf>
      <fill>
        <patternFill>
          <bgColor rgb="FFBDD7EE"/>
        </patternFill>
      </fill>
    </dxf>
    <dxf>
      <fill>
        <patternFill>
          <bgColor rgb="FFBDD7EE"/>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ill>
        <patternFill>
          <bgColor rgb="FFBDD7EE"/>
        </patternFill>
      </fill>
    </dxf>
    <dxf>
      <fill>
        <patternFill>
          <bgColor rgb="FFBDD7EE"/>
        </patternFill>
      </fill>
    </dxf>
    <dxf>
      <fill>
        <patternFill>
          <bgColor rgb="FFBDD7EE"/>
        </patternFill>
      </fill>
    </dxf>
    <dxf>
      <fill>
        <patternFill>
          <bgColor rgb="FFBDD7EE"/>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rgb="FFBDD7EE"/>
        </patternFill>
      </fill>
    </dxf>
    <dxf>
      <font>
        <b/>
        <i val="0"/>
      </font>
      <fill>
        <patternFill>
          <bgColor rgb="FFBDD7EE"/>
        </patternFill>
      </fill>
    </dxf>
    <dxf>
      <fill>
        <patternFill>
          <bgColor rgb="FFBDD7EE"/>
        </patternFill>
      </fill>
    </dxf>
    <dxf>
      <fill>
        <patternFill>
          <bgColor rgb="FFBDD7EE"/>
        </patternFill>
      </fill>
    </dxf>
    <dxf>
      <fill>
        <patternFill>
          <bgColor rgb="FFBDD7EE"/>
        </patternFill>
      </fill>
    </dxf>
    <dxf>
      <fill>
        <patternFill>
          <bgColor rgb="FFBDD7EE"/>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rgb="FFBDD7EE"/>
        </patternFill>
      </fill>
    </dxf>
    <dxf>
      <font>
        <b/>
        <i val="0"/>
      </font>
      <fill>
        <patternFill>
          <bgColor rgb="FFBDD7EE"/>
        </patternFill>
      </fill>
    </dxf>
    <dxf>
      <fill>
        <patternFill>
          <bgColor rgb="FFBDD7EE"/>
        </patternFill>
      </fill>
    </dxf>
    <dxf>
      <fill>
        <patternFill>
          <bgColor rgb="FFBDD7EE"/>
        </patternFill>
      </fill>
    </dxf>
    <dxf>
      <fill>
        <patternFill>
          <bgColor rgb="FFBDD7EE"/>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ont>
        <b/>
        <i val="0"/>
      </font>
      <fill>
        <patternFill>
          <bgColor theme="8" tint="0.59996337778862885"/>
        </patternFill>
      </fill>
    </dxf>
    <dxf>
      <fill>
        <patternFill>
          <bgColor rgb="FFBDD7EE"/>
        </patternFill>
      </fill>
    </dxf>
    <dxf>
      <fill>
        <patternFill>
          <bgColor rgb="FFBDD7EE"/>
        </patternFill>
      </fill>
    </dxf>
    <dxf>
      <fill>
        <patternFill>
          <bgColor rgb="FFBDD7EE"/>
        </patternFill>
      </fill>
    </dxf>
    <dxf>
      <fill>
        <patternFill>
          <bgColor rgb="FFBDD7EE"/>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
      <font>
        <b/>
        <i val="0"/>
      </font>
      <fill>
        <patternFill>
          <bgColor theme="8" tint="0.59996337778862885"/>
        </patternFill>
      </fill>
    </dxf>
    <dxf>
      <font>
        <b/>
        <i val="0"/>
        <strike val="0"/>
      </font>
      <fill>
        <patternFill>
          <bgColor theme="8" tint="0.59996337778862885"/>
        </patternFill>
      </fill>
    </dxf>
  </dxfs>
  <tableStyles count="0" defaultTableStyle="TableStyleMedium2" defaultPivotStyle="PivotStyleLight16"/>
  <colors>
    <mruColors>
      <color rgb="FF9CA725"/>
      <color rgb="FFBDC46E"/>
      <color rgb="FFDEE2B6"/>
      <color rgb="FFB2702E"/>
      <color rgb="FFCCA074"/>
      <color rgb="FFE5CFB9"/>
      <color rgb="FF4496D1"/>
      <color rgb="FF82B9E0"/>
      <color rgb="FFC1DCF0"/>
      <color rgb="FFCFA3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539324358455396E-4"/>
          <c:y val="5.7435652769062186E-2"/>
          <c:w val="0.99171543411512719"/>
          <c:h val="0.94256434723093785"/>
        </c:manualLayout>
      </c:layout>
      <c:barChart>
        <c:barDir val="bar"/>
        <c:grouping val="stacked"/>
        <c:varyColors val="0"/>
        <c:ser>
          <c:idx val="1"/>
          <c:order val="0"/>
          <c:spPr>
            <a:noFill/>
            <a:ln>
              <a:noFill/>
            </a:ln>
            <a:effectLst/>
          </c:spPr>
          <c:invertIfNegative val="0"/>
          <c:cat>
            <c:strRef>
              <c:f>Overview!$A$7:$A$32</c:f>
              <c:strCache>
                <c:ptCount val="26"/>
                <c:pt idx="0">
                  <c:v>ALL PTEPA STANDARDS</c:v>
                </c:pt>
                <c:pt idx="1">
                  <c:v>STANDARD 1: INSTITUTIONAL COMMITMENT</c:v>
                </c:pt>
                <c:pt idx="2">
                  <c:v>Component 1A: Institutional Climate and Support</c:v>
                </c:pt>
                <c:pt idx="3">
                  <c:v>Component 1B: Reward Structure</c:v>
                </c:pt>
                <c:pt idx="4">
                  <c:v>Component 1C: Resources </c:v>
                </c:pt>
                <c:pt idx="5">
                  <c:v>STANDARD 2: LEADERSHIP AND COLLABORATION</c:v>
                </c:pt>
                <c:pt idx="6">
                  <c:v>Component 2A: Program Team Members</c:v>
                </c:pt>
                <c:pt idx="7">
                  <c:v>Component 2B: Program Team Attributes</c:v>
                </c:pt>
                <c:pt idx="8">
                  <c:v>Component 2C: Program Collaboration</c:v>
                </c:pt>
                <c:pt idx="9">
                  <c:v>STANDARD 3: RECRUITMENT</c:v>
                </c:pt>
                <c:pt idx="10">
                  <c:v>Component 3A: Recruitment Opportunities</c:v>
                </c:pt>
                <c:pt idx="11">
                  <c:v>Component 3B: Recruitment Activities </c:v>
                </c:pt>
                <c:pt idx="12">
                  <c:v>Component 3C: Early Teaching Experiences for Recruiting Teacher Candidates</c:v>
                </c:pt>
                <c:pt idx="13">
                  <c:v>Component 3D: Streamlined and Accessible Program Options</c:v>
                </c:pt>
                <c:pt idx="14">
                  <c:v>STANDARD 4: KNOWLEDGE AND SKILLS FOR TEACHING PHYSICS</c:v>
                </c:pt>
                <c:pt idx="15">
                  <c:v>Component 4A: Physics Content Knowledge</c:v>
                </c:pt>
                <c:pt idx="16">
                  <c:v>Component 4B: Pedagogy Courses and Curriculum</c:v>
                </c:pt>
                <c:pt idx="17">
                  <c:v>Component 4C: Practical K–12 School Experiences </c:v>
                </c:pt>
                <c:pt idx="18">
                  <c:v>STANDARD 5: MENTORING, COMMUNITY, AND PROFESSIONAL SUPPORT</c:v>
                </c:pt>
                <c:pt idx="19">
                  <c:v>Component 5A: Mentoring and Community Support Toward a Physics Degree</c:v>
                </c:pt>
                <c:pt idx="20">
                  <c:v>Component 5B: Mentoring and Community Support Toward Becoming a Physics Teacher</c:v>
                </c:pt>
                <c:pt idx="21">
                  <c:v>Component 5C: In-service Mentoring and Professional Community</c:v>
                </c:pt>
                <c:pt idx="22">
                  <c:v>STANDARD 6: PROGRAM ASSESSMENT</c:v>
                </c:pt>
                <c:pt idx="23">
                  <c:v>Component 6A: Program Outcomes</c:v>
                </c:pt>
                <c:pt idx="24">
                  <c:v>Component 6B: Program Evaluation and Improvement</c:v>
                </c:pt>
                <c:pt idx="25">
                  <c:v>Component 6C: Communication to Stakeholders</c:v>
                </c:pt>
              </c:strCache>
            </c:strRef>
          </c:cat>
          <c:val>
            <c:numRef>
              <c:f>Overview!$B$7:$B$32</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00-9496-46E3-8A86-F759211E1CFD}"/>
            </c:ext>
          </c:extLst>
        </c:ser>
        <c:ser>
          <c:idx val="0"/>
          <c:order val="1"/>
          <c:tx>
            <c:strRef>
              <c:f>Overview!$H$6</c:f>
              <c:strCache>
                <c:ptCount val="1"/>
                <c:pt idx="0">
                  <c:v>NP</c:v>
                </c:pt>
              </c:strCache>
            </c:strRef>
          </c:tx>
          <c:spPr>
            <a:solidFill>
              <a:schemeClr val="bg1"/>
            </a:solidFill>
            <a:ln>
              <a:solidFill>
                <a:schemeClr val="bg1">
                  <a:lumMod val="75000"/>
                </a:schemeClr>
              </a:solidFill>
            </a:ln>
            <a:effectLst/>
          </c:spPr>
          <c:invertIfNegative val="0"/>
          <c:dPt>
            <c:idx val="0"/>
            <c:invertIfNegative val="0"/>
            <c:bubble3D val="0"/>
            <c:spPr>
              <a:solidFill>
                <a:schemeClr val="bg1"/>
              </a:solidFill>
              <a:ln>
                <a:solidFill>
                  <a:schemeClr val="tx1"/>
                </a:solidFill>
              </a:ln>
              <a:effectLst/>
            </c:spPr>
            <c:extLst>
              <c:ext xmlns:c16="http://schemas.microsoft.com/office/drawing/2014/chart" uri="{C3380CC4-5D6E-409C-BE32-E72D297353CC}">
                <c16:uniqueId val="{0000009C-000A-4EB3-8C7C-CA0A8937510E}"/>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9C-000A-4EB3-8C7C-CA0A8937510E}"/>
                </c:ext>
              </c:extLst>
            </c:dLbl>
            <c:dLbl>
              <c:idx val="1"/>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A3-000A-4EB3-8C7C-CA0A8937510E}"/>
                </c:ext>
              </c:extLst>
            </c:dLbl>
            <c:dLbl>
              <c:idx val="5"/>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A2-000A-4EB3-8C7C-CA0A8937510E}"/>
                </c:ext>
              </c:extLst>
            </c:dLbl>
            <c:dLbl>
              <c:idx val="9"/>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9E-000A-4EB3-8C7C-CA0A8937510E}"/>
                </c:ext>
              </c:extLst>
            </c:dLbl>
            <c:dLbl>
              <c:idx val="14"/>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A1-000A-4EB3-8C7C-CA0A8937510E}"/>
                </c:ext>
              </c:extLst>
            </c:dLbl>
            <c:dLbl>
              <c:idx val="18"/>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A0-000A-4EB3-8C7C-CA0A8937510E}"/>
                </c:ext>
              </c:extLst>
            </c:dLbl>
            <c:dLbl>
              <c:idx val="22"/>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9F-000A-4EB3-8C7C-CA0A8937510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Overview!$A$7:$A$32</c:f>
              <c:strCache>
                <c:ptCount val="26"/>
                <c:pt idx="0">
                  <c:v>ALL PTEPA STANDARDS</c:v>
                </c:pt>
                <c:pt idx="1">
                  <c:v>STANDARD 1: INSTITUTIONAL COMMITMENT</c:v>
                </c:pt>
                <c:pt idx="2">
                  <c:v>Component 1A: Institutional Climate and Support</c:v>
                </c:pt>
                <c:pt idx="3">
                  <c:v>Component 1B: Reward Structure</c:v>
                </c:pt>
                <c:pt idx="4">
                  <c:v>Component 1C: Resources </c:v>
                </c:pt>
                <c:pt idx="5">
                  <c:v>STANDARD 2: LEADERSHIP AND COLLABORATION</c:v>
                </c:pt>
                <c:pt idx="6">
                  <c:v>Component 2A: Program Team Members</c:v>
                </c:pt>
                <c:pt idx="7">
                  <c:v>Component 2B: Program Team Attributes</c:v>
                </c:pt>
                <c:pt idx="8">
                  <c:v>Component 2C: Program Collaboration</c:v>
                </c:pt>
                <c:pt idx="9">
                  <c:v>STANDARD 3: RECRUITMENT</c:v>
                </c:pt>
                <c:pt idx="10">
                  <c:v>Component 3A: Recruitment Opportunities</c:v>
                </c:pt>
                <c:pt idx="11">
                  <c:v>Component 3B: Recruitment Activities </c:v>
                </c:pt>
                <c:pt idx="12">
                  <c:v>Component 3C: Early Teaching Experiences for Recruiting Teacher Candidates</c:v>
                </c:pt>
                <c:pt idx="13">
                  <c:v>Component 3D: Streamlined and Accessible Program Options</c:v>
                </c:pt>
                <c:pt idx="14">
                  <c:v>STANDARD 4: KNOWLEDGE AND SKILLS FOR TEACHING PHYSICS</c:v>
                </c:pt>
                <c:pt idx="15">
                  <c:v>Component 4A: Physics Content Knowledge</c:v>
                </c:pt>
                <c:pt idx="16">
                  <c:v>Component 4B: Pedagogy Courses and Curriculum</c:v>
                </c:pt>
                <c:pt idx="17">
                  <c:v>Component 4C: Practical K–12 School Experiences </c:v>
                </c:pt>
                <c:pt idx="18">
                  <c:v>STANDARD 5: MENTORING, COMMUNITY, AND PROFESSIONAL SUPPORT</c:v>
                </c:pt>
                <c:pt idx="19">
                  <c:v>Component 5A: Mentoring and Community Support Toward a Physics Degree</c:v>
                </c:pt>
                <c:pt idx="20">
                  <c:v>Component 5B: Mentoring and Community Support Toward Becoming a Physics Teacher</c:v>
                </c:pt>
                <c:pt idx="21">
                  <c:v>Component 5C: In-service Mentoring and Professional Community</c:v>
                </c:pt>
                <c:pt idx="22">
                  <c:v>STANDARD 6: PROGRAM ASSESSMENT</c:v>
                </c:pt>
                <c:pt idx="23">
                  <c:v>Component 6A: Program Outcomes</c:v>
                </c:pt>
                <c:pt idx="24">
                  <c:v>Component 6B: Program Evaluation and Improvement</c:v>
                </c:pt>
                <c:pt idx="25">
                  <c:v>Component 6C: Communication to Stakeholders</c:v>
                </c:pt>
              </c:strCache>
            </c:strRef>
          </c:cat>
          <c:val>
            <c:numRef>
              <c:f>Overview!$H$7:$H$32</c:f>
              <c:numCache>
                <c:formatCode>0%</c:formatCode>
                <c:ptCount val="2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val>
          <c:extLst>
            <c:ext xmlns:c16="http://schemas.microsoft.com/office/drawing/2014/chart" uri="{C3380CC4-5D6E-409C-BE32-E72D297353CC}">
              <c16:uniqueId val="{00000001-9496-46E3-8A86-F759211E1CFD}"/>
            </c:ext>
          </c:extLst>
        </c:ser>
        <c:ser>
          <c:idx val="2"/>
          <c:order val="2"/>
          <c:tx>
            <c:strRef>
              <c:f>Overview!$I$6</c:f>
              <c:strCache>
                <c:ptCount val="1"/>
                <c:pt idx="0">
                  <c:v>Developing</c:v>
                </c:pt>
              </c:strCache>
            </c:strRef>
          </c:tx>
          <c:spPr>
            <a:solidFill>
              <a:srgbClr val="F2F2F2"/>
            </a:solidFill>
            <a:ln>
              <a:solidFill>
                <a:schemeClr val="bg1">
                  <a:lumMod val="75000"/>
                </a:schemeClr>
              </a:solidFill>
            </a:ln>
            <a:effectLst/>
          </c:spPr>
          <c:invertIfNegative val="0"/>
          <c:dPt>
            <c:idx val="0"/>
            <c:invertIfNegative val="0"/>
            <c:bubble3D val="0"/>
            <c:spPr>
              <a:solidFill>
                <a:srgbClr val="F2F2F2"/>
              </a:solidFill>
              <a:ln>
                <a:solidFill>
                  <a:schemeClr val="tx1"/>
                </a:solidFill>
              </a:ln>
              <a:effectLst/>
            </c:spPr>
            <c:extLst>
              <c:ext xmlns:c16="http://schemas.microsoft.com/office/drawing/2014/chart" uri="{C3380CC4-5D6E-409C-BE32-E72D297353CC}">
                <c16:uniqueId val="{00000058-D128-4B76-AB4A-D51FA1E42868}"/>
              </c:ext>
            </c:extLst>
          </c:dPt>
          <c:dPt>
            <c:idx val="1"/>
            <c:invertIfNegative val="0"/>
            <c:bubble3D val="0"/>
            <c:spPr>
              <a:solidFill>
                <a:srgbClr val="CAC7DA"/>
              </a:solidFill>
              <a:ln>
                <a:solidFill>
                  <a:schemeClr val="bg1">
                    <a:lumMod val="75000"/>
                  </a:schemeClr>
                </a:solidFill>
              </a:ln>
              <a:effectLst/>
            </c:spPr>
            <c:extLst>
              <c:ext xmlns:c16="http://schemas.microsoft.com/office/drawing/2014/chart" uri="{C3380CC4-5D6E-409C-BE32-E72D297353CC}">
                <c16:uniqueId val="{00000002-D128-4B76-AB4A-D51FA1E42868}"/>
              </c:ext>
            </c:extLst>
          </c:dPt>
          <c:dPt>
            <c:idx val="2"/>
            <c:invertIfNegative val="0"/>
            <c:bubble3D val="0"/>
            <c:spPr>
              <a:solidFill>
                <a:srgbClr val="F2F2F2"/>
              </a:solidFill>
              <a:ln>
                <a:solidFill>
                  <a:schemeClr val="bg1">
                    <a:lumMod val="75000"/>
                  </a:schemeClr>
                </a:solidFill>
              </a:ln>
              <a:effectLst/>
            </c:spPr>
            <c:extLst>
              <c:ext xmlns:c16="http://schemas.microsoft.com/office/drawing/2014/chart" uri="{C3380CC4-5D6E-409C-BE32-E72D297353CC}">
                <c16:uniqueId val="{00000003-D128-4B76-AB4A-D51FA1E42868}"/>
              </c:ext>
            </c:extLst>
          </c:dPt>
          <c:dPt>
            <c:idx val="3"/>
            <c:invertIfNegative val="0"/>
            <c:bubble3D val="0"/>
            <c:spPr>
              <a:solidFill>
                <a:srgbClr val="F2F2F2"/>
              </a:solidFill>
              <a:ln>
                <a:solidFill>
                  <a:schemeClr val="bg1">
                    <a:lumMod val="75000"/>
                  </a:schemeClr>
                </a:solidFill>
              </a:ln>
              <a:effectLst/>
            </c:spPr>
            <c:extLst>
              <c:ext xmlns:c16="http://schemas.microsoft.com/office/drawing/2014/chart" uri="{C3380CC4-5D6E-409C-BE32-E72D297353CC}">
                <c16:uniqueId val="{00000004-D128-4B76-AB4A-D51FA1E42868}"/>
              </c:ext>
            </c:extLst>
          </c:dPt>
          <c:dPt>
            <c:idx val="4"/>
            <c:invertIfNegative val="0"/>
            <c:bubble3D val="0"/>
            <c:spPr>
              <a:solidFill>
                <a:srgbClr val="F2F2F2"/>
              </a:solidFill>
              <a:ln>
                <a:solidFill>
                  <a:schemeClr val="bg1">
                    <a:lumMod val="75000"/>
                  </a:schemeClr>
                </a:solidFill>
              </a:ln>
              <a:effectLst/>
            </c:spPr>
            <c:extLst>
              <c:ext xmlns:c16="http://schemas.microsoft.com/office/drawing/2014/chart" uri="{C3380CC4-5D6E-409C-BE32-E72D297353CC}">
                <c16:uniqueId val="{00000005-D128-4B76-AB4A-D51FA1E42868}"/>
              </c:ext>
            </c:extLst>
          </c:dPt>
          <c:dPt>
            <c:idx val="5"/>
            <c:invertIfNegative val="0"/>
            <c:bubble3D val="0"/>
            <c:spPr>
              <a:solidFill>
                <a:srgbClr val="F3C9C6"/>
              </a:solidFill>
              <a:ln>
                <a:solidFill>
                  <a:schemeClr val="bg1">
                    <a:lumMod val="75000"/>
                  </a:schemeClr>
                </a:solidFill>
              </a:ln>
              <a:effectLst/>
            </c:spPr>
            <c:extLst>
              <c:ext xmlns:c16="http://schemas.microsoft.com/office/drawing/2014/chart" uri="{C3380CC4-5D6E-409C-BE32-E72D297353CC}">
                <c16:uniqueId val="{00000011-D128-4B76-AB4A-D51FA1E42868}"/>
              </c:ext>
            </c:extLst>
          </c:dPt>
          <c:dPt>
            <c:idx val="6"/>
            <c:invertIfNegative val="0"/>
            <c:bubble3D val="0"/>
            <c:spPr>
              <a:solidFill>
                <a:srgbClr val="F2F2F2"/>
              </a:solidFill>
              <a:ln>
                <a:solidFill>
                  <a:schemeClr val="bg1">
                    <a:lumMod val="75000"/>
                  </a:schemeClr>
                </a:solidFill>
              </a:ln>
              <a:effectLst/>
            </c:spPr>
            <c:extLst>
              <c:ext xmlns:c16="http://schemas.microsoft.com/office/drawing/2014/chart" uri="{C3380CC4-5D6E-409C-BE32-E72D297353CC}">
                <c16:uniqueId val="{00000012-D128-4B76-AB4A-D51FA1E42868}"/>
              </c:ext>
            </c:extLst>
          </c:dPt>
          <c:dPt>
            <c:idx val="7"/>
            <c:invertIfNegative val="0"/>
            <c:bubble3D val="0"/>
            <c:spPr>
              <a:solidFill>
                <a:srgbClr val="F2F2F2"/>
              </a:solidFill>
              <a:ln>
                <a:solidFill>
                  <a:schemeClr val="bg1">
                    <a:lumMod val="75000"/>
                  </a:schemeClr>
                </a:solidFill>
              </a:ln>
              <a:effectLst/>
            </c:spPr>
            <c:extLst>
              <c:ext xmlns:c16="http://schemas.microsoft.com/office/drawing/2014/chart" uri="{C3380CC4-5D6E-409C-BE32-E72D297353CC}">
                <c16:uniqueId val="{00000013-D128-4B76-AB4A-D51FA1E42868}"/>
              </c:ext>
            </c:extLst>
          </c:dPt>
          <c:dPt>
            <c:idx val="8"/>
            <c:invertIfNegative val="0"/>
            <c:bubble3D val="0"/>
            <c:spPr>
              <a:solidFill>
                <a:srgbClr val="F2F2F2"/>
              </a:solidFill>
              <a:ln>
                <a:solidFill>
                  <a:schemeClr val="bg1">
                    <a:lumMod val="75000"/>
                  </a:schemeClr>
                </a:solidFill>
              </a:ln>
              <a:effectLst/>
            </c:spPr>
            <c:extLst>
              <c:ext xmlns:c16="http://schemas.microsoft.com/office/drawing/2014/chart" uri="{C3380CC4-5D6E-409C-BE32-E72D297353CC}">
                <c16:uniqueId val="{00000014-D128-4B76-AB4A-D51FA1E42868}"/>
              </c:ext>
            </c:extLst>
          </c:dPt>
          <c:dPt>
            <c:idx val="9"/>
            <c:invertIfNegative val="0"/>
            <c:bubble3D val="0"/>
            <c:spPr>
              <a:solidFill>
                <a:srgbClr val="EFE0BC"/>
              </a:solidFill>
              <a:ln>
                <a:solidFill>
                  <a:schemeClr val="bg1">
                    <a:lumMod val="75000"/>
                  </a:schemeClr>
                </a:solidFill>
              </a:ln>
              <a:effectLst/>
            </c:spPr>
            <c:extLst>
              <c:ext xmlns:c16="http://schemas.microsoft.com/office/drawing/2014/chart" uri="{C3380CC4-5D6E-409C-BE32-E72D297353CC}">
                <c16:uniqueId val="{0000001D-D128-4B76-AB4A-D51FA1E42868}"/>
              </c:ext>
            </c:extLst>
          </c:dPt>
          <c:dPt>
            <c:idx val="10"/>
            <c:invertIfNegative val="0"/>
            <c:bubble3D val="0"/>
            <c:spPr>
              <a:solidFill>
                <a:srgbClr val="F2F2F2"/>
              </a:solidFill>
              <a:ln>
                <a:solidFill>
                  <a:schemeClr val="bg1">
                    <a:lumMod val="75000"/>
                  </a:schemeClr>
                </a:solidFill>
              </a:ln>
              <a:effectLst/>
            </c:spPr>
            <c:extLst>
              <c:ext xmlns:c16="http://schemas.microsoft.com/office/drawing/2014/chart" uri="{C3380CC4-5D6E-409C-BE32-E72D297353CC}">
                <c16:uniqueId val="{0000001E-D128-4B76-AB4A-D51FA1E42868}"/>
              </c:ext>
            </c:extLst>
          </c:dPt>
          <c:dPt>
            <c:idx val="11"/>
            <c:invertIfNegative val="0"/>
            <c:bubble3D val="0"/>
            <c:spPr>
              <a:solidFill>
                <a:srgbClr val="F2F2F2"/>
              </a:solidFill>
              <a:ln>
                <a:solidFill>
                  <a:schemeClr val="bg1">
                    <a:lumMod val="75000"/>
                  </a:schemeClr>
                </a:solidFill>
              </a:ln>
              <a:effectLst/>
            </c:spPr>
            <c:extLst>
              <c:ext xmlns:c16="http://schemas.microsoft.com/office/drawing/2014/chart" uri="{C3380CC4-5D6E-409C-BE32-E72D297353CC}">
                <c16:uniqueId val="{0000001F-D128-4B76-AB4A-D51FA1E42868}"/>
              </c:ext>
            </c:extLst>
          </c:dPt>
          <c:dPt>
            <c:idx val="12"/>
            <c:invertIfNegative val="0"/>
            <c:bubble3D val="0"/>
            <c:spPr>
              <a:solidFill>
                <a:srgbClr val="F2F2F2"/>
              </a:solidFill>
              <a:ln>
                <a:solidFill>
                  <a:schemeClr val="bg1">
                    <a:lumMod val="75000"/>
                  </a:schemeClr>
                </a:solidFill>
              </a:ln>
              <a:effectLst/>
            </c:spPr>
            <c:extLst>
              <c:ext xmlns:c16="http://schemas.microsoft.com/office/drawing/2014/chart" uri="{C3380CC4-5D6E-409C-BE32-E72D297353CC}">
                <c16:uniqueId val="{00000020-D128-4B76-AB4A-D51FA1E42868}"/>
              </c:ext>
            </c:extLst>
          </c:dPt>
          <c:dPt>
            <c:idx val="13"/>
            <c:invertIfNegative val="0"/>
            <c:bubble3D val="0"/>
            <c:spPr>
              <a:solidFill>
                <a:srgbClr val="F2F2F2"/>
              </a:solidFill>
              <a:ln>
                <a:solidFill>
                  <a:schemeClr val="bg1">
                    <a:lumMod val="75000"/>
                  </a:schemeClr>
                </a:solidFill>
              </a:ln>
              <a:effectLst/>
            </c:spPr>
            <c:extLst>
              <c:ext xmlns:c16="http://schemas.microsoft.com/office/drawing/2014/chart" uri="{C3380CC4-5D6E-409C-BE32-E72D297353CC}">
                <c16:uniqueId val="{00000021-D128-4B76-AB4A-D51FA1E42868}"/>
              </c:ext>
            </c:extLst>
          </c:dPt>
          <c:dPt>
            <c:idx val="14"/>
            <c:invertIfNegative val="0"/>
            <c:bubble3D val="0"/>
            <c:spPr>
              <a:solidFill>
                <a:srgbClr val="C1DCF0"/>
              </a:solidFill>
              <a:ln>
                <a:solidFill>
                  <a:schemeClr val="bg1">
                    <a:lumMod val="75000"/>
                  </a:schemeClr>
                </a:solidFill>
              </a:ln>
              <a:effectLst/>
            </c:spPr>
            <c:extLst>
              <c:ext xmlns:c16="http://schemas.microsoft.com/office/drawing/2014/chart" uri="{C3380CC4-5D6E-409C-BE32-E72D297353CC}">
                <c16:uniqueId val="{0000002F-D128-4B76-AB4A-D51FA1E42868}"/>
              </c:ext>
            </c:extLst>
          </c:dPt>
          <c:dPt>
            <c:idx val="15"/>
            <c:invertIfNegative val="0"/>
            <c:bubble3D val="0"/>
            <c:spPr>
              <a:solidFill>
                <a:srgbClr val="F2F2F2"/>
              </a:solidFill>
              <a:ln>
                <a:solidFill>
                  <a:schemeClr val="bg1">
                    <a:lumMod val="75000"/>
                  </a:schemeClr>
                </a:solidFill>
              </a:ln>
              <a:effectLst/>
            </c:spPr>
            <c:extLst>
              <c:ext xmlns:c16="http://schemas.microsoft.com/office/drawing/2014/chart" uri="{C3380CC4-5D6E-409C-BE32-E72D297353CC}">
                <c16:uniqueId val="{00000030-D128-4B76-AB4A-D51FA1E42868}"/>
              </c:ext>
            </c:extLst>
          </c:dPt>
          <c:dPt>
            <c:idx val="16"/>
            <c:invertIfNegative val="0"/>
            <c:bubble3D val="0"/>
            <c:spPr>
              <a:solidFill>
                <a:srgbClr val="F2F2F2"/>
              </a:solidFill>
              <a:ln>
                <a:solidFill>
                  <a:schemeClr val="bg1">
                    <a:lumMod val="75000"/>
                  </a:schemeClr>
                </a:solidFill>
              </a:ln>
              <a:effectLst/>
            </c:spPr>
            <c:extLst>
              <c:ext xmlns:c16="http://schemas.microsoft.com/office/drawing/2014/chart" uri="{C3380CC4-5D6E-409C-BE32-E72D297353CC}">
                <c16:uniqueId val="{00000031-D128-4B76-AB4A-D51FA1E42868}"/>
              </c:ext>
            </c:extLst>
          </c:dPt>
          <c:dPt>
            <c:idx val="17"/>
            <c:invertIfNegative val="0"/>
            <c:bubble3D val="0"/>
            <c:spPr>
              <a:solidFill>
                <a:srgbClr val="F2F2F2"/>
              </a:solidFill>
              <a:ln>
                <a:solidFill>
                  <a:schemeClr val="bg1">
                    <a:lumMod val="75000"/>
                  </a:schemeClr>
                </a:solidFill>
              </a:ln>
              <a:effectLst/>
            </c:spPr>
            <c:extLst>
              <c:ext xmlns:c16="http://schemas.microsoft.com/office/drawing/2014/chart" uri="{C3380CC4-5D6E-409C-BE32-E72D297353CC}">
                <c16:uniqueId val="{00000032-D128-4B76-AB4A-D51FA1E42868}"/>
              </c:ext>
            </c:extLst>
          </c:dPt>
          <c:dPt>
            <c:idx val="18"/>
            <c:invertIfNegative val="0"/>
            <c:bubble3D val="0"/>
            <c:spPr>
              <a:solidFill>
                <a:srgbClr val="E5CFB9"/>
              </a:solidFill>
              <a:ln>
                <a:solidFill>
                  <a:schemeClr val="bg1">
                    <a:lumMod val="75000"/>
                  </a:schemeClr>
                </a:solidFill>
              </a:ln>
              <a:effectLst/>
            </c:spPr>
            <c:extLst>
              <c:ext xmlns:c16="http://schemas.microsoft.com/office/drawing/2014/chart" uri="{C3380CC4-5D6E-409C-BE32-E72D297353CC}">
                <c16:uniqueId val="{0000003B-D128-4B76-AB4A-D51FA1E42868}"/>
              </c:ext>
            </c:extLst>
          </c:dPt>
          <c:dPt>
            <c:idx val="19"/>
            <c:invertIfNegative val="0"/>
            <c:bubble3D val="0"/>
            <c:spPr>
              <a:solidFill>
                <a:srgbClr val="F2F2F2"/>
              </a:solidFill>
              <a:ln>
                <a:solidFill>
                  <a:schemeClr val="bg1">
                    <a:lumMod val="75000"/>
                  </a:schemeClr>
                </a:solidFill>
              </a:ln>
              <a:effectLst/>
            </c:spPr>
            <c:extLst>
              <c:ext xmlns:c16="http://schemas.microsoft.com/office/drawing/2014/chart" uri="{C3380CC4-5D6E-409C-BE32-E72D297353CC}">
                <c16:uniqueId val="{0000003C-D128-4B76-AB4A-D51FA1E42868}"/>
              </c:ext>
            </c:extLst>
          </c:dPt>
          <c:dPt>
            <c:idx val="20"/>
            <c:invertIfNegative val="0"/>
            <c:bubble3D val="0"/>
            <c:spPr>
              <a:solidFill>
                <a:srgbClr val="F2F2F2"/>
              </a:solidFill>
              <a:ln>
                <a:solidFill>
                  <a:schemeClr val="bg1">
                    <a:lumMod val="75000"/>
                  </a:schemeClr>
                </a:solidFill>
              </a:ln>
              <a:effectLst/>
            </c:spPr>
            <c:extLst>
              <c:ext xmlns:c16="http://schemas.microsoft.com/office/drawing/2014/chart" uri="{C3380CC4-5D6E-409C-BE32-E72D297353CC}">
                <c16:uniqueId val="{0000003D-D128-4B76-AB4A-D51FA1E42868}"/>
              </c:ext>
            </c:extLst>
          </c:dPt>
          <c:dPt>
            <c:idx val="21"/>
            <c:invertIfNegative val="0"/>
            <c:bubble3D val="0"/>
            <c:spPr>
              <a:solidFill>
                <a:srgbClr val="F2F2F2"/>
              </a:solidFill>
              <a:ln>
                <a:solidFill>
                  <a:schemeClr val="bg1">
                    <a:lumMod val="75000"/>
                  </a:schemeClr>
                </a:solidFill>
              </a:ln>
              <a:effectLst/>
            </c:spPr>
            <c:extLst>
              <c:ext xmlns:c16="http://schemas.microsoft.com/office/drawing/2014/chart" uri="{C3380CC4-5D6E-409C-BE32-E72D297353CC}">
                <c16:uniqueId val="{0000003E-D128-4B76-AB4A-D51FA1E42868}"/>
              </c:ext>
            </c:extLst>
          </c:dPt>
          <c:dPt>
            <c:idx val="22"/>
            <c:invertIfNegative val="0"/>
            <c:bubble3D val="0"/>
            <c:spPr>
              <a:solidFill>
                <a:srgbClr val="DEE2B6"/>
              </a:solidFill>
              <a:ln>
                <a:solidFill>
                  <a:schemeClr val="bg1">
                    <a:lumMod val="75000"/>
                  </a:schemeClr>
                </a:solidFill>
              </a:ln>
              <a:effectLst/>
            </c:spPr>
            <c:extLst>
              <c:ext xmlns:c16="http://schemas.microsoft.com/office/drawing/2014/chart" uri="{C3380CC4-5D6E-409C-BE32-E72D297353CC}">
                <c16:uniqueId val="{00000047-D128-4B76-AB4A-D51FA1E42868}"/>
              </c:ext>
            </c:extLst>
          </c:dPt>
          <c:dPt>
            <c:idx val="23"/>
            <c:invertIfNegative val="0"/>
            <c:bubble3D val="0"/>
            <c:spPr>
              <a:solidFill>
                <a:srgbClr val="F2F2F2"/>
              </a:solidFill>
              <a:ln>
                <a:solidFill>
                  <a:schemeClr val="bg1">
                    <a:lumMod val="75000"/>
                  </a:schemeClr>
                </a:solidFill>
              </a:ln>
              <a:effectLst/>
            </c:spPr>
            <c:extLst>
              <c:ext xmlns:c16="http://schemas.microsoft.com/office/drawing/2014/chart" uri="{C3380CC4-5D6E-409C-BE32-E72D297353CC}">
                <c16:uniqueId val="{00000048-D128-4B76-AB4A-D51FA1E42868}"/>
              </c:ext>
            </c:extLst>
          </c:dPt>
          <c:dPt>
            <c:idx val="24"/>
            <c:invertIfNegative val="0"/>
            <c:bubble3D val="0"/>
            <c:spPr>
              <a:solidFill>
                <a:srgbClr val="F2F2F2"/>
              </a:solidFill>
              <a:ln>
                <a:solidFill>
                  <a:schemeClr val="bg1">
                    <a:lumMod val="75000"/>
                  </a:schemeClr>
                </a:solidFill>
              </a:ln>
              <a:effectLst/>
            </c:spPr>
            <c:extLst>
              <c:ext xmlns:c16="http://schemas.microsoft.com/office/drawing/2014/chart" uri="{C3380CC4-5D6E-409C-BE32-E72D297353CC}">
                <c16:uniqueId val="{00000049-D128-4B76-AB4A-D51FA1E42868}"/>
              </c:ext>
            </c:extLst>
          </c:dPt>
          <c:dPt>
            <c:idx val="25"/>
            <c:invertIfNegative val="0"/>
            <c:bubble3D val="0"/>
            <c:spPr>
              <a:solidFill>
                <a:srgbClr val="F2F2F2"/>
              </a:solidFill>
              <a:ln>
                <a:solidFill>
                  <a:schemeClr val="bg1">
                    <a:lumMod val="75000"/>
                  </a:schemeClr>
                </a:solidFill>
              </a:ln>
              <a:effectLst/>
            </c:spPr>
            <c:extLst>
              <c:ext xmlns:c16="http://schemas.microsoft.com/office/drawing/2014/chart" uri="{C3380CC4-5D6E-409C-BE32-E72D297353CC}">
                <c16:uniqueId val="{0000004A-D128-4B76-AB4A-D51FA1E42868}"/>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58-D128-4B76-AB4A-D51FA1E42868}"/>
                </c:ext>
              </c:extLst>
            </c:dLbl>
            <c:dLbl>
              <c:idx val="1"/>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2-D128-4B76-AB4A-D51FA1E42868}"/>
                </c:ext>
              </c:extLst>
            </c:dLbl>
            <c:dLbl>
              <c:idx val="5"/>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11-D128-4B76-AB4A-D51FA1E42868}"/>
                </c:ext>
              </c:extLst>
            </c:dLbl>
            <c:dLbl>
              <c:idx val="9"/>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1D-D128-4B76-AB4A-D51FA1E42868}"/>
                </c:ext>
              </c:extLst>
            </c:dLbl>
            <c:dLbl>
              <c:idx val="14"/>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2F-D128-4B76-AB4A-D51FA1E42868}"/>
                </c:ext>
              </c:extLst>
            </c:dLbl>
            <c:dLbl>
              <c:idx val="18"/>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3B-D128-4B76-AB4A-D51FA1E42868}"/>
                </c:ext>
              </c:extLst>
            </c:dLbl>
            <c:dLbl>
              <c:idx val="22"/>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47-D128-4B76-AB4A-D51FA1E4286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Overview!$A$7:$A$32</c:f>
              <c:strCache>
                <c:ptCount val="26"/>
                <c:pt idx="0">
                  <c:v>ALL PTEPA STANDARDS</c:v>
                </c:pt>
                <c:pt idx="1">
                  <c:v>STANDARD 1: INSTITUTIONAL COMMITMENT</c:v>
                </c:pt>
                <c:pt idx="2">
                  <c:v>Component 1A: Institutional Climate and Support</c:v>
                </c:pt>
                <c:pt idx="3">
                  <c:v>Component 1B: Reward Structure</c:v>
                </c:pt>
                <c:pt idx="4">
                  <c:v>Component 1C: Resources </c:v>
                </c:pt>
                <c:pt idx="5">
                  <c:v>STANDARD 2: LEADERSHIP AND COLLABORATION</c:v>
                </c:pt>
                <c:pt idx="6">
                  <c:v>Component 2A: Program Team Members</c:v>
                </c:pt>
                <c:pt idx="7">
                  <c:v>Component 2B: Program Team Attributes</c:v>
                </c:pt>
                <c:pt idx="8">
                  <c:v>Component 2C: Program Collaboration</c:v>
                </c:pt>
                <c:pt idx="9">
                  <c:v>STANDARD 3: RECRUITMENT</c:v>
                </c:pt>
                <c:pt idx="10">
                  <c:v>Component 3A: Recruitment Opportunities</c:v>
                </c:pt>
                <c:pt idx="11">
                  <c:v>Component 3B: Recruitment Activities </c:v>
                </c:pt>
                <c:pt idx="12">
                  <c:v>Component 3C: Early Teaching Experiences for Recruiting Teacher Candidates</c:v>
                </c:pt>
                <c:pt idx="13">
                  <c:v>Component 3D: Streamlined and Accessible Program Options</c:v>
                </c:pt>
                <c:pt idx="14">
                  <c:v>STANDARD 4: KNOWLEDGE AND SKILLS FOR TEACHING PHYSICS</c:v>
                </c:pt>
                <c:pt idx="15">
                  <c:v>Component 4A: Physics Content Knowledge</c:v>
                </c:pt>
                <c:pt idx="16">
                  <c:v>Component 4B: Pedagogy Courses and Curriculum</c:v>
                </c:pt>
                <c:pt idx="17">
                  <c:v>Component 4C: Practical K–12 School Experiences </c:v>
                </c:pt>
                <c:pt idx="18">
                  <c:v>STANDARD 5: MENTORING, COMMUNITY, AND PROFESSIONAL SUPPORT</c:v>
                </c:pt>
                <c:pt idx="19">
                  <c:v>Component 5A: Mentoring and Community Support Toward a Physics Degree</c:v>
                </c:pt>
                <c:pt idx="20">
                  <c:v>Component 5B: Mentoring and Community Support Toward Becoming a Physics Teacher</c:v>
                </c:pt>
                <c:pt idx="21">
                  <c:v>Component 5C: In-service Mentoring and Professional Community</c:v>
                </c:pt>
                <c:pt idx="22">
                  <c:v>STANDARD 6: PROGRAM ASSESSMENT</c:v>
                </c:pt>
                <c:pt idx="23">
                  <c:v>Component 6A: Program Outcomes</c:v>
                </c:pt>
                <c:pt idx="24">
                  <c:v>Component 6B: Program Evaluation and Improvement</c:v>
                </c:pt>
                <c:pt idx="25">
                  <c:v>Component 6C: Communication to Stakeholders</c:v>
                </c:pt>
              </c:strCache>
            </c:strRef>
          </c:cat>
          <c:val>
            <c:numRef>
              <c:f>Overview!$I$7:$I$32</c:f>
              <c:numCache>
                <c:formatCode>0%</c:formatCode>
                <c:ptCount val="2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val>
          <c:extLst>
            <c:ext xmlns:c16="http://schemas.microsoft.com/office/drawing/2014/chart" uri="{C3380CC4-5D6E-409C-BE32-E72D297353CC}">
              <c16:uniqueId val="{00000002-9496-46E3-8A86-F759211E1CFD}"/>
            </c:ext>
          </c:extLst>
        </c:ser>
        <c:ser>
          <c:idx val="3"/>
          <c:order val="3"/>
          <c:tx>
            <c:strRef>
              <c:f>Overview!$J$6</c:f>
              <c:strCache>
                <c:ptCount val="1"/>
                <c:pt idx="0">
                  <c:v>Benchmark</c:v>
                </c:pt>
              </c:strCache>
            </c:strRef>
          </c:tx>
          <c:spPr>
            <a:solidFill>
              <a:srgbClr val="BFBFBF"/>
            </a:solidFill>
            <a:ln>
              <a:solidFill>
                <a:schemeClr val="bg1">
                  <a:lumMod val="75000"/>
                </a:schemeClr>
              </a:solidFill>
            </a:ln>
            <a:effectLst/>
          </c:spPr>
          <c:invertIfNegative val="0"/>
          <c:dPt>
            <c:idx val="0"/>
            <c:invertIfNegative val="0"/>
            <c:bubble3D val="0"/>
            <c:spPr>
              <a:solidFill>
                <a:srgbClr val="BFBFBF"/>
              </a:solidFill>
              <a:ln>
                <a:solidFill>
                  <a:schemeClr val="tx1"/>
                </a:solidFill>
              </a:ln>
              <a:effectLst/>
            </c:spPr>
            <c:extLst>
              <c:ext xmlns:c16="http://schemas.microsoft.com/office/drawing/2014/chart" uri="{C3380CC4-5D6E-409C-BE32-E72D297353CC}">
                <c16:uniqueId val="{00000006-D128-4B76-AB4A-D51FA1E42868}"/>
              </c:ext>
            </c:extLst>
          </c:dPt>
          <c:dPt>
            <c:idx val="1"/>
            <c:invertIfNegative val="0"/>
            <c:bubble3D val="0"/>
            <c:spPr>
              <a:solidFill>
                <a:srgbClr val="9490B4"/>
              </a:solidFill>
              <a:ln>
                <a:solidFill>
                  <a:schemeClr val="bg1">
                    <a:lumMod val="75000"/>
                  </a:schemeClr>
                </a:solidFill>
              </a:ln>
              <a:effectLst/>
            </c:spPr>
            <c:extLst>
              <c:ext xmlns:c16="http://schemas.microsoft.com/office/drawing/2014/chart" uri="{C3380CC4-5D6E-409C-BE32-E72D297353CC}">
                <c16:uniqueId val="{00000008-D128-4B76-AB4A-D51FA1E42868}"/>
              </c:ext>
            </c:extLst>
          </c:dPt>
          <c:dPt>
            <c:idx val="2"/>
            <c:invertIfNegative val="0"/>
            <c:bubble3D val="0"/>
            <c:spPr>
              <a:solidFill>
                <a:srgbClr val="BFBFBF"/>
              </a:solidFill>
              <a:ln>
                <a:solidFill>
                  <a:schemeClr val="bg1">
                    <a:lumMod val="75000"/>
                  </a:schemeClr>
                </a:solidFill>
              </a:ln>
              <a:effectLst/>
            </c:spPr>
            <c:extLst>
              <c:ext xmlns:c16="http://schemas.microsoft.com/office/drawing/2014/chart" uri="{C3380CC4-5D6E-409C-BE32-E72D297353CC}">
                <c16:uniqueId val="{00000009-D128-4B76-AB4A-D51FA1E42868}"/>
              </c:ext>
            </c:extLst>
          </c:dPt>
          <c:dPt>
            <c:idx val="3"/>
            <c:invertIfNegative val="0"/>
            <c:bubble3D val="0"/>
            <c:spPr>
              <a:solidFill>
                <a:srgbClr val="BFBFBF"/>
              </a:solidFill>
              <a:ln>
                <a:solidFill>
                  <a:schemeClr val="bg1">
                    <a:lumMod val="75000"/>
                  </a:schemeClr>
                </a:solidFill>
              </a:ln>
              <a:effectLst/>
            </c:spPr>
            <c:extLst>
              <c:ext xmlns:c16="http://schemas.microsoft.com/office/drawing/2014/chart" uri="{C3380CC4-5D6E-409C-BE32-E72D297353CC}">
                <c16:uniqueId val="{0000000B-D128-4B76-AB4A-D51FA1E42868}"/>
              </c:ext>
            </c:extLst>
          </c:dPt>
          <c:dPt>
            <c:idx val="4"/>
            <c:invertIfNegative val="0"/>
            <c:bubble3D val="0"/>
            <c:spPr>
              <a:solidFill>
                <a:srgbClr val="BFBFBF"/>
              </a:solidFill>
              <a:ln>
                <a:solidFill>
                  <a:schemeClr val="bg1">
                    <a:lumMod val="75000"/>
                  </a:schemeClr>
                </a:solidFill>
              </a:ln>
              <a:effectLst/>
            </c:spPr>
            <c:extLst>
              <c:ext xmlns:c16="http://schemas.microsoft.com/office/drawing/2014/chart" uri="{C3380CC4-5D6E-409C-BE32-E72D297353CC}">
                <c16:uniqueId val="{0000000C-D128-4B76-AB4A-D51FA1E42868}"/>
              </c:ext>
            </c:extLst>
          </c:dPt>
          <c:dPt>
            <c:idx val="5"/>
            <c:invertIfNegative val="0"/>
            <c:bubble3D val="0"/>
            <c:spPr>
              <a:solidFill>
                <a:srgbClr val="E7938E"/>
              </a:solidFill>
              <a:ln>
                <a:solidFill>
                  <a:schemeClr val="bg1">
                    <a:lumMod val="75000"/>
                  </a:schemeClr>
                </a:solidFill>
              </a:ln>
              <a:effectLst/>
            </c:spPr>
            <c:extLst>
              <c:ext xmlns:c16="http://schemas.microsoft.com/office/drawing/2014/chart" uri="{C3380CC4-5D6E-409C-BE32-E72D297353CC}">
                <c16:uniqueId val="{00000015-D128-4B76-AB4A-D51FA1E42868}"/>
              </c:ext>
            </c:extLst>
          </c:dPt>
          <c:dPt>
            <c:idx val="6"/>
            <c:invertIfNegative val="0"/>
            <c:bubble3D val="0"/>
            <c:spPr>
              <a:solidFill>
                <a:srgbClr val="BFBFBF"/>
              </a:solidFill>
              <a:ln>
                <a:solidFill>
                  <a:schemeClr val="bg1">
                    <a:lumMod val="75000"/>
                  </a:schemeClr>
                </a:solidFill>
              </a:ln>
              <a:effectLst/>
            </c:spPr>
            <c:extLst>
              <c:ext xmlns:c16="http://schemas.microsoft.com/office/drawing/2014/chart" uri="{C3380CC4-5D6E-409C-BE32-E72D297353CC}">
                <c16:uniqueId val="{00000016-D128-4B76-AB4A-D51FA1E42868}"/>
              </c:ext>
            </c:extLst>
          </c:dPt>
          <c:dPt>
            <c:idx val="7"/>
            <c:invertIfNegative val="0"/>
            <c:bubble3D val="0"/>
            <c:spPr>
              <a:solidFill>
                <a:srgbClr val="BFBFBF"/>
              </a:solidFill>
              <a:ln>
                <a:solidFill>
                  <a:schemeClr val="bg1">
                    <a:lumMod val="75000"/>
                  </a:schemeClr>
                </a:solidFill>
              </a:ln>
              <a:effectLst/>
            </c:spPr>
            <c:extLst>
              <c:ext xmlns:c16="http://schemas.microsoft.com/office/drawing/2014/chart" uri="{C3380CC4-5D6E-409C-BE32-E72D297353CC}">
                <c16:uniqueId val="{00000017-D128-4B76-AB4A-D51FA1E42868}"/>
              </c:ext>
            </c:extLst>
          </c:dPt>
          <c:dPt>
            <c:idx val="8"/>
            <c:invertIfNegative val="0"/>
            <c:bubble3D val="0"/>
            <c:spPr>
              <a:solidFill>
                <a:srgbClr val="BFBFBF"/>
              </a:solidFill>
              <a:ln>
                <a:solidFill>
                  <a:schemeClr val="bg1">
                    <a:lumMod val="75000"/>
                  </a:schemeClr>
                </a:solidFill>
              </a:ln>
              <a:effectLst/>
            </c:spPr>
            <c:extLst>
              <c:ext xmlns:c16="http://schemas.microsoft.com/office/drawing/2014/chart" uri="{C3380CC4-5D6E-409C-BE32-E72D297353CC}">
                <c16:uniqueId val="{00000018-D128-4B76-AB4A-D51FA1E42868}"/>
              </c:ext>
            </c:extLst>
          </c:dPt>
          <c:dPt>
            <c:idx val="9"/>
            <c:invertIfNegative val="0"/>
            <c:bubble3D val="0"/>
            <c:spPr>
              <a:solidFill>
                <a:srgbClr val="DFC278"/>
              </a:solidFill>
              <a:ln>
                <a:solidFill>
                  <a:schemeClr val="bg1">
                    <a:lumMod val="75000"/>
                  </a:schemeClr>
                </a:solidFill>
              </a:ln>
              <a:effectLst/>
            </c:spPr>
            <c:extLst>
              <c:ext xmlns:c16="http://schemas.microsoft.com/office/drawing/2014/chart" uri="{C3380CC4-5D6E-409C-BE32-E72D297353CC}">
                <c16:uniqueId val="{00000022-D128-4B76-AB4A-D51FA1E42868}"/>
              </c:ext>
            </c:extLst>
          </c:dPt>
          <c:dPt>
            <c:idx val="10"/>
            <c:invertIfNegative val="0"/>
            <c:bubble3D val="0"/>
            <c:spPr>
              <a:solidFill>
                <a:srgbClr val="BFBFBF"/>
              </a:solidFill>
              <a:ln>
                <a:solidFill>
                  <a:schemeClr val="bg1">
                    <a:lumMod val="75000"/>
                  </a:schemeClr>
                </a:solidFill>
              </a:ln>
              <a:effectLst/>
            </c:spPr>
            <c:extLst>
              <c:ext xmlns:c16="http://schemas.microsoft.com/office/drawing/2014/chart" uri="{C3380CC4-5D6E-409C-BE32-E72D297353CC}">
                <c16:uniqueId val="{00000023-D128-4B76-AB4A-D51FA1E42868}"/>
              </c:ext>
            </c:extLst>
          </c:dPt>
          <c:dPt>
            <c:idx val="11"/>
            <c:invertIfNegative val="0"/>
            <c:bubble3D val="0"/>
            <c:spPr>
              <a:solidFill>
                <a:srgbClr val="BFBFBF"/>
              </a:solidFill>
              <a:ln>
                <a:solidFill>
                  <a:schemeClr val="bg1">
                    <a:lumMod val="75000"/>
                  </a:schemeClr>
                </a:solidFill>
              </a:ln>
              <a:effectLst/>
            </c:spPr>
            <c:extLst>
              <c:ext xmlns:c16="http://schemas.microsoft.com/office/drawing/2014/chart" uri="{C3380CC4-5D6E-409C-BE32-E72D297353CC}">
                <c16:uniqueId val="{00000024-D128-4B76-AB4A-D51FA1E42868}"/>
              </c:ext>
            </c:extLst>
          </c:dPt>
          <c:dPt>
            <c:idx val="12"/>
            <c:invertIfNegative val="0"/>
            <c:bubble3D val="0"/>
            <c:spPr>
              <a:solidFill>
                <a:srgbClr val="BFBFBF"/>
              </a:solidFill>
              <a:ln>
                <a:solidFill>
                  <a:schemeClr val="bg1">
                    <a:lumMod val="75000"/>
                  </a:schemeClr>
                </a:solidFill>
              </a:ln>
              <a:effectLst/>
            </c:spPr>
            <c:extLst>
              <c:ext xmlns:c16="http://schemas.microsoft.com/office/drawing/2014/chart" uri="{C3380CC4-5D6E-409C-BE32-E72D297353CC}">
                <c16:uniqueId val="{00000025-D128-4B76-AB4A-D51FA1E42868}"/>
              </c:ext>
            </c:extLst>
          </c:dPt>
          <c:dPt>
            <c:idx val="13"/>
            <c:invertIfNegative val="0"/>
            <c:bubble3D val="0"/>
            <c:spPr>
              <a:solidFill>
                <a:srgbClr val="BFBFBF"/>
              </a:solidFill>
              <a:ln>
                <a:solidFill>
                  <a:schemeClr val="bg1">
                    <a:lumMod val="75000"/>
                  </a:schemeClr>
                </a:solidFill>
              </a:ln>
              <a:effectLst/>
            </c:spPr>
            <c:extLst>
              <c:ext xmlns:c16="http://schemas.microsoft.com/office/drawing/2014/chart" uri="{C3380CC4-5D6E-409C-BE32-E72D297353CC}">
                <c16:uniqueId val="{0000002A-D128-4B76-AB4A-D51FA1E42868}"/>
              </c:ext>
            </c:extLst>
          </c:dPt>
          <c:dPt>
            <c:idx val="14"/>
            <c:invertIfNegative val="0"/>
            <c:bubble3D val="0"/>
            <c:spPr>
              <a:solidFill>
                <a:srgbClr val="82B9E0"/>
              </a:solidFill>
              <a:ln>
                <a:solidFill>
                  <a:schemeClr val="bg1">
                    <a:lumMod val="75000"/>
                  </a:schemeClr>
                </a:solidFill>
              </a:ln>
              <a:effectLst/>
            </c:spPr>
            <c:extLst>
              <c:ext xmlns:c16="http://schemas.microsoft.com/office/drawing/2014/chart" uri="{C3380CC4-5D6E-409C-BE32-E72D297353CC}">
                <c16:uniqueId val="{00000033-D128-4B76-AB4A-D51FA1E42868}"/>
              </c:ext>
            </c:extLst>
          </c:dPt>
          <c:dPt>
            <c:idx val="15"/>
            <c:invertIfNegative val="0"/>
            <c:bubble3D val="0"/>
            <c:spPr>
              <a:solidFill>
                <a:srgbClr val="BFBFBF"/>
              </a:solidFill>
              <a:ln>
                <a:solidFill>
                  <a:schemeClr val="bg1">
                    <a:lumMod val="75000"/>
                  </a:schemeClr>
                </a:solidFill>
              </a:ln>
              <a:effectLst/>
            </c:spPr>
            <c:extLst>
              <c:ext xmlns:c16="http://schemas.microsoft.com/office/drawing/2014/chart" uri="{C3380CC4-5D6E-409C-BE32-E72D297353CC}">
                <c16:uniqueId val="{00000034-D128-4B76-AB4A-D51FA1E42868}"/>
              </c:ext>
            </c:extLst>
          </c:dPt>
          <c:dPt>
            <c:idx val="16"/>
            <c:invertIfNegative val="0"/>
            <c:bubble3D val="0"/>
            <c:spPr>
              <a:solidFill>
                <a:srgbClr val="BFBFBF"/>
              </a:solidFill>
              <a:ln>
                <a:solidFill>
                  <a:schemeClr val="bg1">
                    <a:lumMod val="75000"/>
                  </a:schemeClr>
                </a:solidFill>
              </a:ln>
              <a:effectLst/>
            </c:spPr>
            <c:extLst>
              <c:ext xmlns:c16="http://schemas.microsoft.com/office/drawing/2014/chart" uri="{C3380CC4-5D6E-409C-BE32-E72D297353CC}">
                <c16:uniqueId val="{00000035-D128-4B76-AB4A-D51FA1E42868}"/>
              </c:ext>
            </c:extLst>
          </c:dPt>
          <c:dPt>
            <c:idx val="17"/>
            <c:invertIfNegative val="0"/>
            <c:bubble3D val="0"/>
            <c:spPr>
              <a:solidFill>
                <a:srgbClr val="BFBFBF"/>
              </a:solidFill>
              <a:ln>
                <a:solidFill>
                  <a:schemeClr val="bg1">
                    <a:lumMod val="75000"/>
                  </a:schemeClr>
                </a:solidFill>
              </a:ln>
              <a:effectLst/>
            </c:spPr>
            <c:extLst>
              <c:ext xmlns:c16="http://schemas.microsoft.com/office/drawing/2014/chart" uri="{C3380CC4-5D6E-409C-BE32-E72D297353CC}">
                <c16:uniqueId val="{00000036-D128-4B76-AB4A-D51FA1E42868}"/>
              </c:ext>
            </c:extLst>
          </c:dPt>
          <c:dPt>
            <c:idx val="18"/>
            <c:invertIfNegative val="0"/>
            <c:bubble3D val="0"/>
            <c:spPr>
              <a:solidFill>
                <a:srgbClr val="CCA074"/>
              </a:solidFill>
              <a:ln>
                <a:solidFill>
                  <a:schemeClr val="bg1">
                    <a:lumMod val="75000"/>
                  </a:schemeClr>
                </a:solidFill>
              </a:ln>
              <a:effectLst/>
            </c:spPr>
            <c:extLst>
              <c:ext xmlns:c16="http://schemas.microsoft.com/office/drawing/2014/chart" uri="{C3380CC4-5D6E-409C-BE32-E72D297353CC}">
                <c16:uniqueId val="{0000003F-D128-4B76-AB4A-D51FA1E42868}"/>
              </c:ext>
            </c:extLst>
          </c:dPt>
          <c:dPt>
            <c:idx val="19"/>
            <c:invertIfNegative val="0"/>
            <c:bubble3D val="0"/>
            <c:spPr>
              <a:solidFill>
                <a:srgbClr val="BFBFBF"/>
              </a:solidFill>
              <a:ln>
                <a:solidFill>
                  <a:schemeClr val="bg1">
                    <a:lumMod val="75000"/>
                  </a:schemeClr>
                </a:solidFill>
              </a:ln>
              <a:effectLst/>
            </c:spPr>
            <c:extLst>
              <c:ext xmlns:c16="http://schemas.microsoft.com/office/drawing/2014/chart" uri="{C3380CC4-5D6E-409C-BE32-E72D297353CC}">
                <c16:uniqueId val="{00000042-D128-4B76-AB4A-D51FA1E42868}"/>
              </c:ext>
            </c:extLst>
          </c:dPt>
          <c:dPt>
            <c:idx val="20"/>
            <c:invertIfNegative val="0"/>
            <c:bubble3D val="0"/>
            <c:spPr>
              <a:solidFill>
                <a:srgbClr val="BFBFBF"/>
              </a:solidFill>
              <a:ln>
                <a:solidFill>
                  <a:schemeClr val="bg1">
                    <a:lumMod val="75000"/>
                  </a:schemeClr>
                </a:solidFill>
              </a:ln>
              <a:effectLst/>
            </c:spPr>
            <c:extLst>
              <c:ext xmlns:c16="http://schemas.microsoft.com/office/drawing/2014/chart" uri="{C3380CC4-5D6E-409C-BE32-E72D297353CC}">
                <c16:uniqueId val="{00000040-D128-4B76-AB4A-D51FA1E42868}"/>
              </c:ext>
            </c:extLst>
          </c:dPt>
          <c:dPt>
            <c:idx val="21"/>
            <c:invertIfNegative val="0"/>
            <c:bubble3D val="0"/>
            <c:spPr>
              <a:solidFill>
                <a:srgbClr val="BFBFBF"/>
              </a:solidFill>
              <a:ln>
                <a:solidFill>
                  <a:schemeClr val="bg1">
                    <a:lumMod val="75000"/>
                  </a:schemeClr>
                </a:solidFill>
              </a:ln>
              <a:effectLst/>
            </c:spPr>
            <c:extLst>
              <c:ext xmlns:c16="http://schemas.microsoft.com/office/drawing/2014/chart" uri="{C3380CC4-5D6E-409C-BE32-E72D297353CC}">
                <c16:uniqueId val="{00000041-D128-4B76-AB4A-D51FA1E42868}"/>
              </c:ext>
            </c:extLst>
          </c:dPt>
          <c:dPt>
            <c:idx val="22"/>
            <c:invertIfNegative val="0"/>
            <c:bubble3D val="0"/>
            <c:spPr>
              <a:solidFill>
                <a:srgbClr val="BDC46E"/>
              </a:solidFill>
              <a:ln>
                <a:solidFill>
                  <a:schemeClr val="bg1">
                    <a:lumMod val="75000"/>
                  </a:schemeClr>
                </a:solidFill>
              </a:ln>
              <a:effectLst/>
            </c:spPr>
            <c:extLst>
              <c:ext xmlns:c16="http://schemas.microsoft.com/office/drawing/2014/chart" uri="{C3380CC4-5D6E-409C-BE32-E72D297353CC}">
                <c16:uniqueId val="{0000004B-D128-4B76-AB4A-D51FA1E42868}"/>
              </c:ext>
            </c:extLst>
          </c:dPt>
          <c:dPt>
            <c:idx val="23"/>
            <c:invertIfNegative val="0"/>
            <c:bubble3D val="0"/>
            <c:spPr>
              <a:solidFill>
                <a:srgbClr val="BFBFBF"/>
              </a:solidFill>
              <a:ln>
                <a:solidFill>
                  <a:schemeClr val="bg1">
                    <a:lumMod val="75000"/>
                  </a:schemeClr>
                </a:solidFill>
              </a:ln>
              <a:effectLst/>
            </c:spPr>
            <c:extLst>
              <c:ext xmlns:c16="http://schemas.microsoft.com/office/drawing/2014/chart" uri="{C3380CC4-5D6E-409C-BE32-E72D297353CC}">
                <c16:uniqueId val="{0000004C-D128-4B76-AB4A-D51FA1E42868}"/>
              </c:ext>
            </c:extLst>
          </c:dPt>
          <c:dPt>
            <c:idx val="24"/>
            <c:invertIfNegative val="0"/>
            <c:bubble3D val="0"/>
            <c:spPr>
              <a:solidFill>
                <a:srgbClr val="BFBFBF"/>
              </a:solidFill>
              <a:ln>
                <a:solidFill>
                  <a:schemeClr val="bg1">
                    <a:lumMod val="75000"/>
                  </a:schemeClr>
                </a:solidFill>
              </a:ln>
              <a:effectLst/>
            </c:spPr>
            <c:extLst>
              <c:ext xmlns:c16="http://schemas.microsoft.com/office/drawing/2014/chart" uri="{C3380CC4-5D6E-409C-BE32-E72D297353CC}">
                <c16:uniqueId val="{0000004D-D128-4B76-AB4A-D51FA1E42868}"/>
              </c:ext>
            </c:extLst>
          </c:dPt>
          <c:dPt>
            <c:idx val="25"/>
            <c:invertIfNegative val="0"/>
            <c:bubble3D val="0"/>
            <c:spPr>
              <a:solidFill>
                <a:srgbClr val="BFBFBF"/>
              </a:solidFill>
              <a:ln>
                <a:solidFill>
                  <a:schemeClr val="bg1">
                    <a:lumMod val="75000"/>
                  </a:schemeClr>
                </a:solidFill>
              </a:ln>
              <a:effectLst/>
            </c:spPr>
            <c:extLst>
              <c:ext xmlns:c16="http://schemas.microsoft.com/office/drawing/2014/chart" uri="{C3380CC4-5D6E-409C-BE32-E72D297353CC}">
                <c16:uniqueId val="{0000004E-D128-4B76-AB4A-D51FA1E42868}"/>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6-D128-4B76-AB4A-D51FA1E42868}"/>
                </c:ext>
              </c:extLst>
            </c:dLbl>
            <c:dLbl>
              <c:idx val="1"/>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8-D128-4B76-AB4A-D51FA1E42868}"/>
                </c:ext>
              </c:extLst>
            </c:dLbl>
            <c:dLbl>
              <c:idx val="5"/>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15-D128-4B76-AB4A-D51FA1E42868}"/>
                </c:ext>
              </c:extLst>
            </c:dLbl>
            <c:dLbl>
              <c:idx val="9"/>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22-D128-4B76-AB4A-D51FA1E42868}"/>
                </c:ext>
              </c:extLst>
            </c:dLbl>
            <c:dLbl>
              <c:idx val="14"/>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33-D128-4B76-AB4A-D51FA1E42868}"/>
                </c:ext>
              </c:extLst>
            </c:dLbl>
            <c:dLbl>
              <c:idx val="18"/>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3F-D128-4B76-AB4A-D51FA1E42868}"/>
                </c:ext>
              </c:extLst>
            </c:dLbl>
            <c:dLbl>
              <c:idx val="22"/>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4B-D128-4B76-AB4A-D51FA1E4286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Overview!$A$7:$A$32</c:f>
              <c:strCache>
                <c:ptCount val="26"/>
                <c:pt idx="0">
                  <c:v>ALL PTEPA STANDARDS</c:v>
                </c:pt>
                <c:pt idx="1">
                  <c:v>STANDARD 1: INSTITUTIONAL COMMITMENT</c:v>
                </c:pt>
                <c:pt idx="2">
                  <c:v>Component 1A: Institutional Climate and Support</c:v>
                </c:pt>
                <c:pt idx="3">
                  <c:v>Component 1B: Reward Structure</c:v>
                </c:pt>
                <c:pt idx="4">
                  <c:v>Component 1C: Resources </c:v>
                </c:pt>
                <c:pt idx="5">
                  <c:v>STANDARD 2: LEADERSHIP AND COLLABORATION</c:v>
                </c:pt>
                <c:pt idx="6">
                  <c:v>Component 2A: Program Team Members</c:v>
                </c:pt>
                <c:pt idx="7">
                  <c:v>Component 2B: Program Team Attributes</c:v>
                </c:pt>
                <c:pt idx="8">
                  <c:v>Component 2C: Program Collaboration</c:v>
                </c:pt>
                <c:pt idx="9">
                  <c:v>STANDARD 3: RECRUITMENT</c:v>
                </c:pt>
                <c:pt idx="10">
                  <c:v>Component 3A: Recruitment Opportunities</c:v>
                </c:pt>
                <c:pt idx="11">
                  <c:v>Component 3B: Recruitment Activities </c:v>
                </c:pt>
                <c:pt idx="12">
                  <c:v>Component 3C: Early Teaching Experiences for Recruiting Teacher Candidates</c:v>
                </c:pt>
                <c:pt idx="13">
                  <c:v>Component 3D: Streamlined and Accessible Program Options</c:v>
                </c:pt>
                <c:pt idx="14">
                  <c:v>STANDARD 4: KNOWLEDGE AND SKILLS FOR TEACHING PHYSICS</c:v>
                </c:pt>
                <c:pt idx="15">
                  <c:v>Component 4A: Physics Content Knowledge</c:v>
                </c:pt>
                <c:pt idx="16">
                  <c:v>Component 4B: Pedagogy Courses and Curriculum</c:v>
                </c:pt>
                <c:pt idx="17">
                  <c:v>Component 4C: Practical K–12 School Experiences </c:v>
                </c:pt>
                <c:pt idx="18">
                  <c:v>STANDARD 5: MENTORING, COMMUNITY, AND PROFESSIONAL SUPPORT</c:v>
                </c:pt>
                <c:pt idx="19">
                  <c:v>Component 5A: Mentoring and Community Support Toward a Physics Degree</c:v>
                </c:pt>
                <c:pt idx="20">
                  <c:v>Component 5B: Mentoring and Community Support Toward Becoming a Physics Teacher</c:v>
                </c:pt>
                <c:pt idx="21">
                  <c:v>Component 5C: In-service Mentoring and Professional Community</c:v>
                </c:pt>
                <c:pt idx="22">
                  <c:v>STANDARD 6: PROGRAM ASSESSMENT</c:v>
                </c:pt>
                <c:pt idx="23">
                  <c:v>Component 6A: Program Outcomes</c:v>
                </c:pt>
                <c:pt idx="24">
                  <c:v>Component 6B: Program Evaluation and Improvement</c:v>
                </c:pt>
                <c:pt idx="25">
                  <c:v>Component 6C: Communication to Stakeholders</c:v>
                </c:pt>
              </c:strCache>
            </c:strRef>
          </c:cat>
          <c:val>
            <c:numRef>
              <c:f>Overview!$J$7:$J$32</c:f>
              <c:numCache>
                <c:formatCode>0%</c:formatCode>
                <c:ptCount val="2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val>
          <c:extLst>
            <c:ext xmlns:c16="http://schemas.microsoft.com/office/drawing/2014/chart" uri="{C3380CC4-5D6E-409C-BE32-E72D297353CC}">
              <c16:uniqueId val="{00000003-9496-46E3-8A86-F759211E1CFD}"/>
            </c:ext>
          </c:extLst>
        </c:ser>
        <c:ser>
          <c:idx val="4"/>
          <c:order val="4"/>
          <c:tx>
            <c:strRef>
              <c:f>Overview!$K$6</c:f>
              <c:strCache>
                <c:ptCount val="1"/>
                <c:pt idx="0">
                  <c:v>Exemplary</c:v>
                </c:pt>
              </c:strCache>
            </c:strRef>
          </c:tx>
          <c:spPr>
            <a:solidFill>
              <a:srgbClr val="808080"/>
            </a:solidFill>
            <a:ln>
              <a:solidFill>
                <a:schemeClr val="bg1">
                  <a:lumMod val="75000"/>
                </a:schemeClr>
              </a:solidFill>
            </a:ln>
            <a:effectLst/>
          </c:spPr>
          <c:invertIfNegative val="0"/>
          <c:dPt>
            <c:idx val="0"/>
            <c:invertIfNegative val="0"/>
            <c:bubble3D val="0"/>
            <c:spPr>
              <a:solidFill>
                <a:srgbClr val="808080"/>
              </a:solidFill>
              <a:ln>
                <a:solidFill>
                  <a:schemeClr val="tx1"/>
                </a:solidFill>
              </a:ln>
              <a:effectLst/>
            </c:spPr>
            <c:extLst>
              <c:ext xmlns:c16="http://schemas.microsoft.com/office/drawing/2014/chart" uri="{C3380CC4-5D6E-409C-BE32-E72D297353CC}">
                <c16:uniqueId val="{00000007-D128-4B76-AB4A-D51FA1E42868}"/>
              </c:ext>
            </c:extLst>
          </c:dPt>
          <c:dPt>
            <c:idx val="1"/>
            <c:invertIfNegative val="0"/>
            <c:bubble3D val="0"/>
            <c:spPr>
              <a:solidFill>
                <a:srgbClr val="5F588F"/>
              </a:solidFill>
              <a:ln>
                <a:solidFill>
                  <a:schemeClr val="bg1">
                    <a:lumMod val="75000"/>
                  </a:schemeClr>
                </a:solidFill>
              </a:ln>
              <a:effectLst/>
            </c:spPr>
            <c:extLst>
              <c:ext xmlns:c16="http://schemas.microsoft.com/office/drawing/2014/chart" uri="{C3380CC4-5D6E-409C-BE32-E72D297353CC}">
                <c16:uniqueId val="{0000000D-D128-4B76-AB4A-D51FA1E42868}"/>
              </c:ext>
            </c:extLst>
          </c:dPt>
          <c:dPt>
            <c:idx val="2"/>
            <c:invertIfNegative val="0"/>
            <c:bubble3D val="0"/>
            <c:spPr>
              <a:solidFill>
                <a:srgbClr val="808080"/>
              </a:solidFill>
              <a:ln>
                <a:solidFill>
                  <a:schemeClr val="bg1">
                    <a:lumMod val="75000"/>
                  </a:schemeClr>
                </a:solidFill>
              </a:ln>
              <a:effectLst/>
            </c:spPr>
            <c:extLst>
              <c:ext xmlns:c16="http://schemas.microsoft.com/office/drawing/2014/chart" uri="{C3380CC4-5D6E-409C-BE32-E72D297353CC}">
                <c16:uniqueId val="{0000000E-D128-4B76-AB4A-D51FA1E42868}"/>
              </c:ext>
            </c:extLst>
          </c:dPt>
          <c:dPt>
            <c:idx val="3"/>
            <c:invertIfNegative val="0"/>
            <c:bubble3D val="0"/>
            <c:spPr>
              <a:solidFill>
                <a:srgbClr val="808080"/>
              </a:solidFill>
              <a:ln>
                <a:solidFill>
                  <a:schemeClr val="bg1">
                    <a:lumMod val="75000"/>
                  </a:schemeClr>
                </a:solidFill>
              </a:ln>
              <a:effectLst/>
            </c:spPr>
            <c:extLst>
              <c:ext xmlns:c16="http://schemas.microsoft.com/office/drawing/2014/chart" uri="{C3380CC4-5D6E-409C-BE32-E72D297353CC}">
                <c16:uniqueId val="{0000000F-D128-4B76-AB4A-D51FA1E42868}"/>
              </c:ext>
            </c:extLst>
          </c:dPt>
          <c:dPt>
            <c:idx val="4"/>
            <c:invertIfNegative val="0"/>
            <c:bubble3D val="0"/>
            <c:spPr>
              <a:solidFill>
                <a:srgbClr val="808080"/>
              </a:solidFill>
              <a:ln>
                <a:solidFill>
                  <a:schemeClr val="bg1">
                    <a:lumMod val="75000"/>
                  </a:schemeClr>
                </a:solidFill>
              </a:ln>
              <a:effectLst/>
            </c:spPr>
            <c:extLst>
              <c:ext xmlns:c16="http://schemas.microsoft.com/office/drawing/2014/chart" uri="{C3380CC4-5D6E-409C-BE32-E72D297353CC}">
                <c16:uniqueId val="{00000010-D128-4B76-AB4A-D51FA1E42868}"/>
              </c:ext>
            </c:extLst>
          </c:dPt>
          <c:dPt>
            <c:idx val="5"/>
            <c:invertIfNegative val="0"/>
            <c:bubble3D val="0"/>
            <c:spPr>
              <a:solidFill>
                <a:srgbClr val="DB5D55"/>
              </a:solidFill>
              <a:ln>
                <a:solidFill>
                  <a:schemeClr val="bg1">
                    <a:lumMod val="75000"/>
                  </a:schemeClr>
                </a:solidFill>
              </a:ln>
              <a:effectLst/>
            </c:spPr>
            <c:extLst>
              <c:ext xmlns:c16="http://schemas.microsoft.com/office/drawing/2014/chart" uri="{C3380CC4-5D6E-409C-BE32-E72D297353CC}">
                <c16:uniqueId val="{00000019-D128-4B76-AB4A-D51FA1E42868}"/>
              </c:ext>
            </c:extLst>
          </c:dPt>
          <c:dPt>
            <c:idx val="6"/>
            <c:invertIfNegative val="0"/>
            <c:bubble3D val="0"/>
            <c:spPr>
              <a:solidFill>
                <a:srgbClr val="808080"/>
              </a:solidFill>
              <a:ln>
                <a:solidFill>
                  <a:schemeClr val="bg1">
                    <a:lumMod val="75000"/>
                  </a:schemeClr>
                </a:solidFill>
              </a:ln>
              <a:effectLst/>
            </c:spPr>
            <c:extLst>
              <c:ext xmlns:c16="http://schemas.microsoft.com/office/drawing/2014/chart" uri="{C3380CC4-5D6E-409C-BE32-E72D297353CC}">
                <c16:uniqueId val="{0000001A-D128-4B76-AB4A-D51FA1E42868}"/>
              </c:ext>
            </c:extLst>
          </c:dPt>
          <c:dPt>
            <c:idx val="7"/>
            <c:invertIfNegative val="0"/>
            <c:bubble3D val="0"/>
            <c:spPr>
              <a:solidFill>
                <a:srgbClr val="808080"/>
              </a:solidFill>
              <a:ln>
                <a:solidFill>
                  <a:schemeClr val="bg1">
                    <a:lumMod val="75000"/>
                  </a:schemeClr>
                </a:solidFill>
              </a:ln>
              <a:effectLst/>
            </c:spPr>
            <c:extLst>
              <c:ext xmlns:c16="http://schemas.microsoft.com/office/drawing/2014/chart" uri="{C3380CC4-5D6E-409C-BE32-E72D297353CC}">
                <c16:uniqueId val="{0000001B-D128-4B76-AB4A-D51FA1E42868}"/>
              </c:ext>
            </c:extLst>
          </c:dPt>
          <c:dPt>
            <c:idx val="8"/>
            <c:invertIfNegative val="0"/>
            <c:bubble3D val="0"/>
            <c:spPr>
              <a:solidFill>
                <a:srgbClr val="808080"/>
              </a:solidFill>
              <a:ln>
                <a:solidFill>
                  <a:schemeClr val="bg1">
                    <a:lumMod val="75000"/>
                  </a:schemeClr>
                </a:solidFill>
              </a:ln>
              <a:effectLst/>
            </c:spPr>
            <c:extLst>
              <c:ext xmlns:c16="http://schemas.microsoft.com/office/drawing/2014/chart" uri="{C3380CC4-5D6E-409C-BE32-E72D297353CC}">
                <c16:uniqueId val="{0000001C-D128-4B76-AB4A-D51FA1E42868}"/>
              </c:ext>
            </c:extLst>
          </c:dPt>
          <c:dPt>
            <c:idx val="9"/>
            <c:invertIfNegative val="0"/>
            <c:bubble3D val="0"/>
            <c:spPr>
              <a:solidFill>
                <a:srgbClr val="CFA335"/>
              </a:solidFill>
              <a:ln>
                <a:solidFill>
                  <a:schemeClr val="bg1">
                    <a:lumMod val="75000"/>
                  </a:schemeClr>
                </a:solidFill>
              </a:ln>
              <a:effectLst/>
            </c:spPr>
            <c:extLst>
              <c:ext xmlns:c16="http://schemas.microsoft.com/office/drawing/2014/chart" uri="{C3380CC4-5D6E-409C-BE32-E72D297353CC}">
                <c16:uniqueId val="{00000026-D128-4B76-AB4A-D51FA1E42868}"/>
              </c:ext>
            </c:extLst>
          </c:dPt>
          <c:dPt>
            <c:idx val="10"/>
            <c:invertIfNegative val="0"/>
            <c:bubble3D val="0"/>
            <c:spPr>
              <a:solidFill>
                <a:srgbClr val="808080"/>
              </a:solidFill>
              <a:ln>
                <a:solidFill>
                  <a:schemeClr val="bg1">
                    <a:lumMod val="75000"/>
                  </a:schemeClr>
                </a:solidFill>
              </a:ln>
              <a:effectLst/>
            </c:spPr>
            <c:extLst>
              <c:ext xmlns:c16="http://schemas.microsoft.com/office/drawing/2014/chart" uri="{C3380CC4-5D6E-409C-BE32-E72D297353CC}">
                <c16:uniqueId val="{00000027-D128-4B76-AB4A-D51FA1E42868}"/>
              </c:ext>
            </c:extLst>
          </c:dPt>
          <c:dPt>
            <c:idx val="11"/>
            <c:invertIfNegative val="0"/>
            <c:bubble3D val="0"/>
            <c:spPr>
              <a:solidFill>
                <a:srgbClr val="808080"/>
              </a:solidFill>
              <a:ln>
                <a:solidFill>
                  <a:schemeClr val="bg1">
                    <a:lumMod val="75000"/>
                  </a:schemeClr>
                </a:solidFill>
              </a:ln>
              <a:effectLst/>
            </c:spPr>
            <c:extLst>
              <c:ext xmlns:c16="http://schemas.microsoft.com/office/drawing/2014/chart" uri="{C3380CC4-5D6E-409C-BE32-E72D297353CC}">
                <c16:uniqueId val="{00000028-D128-4B76-AB4A-D51FA1E42868}"/>
              </c:ext>
            </c:extLst>
          </c:dPt>
          <c:dPt>
            <c:idx val="12"/>
            <c:invertIfNegative val="0"/>
            <c:bubble3D val="0"/>
            <c:spPr>
              <a:solidFill>
                <a:srgbClr val="808080"/>
              </a:solidFill>
              <a:ln>
                <a:solidFill>
                  <a:schemeClr val="bg1">
                    <a:lumMod val="75000"/>
                  </a:schemeClr>
                </a:solidFill>
              </a:ln>
              <a:effectLst/>
            </c:spPr>
            <c:extLst>
              <c:ext xmlns:c16="http://schemas.microsoft.com/office/drawing/2014/chart" uri="{C3380CC4-5D6E-409C-BE32-E72D297353CC}">
                <c16:uniqueId val="{00000029-D128-4B76-AB4A-D51FA1E42868}"/>
              </c:ext>
            </c:extLst>
          </c:dPt>
          <c:dPt>
            <c:idx val="13"/>
            <c:invertIfNegative val="0"/>
            <c:bubble3D val="0"/>
            <c:spPr>
              <a:solidFill>
                <a:srgbClr val="808080"/>
              </a:solidFill>
              <a:ln>
                <a:solidFill>
                  <a:schemeClr val="bg1">
                    <a:lumMod val="75000"/>
                  </a:schemeClr>
                </a:solidFill>
              </a:ln>
              <a:effectLst/>
            </c:spPr>
            <c:extLst>
              <c:ext xmlns:c16="http://schemas.microsoft.com/office/drawing/2014/chart" uri="{C3380CC4-5D6E-409C-BE32-E72D297353CC}">
                <c16:uniqueId val="{0000002B-D128-4B76-AB4A-D51FA1E42868}"/>
              </c:ext>
            </c:extLst>
          </c:dPt>
          <c:dPt>
            <c:idx val="14"/>
            <c:invertIfNegative val="0"/>
            <c:bubble3D val="0"/>
            <c:spPr>
              <a:solidFill>
                <a:srgbClr val="4496D1"/>
              </a:solidFill>
              <a:ln>
                <a:solidFill>
                  <a:schemeClr val="bg1">
                    <a:lumMod val="75000"/>
                  </a:schemeClr>
                </a:solidFill>
              </a:ln>
              <a:effectLst/>
            </c:spPr>
            <c:extLst>
              <c:ext xmlns:c16="http://schemas.microsoft.com/office/drawing/2014/chart" uri="{C3380CC4-5D6E-409C-BE32-E72D297353CC}">
                <c16:uniqueId val="{00000037-D128-4B76-AB4A-D51FA1E42868}"/>
              </c:ext>
            </c:extLst>
          </c:dPt>
          <c:dPt>
            <c:idx val="15"/>
            <c:invertIfNegative val="0"/>
            <c:bubble3D val="0"/>
            <c:spPr>
              <a:solidFill>
                <a:srgbClr val="808080"/>
              </a:solidFill>
              <a:ln>
                <a:solidFill>
                  <a:schemeClr val="bg1">
                    <a:lumMod val="75000"/>
                  </a:schemeClr>
                </a:solidFill>
              </a:ln>
              <a:effectLst/>
            </c:spPr>
            <c:extLst>
              <c:ext xmlns:c16="http://schemas.microsoft.com/office/drawing/2014/chart" uri="{C3380CC4-5D6E-409C-BE32-E72D297353CC}">
                <c16:uniqueId val="{00000038-D128-4B76-AB4A-D51FA1E42868}"/>
              </c:ext>
            </c:extLst>
          </c:dPt>
          <c:dPt>
            <c:idx val="16"/>
            <c:invertIfNegative val="0"/>
            <c:bubble3D val="0"/>
            <c:spPr>
              <a:solidFill>
                <a:srgbClr val="808080"/>
              </a:solidFill>
              <a:ln>
                <a:solidFill>
                  <a:schemeClr val="bg1">
                    <a:lumMod val="75000"/>
                  </a:schemeClr>
                </a:solidFill>
              </a:ln>
              <a:effectLst/>
            </c:spPr>
            <c:extLst>
              <c:ext xmlns:c16="http://schemas.microsoft.com/office/drawing/2014/chart" uri="{C3380CC4-5D6E-409C-BE32-E72D297353CC}">
                <c16:uniqueId val="{00000039-D128-4B76-AB4A-D51FA1E42868}"/>
              </c:ext>
            </c:extLst>
          </c:dPt>
          <c:dPt>
            <c:idx val="17"/>
            <c:invertIfNegative val="0"/>
            <c:bubble3D val="0"/>
            <c:spPr>
              <a:solidFill>
                <a:srgbClr val="808080"/>
              </a:solidFill>
              <a:ln>
                <a:solidFill>
                  <a:schemeClr val="bg1">
                    <a:lumMod val="75000"/>
                  </a:schemeClr>
                </a:solidFill>
              </a:ln>
              <a:effectLst/>
            </c:spPr>
            <c:extLst>
              <c:ext xmlns:c16="http://schemas.microsoft.com/office/drawing/2014/chart" uri="{C3380CC4-5D6E-409C-BE32-E72D297353CC}">
                <c16:uniqueId val="{0000003A-D128-4B76-AB4A-D51FA1E42868}"/>
              </c:ext>
            </c:extLst>
          </c:dPt>
          <c:dPt>
            <c:idx val="18"/>
            <c:invertIfNegative val="0"/>
            <c:bubble3D val="0"/>
            <c:spPr>
              <a:solidFill>
                <a:srgbClr val="B2702E"/>
              </a:solidFill>
              <a:ln>
                <a:solidFill>
                  <a:schemeClr val="bg1">
                    <a:lumMod val="75000"/>
                  </a:schemeClr>
                </a:solidFill>
              </a:ln>
              <a:effectLst/>
            </c:spPr>
            <c:extLst>
              <c:ext xmlns:c16="http://schemas.microsoft.com/office/drawing/2014/chart" uri="{C3380CC4-5D6E-409C-BE32-E72D297353CC}">
                <c16:uniqueId val="{00000043-D128-4B76-AB4A-D51FA1E42868}"/>
              </c:ext>
            </c:extLst>
          </c:dPt>
          <c:dPt>
            <c:idx val="19"/>
            <c:invertIfNegative val="0"/>
            <c:bubble3D val="0"/>
            <c:spPr>
              <a:solidFill>
                <a:srgbClr val="808080"/>
              </a:solidFill>
              <a:ln>
                <a:solidFill>
                  <a:schemeClr val="bg1">
                    <a:lumMod val="75000"/>
                  </a:schemeClr>
                </a:solidFill>
              </a:ln>
              <a:effectLst/>
            </c:spPr>
            <c:extLst>
              <c:ext xmlns:c16="http://schemas.microsoft.com/office/drawing/2014/chart" uri="{C3380CC4-5D6E-409C-BE32-E72D297353CC}">
                <c16:uniqueId val="{00000044-D128-4B76-AB4A-D51FA1E42868}"/>
              </c:ext>
            </c:extLst>
          </c:dPt>
          <c:dPt>
            <c:idx val="20"/>
            <c:invertIfNegative val="0"/>
            <c:bubble3D val="0"/>
            <c:spPr>
              <a:solidFill>
                <a:srgbClr val="808080"/>
              </a:solidFill>
              <a:ln>
                <a:solidFill>
                  <a:schemeClr val="bg1">
                    <a:lumMod val="75000"/>
                  </a:schemeClr>
                </a:solidFill>
              </a:ln>
              <a:effectLst/>
            </c:spPr>
            <c:extLst>
              <c:ext xmlns:c16="http://schemas.microsoft.com/office/drawing/2014/chart" uri="{C3380CC4-5D6E-409C-BE32-E72D297353CC}">
                <c16:uniqueId val="{00000045-D128-4B76-AB4A-D51FA1E42868}"/>
              </c:ext>
            </c:extLst>
          </c:dPt>
          <c:dPt>
            <c:idx val="21"/>
            <c:invertIfNegative val="0"/>
            <c:bubble3D val="0"/>
            <c:spPr>
              <a:solidFill>
                <a:srgbClr val="808080"/>
              </a:solidFill>
              <a:ln>
                <a:solidFill>
                  <a:schemeClr val="bg1">
                    <a:lumMod val="75000"/>
                  </a:schemeClr>
                </a:solidFill>
              </a:ln>
              <a:effectLst/>
            </c:spPr>
            <c:extLst>
              <c:ext xmlns:c16="http://schemas.microsoft.com/office/drawing/2014/chart" uri="{C3380CC4-5D6E-409C-BE32-E72D297353CC}">
                <c16:uniqueId val="{00000046-D128-4B76-AB4A-D51FA1E42868}"/>
              </c:ext>
            </c:extLst>
          </c:dPt>
          <c:dPt>
            <c:idx val="22"/>
            <c:invertIfNegative val="0"/>
            <c:bubble3D val="0"/>
            <c:spPr>
              <a:solidFill>
                <a:srgbClr val="9CA725"/>
              </a:solidFill>
              <a:ln>
                <a:solidFill>
                  <a:schemeClr val="bg1">
                    <a:lumMod val="75000"/>
                  </a:schemeClr>
                </a:solidFill>
              </a:ln>
              <a:effectLst/>
            </c:spPr>
            <c:extLst>
              <c:ext xmlns:c16="http://schemas.microsoft.com/office/drawing/2014/chart" uri="{C3380CC4-5D6E-409C-BE32-E72D297353CC}">
                <c16:uniqueId val="{0000004F-D128-4B76-AB4A-D51FA1E42868}"/>
              </c:ext>
            </c:extLst>
          </c:dPt>
          <c:dPt>
            <c:idx val="23"/>
            <c:invertIfNegative val="0"/>
            <c:bubble3D val="0"/>
            <c:spPr>
              <a:solidFill>
                <a:srgbClr val="808080"/>
              </a:solidFill>
              <a:ln>
                <a:solidFill>
                  <a:schemeClr val="bg1">
                    <a:lumMod val="75000"/>
                  </a:schemeClr>
                </a:solidFill>
              </a:ln>
              <a:effectLst/>
            </c:spPr>
            <c:extLst>
              <c:ext xmlns:c16="http://schemas.microsoft.com/office/drawing/2014/chart" uri="{C3380CC4-5D6E-409C-BE32-E72D297353CC}">
                <c16:uniqueId val="{00000050-D128-4B76-AB4A-D51FA1E42868}"/>
              </c:ext>
            </c:extLst>
          </c:dPt>
          <c:dPt>
            <c:idx val="24"/>
            <c:invertIfNegative val="0"/>
            <c:bubble3D val="0"/>
            <c:spPr>
              <a:solidFill>
                <a:srgbClr val="808080"/>
              </a:solidFill>
              <a:ln>
                <a:solidFill>
                  <a:schemeClr val="bg1">
                    <a:lumMod val="75000"/>
                  </a:schemeClr>
                </a:solidFill>
              </a:ln>
              <a:effectLst/>
            </c:spPr>
            <c:extLst>
              <c:ext xmlns:c16="http://schemas.microsoft.com/office/drawing/2014/chart" uri="{C3380CC4-5D6E-409C-BE32-E72D297353CC}">
                <c16:uniqueId val="{00000051-D128-4B76-AB4A-D51FA1E42868}"/>
              </c:ext>
            </c:extLst>
          </c:dPt>
          <c:dPt>
            <c:idx val="25"/>
            <c:invertIfNegative val="0"/>
            <c:bubble3D val="0"/>
            <c:spPr>
              <a:solidFill>
                <a:srgbClr val="808080"/>
              </a:solidFill>
              <a:ln>
                <a:solidFill>
                  <a:schemeClr val="bg1">
                    <a:lumMod val="75000"/>
                  </a:schemeClr>
                </a:solidFill>
              </a:ln>
              <a:effectLst/>
            </c:spPr>
            <c:extLst>
              <c:ext xmlns:c16="http://schemas.microsoft.com/office/drawing/2014/chart" uri="{C3380CC4-5D6E-409C-BE32-E72D297353CC}">
                <c16:uniqueId val="{00000052-D128-4B76-AB4A-D51FA1E42868}"/>
              </c:ext>
            </c:extLst>
          </c:dPt>
          <c:dLbls>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7-D128-4B76-AB4A-D51FA1E42868}"/>
                </c:ext>
              </c:extLst>
            </c:dLbl>
            <c:dLbl>
              <c:idx val="1"/>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D-D128-4B76-AB4A-D51FA1E42868}"/>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E-D128-4B76-AB4A-D51FA1E42868}"/>
                </c:ext>
              </c:extLst>
            </c:dLbl>
            <c:dLbl>
              <c:idx val="3"/>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F-D128-4B76-AB4A-D51FA1E42868}"/>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10-D128-4B76-AB4A-D51FA1E42868}"/>
                </c:ext>
              </c:extLst>
            </c:dLbl>
            <c:dLbl>
              <c:idx val="5"/>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19-D128-4B76-AB4A-D51FA1E42868}"/>
                </c:ext>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1A-D128-4B76-AB4A-D51FA1E42868}"/>
                </c:ext>
              </c:extLst>
            </c:dLbl>
            <c:dLbl>
              <c:idx val="7"/>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1B-D128-4B76-AB4A-D51FA1E42868}"/>
                </c:ext>
              </c:extLst>
            </c:dLbl>
            <c:dLbl>
              <c:idx val="8"/>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1C-D128-4B76-AB4A-D51FA1E42868}"/>
                </c:ext>
              </c:extLst>
            </c:dLbl>
            <c:dLbl>
              <c:idx val="9"/>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26-D128-4B76-AB4A-D51FA1E42868}"/>
                </c:ext>
              </c:extLst>
            </c:dLbl>
            <c:dLbl>
              <c:idx val="1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27-D128-4B76-AB4A-D51FA1E42868}"/>
                </c:ext>
              </c:extLst>
            </c:dLbl>
            <c:dLbl>
              <c:idx val="1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28-D128-4B76-AB4A-D51FA1E42868}"/>
                </c:ext>
              </c:extLst>
            </c:dLbl>
            <c:dLbl>
              <c:idx val="1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29-D128-4B76-AB4A-D51FA1E42868}"/>
                </c:ext>
              </c:extLst>
            </c:dLbl>
            <c:dLbl>
              <c:idx val="13"/>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2B-D128-4B76-AB4A-D51FA1E42868}"/>
                </c:ext>
              </c:extLst>
            </c:dLbl>
            <c:dLbl>
              <c:idx val="14"/>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37-D128-4B76-AB4A-D51FA1E42868}"/>
                </c:ext>
              </c:extLst>
            </c:dLbl>
            <c:dLbl>
              <c:idx val="1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38-D128-4B76-AB4A-D51FA1E42868}"/>
                </c:ext>
              </c:extLst>
            </c:dLbl>
            <c:dLbl>
              <c:idx val="1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39-D128-4B76-AB4A-D51FA1E42868}"/>
                </c:ext>
              </c:extLst>
            </c:dLbl>
            <c:dLbl>
              <c:idx val="17"/>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3A-D128-4B76-AB4A-D51FA1E42868}"/>
                </c:ext>
              </c:extLst>
            </c:dLbl>
            <c:dLbl>
              <c:idx val="18"/>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43-D128-4B76-AB4A-D51FA1E42868}"/>
                </c:ext>
              </c:extLst>
            </c:dLbl>
            <c:dLbl>
              <c:idx val="19"/>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44-D128-4B76-AB4A-D51FA1E42868}"/>
                </c:ext>
              </c:extLst>
            </c:dLbl>
            <c:dLbl>
              <c:idx val="2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45-D128-4B76-AB4A-D51FA1E42868}"/>
                </c:ext>
              </c:extLst>
            </c:dLbl>
            <c:dLbl>
              <c:idx val="2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46-D128-4B76-AB4A-D51FA1E42868}"/>
                </c:ext>
              </c:extLst>
            </c:dLbl>
            <c:dLbl>
              <c:idx val="22"/>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4F-D128-4B76-AB4A-D51FA1E42868}"/>
                </c:ext>
              </c:extLst>
            </c:dLbl>
            <c:dLbl>
              <c:idx val="23"/>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50-D128-4B76-AB4A-D51FA1E42868}"/>
                </c:ext>
              </c:extLst>
            </c:dLbl>
            <c:dLbl>
              <c:idx val="2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51-D128-4B76-AB4A-D51FA1E42868}"/>
                </c:ext>
              </c:extLst>
            </c:dLbl>
            <c:dLbl>
              <c:idx val="2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52-D128-4B76-AB4A-D51FA1E4286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Overview!$A$7:$A$32</c:f>
              <c:strCache>
                <c:ptCount val="26"/>
                <c:pt idx="0">
                  <c:v>ALL PTEPA STANDARDS</c:v>
                </c:pt>
                <c:pt idx="1">
                  <c:v>STANDARD 1: INSTITUTIONAL COMMITMENT</c:v>
                </c:pt>
                <c:pt idx="2">
                  <c:v>Component 1A: Institutional Climate and Support</c:v>
                </c:pt>
                <c:pt idx="3">
                  <c:v>Component 1B: Reward Structure</c:v>
                </c:pt>
                <c:pt idx="4">
                  <c:v>Component 1C: Resources </c:v>
                </c:pt>
                <c:pt idx="5">
                  <c:v>STANDARD 2: LEADERSHIP AND COLLABORATION</c:v>
                </c:pt>
                <c:pt idx="6">
                  <c:v>Component 2A: Program Team Members</c:v>
                </c:pt>
                <c:pt idx="7">
                  <c:v>Component 2B: Program Team Attributes</c:v>
                </c:pt>
                <c:pt idx="8">
                  <c:v>Component 2C: Program Collaboration</c:v>
                </c:pt>
                <c:pt idx="9">
                  <c:v>STANDARD 3: RECRUITMENT</c:v>
                </c:pt>
                <c:pt idx="10">
                  <c:v>Component 3A: Recruitment Opportunities</c:v>
                </c:pt>
                <c:pt idx="11">
                  <c:v>Component 3B: Recruitment Activities </c:v>
                </c:pt>
                <c:pt idx="12">
                  <c:v>Component 3C: Early Teaching Experiences for Recruiting Teacher Candidates</c:v>
                </c:pt>
                <c:pt idx="13">
                  <c:v>Component 3D: Streamlined and Accessible Program Options</c:v>
                </c:pt>
                <c:pt idx="14">
                  <c:v>STANDARD 4: KNOWLEDGE AND SKILLS FOR TEACHING PHYSICS</c:v>
                </c:pt>
                <c:pt idx="15">
                  <c:v>Component 4A: Physics Content Knowledge</c:v>
                </c:pt>
                <c:pt idx="16">
                  <c:v>Component 4B: Pedagogy Courses and Curriculum</c:v>
                </c:pt>
                <c:pt idx="17">
                  <c:v>Component 4C: Practical K–12 School Experiences </c:v>
                </c:pt>
                <c:pt idx="18">
                  <c:v>STANDARD 5: MENTORING, COMMUNITY, AND PROFESSIONAL SUPPORT</c:v>
                </c:pt>
                <c:pt idx="19">
                  <c:v>Component 5A: Mentoring and Community Support Toward a Physics Degree</c:v>
                </c:pt>
                <c:pt idx="20">
                  <c:v>Component 5B: Mentoring and Community Support Toward Becoming a Physics Teacher</c:v>
                </c:pt>
                <c:pt idx="21">
                  <c:v>Component 5C: In-service Mentoring and Professional Community</c:v>
                </c:pt>
                <c:pt idx="22">
                  <c:v>STANDARD 6: PROGRAM ASSESSMENT</c:v>
                </c:pt>
                <c:pt idx="23">
                  <c:v>Component 6A: Program Outcomes</c:v>
                </c:pt>
                <c:pt idx="24">
                  <c:v>Component 6B: Program Evaluation and Improvement</c:v>
                </c:pt>
                <c:pt idx="25">
                  <c:v>Component 6C: Communication to Stakeholders</c:v>
                </c:pt>
              </c:strCache>
            </c:strRef>
          </c:cat>
          <c:val>
            <c:numRef>
              <c:f>Overview!$K$7:$K$32</c:f>
              <c:numCache>
                <c:formatCode>0%</c:formatCode>
                <c:ptCount val="2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val>
          <c:extLst>
            <c:ext xmlns:c16="http://schemas.microsoft.com/office/drawing/2014/chart" uri="{C3380CC4-5D6E-409C-BE32-E72D297353CC}">
              <c16:uniqueId val="{00000004-9496-46E3-8A86-F759211E1CFD}"/>
            </c:ext>
          </c:extLst>
        </c:ser>
        <c:ser>
          <c:idx val="5"/>
          <c:order val="5"/>
          <c:spPr>
            <a:noFill/>
            <a:ln>
              <a:noFill/>
            </a:ln>
            <a:effectLst/>
          </c:spPr>
          <c:invertIfNegative val="0"/>
          <c:cat>
            <c:strRef>
              <c:f>Overview!$A$7:$A$32</c:f>
              <c:strCache>
                <c:ptCount val="26"/>
                <c:pt idx="0">
                  <c:v>ALL PTEPA STANDARDS</c:v>
                </c:pt>
                <c:pt idx="1">
                  <c:v>STANDARD 1: INSTITUTIONAL COMMITMENT</c:v>
                </c:pt>
                <c:pt idx="2">
                  <c:v>Component 1A: Institutional Climate and Support</c:v>
                </c:pt>
                <c:pt idx="3">
                  <c:v>Component 1B: Reward Structure</c:v>
                </c:pt>
                <c:pt idx="4">
                  <c:v>Component 1C: Resources </c:v>
                </c:pt>
                <c:pt idx="5">
                  <c:v>STANDARD 2: LEADERSHIP AND COLLABORATION</c:v>
                </c:pt>
                <c:pt idx="6">
                  <c:v>Component 2A: Program Team Members</c:v>
                </c:pt>
                <c:pt idx="7">
                  <c:v>Component 2B: Program Team Attributes</c:v>
                </c:pt>
                <c:pt idx="8">
                  <c:v>Component 2C: Program Collaboration</c:v>
                </c:pt>
                <c:pt idx="9">
                  <c:v>STANDARD 3: RECRUITMENT</c:v>
                </c:pt>
                <c:pt idx="10">
                  <c:v>Component 3A: Recruitment Opportunities</c:v>
                </c:pt>
                <c:pt idx="11">
                  <c:v>Component 3B: Recruitment Activities </c:v>
                </c:pt>
                <c:pt idx="12">
                  <c:v>Component 3C: Early Teaching Experiences for Recruiting Teacher Candidates</c:v>
                </c:pt>
                <c:pt idx="13">
                  <c:v>Component 3D: Streamlined and Accessible Program Options</c:v>
                </c:pt>
                <c:pt idx="14">
                  <c:v>STANDARD 4: KNOWLEDGE AND SKILLS FOR TEACHING PHYSICS</c:v>
                </c:pt>
                <c:pt idx="15">
                  <c:v>Component 4A: Physics Content Knowledge</c:v>
                </c:pt>
                <c:pt idx="16">
                  <c:v>Component 4B: Pedagogy Courses and Curriculum</c:v>
                </c:pt>
                <c:pt idx="17">
                  <c:v>Component 4C: Practical K–12 School Experiences </c:v>
                </c:pt>
                <c:pt idx="18">
                  <c:v>STANDARD 5: MENTORING, COMMUNITY, AND PROFESSIONAL SUPPORT</c:v>
                </c:pt>
                <c:pt idx="19">
                  <c:v>Component 5A: Mentoring and Community Support Toward a Physics Degree</c:v>
                </c:pt>
                <c:pt idx="20">
                  <c:v>Component 5B: Mentoring and Community Support Toward Becoming a Physics Teacher</c:v>
                </c:pt>
                <c:pt idx="21">
                  <c:v>Component 5C: In-service Mentoring and Professional Community</c:v>
                </c:pt>
                <c:pt idx="22">
                  <c:v>STANDARD 6: PROGRAM ASSESSMENT</c:v>
                </c:pt>
                <c:pt idx="23">
                  <c:v>Component 6A: Program Outcomes</c:v>
                </c:pt>
                <c:pt idx="24">
                  <c:v>Component 6B: Program Evaluation and Improvement</c:v>
                </c:pt>
                <c:pt idx="25">
                  <c:v>Component 6C: Communication to Stakeholders</c:v>
                </c:pt>
              </c:strCache>
            </c:strRef>
          </c:cat>
          <c:val>
            <c:numRef>
              <c:f>Overview!$G$7:$G$32</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05-9496-46E3-8A86-F759211E1CFD}"/>
            </c:ext>
          </c:extLst>
        </c:ser>
        <c:dLbls>
          <c:showLegendKey val="0"/>
          <c:showVal val="0"/>
          <c:showCatName val="0"/>
          <c:showSerName val="0"/>
          <c:showPercent val="0"/>
          <c:showBubbleSize val="0"/>
        </c:dLbls>
        <c:gapWidth val="30"/>
        <c:overlap val="100"/>
        <c:axId val="639433952"/>
        <c:axId val="639435264"/>
      </c:barChart>
      <c:catAx>
        <c:axId val="639433952"/>
        <c:scaling>
          <c:orientation val="maxMin"/>
        </c:scaling>
        <c:delete val="1"/>
        <c:axPos val="l"/>
        <c:numFmt formatCode="General" sourceLinked="1"/>
        <c:majorTickMark val="none"/>
        <c:minorTickMark val="none"/>
        <c:tickLblPos val="nextTo"/>
        <c:crossAx val="639435264"/>
        <c:crosses val="autoZero"/>
        <c:auto val="1"/>
        <c:lblAlgn val="ctr"/>
        <c:lblOffset val="100"/>
        <c:noMultiLvlLbl val="0"/>
      </c:catAx>
      <c:valAx>
        <c:axId val="639435264"/>
        <c:scaling>
          <c:orientation val="minMax"/>
          <c:max val="2"/>
        </c:scaling>
        <c:delete val="1"/>
        <c:axPos val="t"/>
        <c:majorGridlines>
          <c:spPr>
            <a:ln w="9525" cap="flat" cmpd="sng" algn="ctr">
              <a:noFill/>
              <a:round/>
            </a:ln>
            <a:effectLst/>
          </c:spPr>
        </c:majorGridlines>
        <c:numFmt formatCode="0%" sourceLinked="1"/>
        <c:majorTickMark val="out"/>
        <c:minorTickMark val="none"/>
        <c:tickLblPos val="nextTo"/>
        <c:crossAx val="6394339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Results Comparison by Standard - Previous vs Current Year </a:t>
            </a:r>
          </a:p>
        </c:rich>
      </c:tx>
      <c:layout>
        <c:manualLayout>
          <c:xMode val="edge"/>
          <c:yMode val="edge"/>
          <c:x val="6.6751255337474502E-2"/>
          <c:y val="7.4273632716165142E-4"/>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235672932782749E-2"/>
          <c:y val="8.7030900539782532E-2"/>
          <c:w val="0.92955790095158142"/>
          <c:h val="0.6629393163203996"/>
        </c:manualLayout>
      </c:layout>
      <c:barChart>
        <c:barDir val="col"/>
        <c:grouping val="stacked"/>
        <c:varyColors val="0"/>
        <c:ser>
          <c:idx val="0"/>
          <c:order val="0"/>
          <c:tx>
            <c:strRef>
              <c:f>'Annual Review'!$R$32</c:f>
              <c:strCache>
                <c:ptCount val="1"/>
                <c:pt idx="0">
                  <c:v>Benchmark</c:v>
                </c:pt>
              </c:strCache>
            </c:strRef>
          </c:tx>
          <c:spPr>
            <a:solidFill>
              <a:srgbClr val="BFBFBF"/>
            </a:solidFill>
            <a:ln>
              <a:noFill/>
            </a:ln>
            <a:effectLst/>
          </c:spPr>
          <c:invertIfNegative val="0"/>
          <c:dPt>
            <c:idx val="0"/>
            <c:invertIfNegative val="0"/>
            <c:bubble3D val="0"/>
            <c:spPr>
              <a:solidFill>
                <a:srgbClr val="BFBFBF"/>
              </a:solidFill>
              <a:ln>
                <a:noFill/>
              </a:ln>
              <a:effectLst/>
            </c:spPr>
            <c:extLst>
              <c:ext xmlns:c16="http://schemas.microsoft.com/office/drawing/2014/chart" uri="{C3380CC4-5D6E-409C-BE32-E72D297353CC}">
                <c16:uniqueId val="{00000003-35A3-4C67-9838-722CD8115F15}"/>
              </c:ext>
            </c:extLst>
          </c:dPt>
          <c:dPt>
            <c:idx val="1"/>
            <c:invertIfNegative val="0"/>
            <c:bubble3D val="0"/>
            <c:spPr>
              <a:solidFill>
                <a:srgbClr val="BFBFBF"/>
              </a:solidFill>
              <a:ln>
                <a:noFill/>
              </a:ln>
              <a:effectLst/>
            </c:spPr>
            <c:extLst>
              <c:ext xmlns:c16="http://schemas.microsoft.com/office/drawing/2014/chart" uri="{C3380CC4-5D6E-409C-BE32-E72D297353CC}">
                <c16:uniqueId val="{00000005-35A3-4C67-9838-722CD8115F1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Review'!$S$31:$AL$31</c:f>
              <c:strCache>
                <c:ptCount val="20"/>
                <c:pt idx="0">
                  <c:v>ALL (prev)</c:v>
                </c:pt>
                <c:pt idx="1">
                  <c:v>ALL (now)</c:v>
                </c:pt>
                <c:pt idx="3">
                  <c:v>Std1 (prev)</c:v>
                </c:pt>
                <c:pt idx="4">
                  <c:v>Std1 (now)</c:v>
                </c:pt>
                <c:pt idx="6">
                  <c:v>Std2 (prev)</c:v>
                </c:pt>
                <c:pt idx="7">
                  <c:v>Std2 (now)</c:v>
                </c:pt>
                <c:pt idx="9">
                  <c:v>Std3 (prev)</c:v>
                </c:pt>
                <c:pt idx="10">
                  <c:v>Std3 (now)</c:v>
                </c:pt>
                <c:pt idx="12">
                  <c:v>Std4 (prev)</c:v>
                </c:pt>
                <c:pt idx="13">
                  <c:v>Std4 (now)</c:v>
                </c:pt>
                <c:pt idx="15">
                  <c:v>Std5 (prev)</c:v>
                </c:pt>
                <c:pt idx="16">
                  <c:v>Std5 (now)</c:v>
                </c:pt>
                <c:pt idx="18">
                  <c:v>Std6 (prev)</c:v>
                </c:pt>
                <c:pt idx="19">
                  <c:v>Std6 (now)</c:v>
                </c:pt>
              </c:strCache>
            </c:strRef>
          </c:cat>
          <c:val>
            <c:numRef>
              <c:f>'Annual Review'!$S$32:$AL$32</c:f>
              <c:numCache>
                <c:formatCode>0%</c:formatCode>
                <c:ptCount val="20"/>
                <c:pt idx="0">
                  <c:v>#N/A</c:v>
                </c:pt>
                <c:pt idx="1">
                  <c:v>#N/A</c:v>
                </c:pt>
                <c:pt idx="3">
                  <c:v>#N/A</c:v>
                </c:pt>
                <c:pt idx="4">
                  <c:v>#N/A</c:v>
                </c:pt>
                <c:pt idx="6">
                  <c:v>#N/A</c:v>
                </c:pt>
                <c:pt idx="7">
                  <c:v>#N/A</c:v>
                </c:pt>
                <c:pt idx="9">
                  <c:v>#N/A</c:v>
                </c:pt>
                <c:pt idx="10">
                  <c:v>#N/A</c:v>
                </c:pt>
                <c:pt idx="12">
                  <c:v>#N/A</c:v>
                </c:pt>
                <c:pt idx="13">
                  <c:v>#N/A</c:v>
                </c:pt>
                <c:pt idx="15">
                  <c:v>#N/A</c:v>
                </c:pt>
                <c:pt idx="16">
                  <c:v>#N/A</c:v>
                </c:pt>
                <c:pt idx="18">
                  <c:v>#N/A</c:v>
                </c:pt>
                <c:pt idx="19">
                  <c:v>#N/A</c:v>
                </c:pt>
              </c:numCache>
            </c:numRef>
          </c:val>
          <c:extLst>
            <c:ext xmlns:c16="http://schemas.microsoft.com/office/drawing/2014/chart" uri="{C3380CC4-5D6E-409C-BE32-E72D297353CC}">
              <c16:uniqueId val="{00000000-35A3-4C67-9838-722CD8115F15}"/>
            </c:ext>
          </c:extLst>
        </c:ser>
        <c:ser>
          <c:idx val="1"/>
          <c:order val="1"/>
          <c:tx>
            <c:strRef>
              <c:f>'Annual Review'!$R$33</c:f>
              <c:strCache>
                <c:ptCount val="1"/>
                <c:pt idx="0">
                  <c:v>Exemplary</c:v>
                </c:pt>
              </c:strCache>
            </c:strRef>
          </c:tx>
          <c:spPr>
            <a:solidFill>
              <a:srgbClr val="808080"/>
            </a:solidFill>
            <a:ln>
              <a:noFill/>
            </a:ln>
            <a:effectLst/>
          </c:spPr>
          <c:invertIfNegative val="0"/>
          <c:dPt>
            <c:idx val="0"/>
            <c:invertIfNegative val="0"/>
            <c:bubble3D val="0"/>
            <c:spPr>
              <a:solidFill>
                <a:srgbClr val="808080"/>
              </a:solidFill>
              <a:ln>
                <a:noFill/>
              </a:ln>
              <a:effectLst/>
            </c:spPr>
            <c:extLst>
              <c:ext xmlns:c16="http://schemas.microsoft.com/office/drawing/2014/chart" uri="{C3380CC4-5D6E-409C-BE32-E72D297353CC}">
                <c16:uniqueId val="{00000002-35A3-4C67-9838-722CD8115F15}"/>
              </c:ext>
            </c:extLst>
          </c:dPt>
          <c:dPt>
            <c:idx val="1"/>
            <c:invertIfNegative val="0"/>
            <c:bubble3D val="0"/>
            <c:spPr>
              <a:solidFill>
                <a:srgbClr val="808080"/>
              </a:solidFill>
              <a:ln>
                <a:noFill/>
              </a:ln>
              <a:effectLst/>
            </c:spPr>
            <c:extLst>
              <c:ext xmlns:c16="http://schemas.microsoft.com/office/drawing/2014/chart" uri="{C3380CC4-5D6E-409C-BE32-E72D297353CC}">
                <c16:uniqueId val="{00000004-35A3-4C67-9838-722CD8115F1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Review'!$S$31:$AL$31</c:f>
              <c:strCache>
                <c:ptCount val="20"/>
                <c:pt idx="0">
                  <c:v>ALL (prev)</c:v>
                </c:pt>
                <c:pt idx="1">
                  <c:v>ALL (now)</c:v>
                </c:pt>
                <c:pt idx="3">
                  <c:v>Std1 (prev)</c:v>
                </c:pt>
                <c:pt idx="4">
                  <c:v>Std1 (now)</c:v>
                </c:pt>
                <c:pt idx="6">
                  <c:v>Std2 (prev)</c:v>
                </c:pt>
                <c:pt idx="7">
                  <c:v>Std2 (now)</c:v>
                </c:pt>
                <c:pt idx="9">
                  <c:v>Std3 (prev)</c:v>
                </c:pt>
                <c:pt idx="10">
                  <c:v>Std3 (now)</c:v>
                </c:pt>
                <c:pt idx="12">
                  <c:v>Std4 (prev)</c:v>
                </c:pt>
                <c:pt idx="13">
                  <c:v>Std4 (now)</c:v>
                </c:pt>
                <c:pt idx="15">
                  <c:v>Std5 (prev)</c:v>
                </c:pt>
                <c:pt idx="16">
                  <c:v>Std5 (now)</c:v>
                </c:pt>
                <c:pt idx="18">
                  <c:v>Std6 (prev)</c:v>
                </c:pt>
                <c:pt idx="19">
                  <c:v>Std6 (now)</c:v>
                </c:pt>
              </c:strCache>
            </c:strRef>
          </c:cat>
          <c:val>
            <c:numRef>
              <c:f>'Annual Review'!$S$33:$AL$33</c:f>
              <c:numCache>
                <c:formatCode>0%</c:formatCode>
                <c:ptCount val="20"/>
                <c:pt idx="0">
                  <c:v>#N/A</c:v>
                </c:pt>
                <c:pt idx="1">
                  <c:v>#N/A</c:v>
                </c:pt>
                <c:pt idx="3">
                  <c:v>#N/A</c:v>
                </c:pt>
                <c:pt idx="4">
                  <c:v>#N/A</c:v>
                </c:pt>
                <c:pt idx="6">
                  <c:v>#N/A</c:v>
                </c:pt>
                <c:pt idx="7">
                  <c:v>#N/A</c:v>
                </c:pt>
                <c:pt idx="9">
                  <c:v>#N/A</c:v>
                </c:pt>
                <c:pt idx="10">
                  <c:v>#N/A</c:v>
                </c:pt>
                <c:pt idx="12">
                  <c:v>#N/A</c:v>
                </c:pt>
                <c:pt idx="13">
                  <c:v>#N/A</c:v>
                </c:pt>
                <c:pt idx="15">
                  <c:v>#N/A</c:v>
                </c:pt>
                <c:pt idx="16">
                  <c:v>#N/A</c:v>
                </c:pt>
                <c:pt idx="18">
                  <c:v>#N/A</c:v>
                </c:pt>
                <c:pt idx="19">
                  <c:v>#N/A</c:v>
                </c:pt>
              </c:numCache>
            </c:numRef>
          </c:val>
          <c:extLst>
            <c:ext xmlns:c16="http://schemas.microsoft.com/office/drawing/2014/chart" uri="{C3380CC4-5D6E-409C-BE32-E72D297353CC}">
              <c16:uniqueId val="{00000001-35A3-4C67-9838-722CD8115F15}"/>
            </c:ext>
          </c:extLst>
        </c:ser>
        <c:dLbls>
          <c:showLegendKey val="0"/>
          <c:showVal val="0"/>
          <c:showCatName val="0"/>
          <c:showSerName val="0"/>
          <c:showPercent val="0"/>
          <c:showBubbleSize val="0"/>
        </c:dLbls>
        <c:gapWidth val="20"/>
        <c:overlap val="100"/>
        <c:axId val="682908224"/>
        <c:axId val="682909208"/>
      </c:barChart>
      <c:catAx>
        <c:axId val="682908224"/>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PTEPA</a:t>
                </a:r>
                <a:r>
                  <a:rPr lang="en-US" baseline="0"/>
                  <a:t> Rubric Area</a:t>
                </a:r>
                <a:endParaRPr lang="en-US"/>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82909208"/>
        <c:crosses val="autoZero"/>
        <c:auto val="1"/>
        <c:lblAlgn val="ctr"/>
        <c:lblOffset val="100"/>
        <c:noMultiLvlLbl val="0"/>
      </c:catAx>
      <c:valAx>
        <c:axId val="68290920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lumMod val="65000"/>
                        <a:lumOff val="35000"/>
                      </a:sysClr>
                    </a:solidFill>
                    <a:latin typeface="+mn-lt"/>
                    <a:ea typeface="+mn-ea"/>
                    <a:cs typeface="+mn-cs"/>
                  </a:defRPr>
                </a:pPr>
                <a:r>
                  <a:rPr lang="en-US"/>
                  <a:t>Percent</a:t>
                </a:r>
                <a:r>
                  <a:rPr lang="en-US" baseline="0"/>
                  <a:t> of Items</a:t>
                </a:r>
                <a:endParaRPr lang="en-US"/>
              </a:p>
            </c:rich>
          </c:tx>
          <c:layout>
            <c:manualLayout>
              <c:xMode val="edge"/>
              <c:yMode val="edge"/>
              <c:x val="4.4562416944489095E-3"/>
              <c:y val="0.27232550022931085"/>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lumMod val="65000"/>
                      <a:lumOff val="35000"/>
                    </a:sys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2908224"/>
        <c:crosses val="autoZero"/>
        <c:crossBetween val="between"/>
      </c:valAx>
      <c:spPr>
        <a:noFill/>
        <a:ln>
          <a:noFill/>
        </a:ln>
        <a:effectLst/>
      </c:spPr>
    </c:plotArea>
    <c:legend>
      <c:legendPos val="b"/>
      <c:layout>
        <c:manualLayout>
          <c:xMode val="edge"/>
          <c:yMode val="edge"/>
          <c:x val="0.68426544741136286"/>
          <c:y val="0.88971234717833281"/>
          <c:w val="0.31527513130962453"/>
          <c:h val="0.11028765282166718"/>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Standard 1 Results Comparison - Previous vs Current Year </a:t>
            </a:r>
          </a:p>
        </c:rich>
      </c:tx>
      <c:layout>
        <c:manualLayout>
          <c:xMode val="edge"/>
          <c:yMode val="edge"/>
          <c:x val="6.873044995591554E-2"/>
          <c:y val="3.2302066160656753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235672932782749E-2"/>
          <c:y val="8.7030900539782532E-2"/>
          <c:w val="0.92955790095158142"/>
          <c:h val="0.6629393163203996"/>
        </c:manualLayout>
      </c:layout>
      <c:barChart>
        <c:barDir val="col"/>
        <c:grouping val="stacked"/>
        <c:varyColors val="0"/>
        <c:ser>
          <c:idx val="0"/>
          <c:order val="0"/>
          <c:tx>
            <c:strRef>
              <c:f>'Annual Review'!$R$36</c:f>
              <c:strCache>
                <c:ptCount val="1"/>
                <c:pt idx="0">
                  <c:v>Benchmark</c:v>
                </c:pt>
              </c:strCache>
            </c:strRef>
          </c:tx>
          <c:spPr>
            <a:solidFill>
              <a:srgbClr val="BFBFBF"/>
            </a:solidFill>
            <a:ln>
              <a:noFill/>
            </a:ln>
            <a:effectLst/>
          </c:spPr>
          <c:invertIfNegative val="0"/>
          <c:dPt>
            <c:idx val="0"/>
            <c:invertIfNegative val="0"/>
            <c:bubble3D val="0"/>
            <c:spPr>
              <a:solidFill>
                <a:srgbClr val="9490B4"/>
              </a:solidFill>
              <a:ln>
                <a:noFill/>
              </a:ln>
              <a:effectLst/>
            </c:spPr>
            <c:extLst>
              <c:ext xmlns:c16="http://schemas.microsoft.com/office/drawing/2014/chart" uri="{C3380CC4-5D6E-409C-BE32-E72D297353CC}">
                <c16:uniqueId val="{00000003-35A3-4C67-9838-722CD8115F15}"/>
              </c:ext>
            </c:extLst>
          </c:dPt>
          <c:dPt>
            <c:idx val="1"/>
            <c:invertIfNegative val="0"/>
            <c:bubble3D val="0"/>
            <c:spPr>
              <a:solidFill>
                <a:srgbClr val="9490B4"/>
              </a:solidFill>
              <a:ln>
                <a:noFill/>
              </a:ln>
              <a:effectLst/>
            </c:spPr>
            <c:extLst>
              <c:ext xmlns:c16="http://schemas.microsoft.com/office/drawing/2014/chart" uri="{C3380CC4-5D6E-409C-BE32-E72D297353CC}">
                <c16:uniqueId val="{00000005-35A3-4C67-9838-722CD8115F1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Review'!$S$35:$AC$35</c:f>
              <c:strCache>
                <c:ptCount val="11"/>
                <c:pt idx="0">
                  <c:v>Std1 (prev)</c:v>
                </c:pt>
                <c:pt idx="1">
                  <c:v>Std1 (now)</c:v>
                </c:pt>
                <c:pt idx="3">
                  <c:v>Comp 1A (prev)</c:v>
                </c:pt>
                <c:pt idx="4">
                  <c:v>Comp 1A (now)</c:v>
                </c:pt>
                <c:pt idx="6">
                  <c:v>Comp 1B (prev)</c:v>
                </c:pt>
                <c:pt idx="7">
                  <c:v>Comp 1B (now)</c:v>
                </c:pt>
                <c:pt idx="9">
                  <c:v>Comp 1C (prev)</c:v>
                </c:pt>
                <c:pt idx="10">
                  <c:v>Comp 1C (now)</c:v>
                </c:pt>
              </c:strCache>
            </c:strRef>
          </c:cat>
          <c:val>
            <c:numRef>
              <c:f>'Annual Review'!$S$36:$AC$36</c:f>
              <c:numCache>
                <c:formatCode>0%</c:formatCode>
                <c:ptCount val="11"/>
                <c:pt idx="0">
                  <c:v>#N/A</c:v>
                </c:pt>
                <c:pt idx="1">
                  <c:v>#N/A</c:v>
                </c:pt>
                <c:pt idx="3">
                  <c:v>#N/A</c:v>
                </c:pt>
                <c:pt idx="4">
                  <c:v>#N/A</c:v>
                </c:pt>
                <c:pt idx="6">
                  <c:v>#N/A</c:v>
                </c:pt>
                <c:pt idx="7">
                  <c:v>#N/A</c:v>
                </c:pt>
                <c:pt idx="9">
                  <c:v>#N/A</c:v>
                </c:pt>
                <c:pt idx="10">
                  <c:v>#N/A</c:v>
                </c:pt>
              </c:numCache>
            </c:numRef>
          </c:val>
          <c:extLst>
            <c:ext xmlns:c16="http://schemas.microsoft.com/office/drawing/2014/chart" uri="{C3380CC4-5D6E-409C-BE32-E72D297353CC}">
              <c16:uniqueId val="{00000000-35A3-4C67-9838-722CD8115F15}"/>
            </c:ext>
          </c:extLst>
        </c:ser>
        <c:ser>
          <c:idx val="1"/>
          <c:order val="1"/>
          <c:tx>
            <c:strRef>
              <c:f>'Annual Review'!$R$37</c:f>
              <c:strCache>
                <c:ptCount val="1"/>
                <c:pt idx="0">
                  <c:v>Exemplary</c:v>
                </c:pt>
              </c:strCache>
            </c:strRef>
          </c:tx>
          <c:spPr>
            <a:solidFill>
              <a:srgbClr val="808080"/>
            </a:solidFill>
            <a:ln>
              <a:noFill/>
            </a:ln>
            <a:effectLst/>
          </c:spPr>
          <c:invertIfNegative val="0"/>
          <c:dPt>
            <c:idx val="0"/>
            <c:invertIfNegative val="0"/>
            <c:bubble3D val="0"/>
            <c:spPr>
              <a:solidFill>
                <a:srgbClr val="5F588F"/>
              </a:solidFill>
              <a:ln>
                <a:noFill/>
              </a:ln>
              <a:effectLst/>
            </c:spPr>
            <c:extLst>
              <c:ext xmlns:c16="http://schemas.microsoft.com/office/drawing/2014/chart" uri="{C3380CC4-5D6E-409C-BE32-E72D297353CC}">
                <c16:uniqueId val="{00000002-35A3-4C67-9838-722CD8115F15}"/>
              </c:ext>
            </c:extLst>
          </c:dPt>
          <c:dPt>
            <c:idx val="1"/>
            <c:invertIfNegative val="0"/>
            <c:bubble3D val="0"/>
            <c:spPr>
              <a:solidFill>
                <a:srgbClr val="5F588F"/>
              </a:solidFill>
              <a:ln>
                <a:noFill/>
              </a:ln>
              <a:effectLst/>
            </c:spPr>
            <c:extLst>
              <c:ext xmlns:c16="http://schemas.microsoft.com/office/drawing/2014/chart" uri="{C3380CC4-5D6E-409C-BE32-E72D297353CC}">
                <c16:uniqueId val="{00000004-35A3-4C67-9838-722CD8115F1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Review'!$S$35:$AC$35</c:f>
              <c:strCache>
                <c:ptCount val="11"/>
                <c:pt idx="0">
                  <c:v>Std1 (prev)</c:v>
                </c:pt>
                <c:pt idx="1">
                  <c:v>Std1 (now)</c:v>
                </c:pt>
                <c:pt idx="3">
                  <c:v>Comp 1A (prev)</c:v>
                </c:pt>
                <c:pt idx="4">
                  <c:v>Comp 1A (now)</c:v>
                </c:pt>
                <c:pt idx="6">
                  <c:v>Comp 1B (prev)</c:v>
                </c:pt>
                <c:pt idx="7">
                  <c:v>Comp 1B (now)</c:v>
                </c:pt>
                <c:pt idx="9">
                  <c:v>Comp 1C (prev)</c:v>
                </c:pt>
                <c:pt idx="10">
                  <c:v>Comp 1C (now)</c:v>
                </c:pt>
              </c:strCache>
            </c:strRef>
          </c:cat>
          <c:val>
            <c:numRef>
              <c:f>'Annual Review'!$S$37:$AC$37</c:f>
              <c:numCache>
                <c:formatCode>0%</c:formatCode>
                <c:ptCount val="11"/>
                <c:pt idx="0">
                  <c:v>#N/A</c:v>
                </c:pt>
                <c:pt idx="1">
                  <c:v>#N/A</c:v>
                </c:pt>
                <c:pt idx="3">
                  <c:v>#N/A</c:v>
                </c:pt>
                <c:pt idx="4">
                  <c:v>#N/A</c:v>
                </c:pt>
                <c:pt idx="6">
                  <c:v>#N/A</c:v>
                </c:pt>
                <c:pt idx="7">
                  <c:v>#N/A</c:v>
                </c:pt>
                <c:pt idx="9">
                  <c:v>#N/A</c:v>
                </c:pt>
                <c:pt idx="10">
                  <c:v>#N/A</c:v>
                </c:pt>
              </c:numCache>
            </c:numRef>
          </c:val>
          <c:extLst>
            <c:ext xmlns:c16="http://schemas.microsoft.com/office/drawing/2014/chart" uri="{C3380CC4-5D6E-409C-BE32-E72D297353CC}">
              <c16:uniqueId val="{00000001-35A3-4C67-9838-722CD8115F15}"/>
            </c:ext>
          </c:extLst>
        </c:ser>
        <c:dLbls>
          <c:showLegendKey val="0"/>
          <c:showVal val="0"/>
          <c:showCatName val="0"/>
          <c:showSerName val="0"/>
          <c:showPercent val="0"/>
          <c:showBubbleSize val="0"/>
        </c:dLbls>
        <c:gapWidth val="20"/>
        <c:overlap val="100"/>
        <c:axId val="682908224"/>
        <c:axId val="682909208"/>
      </c:barChart>
      <c:catAx>
        <c:axId val="682908224"/>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i="0" u="none" strike="noStrike" baseline="0">
                    <a:effectLst/>
                  </a:rPr>
                  <a:t>PTEPA Rubric Area</a:t>
                </a:r>
                <a:endParaRPr lang="en-US" b="1"/>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82909208"/>
        <c:crosses val="autoZero"/>
        <c:auto val="1"/>
        <c:lblAlgn val="ctr"/>
        <c:lblOffset val="100"/>
        <c:noMultiLvlLbl val="0"/>
      </c:catAx>
      <c:valAx>
        <c:axId val="68290920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200" b="1"/>
                  <a:t>Percent</a:t>
                </a:r>
                <a:r>
                  <a:rPr lang="en-US" sz="1200" b="1" baseline="0"/>
                  <a:t> of Items</a:t>
                </a:r>
                <a:endParaRPr lang="en-US" sz="1200" b="1"/>
              </a:p>
            </c:rich>
          </c:tx>
          <c:layout>
            <c:manualLayout>
              <c:xMode val="edge"/>
              <c:yMode val="edge"/>
              <c:x val="0"/>
              <c:y val="0.2361575604408478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2908224"/>
        <c:crosses val="autoZero"/>
        <c:crossBetween val="between"/>
      </c:valAx>
      <c:spPr>
        <a:noFill/>
        <a:ln>
          <a:noFill/>
        </a:ln>
        <a:effectLst/>
      </c:spPr>
    </c:plotArea>
    <c:legend>
      <c:legendPos val="b"/>
      <c:layout>
        <c:manualLayout>
          <c:xMode val="edge"/>
          <c:yMode val="edge"/>
          <c:x val="0.68426544741136286"/>
          <c:y val="0.88971234717833281"/>
          <c:w val="0.31527513130962453"/>
          <c:h val="0.11028765282166718"/>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Standard 2 Results Comparison - Previous vs Current Year </a:t>
            </a:r>
          </a:p>
        </c:rich>
      </c:tx>
      <c:layout>
        <c:manualLayout>
          <c:xMode val="edge"/>
          <c:yMode val="edge"/>
          <c:x val="7.1487871589151139E-2"/>
          <c:y val="7.4853963875872983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235672932782749E-2"/>
          <c:y val="8.7030900539782532E-2"/>
          <c:w val="0.92955790095158142"/>
          <c:h val="0.6629393163203996"/>
        </c:manualLayout>
      </c:layout>
      <c:barChart>
        <c:barDir val="col"/>
        <c:grouping val="stacked"/>
        <c:varyColors val="0"/>
        <c:ser>
          <c:idx val="0"/>
          <c:order val="0"/>
          <c:tx>
            <c:strRef>
              <c:f>'Annual Review'!$R$40</c:f>
              <c:strCache>
                <c:ptCount val="1"/>
                <c:pt idx="0">
                  <c:v>Benchmark</c:v>
                </c:pt>
              </c:strCache>
            </c:strRef>
          </c:tx>
          <c:spPr>
            <a:solidFill>
              <a:srgbClr val="BFBFBF"/>
            </a:solidFill>
            <a:ln>
              <a:noFill/>
            </a:ln>
            <a:effectLst/>
          </c:spPr>
          <c:invertIfNegative val="0"/>
          <c:dPt>
            <c:idx val="0"/>
            <c:invertIfNegative val="0"/>
            <c:bubble3D val="0"/>
            <c:spPr>
              <a:solidFill>
                <a:srgbClr val="E7938E"/>
              </a:solidFill>
              <a:ln>
                <a:noFill/>
              </a:ln>
              <a:effectLst/>
            </c:spPr>
            <c:extLst>
              <c:ext xmlns:c16="http://schemas.microsoft.com/office/drawing/2014/chart" uri="{C3380CC4-5D6E-409C-BE32-E72D297353CC}">
                <c16:uniqueId val="{00000003-35A3-4C67-9838-722CD8115F15}"/>
              </c:ext>
            </c:extLst>
          </c:dPt>
          <c:dPt>
            <c:idx val="1"/>
            <c:invertIfNegative val="0"/>
            <c:bubble3D val="0"/>
            <c:spPr>
              <a:solidFill>
                <a:srgbClr val="E7938E"/>
              </a:solidFill>
              <a:ln>
                <a:noFill/>
              </a:ln>
              <a:effectLst/>
            </c:spPr>
            <c:extLst>
              <c:ext xmlns:c16="http://schemas.microsoft.com/office/drawing/2014/chart" uri="{C3380CC4-5D6E-409C-BE32-E72D297353CC}">
                <c16:uniqueId val="{00000005-35A3-4C67-9838-722CD8115F1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Review'!$S$39:$AC$39</c:f>
              <c:strCache>
                <c:ptCount val="11"/>
                <c:pt idx="0">
                  <c:v>Std2 (prev)</c:v>
                </c:pt>
                <c:pt idx="1">
                  <c:v>Std2 (now)</c:v>
                </c:pt>
                <c:pt idx="3">
                  <c:v>Comp 2A (prev)</c:v>
                </c:pt>
                <c:pt idx="4">
                  <c:v>Comp 2A (now)</c:v>
                </c:pt>
                <c:pt idx="6">
                  <c:v>Comp 2B (prev)</c:v>
                </c:pt>
                <c:pt idx="7">
                  <c:v>Comp 2B (now)</c:v>
                </c:pt>
                <c:pt idx="9">
                  <c:v>Comp 2C (prev)</c:v>
                </c:pt>
                <c:pt idx="10">
                  <c:v>Comp 2C (now)</c:v>
                </c:pt>
              </c:strCache>
            </c:strRef>
          </c:cat>
          <c:val>
            <c:numRef>
              <c:f>'Annual Review'!$S$40:$AC$40</c:f>
              <c:numCache>
                <c:formatCode>0%</c:formatCode>
                <c:ptCount val="11"/>
                <c:pt idx="0">
                  <c:v>#N/A</c:v>
                </c:pt>
                <c:pt idx="1">
                  <c:v>#N/A</c:v>
                </c:pt>
                <c:pt idx="3">
                  <c:v>#N/A</c:v>
                </c:pt>
                <c:pt idx="4">
                  <c:v>#N/A</c:v>
                </c:pt>
                <c:pt idx="6">
                  <c:v>#N/A</c:v>
                </c:pt>
                <c:pt idx="7">
                  <c:v>#N/A</c:v>
                </c:pt>
                <c:pt idx="9">
                  <c:v>#N/A</c:v>
                </c:pt>
                <c:pt idx="10">
                  <c:v>#N/A</c:v>
                </c:pt>
              </c:numCache>
            </c:numRef>
          </c:val>
          <c:extLst>
            <c:ext xmlns:c16="http://schemas.microsoft.com/office/drawing/2014/chart" uri="{C3380CC4-5D6E-409C-BE32-E72D297353CC}">
              <c16:uniqueId val="{00000000-35A3-4C67-9838-722CD8115F15}"/>
            </c:ext>
          </c:extLst>
        </c:ser>
        <c:ser>
          <c:idx val="1"/>
          <c:order val="1"/>
          <c:tx>
            <c:strRef>
              <c:f>'Annual Review'!$R$41</c:f>
              <c:strCache>
                <c:ptCount val="1"/>
                <c:pt idx="0">
                  <c:v>Exemplary</c:v>
                </c:pt>
              </c:strCache>
            </c:strRef>
          </c:tx>
          <c:spPr>
            <a:solidFill>
              <a:srgbClr val="808080"/>
            </a:solidFill>
            <a:ln>
              <a:noFill/>
            </a:ln>
            <a:effectLst/>
          </c:spPr>
          <c:invertIfNegative val="0"/>
          <c:dPt>
            <c:idx val="0"/>
            <c:invertIfNegative val="0"/>
            <c:bubble3D val="0"/>
            <c:spPr>
              <a:solidFill>
                <a:srgbClr val="DB5D55"/>
              </a:solidFill>
              <a:ln>
                <a:noFill/>
              </a:ln>
              <a:effectLst/>
            </c:spPr>
            <c:extLst>
              <c:ext xmlns:c16="http://schemas.microsoft.com/office/drawing/2014/chart" uri="{C3380CC4-5D6E-409C-BE32-E72D297353CC}">
                <c16:uniqueId val="{00000002-35A3-4C67-9838-722CD8115F15}"/>
              </c:ext>
            </c:extLst>
          </c:dPt>
          <c:dPt>
            <c:idx val="1"/>
            <c:invertIfNegative val="0"/>
            <c:bubble3D val="0"/>
            <c:spPr>
              <a:solidFill>
                <a:srgbClr val="DB5D55"/>
              </a:solidFill>
              <a:ln>
                <a:noFill/>
              </a:ln>
              <a:effectLst/>
            </c:spPr>
            <c:extLst>
              <c:ext xmlns:c16="http://schemas.microsoft.com/office/drawing/2014/chart" uri="{C3380CC4-5D6E-409C-BE32-E72D297353CC}">
                <c16:uniqueId val="{00000004-35A3-4C67-9838-722CD8115F1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Review'!$S$39:$AC$39</c:f>
              <c:strCache>
                <c:ptCount val="11"/>
                <c:pt idx="0">
                  <c:v>Std2 (prev)</c:v>
                </c:pt>
                <c:pt idx="1">
                  <c:v>Std2 (now)</c:v>
                </c:pt>
                <c:pt idx="3">
                  <c:v>Comp 2A (prev)</c:v>
                </c:pt>
                <c:pt idx="4">
                  <c:v>Comp 2A (now)</c:v>
                </c:pt>
                <c:pt idx="6">
                  <c:v>Comp 2B (prev)</c:v>
                </c:pt>
                <c:pt idx="7">
                  <c:v>Comp 2B (now)</c:v>
                </c:pt>
                <c:pt idx="9">
                  <c:v>Comp 2C (prev)</c:v>
                </c:pt>
                <c:pt idx="10">
                  <c:v>Comp 2C (now)</c:v>
                </c:pt>
              </c:strCache>
            </c:strRef>
          </c:cat>
          <c:val>
            <c:numRef>
              <c:f>'Annual Review'!$S$41:$AC$41</c:f>
              <c:numCache>
                <c:formatCode>0%</c:formatCode>
                <c:ptCount val="11"/>
                <c:pt idx="0">
                  <c:v>#N/A</c:v>
                </c:pt>
                <c:pt idx="1">
                  <c:v>#N/A</c:v>
                </c:pt>
                <c:pt idx="3">
                  <c:v>#N/A</c:v>
                </c:pt>
                <c:pt idx="4">
                  <c:v>#N/A</c:v>
                </c:pt>
                <c:pt idx="6">
                  <c:v>#N/A</c:v>
                </c:pt>
                <c:pt idx="7">
                  <c:v>#N/A</c:v>
                </c:pt>
                <c:pt idx="9">
                  <c:v>#N/A</c:v>
                </c:pt>
                <c:pt idx="10">
                  <c:v>#N/A</c:v>
                </c:pt>
              </c:numCache>
            </c:numRef>
          </c:val>
          <c:extLst>
            <c:ext xmlns:c16="http://schemas.microsoft.com/office/drawing/2014/chart" uri="{C3380CC4-5D6E-409C-BE32-E72D297353CC}">
              <c16:uniqueId val="{00000001-35A3-4C67-9838-722CD8115F15}"/>
            </c:ext>
          </c:extLst>
        </c:ser>
        <c:dLbls>
          <c:showLegendKey val="0"/>
          <c:showVal val="0"/>
          <c:showCatName val="0"/>
          <c:showSerName val="0"/>
          <c:showPercent val="0"/>
          <c:showBubbleSize val="0"/>
        </c:dLbls>
        <c:gapWidth val="20"/>
        <c:overlap val="100"/>
        <c:axId val="682908224"/>
        <c:axId val="682909208"/>
      </c:barChart>
      <c:catAx>
        <c:axId val="682908224"/>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i="0" u="none" strike="noStrike" baseline="0">
                    <a:effectLst/>
                  </a:rPr>
                  <a:t>PTEPA Rubric Area</a:t>
                </a:r>
                <a:endParaRPr lang="en-US" b="1"/>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82909208"/>
        <c:crosses val="autoZero"/>
        <c:auto val="1"/>
        <c:lblAlgn val="ctr"/>
        <c:lblOffset val="100"/>
        <c:noMultiLvlLbl val="0"/>
      </c:catAx>
      <c:valAx>
        <c:axId val="68290920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Percent</a:t>
                </a:r>
                <a:r>
                  <a:rPr lang="en-US" sz="1200" b="1" baseline="0"/>
                  <a:t> of Items</a:t>
                </a:r>
                <a:endParaRPr lang="en-US" sz="1200" b="1"/>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2908224"/>
        <c:crosses val="autoZero"/>
        <c:crossBetween val="between"/>
      </c:valAx>
      <c:spPr>
        <a:noFill/>
        <a:ln>
          <a:noFill/>
        </a:ln>
        <a:effectLst/>
      </c:spPr>
    </c:plotArea>
    <c:legend>
      <c:legendPos val="b"/>
      <c:layout>
        <c:manualLayout>
          <c:xMode val="edge"/>
          <c:yMode val="edge"/>
          <c:x val="0.68426544741136286"/>
          <c:y val="0.88971234717833281"/>
          <c:w val="0.31527513130962453"/>
          <c:h val="0.11028765282166718"/>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Standard 3 Results Comparison - Previous vs Current Year </a:t>
            </a:r>
          </a:p>
        </c:rich>
      </c:tx>
      <c:layout>
        <c:manualLayout>
          <c:xMode val="edge"/>
          <c:yMode val="edge"/>
          <c:x val="6.9122557502118612E-2"/>
          <c:y val="3.228984732878094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235672932782749E-2"/>
          <c:y val="8.7030900539782532E-2"/>
          <c:w val="0.92955790095158142"/>
          <c:h val="0.6629393163203996"/>
        </c:manualLayout>
      </c:layout>
      <c:barChart>
        <c:barDir val="col"/>
        <c:grouping val="stacked"/>
        <c:varyColors val="0"/>
        <c:ser>
          <c:idx val="0"/>
          <c:order val="0"/>
          <c:tx>
            <c:strRef>
              <c:f>'Annual Review'!$R$44</c:f>
              <c:strCache>
                <c:ptCount val="1"/>
                <c:pt idx="0">
                  <c:v>Benchmark</c:v>
                </c:pt>
              </c:strCache>
            </c:strRef>
          </c:tx>
          <c:spPr>
            <a:solidFill>
              <a:srgbClr val="BFBFBF"/>
            </a:solidFill>
            <a:ln>
              <a:noFill/>
            </a:ln>
            <a:effectLst/>
          </c:spPr>
          <c:invertIfNegative val="0"/>
          <c:dPt>
            <c:idx val="0"/>
            <c:invertIfNegative val="0"/>
            <c:bubble3D val="0"/>
            <c:spPr>
              <a:solidFill>
                <a:srgbClr val="DFC278"/>
              </a:solidFill>
              <a:ln>
                <a:noFill/>
              </a:ln>
              <a:effectLst/>
            </c:spPr>
            <c:extLst>
              <c:ext xmlns:c16="http://schemas.microsoft.com/office/drawing/2014/chart" uri="{C3380CC4-5D6E-409C-BE32-E72D297353CC}">
                <c16:uniqueId val="{00000003-35A3-4C67-9838-722CD8115F15}"/>
              </c:ext>
            </c:extLst>
          </c:dPt>
          <c:dPt>
            <c:idx val="1"/>
            <c:invertIfNegative val="0"/>
            <c:bubble3D val="0"/>
            <c:spPr>
              <a:solidFill>
                <a:srgbClr val="DFC278"/>
              </a:solidFill>
              <a:ln>
                <a:noFill/>
              </a:ln>
              <a:effectLst/>
            </c:spPr>
            <c:extLst>
              <c:ext xmlns:c16="http://schemas.microsoft.com/office/drawing/2014/chart" uri="{C3380CC4-5D6E-409C-BE32-E72D297353CC}">
                <c16:uniqueId val="{00000005-35A3-4C67-9838-722CD8115F1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Review'!$S$43:$AF$43</c:f>
              <c:strCache>
                <c:ptCount val="14"/>
                <c:pt idx="0">
                  <c:v>Std3 (prev)</c:v>
                </c:pt>
                <c:pt idx="1">
                  <c:v>Std3 (now)</c:v>
                </c:pt>
                <c:pt idx="3">
                  <c:v>Comp 3A (prev)</c:v>
                </c:pt>
                <c:pt idx="4">
                  <c:v>Comp 3A (now)</c:v>
                </c:pt>
                <c:pt idx="6">
                  <c:v>Comp 3B (prev)</c:v>
                </c:pt>
                <c:pt idx="7">
                  <c:v>Comp 3B (now)</c:v>
                </c:pt>
                <c:pt idx="9">
                  <c:v>Comp 3C (prev)</c:v>
                </c:pt>
                <c:pt idx="10">
                  <c:v>Comp 3C (now)</c:v>
                </c:pt>
                <c:pt idx="12">
                  <c:v>Comp 3D (prev)</c:v>
                </c:pt>
                <c:pt idx="13">
                  <c:v>Comp 3D (now)</c:v>
                </c:pt>
              </c:strCache>
            </c:strRef>
          </c:cat>
          <c:val>
            <c:numRef>
              <c:f>'Annual Review'!$S$44:$AF$44</c:f>
              <c:numCache>
                <c:formatCode>0%</c:formatCode>
                <c:ptCount val="14"/>
                <c:pt idx="0">
                  <c:v>#N/A</c:v>
                </c:pt>
                <c:pt idx="1">
                  <c:v>#N/A</c:v>
                </c:pt>
                <c:pt idx="3">
                  <c:v>#N/A</c:v>
                </c:pt>
                <c:pt idx="4">
                  <c:v>#N/A</c:v>
                </c:pt>
                <c:pt idx="6">
                  <c:v>#N/A</c:v>
                </c:pt>
                <c:pt idx="7">
                  <c:v>#N/A</c:v>
                </c:pt>
                <c:pt idx="9">
                  <c:v>#N/A</c:v>
                </c:pt>
                <c:pt idx="10">
                  <c:v>#N/A</c:v>
                </c:pt>
                <c:pt idx="12">
                  <c:v>#N/A</c:v>
                </c:pt>
                <c:pt idx="13">
                  <c:v>#N/A</c:v>
                </c:pt>
              </c:numCache>
            </c:numRef>
          </c:val>
          <c:extLst>
            <c:ext xmlns:c16="http://schemas.microsoft.com/office/drawing/2014/chart" uri="{C3380CC4-5D6E-409C-BE32-E72D297353CC}">
              <c16:uniqueId val="{00000000-35A3-4C67-9838-722CD8115F15}"/>
            </c:ext>
          </c:extLst>
        </c:ser>
        <c:ser>
          <c:idx val="1"/>
          <c:order val="1"/>
          <c:tx>
            <c:strRef>
              <c:f>'Annual Review'!$R$45</c:f>
              <c:strCache>
                <c:ptCount val="1"/>
                <c:pt idx="0">
                  <c:v>Exemplary</c:v>
                </c:pt>
              </c:strCache>
            </c:strRef>
          </c:tx>
          <c:spPr>
            <a:solidFill>
              <a:srgbClr val="808080"/>
            </a:solidFill>
            <a:ln>
              <a:noFill/>
            </a:ln>
            <a:effectLst/>
          </c:spPr>
          <c:invertIfNegative val="0"/>
          <c:dPt>
            <c:idx val="0"/>
            <c:invertIfNegative val="0"/>
            <c:bubble3D val="0"/>
            <c:spPr>
              <a:solidFill>
                <a:srgbClr val="CFA335"/>
              </a:solidFill>
              <a:ln>
                <a:noFill/>
              </a:ln>
              <a:effectLst/>
            </c:spPr>
            <c:extLst>
              <c:ext xmlns:c16="http://schemas.microsoft.com/office/drawing/2014/chart" uri="{C3380CC4-5D6E-409C-BE32-E72D297353CC}">
                <c16:uniqueId val="{00000002-35A3-4C67-9838-722CD8115F15}"/>
              </c:ext>
            </c:extLst>
          </c:dPt>
          <c:dPt>
            <c:idx val="1"/>
            <c:invertIfNegative val="0"/>
            <c:bubble3D val="0"/>
            <c:spPr>
              <a:solidFill>
                <a:srgbClr val="CFA335"/>
              </a:solidFill>
              <a:ln>
                <a:noFill/>
              </a:ln>
              <a:effectLst/>
            </c:spPr>
            <c:extLst>
              <c:ext xmlns:c16="http://schemas.microsoft.com/office/drawing/2014/chart" uri="{C3380CC4-5D6E-409C-BE32-E72D297353CC}">
                <c16:uniqueId val="{00000004-35A3-4C67-9838-722CD8115F1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Review'!$S$43:$AF$43</c:f>
              <c:strCache>
                <c:ptCount val="14"/>
                <c:pt idx="0">
                  <c:v>Std3 (prev)</c:v>
                </c:pt>
                <c:pt idx="1">
                  <c:v>Std3 (now)</c:v>
                </c:pt>
                <c:pt idx="3">
                  <c:v>Comp 3A (prev)</c:v>
                </c:pt>
                <c:pt idx="4">
                  <c:v>Comp 3A (now)</c:v>
                </c:pt>
                <c:pt idx="6">
                  <c:v>Comp 3B (prev)</c:v>
                </c:pt>
                <c:pt idx="7">
                  <c:v>Comp 3B (now)</c:v>
                </c:pt>
                <c:pt idx="9">
                  <c:v>Comp 3C (prev)</c:v>
                </c:pt>
                <c:pt idx="10">
                  <c:v>Comp 3C (now)</c:v>
                </c:pt>
                <c:pt idx="12">
                  <c:v>Comp 3D (prev)</c:v>
                </c:pt>
                <c:pt idx="13">
                  <c:v>Comp 3D (now)</c:v>
                </c:pt>
              </c:strCache>
            </c:strRef>
          </c:cat>
          <c:val>
            <c:numRef>
              <c:f>'Annual Review'!$S$45:$AF$45</c:f>
              <c:numCache>
                <c:formatCode>0%</c:formatCode>
                <c:ptCount val="14"/>
                <c:pt idx="0">
                  <c:v>#N/A</c:v>
                </c:pt>
                <c:pt idx="1">
                  <c:v>#N/A</c:v>
                </c:pt>
                <c:pt idx="3">
                  <c:v>#N/A</c:v>
                </c:pt>
                <c:pt idx="4">
                  <c:v>#N/A</c:v>
                </c:pt>
                <c:pt idx="6">
                  <c:v>#N/A</c:v>
                </c:pt>
                <c:pt idx="7">
                  <c:v>#N/A</c:v>
                </c:pt>
                <c:pt idx="9">
                  <c:v>#N/A</c:v>
                </c:pt>
                <c:pt idx="10">
                  <c:v>#N/A</c:v>
                </c:pt>
                <c:pt idx="12">
                  <c:v>#N/A</c:v>
                </c:pt>
                <c:pt idx="13">
                  <c:v>#N/A</c:v>
                </c:pt>
              </c:numCache>
            </c:numRef>
          </c:val>
          <c:extLst>
            <c:ext xmlns:c16="http://schemas.microsoft.com/office/drawing/2014/chart" uri="{C3380CC4-5D6E-409C-BE32-E72D297353CC}">
              <c16:uniqueId val="{00000001-35A3-4C67-9838-722CD8115F15}"/>
            </c:ext>
          </c:extLst>
        </c:ser>
        <c:dLbls>
          <c:showLegendKey val="0"/>
          <c:showVal val="0"/>
          <c:showCatName val="0"/>
          <c:showSerName val="0"/>
          <c:showPercent val="0"/>
          <c:showBubbleSize val="0"/>
        </c:dLbls>
        <c:gapWidth val="20"/>
        <c:overlap val="100"/>
        <c:axId val="682908224"/>
        <c:axId val="682909208"/>
      </c:barChart>
      <c:catAx>
        <c:axId val="682908224"/>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i="0" u="none" strike="noStrike" baseline="0">
                    <a:effectLst/>
                  </a:rPr>
                  <a:t>PTEPA Rubric Area</a:t>
                </a:r>
                <a:endParaRPr lang="en-US" b="1"/>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82909208"/>
        <c:crosses val="autoZero"/>
        <c:auto val="1"/>
        <c:lblAlgn val="ctr"/>
        <c:lblOffset val="100"/>
        <c:noMultiLvlLbl val="0"/>
      </c:catAx>
      <c:valAx>
        <c:axId val="68290920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lumMod val="65000"/>
                        <a:lumOff val="35000"/>
                      </a:sysClr>
                    </a:solidFill>
                    <a:latin typeface="+mn-lt"/>
                    <a:ea typeface="+mn-ea"/>
                    <a:cs typeface="+mn-cs"/>
                  </a:defRPr>
                </a:pPr>
                <a:r>
                  <a:rPr lang="en-US" b="1"/>
                  <a:t>Percent</a:t>
                </a:r>
                <a:r>
                  <a:rPr lang="en-US" b="1" baseline="0"/>
                  <a:t> of Items</a:t>
                </a:r>
                <a:endParaRPr lang="en-US" b="1"/>
              </a:p>
            </c:rich>
          </c:tx>
          <c:layout>
            <c:manualLayout>
              <c:xMode val="edge"/>
              <c:yMode val="edge"/>
              <c:x val="2.7964697831535768E-6"/>
              <c:y val="0.21096435328072544"/>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lumMod val="65000"/>
                      <a:lumOff val="35000"/>
                    </a:sys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2908224"/>
        <c:crosses val="autoZero"/>
        <c:crossBetween val="between"/>
      </c:valAx>
      <c:spPr>
        <a:noFill/>
        <a:ln>
          <a:noFill/>
        </a:ln>
        <a:effectLst/>
      </c:spPr>
    </c:plotArea>
    <c:legend>
      <c:legendPos val="b"/>
      <c:layout>
        <c:manualLayout>
          <c:xMode val="edge"/>
          <c:yMode val="edge"/>
          <c:x val="0.68426544741136286"/>
          <c:y val="0.88971234717833281"/>
          <c:w val="0.31527513130962453"/>
          <c:h val="0.11028765282166718"/>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Standard 4 Results Comparison - Previous vs Current Year </a:t>
            </a:r>
          </a:p>
        </c:rich>
      </c:tx>
      <c:layout>
        <c:manualLayout>
          <c:xMode val="edge"/>
          <c:yMode val="edge"/>
          <c:x val="6.8971987290972855E-2"/>
          <c:y val="3.230207697333890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235672932782749E-2"/>
          <c:y val="8.7030900539782532E-2"/>
          <c:w val="0.92955790095158142"/>
          <c:h val="0.6629393163203996"/>
        </c:manualLayout>
      </c:layout>
      <c:barChart>
        <c:barDir val="col"/>
        <c:grouping val="stacked"/>
        <c:varyColors val="0"/>
        <c:ser>
          <c:idx val="0"/>
          <c:order val="0"/>
          <c:tx>
            <c:strRef>
              <c:f>'Annual Review'!$R$48</c:f>
              <c:strCache>
                <c:ptCount val="1"/>
                <c:pt idx="0">
                  <c:v>Benchmark</c:v>
                </c:pt>
              </c:strCache>
            </c:strRef>
          </c:tx>
          <c:spPr>
            <a:solidFill>
              <a:srgbClr val="BFBFBF"/>
            </a:solidFill>
            <a:ln>
              <a:noFill/>
            </a:ln>
            <a:effectLst/>
          </c:spPr>
          <c:invertIfNegative val="0"/>
          <c:dPt>
            <c:idx val="0"/>
            <c:invertIfNegative val="0"/>
            <c:bubble3D val="0"/>
            <c:spPr>
              <a:solidFill>
                <a:srgbClr val="82B9E0"/>
              </a:solidFill>
              <a:ln>
                <a:noFill/>
              </a:ln>
              <a:effectLst/>
            </c:spPr>
            <c:extLst>
              <c:ext xmlns:c16="http://schemas.microsoft.com/office/drawing/2014/chart" uri="{C3380CC4-5D6E-409C-BE32-E72D297353CC}">
                <c16:uniqueId val="{00000003-35A3-4C67-9838-722CD8115F15}"/>
              </c:ext>
            </c:extLst>
          </c:dPt>
          <c:dPt>
            <c:idx val="1"/>
            <c:invertIfNegative val="0"/>
            <c:bubble3D val="0"/>
            <c:spPr>
              <a:solidFill>
                <a:srgbClr val="82B9E0"/>
              </a:solidFill>
              <a:ln>
                <a:noFill/>
              </a:ln>
              <a:effectLst/>
            </c:spPr>
            <c:extLst>
              <c:ext xmlns:c16="http://schemas.microsoft.com/office/drawing/2014/chart" uri="{C3380CC4-5D6E-409C-BE32-E72D297353CC}">
                <c16:uniqueId val="{00000005-35A3-4C67-9838-722CD8115F1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Review'!$S$47:$AC$47</c:f>
              <c:strCache>
                <c:ptCount val="11"/>
                <c:pt idx="0">
                  <c:v>Std4 (prev)</c:v>
                </c:pt>
                <c:pt idx="1">
                  <c:v>Std4 (now)</c:v>
                </c:pt>
                <c:pt idx="3">
                  <c:v>Comp 4A (prev)</c:v>
                </c:pt>
                <c:pt idx="4">
                  <c:v>Comp 4A (now)</c:v>
                </c:pt>
                <c:pt idx="6">
                  <c:v>Comp 4B (prev)</c:v>
                </c:pt>
                <c:pt idx="7">
                  <c:v>Comp 4B (now)</c:v>
                </c:pt>
                <c:pt idx="9">
                  <c:v>Comp 4C (prev)</c:v>
                </c:pt>
                <c:pt idx="10">
                  <c:v>Comp 4C (now)</c:v>
                </c:pt>
              </c:strCache>
            </c:strRef>
          </c:cat>
          <c:val>
            <c:numRef>
              <c:f>'Annual Review'!$S$48:$AC$48</c:f>
              <c:numCache>
                <c:formatCode>0%</c:formatCode>
                <c:ptCount val="11"/>
                <c:pt idx="0">
                  <c:v>#N/A</c:v>
                </c:pt>
                <c:pt idx="1">
                  <c:v>#N/A</c:v>
                </c:pt>
                <c:pt idx="3">
                  <c:v>#N/A</c:v>
                </c:pt>
                <c:pt idx="4">
                  <c:v>#N/A</c:v>
                </c:pt>
                <c:pt idx="6">
                  <c:v>#N/A</c:v>
                </c:pt>
                <c:pt idx="7">
                  <c:v>#N/A</c:v>
                </c:pt>
                <c:pt idx="9">
                  <c:v>#N/A</c:v>
                </c:pt>
                <c:pt idx="10">
                  <c:v>#N/A</c:v>
                </c:pt>
              </c:numCache>
            </c:numRef>
          </c:val>
          <c:extLst>
            <c:ext xmlns:c16="http://schemas.microsoft.com/office/drawing/2014/chart" uri="{C3380CC4-5D6E-409C-BE32-E72D297353CC}">
              <c16:uniqueId val="{00000000-35A3-4C67-9838-722CD8115F15}"/>
            </c:ext>
          </c:extLst>
        </c:ser>
        <c:ser>
          <c:idx val="1"/>
          <c:order val="1"/>
          <c:tx>
            <c:strRef>
              <c:f>'Annual Review'!$R$49</c:f>
              <c:strCache>
                <c:ptCount val="1"/>
                <c:pt idx="0">
                  <c:v>Exemplary</c:v>
                </c:pt>
              </c:strCache>
            </c:strRef>
          </c:tx>
          <c:spPr>
            <a:solidFill>
              <a:srgbClr val="808080"/>
            </a:solidFill>
            <a:ln>
              <a:noFill/>
            </a:ln>
            <a:effectLst/>
          </c:spPr>
          <c:invertIfNegative val="0"/>
          <c:dPt>
            <c:idx val="0"/>
            <c:invertIfNegative val="0"/>
            <c:bubble3D val="0"/>
            <c:spPr>
              <a:solidFill>
                <a:srgbClr val="4496D1"/>
              </a:solidFill>
              <a:ln>
                <a:noFill/>
              </a:ln>
              <a:effectLst/>
            </c:spPr>
            <c:extLst>
              <c:ext xmlns:c16="http://schemas.microsoft.com/office/drawing/2014/chart" uri="{C3380CC4-5D6E-409C-BE32-E72D297353CC}">
                <c16:uniqueId val="{00000002-35A3-4C67-9838-722CD8115F15}"/>
              </c:ext>
            </c:extLst>
          </c:dPt>
          <c:dPt>
            <c:idx val="1"/>
            <c:invertIfNegative val="0"/>
            <c:bubble3D val="0"/>
            <c:spPr>
              <a:solidFill>
                <a:srgbClr val="4496D1"/>
              </a:solidFill>
              <a:ln>
                <a:noFill/>
              </a:ln>
              <a:effectLst/>
            </c:spPr>
            <c:extLst>
              <c:ext xmlns:c16="http://schemas.microsoft.com/office/drawing/2014/chart" uri="{C3380CC4-5D6E-409C-BE32-E72D297353CC}">
                <c16:uniqueId val="{00000004-35A3-4C67-9838-722CD8115F1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Review'!$S$47:$AC$47</c:f>
              <c:strCache>
                <c:ptCount val="11"/>
                <c:pt idx="0">
                  <c:v>Std4 (prev)</c:v>
                </c:pt>
                <c:pt idx="1">
                  <c:v>Std4 (now)</c:v>
                </c:pt>
                <c:pt idx="3">
                  <c:v>Comp 4A (prev)</c:v>
                </c:pt>
                <c:pt idx="4">
                  <c:v>Comp 4A (now)</c:v>
                </c:pt>
                <c:pt idx="6">
                  <c:v>Comp 4B (prev)</c:v>
                </c:pt>
                <c:pt idx="7">
                  <c:v>Comp 4B (now)</c:v>
                </c:pt>
                <c:pt idx="9">
                  <c:v>Comp 4C (prev)</c:v>
                </c:pt>
                <c:pt idx="10">
                  <c:v>Comp 4C (now)</c:v>
                </c:pt>
              </c:strCache>
            </c:strRef>
          </c:cat>
          <c:val>
            <c:numRef>
              <c:f>'Annual Review'!$S$49:$AC$49</c:f>
              <c:numCache>
                <c:formatCode>0%</c:formatCode>
                <c:ptCount val="11"/>
                <c:pt idx="0">
                  <c:v>#N/A</c:v>
                </c:pt>
                <c:pt idx="1">
                  <c:v>#N/A</c:v>
                </c:pt>
                <c:pt idx="3">
                  <c:v>#N/A</c:v>
                </c:pt>
                <c:pt idx="4">
                  <c:v>#N/A</c:v>
                </c:pt>
                <c:pt idx="6">
                  <c:v>#N/A</c:v>
                </c:pt>
                <c:pt idx="7">
                  <c:v>#N/A</c:v>
                </c:pt>
                <c:pt idx="9">
                  <c:v>#N/A</c:v>
                </c:pt>
                <c:pt idx="10">
                  <c:v>#N/A</c:v>
                </c:pt>
              </c:numCache>
            </c:numRef>
          </c:val>
          <c:extLst>
            <c:ext xmlns:c16="http://schemas.microsoft.com/office/drawing/2014/chart" uri="{C3380CC4-5D6E-409C-BE32-E72D297353CC}">
              <c16:uniqueId val="{00000001-35A3-4C67-9838-722CD8115F15}"/>
            </c:ext>
          </c:extLst>
        </c:ser>
        <c:dLbls>
          <c:showLegendKey val="0"/>
          <c:showVal val="0"/>
          <c:showCatName val="0"/>
          <c:showSerName val="0"/>
          <c:showPercent val="0"/>
          <c:showBubbleSize val="0"/>
        </c:dLbls>
        <c:gapWidth val="20"/>
        <c:overlap val="100"/>
        <c:axId val="682908224"/>
        <c:axId val="682909208"/>
      </c:barChart>
      <c:catAx>
        <c:axId val="682908224"/>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i="0" u="none" strike="noStrike" baseline="0">
                    <a:effectLst/>
                  </a:rPr>
                  <a:t>PTEPA Rubric Area</a:t>
                </a:r>
                <a:endParaRPr lang="en-US" b="1"/>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82909208"/>
        <c:crosses val="autoZero"/>
        <c:auto val="1"/>
        <c:lblAlgn val="ctr"/>
        <c:lblOffset val="100"/>
        <c:noMultiLvlLbl val="0"/>
      </c:catAx>
      <c:valAx>
        <c:axId val="68290920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lumMod val="65000"/>
                        <a:lumOff val="35000"/>
                      </a:sysClr>
                    </a:solidFill>
                    <a:latin typeface="+mn-lt"/>
                    <a:ea typeface="+mn-ea"/>
                    <a:cs typeface="+mn-cs"/>
                  </a:defRPr>
                </a:pPr>
                <a:r>
                  <a:rPr lang="en-US" b="1"/>
                  <a:t>Percent</a:t>
                </a:r>
                <a:r>
                  <a:rPr lang="en-US" b="1" baseline="0"/>
                  <a:t> of Items</a:t>
                </a:r>
                <a:endParaRPr lang="en-US" b="1"/>
              </a:p>
            </c:rich>
          </c:tx>
          <c:layout>
            <c:manualLayout>
              <c:xMode val="edge"/>
              <c:yMode val="edge"/>
              <c:x val="1.6325917557380961E-6"/>
              <c:y val="0.22796061088081238"/>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lumMod val="65000"/>
                      <a:lumOff val="35000"/>
                    </a:sys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2908224"/>
        <c:crosses val="autoZero"/>
        <c:crossBetween val="between"/>
      </c:valAx>
      <c:spPr>
        <a:noFill/>
        <a:ln>
          <a:noFill/>
        </a:ln>
        <a:effectLst/>
      </c:spPr>
    </c:plotArea>
    <c:legend>
      <c:legendPos val="b"/>
      <c:layout>
        <c:manualLayout>
          <c:xMode val="edge"/>
          <c:yMode val="edge"/>
          <c:x val="0.68426544741136286"/>
          <c:y val="0.88971234717833281"/>
          <c:w val="0.31527513130962453"/>
          <c:h val="0.11028765282166718"/>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Standard 5 Results Comparison - Previous vs Current Year </a:t>
            </a:r>
          </a:p>
        </c:rich>
      </c:tx>
      <c:layout>
        <c:manualLayout>
          <c:xMode val="edge"/>
          <c:yMode val="edge"/>
          <c:x val="6.6267530713961104E-2"/>
          <c:y val="3.206327798009404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235672932782749E-2"/>
          <c:y val="8.7030900539782532E-2"/>
          <c:w val="0.92955790095158142"/>
          <c:h val="0.6629393163203996"/>
        </c:manualLayout>
      </c:layout>
      <c:barChart>
        <c:barDir val="col"/>
        <c:grouping val="stacked"/>
        <c:varyColors val="0"/>
        <c:ser>
          <c:idx val="0"/>
          <c:order val="0"/>
          <c:tx>
            <c:strRef>
              <c:f>'Annual Review'!$R$52</c:f>
              <c:strCache>
                <c:ptCount val="1"/>
                <c:pt idx="0">
                  <c:v>Benchmark</c:v>
                </c:pt>
              </c:strCache>
            </c:strRef>
          </c:tx>
          <c:spPr>
            <a:solidFill>
              <a:srgbClr val="BFBFBF"/>
            </a:solidFill>
            <a:ln>
              <a:noFill/>
            </a:ln>
            <a:effectLst/>
          </c:spPr>
          <c:invertIfNegative val="0"/>
          <c:dPt>
            <c:idx val="0"/>
            <c:invertIfNegative val="0"/>
            <c:bubble3D val="0"/>
            <c:spPr>
              <a:solidFill>
                <a:srgbClr val="CCA074"/>
              </a:solidFill>
              <a:ln>
                <a:noFill/>
              </a:ln>
              <a:effectLst/>
            </c:spPr>
            <c:extLst>
              <c:ext xmlns:c16="http://schemas.microsoft.com/office/drawing/2014/chart" uri="{C3380CC4-5D6E-409C-BE32-E72D297353CC}">
                <c16:uniqueId val="{00000003-35A3-4C67-9838-722CD8115F15}"/>
              </c:ext>
            </c:extLst>
          </c:dPt>
          <c:dPt>
            <c:idx val="1"/>
            <c:invertIfNegative val="0"/>
            <c:bubble3D val="0"/>
            <c:spPr>
              <a:solidFill>
                <a:srgbClr val="CCA074"/>
              </a:solidFill>
              <a:ln>
                <a:noFill/>
              </a:ln>
              <a:effectLst/>
            </c:spPr>
            <c:extLst>
              <c:ext xmlns:c16="http://schemas.microsoft.com/office/drawing/2014/chart" uri="{C3380CC4-5D6E-409C-BE32-E72D297353CC}">
                <c16:uniqueId val="{00000005-35A3-4C67-9838-722CD8115F1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Review'!$S$51:$AC$51</c:f>
              <c:strCache>
                <c:ptCount val="11"/>
                <c:pt idx="0">
                  <c:v>Std5 (prev)</c:v>
                </c:pt>
                <c:pt idx="1">
                  <c:v>Std5 (now)</c:v>
                </c:pt>
                <c:pt idx="3">
                  <c:v>Comp 5A prev</c:v>
                </c:pt>
                <c:pt idx="4">
                  <c:v>Comp 5A (now)</c:v>
                </c:pt>
                <c:pt idx="6">
                  <c:v>Comp 5B (prev)</c:v>
                </c:pt>
                <c:pt idx="7">
                  <c:v>Comp 5B (now)</c:v>
                </c:pt>
                <c:pt idx="9">
                  <c:v>Comp 5C (prev)</c:v>
                </c:pt>
                <c:pt idx="10">
                  <c:v>Comp 5C (now)</c:v>
                </c:pt>
              </c:strCache>
            </c:strRef>
          </c:cat>
          <c:val>
            <c:numRef>
              <c:f>'Annual Review'!$S$52:$AC$52</c:f>
              <c:numCache>
                <c:formatCode>0%</c:formatCode>
                <c:ptCount val="11"/>
                <c:pt idx="0">
                  <c:v>#N/A</c:v>
                </c:pt>
                <c:pt idx="1">
                  <c:v>#N/A</c:v>
                </c:pt>
                <c:pt idx="3">
                  <c:v>#N/A</c:v>
                </c:pt>
                <c:pt idx="4">
                  <c:v>#N/A</c:v>
                </c:pt>
                <c:pt idx="6">
                  <c:v>#N/A</c:v>
                </c:pt>
                <c:pt idx="7">
                  <c:v>#N/A</c:v>
                </c:pt>
                <c:pt idx="9">
                  <c:v>#N/A</c:v>
                </c:pt>
                <c:pt idx="10">
                  <c:v>#N/A</c:v>
                </c:pt>
              </c:numCache>
            </c:numRef>
          </c:val>
          <c:extLst>
            <c:ext xmlns:c16="http://schemas.microsoft.com/office/drawing/2014/chart" uri="{C3380CC4-5D6E-409C-BE32-E72D297353CC}">
              <c16:uniqueId val="{00000000-35A3-4C67-9838-722CD8115F15}"/>
            </c:ext>
          </c:extLst>
        </c:ser>
        <c:ser>
          <c:idx val="1"/>
          <c:order val="1"/>
          <c:tx>
            <c:strRef>
              <c:f>'Annual Review'!$R$53</c:f>
              <c:strCache>
                <c:ptCount val="1"/>
                <c:pt idx="0">
                  <c:v>Exemplary</c:v>
                </c:pt>
              </c:strCache>
            </c:strRef>
          </c:tx>
          <c:spPr>
            <a:solidFill>
              <a:srgbClr val="808080"/>
            </a:solidFill>
            <a:ln>
              <a:noFill/>
            </a:ln>
            <a:effectLst/>
          </c:spPr>
          <c:invertIfNegative val="0"/>
          <c:dPt>
            <c:idx val="0"/>
            <c:invertIfNegative val="0"/>
            <c:bubble3D val="0"/>
            <c:spPr>
              <a:solidFill>
                <a:srgbClr val="B2702E"/>
              </a:solidFill>
              <a:ln>
                <a:noFill/>
              </a:ln>
              <a:effectLst/>
            </c:spPr>
            <c:extLst>
              <c:ext xmlns:c16="http://schemas.microsoft.com/office/drawing/2014/chart" uri="{C3380CC4-5D6E-409C-BE32-E72D297353CC}">
                <c16:uniqueId val="{00000002-35A3-4C67-9838-722CD8115F15}"/>
              </c:ext>
            </c:extLst>
          </c:dPt>
          <c:dPt>
            <c:idx val="1"/>
            <c:invertIfNegative val="0"/>
            <c:bubble3D val="0"/>
            <c:spPr>
              <a:solidFill>
                <a:srgbClr val="B2702E"/>
              </a:solidFill>
              <a:ln>
                <a:noFill/>
              </a:ln>
              <a:effectLst/>
            </c:spPr>
            <c:extLst>
              <c:ext xmlns:c16="http://schemas.microsoft.com/office/drawing/2014/chart" uri="{C3380CC4-5D6E-409C-BE32-E72D297353CC}">
                <c16:uniqueId val="{00000004-35A3-4C67-9838-722CD8115F1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Review'!$S$51:$AC$51</c:f>
              <c:strCache>
                <c:ptCount val="11"/>
                <c:pt idx="0">
                  <c:v>Std5 (prev)</c:v>
                </c:pt>
                <c:pt idx="1">
                  <c:v>Std5 (now)</c:v>
                </c:pt>
                <c:pt idx="3">
                  <c:v>Comp 5A prev</c:v>
                </c:pt>
                <c:pt idx="4">
                  <c:v>Comp 5A (now)</c:v>
                </c:pt>
                <c:pt idx="6">
                  <c:v>Comp 5B (prev)</c:v>
                </c:pt>
                <c:pt idx="7">
                  <c:v>Comp 5B (now)</c:v>
                </c:pt>
                <c:pt idx="9">
                  <c:v>Comp 5C (prev)</c:v>
                </c:pt>
                <c:pt idx="10">
                  <c:v>Comp 5C (now)</c:v>
                </c:pt>
              </c:strCache>
            </c:strRef>
          </c:cat>
          <c:val>
            <c:numRef>
              <c:f>'Annual Review'!$S$53:$AC$53</c:f>
              <c:numCache>
                <c:formatCode>0%</c:formatCode>
                <c:ptCount val="11"/>
                <c:pt idx="0">
                  <c:v>#N/A</c:v>
                </c:pt>
                <c:pt idx="1">
                  <c:v>#N/A</c:v>
                </c:pt>
                <c:pt idx="3">
                  <c:v>#N/A</c:v>
                </c:pt>
                <c:pt idx="4">
                  <c:v>#N/A</c:v>
                </c:pt>
                <c:pt idx="6">
                  <c:v>#N/A</c:v>
                </c:pt>
                <c:pt idx="7">
                  <c:v>#N/A</c:v>
                </c:pt>
                <c:pt idx="9">
                  <c:v>#N/A</c:v>
                </c:pt>
                <c:pt idx="10">
                  <c:v>#N/A</c:v>
                </c:pt>
              </c:numCache>
            </c:numRef>
          </c:val>
          <c:extLst>
            <c:ext xmlns:c16="http://schemas.microsoft.com/office/drawing/2014/chart" uri="{C3380CC4-5D6E-409C-BE32-E72D297353CC}">
              <c16:uniqueId val="{00000001-35A3-4C67-9838-722CD8115F15}"/>
            </c:ext>
          </c:extLst>
        </c:ser>
        <c:dLbls>
          <c:showLegendKey val="0"/>
          <c:showVal val="0"/>
          <c:showCatName val="0"/>
          <c:showSerName val="0"/>
          <c:showPercent val="0"/>
          <c:showBubbleSize val="0"/>
        </c:dLbls>
        <c:gapWidth val="20"/>
        <c:overlap val="100"/>
        <c:axId val="682908224"/>
        <c:axId val="682909208"/>
      </c:barChart>
      <c:catAx>
        <c:axId val="682908224"/>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i="0" u="none" strike="noStrike" baseline="0">
                    <a:effectLst/>
                  </a:rPr>
                  <a:t>PTEPA Rubric Area</a:t>
                </a:r>
                <a:endParaRPr lang="en-US" b="1"/>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82909208"/>
        <c:crosses val="autoZero"/>
        <c:auto val="1"/>
        <c:lblAlgn val="ctr"/>
        <c:lblOffset val="100"/>
        <c:noMultiLvlLbl val="0"/>
      </c:catAx>
      <c:valAx>
        <c:axId val="68290920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lumMod val="65000"/>
                        <a:lumOff val="35000"/>
                      </a:sysClr>
                    </a:solidFill>
                    <a:latin typeface="+mn-lt"/>
                    <a:ea typeface="+mn-ea"/>
                    <a:cs typeface="+mn-cs"/>
                  </a:defRPr>
                </a:pPr>
                <a:r>
                  <a:rPr lang="en-US" b="1"/>
                  <a:t>Percent</a:t>
                </a:r>
                <a:r>
                  <a:rPr lang="en-US" b="1" baseline="0"/>
                  <a:t> of Items</a:t>
                </a:r>
                <a:endParaRPr lang="en-US" b="1"/>
              </a:p>
            </c:rich>
          </c:tx>
          <c:layout>
            <c:manualLayout>
              <c:xMode val="edge"/>
              <c:yMode val="edge"/>
              <c:x val="1.4826458138495458E-3"/>
              <c:y val="0.21538520409961501"/>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lumMod val="65000"/>
                      <a:lumOff val="35000"/>
                    </a:sys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2908224"/>
        <c:crosses val="autoZero"/>
        <c:crossBetween val="between"/>
      </c:valAx>
      <c:spPr>
        <a:noFill/>
        <a:ln>
          <a:noFill/>
        </a:ln>
        <a:effectLst/>
      </c:spPr>
    </c:plotArea>
    <c:legend>
      <c:legendPos val="b"/>
      <c:layout>
        <c:manualLayout>
          <c:xMode val="edge"/>
          <c:yMode val="edge"/>
          <c:x val="0.68426544741136286"/>
          <c:y val="0.88971234717833281"/>
          <c:w val="0.31527513130962453"/>
          <c:h val="0.11028765282166718"/>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Standard 6 Results Comparison - Previous vs Current Year </a:t>
            </a:r>
          </a:p>
        </c:rich>
      </c:tx>
      <c:layout>
        <c:manualLayout>
          <c:xMode val="edge"/>
          <c:yMode val="edge"/>
          <c:x val="6.5856674441362714E-2"/>
          <c:y val="3.2383909169889798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235672932782749E-2"/>
          <c:y val="8.7030900539782532E-2"/>
          <c:w val="0.92955790095158142"/>
          <c:h val="0.6629393163203996"/>
        </c:manualLayout>
      </c:layout>
      <c:barChart>
        <c:barDir val="col"/>
        <c:grouping val="stacked"/>
        <c:varyColors val="0"/>
        <c:ser>
          <c:idx val="0"/>
          <c:order val="0"/>
          <c:tx>
            <c:strRef>
              <c:f>'Annual Review'!$R$56</c:f>
              <c:strCache>
                <c:ptCount val="1"/>
                <c:pt idx="0">
                  <c:v>Benchmark</c:v>
                </c:pt>
              </c:strCache>
            </c:strRef>
          </c:tx>
          <c:spPr>
            <a:solidFill>
              <a:srgbClr val="BFBFBF"/>
            </a:solidFill>
            <a:ln>
              <a:noFill/>
            </a:ln>
            <a:effectLst/>
          </c:spPr>
          <c:invertIfNegative val="0"/>
          <c:dPt>
            <c:idx val="0"/>
            <c:invertIfNegative val="0"/>
            <c:bubble3D val="0"/>
            <c:spPr>
              <a:solidFill>
                <a:srgbClr val="BDC46E"/>
              </a:solidFill>
              <a:ln>
                <a:noFill/>
              </a:ln>
              <a:effectLst/>
            </c:spPr>
            <c:extLst>
              <c:ext xmlns:c16="http://schemas.microsoft.com/office/drawing/2014/chart" uri="{C3380CC4-5D6E-409C-BE32-E72D297353CC}">
                <c16:uniqueId val="{00000003-35A3-4C67-9838-722CD8115F15}"/>
              </c:ext>
            </c:extLst>
          </c:dPt>
          <c:dPt>
            <c:idx val="1"/>
            <c:invertIfNegative val="0"/>
            <c:bubble3D val="0"/>
            <c:spPr>
              <a:solidFill>
                <a:srgbClr val="BDC46E"/>
              </a:solidFill>
              <a:ln>
                <a:noFill/>
              </a:ln>
              <a:effectLst/>
            </c:spPr>
            <c:extLst>
              <c:ext xmlns:c16="http://schemas.microsoft.com/office/drawing/2014/chart" uri="{C3380CC4-5D6E-409C-BE32-E72D297353CC}">
                <c16:uniqueId val="{00000005-35A3-4C67-9838-722CD8115F1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Review'!$S$55:$AC$55</c:f>
              <c:strCache>
                <c:ptCount val="11"/>
                <c:pt idx="0">
                  <c:v>Std6 (prev)</c:v>
                </c:pt>
                <c:pt idx="1">
                  <c:v>Std6 (now)</c:v>
                </c:pt>
                <c:pt idx="3">
                  <c:v>Comp 6A prev</c:v>
                </c:pt>
                <c:pt idx="4">
                  <c:v>Comp 6A (now)</c:v>
                </c:pt>
                <c:pt idx="6">
                  <c:v>Comp 6B (prev)</c:v>
                </c:pt>
                <c:pt idx="7">
                  <c:v>Comp 6B (now)</c:v>
                </c:pt>
                <c:pt idx="9">
                  <c:v>Comp 6C (prev)</c:v>
                </c:pt>
                <c:pt idx="10">
                  <c:v>Comp 6C (now)</c:v>
                </c:pt>
              </c:strCache>
            </c:strRef>
          </c:cat>
          <c:val>
            <c:numRef>
              <c:f>'Annual Review'!$S$56:$AC$56</c:f>
              <c:numCache>
                <c:formatCode>0%</c:formatCode>
                <c:ptCount val="11"/>
                <c:pt idx="0">
                  <c:v>#N/A</c:v>
                </c:pt>
                <c:pt idx="1">
                  <c:v>#N/A</c:v>
                </c:pt>
                <c:pt idx="3">
                  <c:v>#N/A</c:v>
                </c:pt>
                <c:pt idx="4">
                  <c:v>#N/A</c:v>
                </c:pt>
                <c:pt idx="6">
                  <c:v>#N/A</c:v>
                </c:pt>
                <c:pt idx="7">
                  <c:v>#N/A</c:v>
                </c:pt>
                <c:pt idx="9">
                  <c:v>#N/A</c:v>
                </c:pt>
                <c:pt idx="10">
                  <c:v>#N/A</c:v>
                </c:pt>
              </c:numCache>
            </c:numRef>
          </c:val>
          <c:extLst>
            <c:ext xmlns:c16="http://schemas.microsoft.com/office/drawing/2014/chart" uri="{C3380CC4-5D6E-409C-BE32-E72D297353CC}">
              <c16:uniqueId val="{00000000-35A3-4C67-9838-722CD8115F15}"/>
            </c:ext>
          </c:extLst>
        </c:ser>
        <c:ser>
          <c:idx val="1"/>
          <c:order val="1"/>
          <c:tx>
            <c:strRef>
              <c:f>'Annual Review'!$R$57</c:f>
              <c:strCache>
                <c:ptCount val="1"/>
                <c:pt idx="0">
                  <c:v>Exemplary</c:v>
                </c:pt>
              </c:strCache>
            </c:strRef>
          </c:tx>
          <c:spPr>
            <a:solidFill>
              <a:srgbClr val="808080"/>
            </a:solidFill>
            <a:ln>
              <a:noFill/>
            </a:ln>
            <a:effectLst/>
          </c:spPr>
          <c:invertIfNegative val="0"/>
          <c:dPt>
            <c:idx val="0"/>
            <c:invertIfNegative val="0"/>
            <c:bubble3D val="0"/>
            <c:spPr>
              <a:solidFill>
                <a:srgbClr val="9CA725"/>
              </a:solidFill>
              <a:ln>
                <a:noFill/>
              </a:ln>
              <a:effectLst/>
            </c:spPr>
            <c:extLst>
              <c:ext xmlns:c16="http://schemas.microsoft.com/office/drawing/2014/chart" uri="{C3380CC4-5D6E-409C-BE32-E72D297353CC}">
                <c16:uniqueId val="{00000002-35A3-4C67-9838-722CD8115F15}"/>
              </c:ext>
            </c:extLst>
          </c:dPt>
          <c:dPt>
            <c:idx val="1"/>
            <c:invertIfNegative val="0"/>
            <c:bubble3D val="0"/>
            <c:spPr>
              <a:solidFill>
                <a:srgbClr val="9CA725"/>
              </a:solidFill>
              <a:ln>
                <a:noFill/>
              </a:ln>
              <a:effectLst/>
            </c:spPr>
            <c:extLst>
              <c:ext xmlns:c16="http://schemas.microsoft.com/office/drawing/2014/chart" uri="{C3380CC4-5D6E-409C-BE32-E72D297353CC}">
                <c16:uniqueId val="{00000004-35A3-4C67-9838-722CD8115F1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'Annual Review'!$S$55:$AC$55</c:f>
              <c:strCache>
                <c:ptCount val="11"/>
                <c:pt idx="0">
                  <c:v>Std6 (prev)</c:v>
                </c:pt>
                <c:pt idx="1">
                  <c:v>Std6 (now)</c:v>
                </c:pt>
                <c:pt idx="3">
                  <c:v>Comp 6A prev</c:v>
                </c:pt>
                <c:pt idx="4">
                  <c:v>Comp 6A (now)</c:v>
                </c:pt>
                <c:pt idx="6">
                  <c:v>Comp 6B (prev)</c:v>
                </c:pt>
                <c:pt idx="7">
                  <c:v>Comp 6B (now)</c:v>
                </c:pt>
                <c:pt idx="9">
                  <c:v>Comp 6C (prev)</c:v>
                </c:pt>
                <c:pt idx="10">
                  <c:v>Comp 6C (now)</c:v>
                </c:pt>
              </c:strCache>
            </c:strRef>
          </c:cat>
          <c:val>
            <c:numRef>
              <c:f>'Annual Review'!$S$57:$AC$57</c:f>
              <c:numCache>
                <c:formatCode>0%</c:formatCode>
                <c:ptCount val="11"/>
                <c:pt idx="0">
                  <c:v>#N/A</c:v>
                </c:pt>
                <c:pt idx="1">
                  <c:v>#N/A</c:v>
                </c:pt>
                <c:pt idx="3">
                  <c:v>#N/A</c:v>
                </c:pt>
                <c:pt idx="4">
                  <c:v>#N/A</c:v>
                </c:pt>
                <c:pt idx="6">
                  <c:v>#N/A</c:v>
                </c:pt>
                <c:pt idx="7">
                  <c:v>#N/A</c:v>
                </c:pt>
                <c:pt idx="9">
                  <c:v>#N/A</c:v>
                </c:pt>
                <c:pt idx="10">
                  <c:v>#N/A</c:v>
                </c:pt>
              </c:numCache>
            </c:numRef>
          </c:val>
          <c:extLst>
            <c:ext xmlns:c16="http://schemas.microsoft.com/office/drawing/2014/chart" uri="{C3380CC4-5D6E-409C-BE32-E72D297353CC}">
              <c16:uniqueId val="{00000001-35A3-4C67-9838-722CD8115F15}"/>
            </c:ext>
          </c:extLst>
        </c:ser>
        <c:dLbls>
          <c:showLegendKey val="0"/>
          <c:showVal val="0"/>
          <c:showCatName val="0"/>
          <c:showSerName val="0"/>
          <c:showPercent val="0"/>
          <c:showBubbleSize val="0"/>
        </c:dLbls>
        <c:gapWidth val="20"/>
        <c:overlap val="100"/>
        <c:axId val="682908224"/>
        <c:axId val="682909208"/>
      </c:barChart>
      <c:catAx>
        <c:axId val="682908224"/>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i="0" u="none" strike="noStrike" baseline="0">
                    <a:effectLst/>
                  </a:rPr>
                  <a:t>PTEPA Rubric Area</a:t>
                </a:r>
                <a:endParaRPr lang="en-US" b="1"/>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682909208"/>
        <c:crosses val="autoZero"/>
        <c:auto val="1"/>
        <c:lblAlgn val="ctr"/>
        <c:lblOffset val="100"/>
        <c:noMultiLvlLbl val="0"/>
      </c:catAx>
      <c:valAx>
        <c:axId val="68290920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lumMod val="65000"/>
                        <a:lumOff val="35000"/>
                      </a:sysClr>
                    </a:solidFill>
                    <a:latin typeface="+mn-lt"/>
                    <a:ea typeface="+mn-ea"/>
                    <a:cs typeface="+mn-cs"/>
                  </a:defRPr>
                </a:pPr>
                <a:r>
                  <a:rPr lang="en-US" b="1"/>
                  <a:t>Percent</a:t>
                </a:r>
                <a:r>
                  <a:rPr lang="en-US" b="1" baseline="0"/>
                  <a:t> of Items</a:t>
                </a:r>
                <a:endParaRPr lang="en-US" b="1"/>
              </a:p>
            </c:rich>
          </c:tx>
          <c:layout>
            <c:manualLayout>
              <c:xMode val="edge"/>
              <c:yMode val="edge"/>
              <c:x val="1.4826580707355344E-3"/>
              <c:y val="0.25336697015155962"/>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lumMod val="65000"/>
                      <a:lumOff val="35000"/>
                    </a:sys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2908224"/>
        <c:crosses val="autoZero"/>
        <c:crossBetween val="between"/>
      </c:valAx>
      <c:spPr>
        <a:noFill/>
        <a:ln>
          <a:noFill/>
        </a:ln>
        <a:effectLst/>
      </c:spPr>
    </c:plotArea>
    <c:legend>
      <c:legendPos val="b"/>
      <c:layout>
        <c:manualLayout>
          <c:xMode val="edge"/>
          <c:yMode val="edge"/>
          <c:x val="0.68426544741136286"/>
          <c:y val="0.88971234717833281"/>
          <c:w val="0.31527513130962453"/>
          <c:h val="0.11028765282166718"/>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firstButton="1" fmlaLink="I10"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I8"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I19"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I22"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firstButton="1" fmlaLink="I23"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firstButton="1" fmlaLink="I24"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firstButton="1" fmlaLink="I25"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firstButton="1" fmlaLink="I26"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fmlaLink="I35"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firstButton="1" fmlaLink="I36"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firstButton="1" fmlaLink="I38"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I9"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firstButton="1" fmlaLink="I39"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firstButton="1" fmlaLink="I34"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fmlaLink="I33"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Radio" firstButton="1" fmlaLink="I27"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I10" lockText="1" noThreeD="1"/>
</file>

<file path=xl/ctrlProps/ctrlProp190.xml><?xml version="1.0" encoding="utf-8"?>
<formControlPr xmlns="http://schemas.microsoft.com/office/spreadsheetml/2009/9/main" objectType="Radio" firstButton="1" fmlaLink="I20"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firstButton="1" fmlaLink="I21"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firstButton="1" fmlaLink="I37" lockText="1" noThreeD="1"/>
</file>

<file path=xl/ctrlProps/ctrlProp202.xml><?xml version="1.0" encoding="utf-8"?>
<formControlPr xmlns="http://schemas.microsoft.com/office/spreadsheetml/2009/9/main" objectType="Radio"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firstButton="1" fmlaLink="I40" lockText="1" noThreeD="1"/>
</file>

<file path=xl/ctrlProps/ctrlProp207.xml><?xml version="1.0" encoding="utf-8"?>
<formControlPr xmlns="http://schemas.microsoft.com/office/spreadsheetml/2009/9/main" objectType="Radio"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Radio" lockText="1"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I7"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I11" lockText="1" noThreeD="1"/>
</file>

<file path=xl/ctrlProps/ctrlProp230.xml><?xml version="1.0" encoding="utf-8"?>
<formControlPr xmlns="http://schemas.microsoft.com/office/spreadsheetml/2009/9/main" objectType="Radio" firstButton="1" fmlaLink="I8" lockText="1" noThreeD="1"/>
</file>

<file path=xl/ctrlProps/ctrlProp231.xml><?xml version="1.0" encoding="utf-8"?>
<formControlPr xmlns="http://schemas.microsoft.com/office/spreadsheetml/2009/9/main" objectType="Radio"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firstButton="1" fmlaLink="I9"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firstButton="1" fmlaLink="I10"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I21" lockText="1" noThreeD="1"/>
</file>

<file path=xl/ctrlProps/ctrlProp243.xml><?xml version="1.0" encoding="utf-8"?>
<formControlPr xmlns="http://schemas.microsoft.com/office/spreadsheetml/2009/9/main" objectType="Radio" firstButton="1" fmlaLink="I22"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firstButton="1" fmlaLink="I23"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firstButton="1" fmlaLink="I31"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firstButton="1" fmlaLink="I33"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firstButton="1" fmlaLink="I34"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firstButton="1" fmlaLink="I41"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fmlaLink="I12" lockText="1" noThreeD="1"/>
</file>

<file path=xl/ctrlProps/ctrlProp270.xml><?xml version="1.0" encoding="utf-8"?>
<formControlPr xmlns="http://schemas.microsoft.com/office/spreadsheetml/2009/9/main" objectType="Radio" firstButton="1" fmlaLink="I42" lockText="1" noThreeD="1"/>
</file>

<file path=xl/ctrlProps/ctrlProp271.xml><?xml version="1.0" encoding="utf-8"?>
<formControlPr xmlns="http://schemas.microsoft.com/office/spreadsheetml/2009/9/main" objectType="Radio"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firstButton="1" fmlaLink="I43"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firstButton="1" fmlaLink="I32"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I11"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firstButton="1" fmlaLink="I2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Radio" lockText="1" noThreeD="1"/>
</file>

<file path=xl/ctrlProps/ctrlProp301.xml><?xml version="1.0" encoding="utf-8"?>
<formControlPr xmlns="http://schemas.microsoft.com/office/spreadsheetml/2009/9/main" objectType="Radio" lockText="1" noThreeD="1"/>
</file>

<file path=xl/ctrlProps/ctrlProp302.xml><?xml version="1.0" encoding="utf-8"?>
<formControlPr xmlns="http://schemas.microsoft.com/office/spreadsheetml/2009/9/main" objectType="GBox" noThreeD="1"/>
</file>

<file path=xl/ctrlProps/ctrlProp303.xml><?xml version="1.0" encoding="utf-8"?>
<formControlPr xmlns="http://schemas.microsoft.com/office/spreadsheetml/2009/9/main" objectType="Radio" firstButton="1" fmlaLink="I30"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Radio" firstButton="1" fmlaLink="I19" lockText="1" noThreeD="1"/>
</file>

<file path=xl/ctrlProps/ctrlProp31.xml><?xml version="1.0" encoding="utf-8"?>
<formControlPr xmlns="http://schemas.microsoft.com/office/spreadsheetml/2009/9/main" objectType="GBox"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GBox" noThreeD="1"/>
</file>

<file path=xl/ctrlProps/ctrlProp316.xml><?xml version="1.0" encoding="utf-8"?>
<formControlPr xmlns="http://schemas.microsoft.com/office/spreadsheetml/2009/9/main" objectType="Radio" firstButton="1" fmlaLink="I4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fmlaLink="I21" lockText="1" noThreeD="1"/>
</file>

<file path=xl/ctrlProps/ctrlProp320.xml><?xml version="1.0" encoding="utf-8"?>
<formControlPr xmlns="http://schemas.microsoft.com/office/spreadsheetml/2009/9/main" objectType="Radio" lockText="1" noThreeD="1"/>
</file>

<file path=xl/ctrlProps/ctrlProp321.xml><?xml version="1.0" encoding="utf-8"?>
<formControlPr xmlns="http://schemas.microsoft.com/office/spreadsheetml/2009/9/main" objectType="Radio" lockText="1"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Radio" firstButton="1" fmlaLink="I8"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Radio" firstButton="1" fmlaLink="I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Radio" lockText="1"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GBox" noThreeD="1"/>
</file>

<file path=xl/ctrlProps/ctrlProp338.xml><?xml version="1.0" encoding="utf-8"?>
<formControlPr xmlns="http://schemas.microsoft.com/office/spreadsheetml/2009/9/main" objectType="GBox" noThreeD="1"/>
</file>

<file path=xl/ctrlProps/ctrlProp339.xml><?xml version="1.0" encoding="utf-8"?>
<formControlPr xmlns="http://schemas.microsoft.com/office/spreadsheetml/2009/9/main" objectType="GBox"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GBox" noThreeD="1"/>
</file>

<file path=xl/ctrlProps/ctrlProp342.xml><?xml version="1.0" encoding="utf-8"?>
<formControlPr xmlns="http://schemas.microsoft.com/office/spreadsheetml/2009/9/main" objectType="Radio" firstButton="1" fmlaLink="I17"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Radio" firstButton="1" fmlaLink="I18"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lockText="1" noThreeD="1"/>
</file>

<file path=xl/ctrlProps/ctrlProp349.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Radio" firstButton="1" fmlaLink="I20" lockText="1" noThreeD="1"/>
</file>

<file path=xl/ctrlProps/ctrlProp351.xml><?xml version="1.0" encoding="utf-8"?>
<formControlPr xmlns="http://schemas.microsoft.com/office/spreadsheetml/2009/9/main" objectType="Radio"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lockText="1" noThreeD="1"/>
</file>

<file path=xl/ctrlProps/ctrlProp354.xml><?xml version="1.0" encoding="utf-8"?>
<formControlPr xmlns="http://schemas.microsoft.com/office/spreadsheetml/2009/9/main" objectType="Radio" firstButton="1" fmlaLink="I21"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I31"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lockText="1" noThreeD="1"/>
</file>

<file path=xl/ctrlProps/ctrlProp362.xml><?xml version="1.0" encoding="utf-8"?>
<formControlPr xmlns="http://schemas.microsoft.com/office/spreadsheetml/2009/9/main" objectType="Radio" firstButton="1" fmlaLink="I33"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lockText="1" noThreeD="1"/>
</file>

<file path=xl/ctrlProps/ctrlProp365.xml><?xml version="1.0" encoding="utf-8"?>
<formControlPr xmlns="http://schemas.microsoft.com/office/spreadsheetml/2009/9/main" objectType="Radio" lockText="1" noThreeD="1"/>
</file>

<file path=xl/ctrlProps/ctrlProp366.xml><?xml version="1.0" encoding="utf-8"?>
<formControlPr xmlns="http://schemas.microsoft.com/office/spreadsheetml/2009/9/main" objectType="Radio" firstButton="1" fmlaLink="I34" lockText="1" noThreeD="1"/>
</file>

<file path=xl/ctrlProps/ctrlProp367.xml><?xml version="1.0" encoding="utf-8"?>
<formControlPr xmlns="http://schemas.microsoft.com/office/spreadsheetml/2009/9/main" objectType="Radio"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fmlaLink="I33"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Radio" firstButton="1" fmlaLink="I19"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Radio" firstButton="1" fmlaLink="I32"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lockText="1" noThreeD="1"/>
</file>

<file path=xl/ctrlProps/ctrlProp384.xml><?xml version="1.0" encoding="utf-8"?>
<formControlPr xmlns="http://schemas.microsoft.com/office/spreadsheetml/2009/9/main" objectType="Radio" lockText="1" noThreeD="1"/>
</file>

<file path=xl/ctrlProps/ctrlProp385.xml><?xml version="1.0" encoding="utf-8"?>
<formControlPr xmlns="http://schemas.microsoft.com/office/spreadsheetml/2009/9/main" objectType="Radio"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GBox" noThreeD="1"/>
</file>

<file path=xl/ctrlProps/ctrlProp392.xml><?xml version="1.0" encoding="utf-8"?>
<formControlPr xmlns="http://schemas.microsoft.com/office/spreadsheetml/2009/9/main" objectType="Radio" firstButton="1" fmlaLink="I7"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lockText="1" noThreeD="1"/>
</file>

<file path=xl/ctrlProps/ctrlProp395.xml><?xml version="1.0" encoding="utf-8"?>
<formControlPr xmlns="http://schemas.microsoft.com/office/spreadsheetml/2009/9/main" objectType="Radio"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GBox" noThreeD="1"/>
</file>

<file path=xl/ctrlProps/ctrlProp39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00.xml><?xml version="1.0" encoding="utf-8"?>
<formControlPr xmlns="http://schemas.microsoft.com/office/spreadsheetml/2009/9/main" objectType="GBox" noThreeD="1"/>
</file>

<file path=xl/ctrlProps/ctrlProp401.xml><?xml version="1.0" encoding="utf-8"?>
<formControlPr xmlns="http://schemas.microsoft.com/office/spreadsheetml/2009/9/main" objectType="Radio" firstButton="1" fmlaLink="I14" lockText="1" noThreeD="1"/>
</file>

<file path=xl/ctrlProps/ctrlProp402.xml><?xml version="1.0" encoding="utf-8"?>
<formControlPr xmlns="http://schemas.microsoft.com/office/spreadsheetml/2009/9/main" objectType="Radio" lockText="1" noThreeD="1"/>
</file>

<file path=xl/ctrlProps/ctrlProp403.xml><?xml version="1.0" encoding="utf-8"?>
<formControlPr xmlns="http://schemas.microsoft.com/office/spreadsheetml/2009/9/main" objectType="Radio"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firstButton="1" fmlaLink="I15"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firstButton="1" fmlaLink="I16" lockText="1" noThreeD="1"/>
</file>

<file path=xl/ctrlProps/ctrlProp41.xml><?xml version="1.0" encoding="utf-8"?>
<formControlPr xmlns="http://schemas.microsoft.com/office/spreadsheetml/2009/9/main" objectType="GBox" noThreeD="1"/>
</file>

<file path=xl/ctrlProps/ctrlProp410.xml><?xml version="1.0" encoding="utf-8"?>
<formControlPr xmlns="http://schemas.microsoft.com/office/spreadsheetml/2009/9/main" objectType="Radio"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firstButton="1" fmlaLink="I17" lockText="1" noThreeD="1"/>
</file>

<file path=xl/ctrlProps/ctrlProp414.xml><?xml version="1.0" encoding="utf-8"?>
<formControlPr xmlns="http://schemas.microsoft.com/office/spreadsheetml/2009/9/main" objectType="Radio"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Radio" firstButton="1" fmlaLink="I7" lockText="1" noThreeD="1"/>
</file>

<file path=xl/ctrlProps/ctrlProp42.xml><?xml version="1.0" encoding="utf-8"?>
<formControlPr xmlns="http://schemas.microsoft.com/office/spreadsheetml/2009/9/main" objectType="GBox" noThreeD="1"/>
</file>

<file path=xl/ctrlProps/ctrlProp420.xml><?xml version="1.0" encoding="utf-8"?>
<formControlPr xmlns="http://schemas.microsoft.com/office/spreadsheetml/2009/9/main" objectType="Radio" lockText="1" noThreeD="1"/>
</file>

<file path=xl/ctrlProps/ctrlProp421.xml><?xml version="1.0" encoding="utf-8"?>
<formControlPr xmlns="http://schemas.microsoft.com/office/spreadsheetml/2009/9/main" objectType="Radio"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firstButton="1" fmlaLink="I8" lockText="1" noThreeD="1"/>
</file>

<file path=xl/ctrlProps/ctrlProp424.xml><?xml version="1.0" encoding="utf-8"?>
<formControlPr xmlns="http://schemas.microsoft.com/office/spreadsheetml/2009/9/main" objectType="Radio"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lockText="1"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30.xml><?xml version="1.0" encoding="utf-8"?>
<formControlPr xmlns="http://schemas.microsoft.com/office/spreadsheetml/2009/9/main" objectType="Radio" firstButton="1" fmlaLink="I26"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Radio" lockText="1" noThreeD="1"/>
</file>

<file path=xl/ctrlProps/ctrlProp433.xml><?xml version="1.0" encoding="utf-8"?>
<formControlPr xmlns="http://schemas.microsoft.com/office/spreadsheetml/2009/9/main" objectType="Radio" lockText="1" noThreeD="1"/>
</file>

<file path=xl/ctrlProps/ctrlProp434.xml><?xml version="1.0" encoding="utf-8"?>
<formControlPr xmlns="http://schemas.microsoft.com/office/spreadsheetml/2009/9/main" objectType="Radio" firstButton="1" fmlaLink="I27" lockText="1" noThreeD="1"/>
</file>

<file path=xl/ctrlProps/ctrlProp435.xml><?xml version="1.0" encoding="utf-8"?>
<formControlPr xmlns="http://schemas.microsoft.com/office/spreadsheetml/2009/9/main" objectType="Radio" lockText="1" noThreeD="1"/>
</file>

<file path=xl/ctrlProps/ctrlProp436.xml><?xml version="1.0" encoding="utf-8"?>
<formControlPr xmlns="http://schemas.microsoft.com/office/spreadsheetml/2009/9/main" objectType="Radio"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GBox" noThreeD="1"/>
</file>

<file path=xl/ctrlProps/ctrlProp443.xml><?xml version="1.0" encoding="utf-8"?>
<formControlPr xmlns="http://schemas.microsoft.com/office/spreadsheetml/2009/9/main" objectType="Radio" firstButton="1" fmlaLink="I18" lockText="1" noThreeD="1"/>
</file>

<file path=xl/ctrlProps/ctrlProp444.xml><?xml version="1.0" encoding="utf-8"?>
<formControlPr xmlns="http://schemas.microsoft.com/office/spreadsheetml/2009/9/main" objectType="Radio"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lockText="1" noThreeD="1"/>
</file>

<file path=xl/ctrlProps/ctrlProp447.xml><?xml version="1.0" encoding="utf-8"?>
<formControlPr xmlns="http://schemas.microsoft.com/office/spreadsheetml/2009/9/main" objectType="Radio" lockText="1"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Radio" firstButton="1" fmlaLink="I28" lockText="1" noThreeD="1"/>
</file>

<file path=xl/ctrlProps/ctrlProp45.xml><?xml version="1.0" encoding="utf-8"?>
<formControlPr xmlns="http://schemas.microsoft.com/office/spreadsheetml/2009/9/main" objectType="Radio" firstButton="1" fmlaLink="I34"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lockText="1" noThreeD="1"/>
</file>

<file path=xl/ctrlProps/ctrlProp452.xml><?xml version="1.0" encoding="utf-8"?>
<formControlPr xmlns="http://schemas.microsoft.com/office/spreadsheetml/2009/9/main" objectType="Radio"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firstButton="1" fmlaLink="I25" lockText="1" noThreeD="1"/>
</file>

<file path=xl/ctrlProps/ctrlProp459.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lockText="1" noThreeD="1"/>
</file>

<file path=xl/ctrlProps/ctrlProp463.xml><?xml version="1.0" encoding="utf-8"?>
<formControlPr xmlns="http://schemas.microsoft.com/office/spreadsheetml/2009/9/main" objectType="GBox" noThreeD="1"/>
</file>

<file path=xl/ctrlProps/ctrlProp464.xml><?xml version="1.0" encoding="utf-8"?>
<formControlPr xmlns="http://schemas.microsoft.com/office/spreadsheetml/2009/9/main" objectType="GBox" noThreeD="1"/>
</file>

<file path=xl/ctrlProps/ctrlProp465.xml><?xml version="1.0" encoding="utf-8"?>
<formControlPr xmlns="http://schemas.microsoft.com/office/spreadsheetml/2009/9/main" objectType="GBox"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Radio"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GBox" noThreeD="1"/>
</file>

<file path=xl/ctrlProps/ctrlProp472.xml><?xml version="1.0" encoding="utf-8"?>
<formControlPr xmlns="http://schemas.microsoft.com/office/spreadsheetml/2009/9/main" objectType="GBox" noThreeD="1"/>
</file>

<file path=xl/ctrlProps/ctrlProp473.xml><?xml version="1.0" encoding="utf-8"?>
<formControlPr xmlns="http://schemas.microsoft.com/office/spreadsheetml/2009/9/main" objectType="Radio" firstButton="1" fmlaLink="I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firstButton="1" fmlaLink="I8" lockText="1" noThreeD="1"/>
</file>

<file path=xl/ctrlProps/ctrlProp478.xml><?xml version="1.0" encoding="utf-8"?>
<formControlPr xmlns="http://schemas.microsoft.com/office/spreadsheetml/2009/9/main" objectType="Radio"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80.xml><?xml version="1.0" encoding="utf-8"?>
<formControlPr xmlns="http://schemas.microsoft.com/office/spreadsheetml/2009/9/main" objectType="Radio" lockText="1" noThreeD="1"/>
</file>

<file path=xl/ctrlProps/ctrlProp481.xml><?xml version="1.0" encoding="utf-8"?>
<formControlPr xmlns="http://schemas.microsoft.com/office/spreadsheetml/2009/9/main" objectType="Radio" firstButton="1" fmlaLink="I9" lockText="1" noThreeD="1"/>
</file>

<file path=xl/ctrlProps/ctrlProp482.xml><?xml version="1.0" encoding="utf-8"?>
<formControlPr xmlns="http://schemas.microsoft.com/office/spreadsheetml/2009/9/main" objectType="Radio" lockText="1" noThreeD="1"/>
</file>

<file path=xl/ctrlProps/ctrlProp483.xml><?xml version="1.0" encoding="utf-8"?>
<formControlPr xmlns="http://schemas.microsoft.com/office/spreadsheetml/2009/9/main" objectType="Radio" lockText="1" noThreeD="1"/>
</file>

<file path=xl/ctrlProps/ctrlProp484.xml><?xml version="1.0" encoding="utf-8"?>
<formControlPr xmlns="http://schemas.microsoft.com/office/spreadsheetml/2009/9/main" objectType="Radio" lockText="1" noThreeD="1"/>
</file>

<file path=xl/ctrlProps/ctrlProp485.xml><?xml version="1.0" encoding="utf-8"?>
<formControlPr xmlns="http://schemas.microsoft.com/office/spreadsheetml/2009/9/main" objectType="Radio" firstButton="1" fmlaLink="I10"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firstButton="1" fmlaLink="I16" lockText="1" noThreeD="1"/>
</file>

<file path=xl/ctrlProps/ctrlProp49.xml><?xml version="1.0" encoding="utf-8"?>
<formControlPr xmlns="http://schemas.microsoft.com/office/spreadsheetml/2009/9/main" objectType="Radio" firstButton="1" fmlaLink="I35"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lockText="1" noThreeD="1"/>
</file>

<file path=xl/ctrlProps/ctrlProp493.xml><?xml version="1.0" encoding="utf-8"?>
<formControlPr xmlns="http://schemas.microsoft.com/office/spreadsheetml/2009/9/main" objectType="Radio" firstButton="1" fmlaLink="I17"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lockText="1" noThreeD="1"/>
</file>

<file path=xl/ctrlProps/ctrlProp496.xml><?xml version="1.0" encoding="utf-8"?>
<formControlPr xmlns="http://schemas.microsoft.com/office/spreadsheetml/2009/9/main" objectType="Radio" lockText="1" noThreeD="1"/>
</file>

<file path=xl/ctrlProps/ctrlProp497.xml><?xml version="1.0" encoding="utf-8"?>
<formControlPr xmlns="http://schemas.microsoft.com/office/spreadsheetml/2009/9/main" objectType="Radio" firstButton="1" fmlaLink="I18" lockText="1" noThreeD="1"/>
</file>

<file path=xl/ctrlProps/ctrlProp498.xml><?xml version="1.0" encoding="utf-8"?>
<formControlPr xmlns="http://schemas.microsoft.com/office/spreadsheetml/2009/9/main" objectType="Radio"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00.xml><?xml version="1.0" encoding="utf-8"?>
<formControlPr xmlns="http://schemas.microsoft.com/office/spreadsheetml/2009/9/main" objectType="Radio" lockText="1" noThreeD="1"/>
</file>

<file path=xl/ctrlProps/ctrlProp501.xml><?xml version="1.0" encoding="utf-8"?>
<formControlPr xmlns="http://schemas.microsoft.com/office/spreadsheetml/2009/9/main" objectType="Radio" firstButton="1" fmlaLink="I19"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I2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lockText="1" noThreeD="1"/>
</file>

<file path=xl/ctrlProps/ctrlProp509.xml><?xml version="1.0" encoding="utf-8"?>
<formControlPr xmlns="http://schemas.microsoft.com/office/spreadsheetml/2009/9/main" objectType="Radio" firstButton="1" fmlaLink="I29" lockText="1" noThreeD="1"/>
</file>

<file path=xl/ctrlProps/ctrlProp51.xml><?xml version="1.0" encoding="utf-8"?>
<formControlPr xmlns="http://schemas.microsoft.com/office/spreadsheetml/2009/9/main" objectType="Radio"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lockText="1" noThreeD="1"/>
</file>

<file path=xl/ctrlProps/ctrlProp512.xml><?xml version="1.0" encoding="utf-8"?>
<formControlPr xmlns="http://schemas.microsoft.com/office/spreadsheetml/2009/9/main" objectType="Radio"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lockText="1" noThreeD="1"/>
</file>

<file path=xl/ctrlProps/ctrlProp515.xml><?xml version="1.0" encoding="utf-8"?>
<formControlPr xmlns="http://schemas.microsoft.com/office/spreadsheetml/2009/9/main" objectType="Radio" lockText="1" noThreeD="1"/>
</file>

<file path=xl/ctrlProps/ctrlProp516.xml><?xml version="1.0" encoding="utf-8"?>
<formControlPr xmlns="http://schemas.microsoft.com/office/spreadsheetml/2009/9/main" objectType="Radio" lockText="1" noThreeD="1"/>
</file>

<file path=xl/ctrlProps/ctrlProp517.xml><?xml version="1.0" encoding="utf-8"?>
<formControlPr xmlns="http://schemas.microsoft.com/office/spreadsheetml/2009/9/main" objectType="Radio" lockText="1" noThreeD="1"/>
</file>

<file path=xl/ctrlProps/ctrlProp518.xml><?xml version="1.0" encoding="utf-8"?>
<formControlPr xmlns="http://schemas.microsoft.com/office/spreadsheetml/2009/9/main" objectType="Radio" lockText="1" noThreeD="1"/>
</file>

<file path=xl/ctrlProps/ctrlProp519.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Radio" firstButton="1" fmlaLink="I30"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lockText="1" noThreeD="1"/>
</file>

<file path=xl/ctrlProps/ctrlProp527.xml><?xml version="1.0" encoding="utf-8"?>
<formControlPr xmlns="http://schemas.microsoft.com/office/spreadsheetml/2009/9/main" objectType="Radio"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I36" lockText="1" noThreeD="1"/>
</file>

<file path=xl/ctrlProps/ctrlProp530.xml><?xml version="1.0" encoding="utf-8"?>
<formControlPr xmlns="http://schemas.microsoft.com/office/spreadsheetml/2009/9/main" objectType="Radio" firstButton="1" fmlaLink="I31" lockText="1" noThreeD="1"/>
</file>

<file path=xl/ctrlProps/ctrlProp531.xml><?xml version="1.0" encoding="utf-8"?>
<formControlPr xmlns="http://schemas.microsoft.com/office/spreadsheetml/2009/9/main" objectType="Radio" lockText="1" noThreeD="1"/>
</file>

<file path=xl/ctrlProps/ctrlProp532.xml><?xml version="1.0" encoding="utf-8"?>
<formControlPr xmlns="http://schemas.microsoft.com/office/spreadsheetml/2009/9/main" objectType="Radio" lockText="1" noThreeD="1"/>
</file>

<file path=xl/ctrlProps/ctrlProp533.xml><?xml version="1.0" encoding="utf-8"?>
<formControlPr xmlns="http://schemas.microsoft.com/office/spreadsheetml/2009/9/main" objectType="Radio" lockText="1" noThreeD="1"/>
</file>

<file path=xl/ctrlProps/ctrlProp534.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fmlaLink="I37"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I22"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firstButton="1" fmlaLink="I23"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I7"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firstButton="1" fmlaLink="I7"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firstButton="1" fmlaLink="I8"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firstButton="1" fmlaLink="I9"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gif"/><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g"/></Relationships>
</file>

<file path=xl/drawings/_rels/drawing10.xml.rels><?xml version="1.0" encoding="UTF-8" standalone="yes"?>
<Relationships xmlns="http://schemas.openxmlformats.org/package/2006/relationships"><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596900</xdr:colOff>
      <xdr:row>2</xdr:row>
      <xdr:rowOff>4308</xdr:rowOff>
    </xdr:from>
    <xdr:to>
      <xdr:col>2</xdr:col>
      <xdr:colOff>5981700</xdr:colOff>
      <xdr:row>3</xdr:row>
      <xdr:rowOff>165099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5980" y="514848"/>
          <a:ext cx="5982970" cy="343671"/>
        </a:xfrm>
        <a:prstGeom prst="rect">
          <a:avLst/>
        </a:prstGeom>
      </xdr:spPr>
    </xdr:pic>
    <xdr:clientData/>
  </xdr:twoCellAnchor>
  <xdr:twoCellAnchor editAs="oneCell">
    <xdr:from>
      <xdr:col>6</xdr:col>
      <xdr:colOff>393701</xdr:colOff>
      <xdr:row>16</xdr:row>
      <xdr:rowOff>215900</xdr:rowOff>
    </xdr:from>
    <xdr:to>
      <xdr:col>6</xdr:col>
      <xdr:colOff>1155700</xdr:colOff>
      <xdr:row>18</xdr:row>
      <xdr:rowOff>266699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8794751" y="7538720"/>
          <a:ext cx="761999" cy="683259"/>
        </a:xfrm>
        <a:prstGeom prst="rect">
          <a:avLst/>
        </a:prstGeom>
      </xdr:spPr>
    </xdr:pic>
    <xdr:clientData/>
  </xdr:twoCellAnchor>
  <xdr:twoCellAnchor editAs="oneCell">
    <xdr:from>
      <xdr:col>4</xdr:col>
      <xdr:colOff>349249</xdr:colOff>
      <xdr:row>16</xdr:row>
      <xdr:rowOff>267614</xdr:rowOff>
    </xdr:from>
    <xdr:to>
      <xdr:col>6</xdr:col>
      <xdr:colOff>242508</xdr:colOff>
      <xdr:row>19</xdr:row>
      <xdr:rowOff>63500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7748269" y="7590434"/>
          <a:ext cx="895289" cy="744576"/>
        </a:xfrm>
        <a:prstGeom prst="rect">
          <a:avLst/>
        </a:prstGeom>
      </xdr:spPr>
    </xdr:pic>
    <xdr:clientData/>
  </xdr:twoCellAnchor>
  <xdr:twoCellAnchor editAs="oneCell">
    <xdr:from>
      <xdr:col>6</xdr:col>
      <xdr:colOff>2387600</xdr:colOff>
      <xdr:row>16</xdr:row>
      <xdr:rowOff>206883</xdr:rowOff>
    </xdr:from>
    <xdr:to>
      <xdr:col>6</xdr:col>
      <xdr:colOff>3136900</xdr:colOff>
      <xdr:row>19</xdr:row>
      <xdr:rowOff>38100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10788650" y="7529703"/>
          <a:ext cx="749300" cy="779907"/>
        </a:xfrm>
        <a:prstGeom prst="rect">
          <a:avLst/>
        </a:prstGeom>
      </xdr:spPr>
    </xdr:pic>
    <xdr:clientData/>
  </xdr:twoCellAnchor>
  <xdr:twoCellAnchor editAs="oneCell">
    <xdr:from>
      <xdr:col>6</xdr:col>
      <xdr:colOff>1384300</xdr:colOff>
      <xdr:row>16</xdr:row>
      <xdr:rowOff>275078</xdr:rowOff>
    </xdr:from>
    <xdr:to>
      <xdr:col>6</xdr:col>
      <xdr:colOff>2159000</xdr:colOff>
      <xdr:row>19</xdr:row>
      <xdr:rowOff>38100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stretch>
          <a:fillRect/>
        </a:stretch>
      </xdr:blipFill>
      <xdr:spPr>
        <a:xfrm>
          <a:off x="9785350" y="7597898"/>
          <a:ext cx="774700" cy="71171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10886</xdr:colOff>
      <xdr:row>0</xdr:row>
      <xdr:rowOff>36615</xdr:rowOff>
    </xdr:from>
    <xdr:to>
      <xdr:col>12</xdr:col>
      <xdr:colOff>153028</xdr:colOff>
      <xdr:row>2</xdr:row>
      <xdr:rowOff>174171</xdr:rowOff>
    </xdr:to>
    <xdr:graphicFrame macro="">
      <xdr:nvGraphicFramePr>
        <xdr:cNvPr id="5" name="Chart 4">
          <a:extLst>
            <a:ext uri="{FF2B5EF4-FFF2-40B4-BE49-F238E27FC236}">
              <a16:creationId xmlns:a16="http://schemas.microsoft.com/office/drawing/2014/main"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10886</xdr:colOff>
      <xdr:row>3</xdr:row>
      <xdr:rowOff>3216</xdr:rowOff>
    </xdr:from>
    <xdr:to>
      <xdr:col>12</xdr:col>
      <xdr:colOff>175540</xdr:colOff>
      <xdr:row>18</xdr:row>
      <xdr:rowOff>1256</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10886</xdr:colOff>
      <xdr:row>22</xdr:row>
      <xdr:rowOff>5442</xdr:rowOff>
    </xdr:from>
    <xdr:to>
      <xdr:col>12</xdr:col>
      <xdr:colOff>165843</xdr:colOff>
      <xdr:row>37</xdr:row>
      <xdr:rowOff>41583</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10886</xdr:colOff>
      <xdr:row>48</xdr:row>
      <xdr:rowOff>495</xdr:rowOff>
    </xdr:from>
    <xdr:to>
      <xdr:col>12</xdr:col>
      <xdr:colOff>193550</xdr:colOff>
      <xdr:row>62</xdr:row>
      <xdr:rowOff>232579</xdr:rowOff>
    </xdr:to>
    <xdr:graphicFrame macro="">
      <xdr:nvGraphicFramePr>
        <xdr:cNvPr id="8" name="Chart 7">
          <a:extLst>
            <a:ext uri="{FF2B5EF4-FFF2-40B4-BE49-F238E27FC236}">
              <a16:creationId xmlns:a16="http://schemas.microsoft.com/office/drawing/2014/main" id="{00000000-0008-0000-0B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10886</xdr:colOff>
      <xdr:row>73</xdr:row>
      <xdr:rowOff>4453</xdr:rowOff>
    </xdr:from>
    <xdr:to>
      <xdr:col>12</xdr:col>
      <xdr:colOff>186623</xdr:colOff>
      <xdr:row>88</xdr:row>
      <xdr:rowOff>2493</xdr:rowOff>
    </xdr:to>
    <xdr:graphicFrame macro="">
      <xdr:nvGraphicFramePr>
        <xdr:cNvPr id="9" name="Chart 8">
          <a:extLst>
            <a:ext uri="{FF2B5EF4-FFF2-40B4-BE49-F238E27FC236}">
              <a16:creationId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10886</xdr:colOff>
      <xdr:row>90</xdr:row>
      <xdr:rowOff>4949</xdr:rowOff>
    </xdr:from>
    <xdr:to>
      <xdr:col>12</xdr:col>
      <xdr:colOff>131205</xdr:colOff>
      <xdr:row>104</xdr:row>
      <xdr:rowOff>193966</xdr:rowOff>
    </xdr:to>
    <xdr:graphicFrame macro="">
      <xdr:nvGraphicFramePr>
        <xdr:cNvPr id="10" name="Chart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10886</xdr:colOff>
      <xdr:row>106</xdr:row>
      <xdr:rowOff>0</xdr:rowOff>
    </xdr:from>
    <xdr:to>
      <xdr:col>12</xdr:col>
      <xdr:colOff>179696</xdr:colOff>
      <xdr:row>121</xdr:row>
      <xdr:rowOff>990</xdr:rowOff>
    </xdr:to>
    <xdr:graphicFrame macro="">
      <xdr:nvGraphicFramePr>
        <xdr:cNvPr id="11" name="Chart 10">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87086</xdr:colOff>
      <xdr:row>0</xdr:row>
      <xdr:rowOff>43541</xdr:rowOff>
    </xdr:from>
    <xdr:to>
      <xdr:col>5</xdr:col>
      <xdr:colOff>1039585</xdr:colOff>
      <xdr:row>0</xdr:row>
      <xdr:rowOff>2807677</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87086" y="43541"/>
          <a:ext cx="8244253" cy="276413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t>Annual Review Tab instructions</a:t>
          </a:r>
        </a:p>
        <a:p>
          <a:r>
            <a:rPr lang="en-US" sz="1400" b="0" baseline="0"/>
            <a:t>This tab allows you to compare rubric results in the current year to the previous year. </a:t>
          </a:r>
        </a:p>
        <a:p>
          <a:endParaRPr lang="en-US" sz="1400" baseline="0"/>
        </a:p>
        <a:p>
          <a:r>
            <a:rPr lang="en-US" sz="1400" baseline="0"/>
            <a:t>To insert previous year data:</a:t>
          </a:r>
        </a:p>
        <a:p>
          <a:r>
            <a:rPr lang="en-US" sz="1400" baseline="0"/>
            <a:t>(1) Open your spreadsheet for the previous year's PTEPA Rubric results.</a:t>
          </a:r>
        </a:p>
        <a:p>
          <a:r>
            <a:rPr lang="en-US" sz="1400" baseline="0"/>
            <a:t>(2) Copy the results from Annual Review tab ("Current year" column - Rows 4 to 123).</a:t>
          </a:r>
        </a:p>
        <a:p>
          <a:r>
            <a:rPr lang="en-US" sz="1400" baseline="0"/>
            <a:t>(3) In this current year Annual Review tab use paste-special to paste </a:t>
          </a:r>
          <a:r>
            <a:rPr lang="en-US" sz="1400" u="sng" baseline="0"/>
            <a:t>as values</a:t>
          </a:r>
          <a:r>
            <a:rPr lang="en-US" sz="1400" baseline="0"/>
            <a:t>  into the "Previous year" column (same rows).</a:t>
          </a:r>
        </a:p>
        <a:p>
          <a:endParaRPr lang="en-US" sz="1400" baseline="0"/>
        </a:p>
        <a:p>
          <a:r>
            <a:rPr lang="en-US" sz="1400" baseline="0"/>
            <a:t>Comparison charts and figures will be automatically generated for you when you enter results from the previous year. The charts and figures focus on the Benchmark and Exemplary levels, but the "change" column will show level changes for all items. Unanswered items are not included in the calculations.</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5448300</xdr:colOff>
          <xdr:row>6</xdr:row>
          <xdr:rowOff>177800</xdr:rowOff>
        </xdr:from>
        <xdr:to>
          <xdr:col>7</xdr:col>
          <xdr:colOff>88900</xdr:colOff>
          <xdr:row>6</xdr:row>
          <xdr:rowOff>698500</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292100</xdr:rowOff>
        </xdr:from>
        <xdr:to>
          <xdr:col>7</xdr:col>
          <xdr:colOff>101600</xdr:colOff>
          <xdr:row>7</xdr:row>
          <xdr:rowOff>838200</xdr:rowOff>
        </xdr:to>
        <xdr:sp macro="" textlink="">
          <xdr:nvSpPr>
            <xdr:cNvPr id="2050" name="Group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203200</xdr:rowOff>
        </xdr:from>
        <xdr:to>
          <xdr:col>7</xdr:col>
          <xdr:colOff>190500</xdr:colOff>
          <xdr:row>8</xdr:row>
          <xdr:rowOff>711200</xdr:rowOff>
        </xdr:to>
        <xdr:sp macro="" textlink="">
          <xdr:nvSpPr>
            <xdr:cNvPr id="2051" name="Group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38100</xdr:rowOff>
        </xdr:from>
        <xdr:to>
          <xdr:col>7</xdr:col>
          <xdr:colOff>215900</xdr:colOff>
          <xdr:row>9</xdr:row>
          <xdr:rowOff>698500</xdr:rowOff>
        </xdr:to>
        <xdr:sp macro="" textlink="">
          <xdr:nvSpPr>
            <xdr:cNvPr id="2052" name="Group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12700</xdr:rowOff>
        </xdr:from>
        <xdr:to>
          <xdr:col>7</xdr:col>
          <xdr:colOff>254000</xdr:colOff>
          <xdr:row>10</xdr:row>
          <xdr:rowOff>736600</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12700</xdr:rowOff>
        </xdr:from>
        <xdr:to>
          <xdr:col>7</xdr:col>
          <xdr:colOff>228600</xdr:colOff>
          <xdr:row>12</xdr:row>
          <xdr:rowOff>101600</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6</xdr:row>
          <xdr:rowOff>254000</xdr:rowOff>
        </xdr:from>
        <xdr:to>
          <xdr:col>3</xdr:col>
          <xdr:colOff>25400</xdr:colOff>
          <xdr:row>6</xdr:row>
          <xdr:rowOff>647700</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254000</xdr:rowOff>
        </xdr:from>
        <xdr:to>
          <xdr:col>3</xdr:col>
          <xdr:colOff>342900</xdr:colOff>
          <xdr:row>6</xdr:row>
          <xdr:rowOff>647700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6</xdr:row>
          <xdr:rowOff>215900</xdr:rowOff>
        </xdr:from>
        <xdr:to>
          <xdr:col>4</xdr:col>
          <xdr:colOff>342900</xdr:colOff>
          <xdr:row>6</xdr:row>
          <xdr:rowOff>673100</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241300</xdr:rowOff>
        </xdr:from>
        <xdr:to>
          <xdr:col>5</xdr:col>
          <xdr:colOff>342900</xdr:colOff>
          <xdr:row>6</xdr:row>
          <xdr:rowOff>647700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7</xdr:row>
          <xdr:rowOff>406400</xdr:rowOff>
        </xdr:from>
        <xdr:to>
          <xdr:col>3</xdr:col>
          <xdr:colOff>50800</xdr:colOff>
          <xdr:row>7</xdr:row>
          <xdr:rowOff>787400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406400</xdr:rowOff>
        </xdr:from>
        <xdr:to>
          <xdr:col>3</xdr:col>
          <xdr:colOff>330200</xdr:colOff>
          <xdr:row>7</xdr:row>
          <xdr:rowOff>787400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7</xdr:row>
          <xdr:rowOff>381000</xdr:rowOff>
        </xdr:from>
        <xdr:to>
          <xdr:col>4</xdr:col>
          <xdr:colOff>381000</xdr:colOff>
          <xdr:row>7</xdr:row>
          <xdr:rowOff>800100</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381000</xdr:rowOff>
        </xdr:from>
        <xdr:to>
          <xdr:col>5</xdr:col>
          <xdr:colOff>342900</xdr:colOff>
          <xdr:row>7</xdr:row>
          <xdr:rowOff>800100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8</xdr:row>
          <xdr:rowOff>292100</xdr:rowOff>
        </xdr:from>
        <xdr:to>
          <xdr:col>3</xdr:col>
          <xdr:colOff>25400</xdr:colOff>
          <xdr:row>8</xdr:row>
          <xdr:rowOff>673100</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266700</xdr:rowOff>
        </xdr:from>
        <xdr:to>
          <xdr:col>3</xdr:col>
          <xdr:colOff>330200</xdr:colOff>
          <xdr:row>8</xdr:row>
          <xdr:rowOff>685800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8</xdr:row>
          <xdr:rowOff>266700</xdr:rowOff>
        </xdr:from>
        <xdr:to>
          <xdr:col>4</xdr:col>
          <xdr:colOff>342900</xdr:colOff>
          <xdr:row>8</xdr:row>
          <xdr:rowOff>685800</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254000</xdr:rowOff>
        </xdr:from>
        <xdr:to>
          <xdr:col>5</xdr:col>
          <xdr:colOff>304800</xdr:colOff>
          <xdr:row>8</xdr:row>
          <xdr:rowOff>698500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9</xdr:row>
          <xdr:rowOff>254000</xdr:rowOff>
        </xdr:from>
        <xdr:to>
          <xdr:col>2</xdr:col>
          <xdr:colOff>304800</xdr:colOff>
          <xdr:row>9</xdr:row>
          <xdr:rowOff>558800</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241300</xdr:rowOff>
        </xdr:from>
        <xdr:to>
          <xdr:col>3</xdr:col>
          <xdr:colOff>304800</xdr:colOff>
          <xdr:row>9</xdr:row>
          <xdr:rowOff>584200</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9</xdr:row>
          <xdr:rowOff>254000</xdr:rowOff>
        </xdr:from>
        <xdr:to>
          <xdr:col>4</xdr:col>
          <xdr:colOff>330200</xdr:colOff>
          <xdr:row>9</xdr:row>
          <xdr:rowOff>558800</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241300</xdr:rowOff>
        </xdr:from>
        <xdr:to>
          <xdr:col>5</xdr:col>
          <xdr:colOff>330200</xdr:colOff>
          <xdr:row>9</xdr:row>
          <xdr:rowOff>584200</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10</xdr:row>
          <xdr:rowOff>114300</xdr:rowOff>
        </xdr:from>
        <xdr:to>
          <xdr:col>3</xdr:col>
          <xdr:colOff>0</xdr:colOff>
          <xdr:row>10</xdr:row>
          <xdr:rowOff>673100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139700</xdr:rowOff>
        </xdr:from>
        <xdr:to>
          <xdr:col>3</xdr:col>
          <xdr:colOff>368300</xdr:colOff>
          <xdr:row>10</xdr:row>
          <xdr:rowOff>647700</xdr:rowOff>
        </xdr:to>
        <xdr:sp macro="" textlink="">
          <xdr:nvSpPr>
            <xdr:cNvPr id="2072" name="Option Button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10</xdr:row>
          <xdr:rowOff>114300</xdr:rowOff>
        </xdr:from>
        <xdr:to>
          <xdr:col>4</xdr:col>
          <xdr:colOff>330200</xdr:colOff>
          <xdr:row>10</xdr:row>
          <xdr:rowOff>673100</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127000</xdr:rowOff>
        </xdr:from>
        <xdr:to>
          <xdr:col>5</xdr:col>
          <xdr:colOff>342900</xdr:colOff>
          <xdr:row>10</xdr:row>
          <xdr:rowOff>660400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11</xdr:row>
          <xdr:rowOff>50800</xdr:rowOff>
        </xdr:from>
        <xdr:to>
          <xdr:col>2</xdr:col>
          <xdr:colOff>292100</xdr:colOff>
          <xdr:row>11</xdr:row>
          <xdr:rowOff>546100</xdr:rowOff>
        </xdr:to>
        <xdr:sp macro="" textlink="">
          <xdr:nvSpPr>
            <xdr:cNvPr id="2075" name="Option Button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38100</xdr:rowOff>
        </xdr:from>
        <xdr:to>
          <xdr:col>3</xdr:col>
          <xdr:colOff>368300</xdr:colOff>
          <xdr:row>11</xdr:row>
          <xdr:rowOff>571500</xdr:rowOff>
        </xdr:to>
        <xdr:sp macro="" textlink="">
          <xdr:nvSpPr>
            <xdr:cNvPr id="2076" name="Option Button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11</xdr:row>
          <xdr:rowOff>25400</xdr:rowOff>
        </xdr:from>
        <xdr:to>
          <xdr:col>4</xdr:col>
          <xdr:colOff>381000</xdr:colOff>
          <xdr:row>11</xdr:row>
          <xdr:rowOff>571500</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25400</xdr:rowOff>
        </xdr:from>
        <xdr:to>
          <xdr:col>5</xdr:col>
          <xdr:colOff>368300</xdr:colOff>
          <xdr:row>11</xdr:row>
          <xdr:rowOff>571500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76200</xdr:rowOff>
        </xdr:from>
        <xdr:to>
          <xdr:col>7</xdr:col>
          <xdr:colOff>114300</xdr:colOff>
          <xdr:row>20</xdr:row>
          <xdr:rowOff>546100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20</xdr:row>
          <xdr:rowOff>114300</xdr:rowOff>
        </xdr:from>
        <xdr:to>
          <xdr:col>2</xdr:col>
          <xdr:colOff>317500</xdr:colOff>
          <xdr:row>20</xdr:row>
          <xdr:rowOff>508000</xdr:rowOff>
        </xdr:to>
        <xdr:sp macro="" textlink="">
          <xdr:nvSpPr>
            <xdr:cNvPr id="2083" name="Option Button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101600</xdr:rowOff>
        </xdr:from>
        <xdr:to>
          <xdr:col>3</xdr:col>
          <xdr:colOff>304800</xdr:colOff>
          <xdr:row>20</xdr:row>
          <xdr:rowOff>508000</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20</xdr:row>
          <xdr:rowOff>101600</xdr:rowOff>
        </xdr:from>
        <xdr:to>
          <xdr:col>4</xdr:col>
          <xdr:colOff>368300</xdr:colOff>
          <xdr:row>20</xdr:row>
          <xdr:rowOff>508000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101600</xdr:rowOff>
        </xdr:from>
        <xdr:to>
          <xdr:col>5</xdr:col>
          <xdr:colOff>381000</xdr:colOff>
          <xdr:row>20</xdr:row>
          <xdr:rowOff>508000</xdr:rowOff>
        </xdr:to>
        <xdr:sp macro="" textlink="">
          <xdr:nvSpPr>
            <xdr:cNvPr id="2086" name="Option Button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38100</xdr:rowOff>
        </xdr:from>
        <xdr:to>
          <xdr:col>7</xdr:col>
          <xdr:colOff>152400</xdr:colOff>
          <xdr:row>32</xdr:row>
          <xdr:rowOff>368300</xdr:rowOff>
        </xdr:to>
        <xdr:sp macro="" textlink="">
          <xdr:nvSpPr>
            <xdr:cNvPr id="2099" name="Group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32</xdr:row>
          <xdr:rowOff>114300</xdr:rowOff>
        </xdr:from>
        <xdr:to>
          <xdr:col>2</xdr:col>
          <xdr:colOff>330200</xdr:colOff>
          <xdr:row>32</xdr:row>
          <xdr:rowOff>342900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101600</xdr:rowOff>
        </xdr:from>
        <xdr:to>
          <xdr:col>3</xdr:col>
          <xdr:colOff>317500</xdr:colOff>
          <xdr:row>32</xdr:row>
          <xdr:rowOff>368300</xdr:rowOff>
        </xdr:to>
        <xdr:sp macro="" textlink="">
          <xdr:nvSpPr>
            <xdr:cNvPr id="2101" name="Option Button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101600</xdr:rowOff>
        </xdr:from>
        <xdr:to>
          <xdr:col>4</xdr:col>
          <xdr:colOff>381000</xdr:colOff>
          <xdr:row>32</xdr:row>
          <xdr:rowOff>368300</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32</xdr:row>
          <xdr:rowOff>114300</xdr:rowOff>
        </xdr:from>
        <xdr:to>
          <xdr:col>5</xdr:col>
          <xdr:colOff>381000</xdr:colOff>
          <xdr:row>32</xdr:row>
          <xdr:rowOff>342900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63500</xdr:rowOff>
        </xdr:from>
        <xdr:to>
          <xdr:col>7</xdr:col>
          <xdr:colOff>190500</xdr:colOff>
          <xdr:row>33</xdr:row>
          <xdr:rowOff>419100</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25400</xdr:rowOff>
        </xdr:from>
        <xdr:to>
          <xdr:col>7</xdr:col>
          <xdr:colOff>190500</xdr:colOff>
          <xdr:row>34</xdr:row>
          <xdr:rowOff>406400</xdr:rowOff>
        </xdr:to>
        <xdr:sp macro="" textlink="">
          <xdr:nvSpPr>
            <xdr:cNvPr id="2105" name="Group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50800</xdr:rowOff>
        </xdr:from>
        <xdr:to>
          <xdr:col>7</xdr:col>
          <xdr:colOff>177800</xdr:colOff>
          <xdr:row>35</xdr:row>
          <xdr:rowOff>469900</xdr:rowOff>
        </xdr:to>
        <xdr:sp macro="" textlink="">
          <xdr:nvSpPr>
            <xdr:cNvPr id="2106" name="Group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33</xdr:row>
          <xdr:rowOff>190500</xdr:rowOff>
        </xdr:from>
        <xdr:to>
          <xdr:col>2</xdr:col>
          <xdr:colOff>330200</xdr:colOff>
          <xdr:row>33</xdr:row>
          <xdr:rowOff>342900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190500</xdr:rowOff>
        </xdr:from>
        <xdr:to>
          <xdr:col>3</xdr:col>
          <xdr:colOff>330200</xdr:colOff>
          <xdr:row>33</xdr:row>
          <xdr:rowOff>330200</xdr:rowOff>
        </xdr:to>
        <xdr:sp macro="" textlink="">
          <xdr:nvSpPr>
            <xdr:cNvPr id="2110" name="Option Button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190500</xdr:rowOff>
        </xdr:from>
        <xdr:to>
          <xdr:col>4</xdr:col>
          <xdr:colOff>368300</xdr:colOff>
          <xdr:row>33</xdr:row>
          <xdr:rowOff>342900</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33</xdr:row>
          <xdr:rowOff>190500</xdr:rowOff>
        </xdr:from>
        <xdr:to>
          <xdr:col>5</xdr:col>
          <xdr:colOff>342900</xdr:colOff>
          <xdr:row>33</xdr:row>
          <xdr:rowOff>342900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34</xdr:row>
          <xdr:rowOff>139700</xdr:rowOff>
        </xdr:from>
        <xdr:to>
          <xdr:col>2</xdr:col>
          <xdr:colOff>330200</xdr:colOff>
          <xdr:row>34</xdr:row>
          <xdr:rowOff>279400</xdr:rowOff>
        </xdr:to>
        <xdr:sp macro="" textlink="">
          <xdr:nvSpPr>
            <xdr:cNvPr id="2113" name="Option Button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139700</xdr:rowOff>
        </xdr:from>
        <xdr:to>
          <xdr:col>3</xdr:col>
          <xdr:colOff>368300</xdr:colOff>
          <xdr:row>34</xdr:row>
          <xdr:rowOff>279400</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139700</xdr:rowOff>
        </xdr:from>
        <xdr:to>
          <xdr:col>4</xdr:col>
          <xdr:colOff>330200</xdr:colOff>
          <xdr:row>34</xdr:row>
          <xdr:rowOff>279400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34</xdr:row>
          <xdr:rowOff>139700</xdr:rowOff>
        </xdr:from>
        <xdr:to>
          <xdr:col>5</xdr:col>
          <xdr:colOff>304800</xdr:colOff>
          <xdr:row>34</xdr:row>
          <xdr:rowOff>279400</xdr:rowOff>
        </xdr:to>
        <xdr:sp macro="" textlink="">
          <xdr:nvSpPr>
            <xdr:cNvPr id="2116" name="Option Button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35</xdr:row>
          <xdr:rowOff>127000</xdr:rowOff>
        </xdr:from>
        <xdr:to>
          <xdr:col>3</xdr:col>
          <xdr:colOff>0</xdr:colOff>
          <xdr:row>35</xdr:row>
          <xdr:rowOff>431800</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152400</xdr:rowOff>
        </xdr:from>
        <xdr:to>
          <xdr:col>3</xdr:col>
          <xdr:colOff>368300</xdr:colOff>
          <xdr:row>35</xdr:row>
          <xdr:rowOff>419100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152400</xdr:rowOff>
        </xdr:from>
        <xdr:to>
          <xdr:col>4</xdr:col>
          <xdr:colOff>330200</xdr:colOff>
          <xdr:row>35</xdr:row>
          <xdr:rowOff>419100</xdr:rowOff>
        </xdr:to>
        <xdr:sp macro="" textlink="">
          <xdr:nvSpPr>
            <xdr:cNvPr id="2119" name="Option Button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35</xdr:row>
          <xdr:rowOff>165100</xdr:rowOff>
        </xdr:from>
        <xdr:to>
          <xdr:col>5</xdr:col>
          <xdr:colOff>342900</xdr:colOff>
          <xdr:row>35</xdr:row>
          <xdr:rowOff>393700</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4660900</xdr:colOff>
          <xdr:row>36</xdr:row>
          <xdr:rowOff>50800</xdr:rowOff>
        </xdr:from>
        <xdr:to>
          <xdr:col>7</xdr:col>
          <xdr:colOff>177800</xdr:colOff>
          <xdr:row>36</xdr:row>
          <xdr:rowOff>368300</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36</xdr:row>
          <xdr:rowOff>127000</xdr:rowOff>
        </xdr:from>
        <xdr:to>
          <xdr:col>3</xdr:col>
          <xdr:colOff>0</xdr:colOff>
          <xdr:row>36</xdr:row>
          <xdr:rowOff>317500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127000</xdr:rowOff>
        </xdr:from>
        <xdr:to>
          <xdr:col>3</xdr:col>
          <xdr:colOff>342900</xdr:colOff>
          <xdr:row>36</xdr:row>
          <xdr:rowOff>317500</xdr:rowOff>
        </xdr:to>
        <xdr:sp macro="" textlink="">
          <xdr:nvSpPr>
            <xdr:cNvPr id="2122" name="Option Button 74"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127000</xdr:rowOff>
        </xdr:from>
        <xdr:to>
          <xdr:col>4</xdr:col>
          <xdr:colOff>368300</xdr:colOff>
          <xdr:row>36</xdr:row>
          <xdr:rowOff>317500</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36</xdr:row>
          <xdr:rowOff>127000</xdr:rowOff>
        </xdr:from>
        <xdr:to>
          <xdr:col>5</xdr:col>
          <xdr:colOff>304800</xdr:colOff>
          <xdr:row>36</xdr:row>
          <xdr:rowOff>317500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114300</xdr:rowOff>
        </xdr:from>
        <xdr:to>
          <xdr:col>7</xdr:col>
          <xdr:colOff>139700</xdr:colOff>
          <xdr:row>22</xdr:row>
          <xdr:rowOff>635000</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21</xdr:row>
          <xdr:rowOff>165100</xdr:rowOff>
        </xdr:from>
        <xdr:to>
          <xdr:col>2</xdr:col>
          <xdr:colOff>330200</xdr:colOff>
          <xdr:row>21</xdr:row>
          <xdr:rowOff>469900</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165100</xdr:rowOff>
        </xdr:from>
        <xdr:to>
          <xdr:col>3</xdr:col>
          <xdr:colOff>228600</xdr:colOff>
          <xdr:row>21</xdr:row>
          <xdr:rowOff>457200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21</xdr:row>
          <xdr:rowOff>165100</xdr:rowOff>
        </xdr:from>
        <xdr:to>
          <xdr:col>4</xdr:col>
          <xdr:colOff>266700</xdr:colOff>
          <xdr:row>21</xdr:row>
          <xdr:rowOff>457200</xdr:rowOff>
        </xdr:to>
        <xdr:sp macro="" textlink="">
          <xdr:nvSpPr>
            <xdr:cNvPr id="2137" name="Option Button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21</xdr:row>
          <xdr:rowOff>165100</xdr:rowOff>
        </xdr:from>
        <xdr:to>
          <xdr:col>5</xdr:col>
          <xdr:colOff>330200</xdr:colOff>
          <xdr:row>21</xdr:row>
          <xdr:rowOff>469900</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22</xdr:row>
          <xdr:rowOff>177800</xdr:rowOff>
        </xdr:from>
        <xdr:to>
          <xdr:col>2</xdr:col>
          <xdr:colOff>292100</xdr:colOff>
          <xdr:row>22</xdr:row>
          <xdr:rowOff>558800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177800</xdr:rowOff>
        </xdr:from>
        <xdr:to>
          <xdr:col>3</xdr:col>
          <xdr:colOff>292100</xdr:colOff>
          <xdr:row>22</xdr:row>
          <xdr:rowOff>571500</xdr:rowOff>
        </xdr:to>
        <xdr:sp macro="" textlink="">
          <xdr:nvSpPr>
            <xdr:cNvPr id="2140" name="Option Button 92"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22</xdr:row>
          <xdr:rowOff>177800</xdr:rowOff>
        </xdr:from>
        <xdr:to>
          <xdr:col>4</xdr:col>
          <xdr:colOff>330200</xdr:colOff>
          <xdr:row>22</xdr:row>
          <xdr:rowOff>571500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22</xdr:row>
          <xdr:rowOff>177800</xdr:rowOff>
        </xdr:from>
        <xdr:to>
          <xdr:col>5</xdr:col>
          <xdr:colOff>330200</xdr:colOff>
          <xdr:row>22</xdr:row>
          <xdr:rowOff>571500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21</xdr:row>
          <xdr:rowOff>101600</xdr:rowOff>
        </xdr:from>
        <xdr:to>
          <xdr:col>7</xdr:col>
          <xdr:colOff>177800</xdr:colOff>
          <xdr:row>21</xdr:row>
          <xdr:rowOff>546100</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6</xdr:row>
          <xdr:rowOff>254000</xdr:rowOff>
        </xdr:from>
        <xdr:to>
          <xdr:col>6</xdr:col>
          <xdr:colOff>711200</xdr:colOff>
          <xdr:row>6</xdr:row>
          <xdr:rowOff>635000</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7</xdr:row>
          <xdr:rowOff>393700</xdr:rowOff>
        </xdr:from>
        <xdr:to>
          <xdr:col>6</xdr:col>
          <xdr:colOff>787400</xdr:colOff>
          <xdr:row>7</xdr:row>
          <xdr:rowOff>800100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8</xdr:row>
          <xdr:rowOff>266700</xdr:rowOff>
        </xdr:from>
        <xdr:to>
          <xdr:col>7</xdr:col>
          <xdr:colOff>25400</xdr:colOff>
          <xdr:row>8</xdr:row>
          <xdr:rowOff>685800</xdr:rowOff>
        </xdr:to>
        <xdr:sp macro="" textlink="">
          <xdr:nvSpPr>
            <xdr:cNvPr id="2146" name="Option Button 98"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9</xdr:row>
          <xdr:rowOff>139700</xdr:rowOff>
        </xdr:from>
        <xdr:to>
          <xdr:col>7</xdr:col>
          <xdr:colOff>38100</xdr:colOff>
          <xdr:row>9</xdr:row>
          <xdr:rowOff>673100</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11</xdr:row>
          <xdr:rowOff>76200</xdr:rowOff>
        </xdr:from>
        <xdr:to>
          <xdr:col>7</xdr:col>
          <xdr:colOff>76200</xdr:colOff>
          <xdr:row>11</xdr:row>
          <xdr:rowOff>520700</xdr:rowOff>
        </xdr:to>
        <xdr:sp macro="" textlink="">
          <xdr:nvSpPr>
            <xdr:cNvPr id="2149" name="Option Button 101"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10</xdr:row>
          <xdr:rowOff>76200</xdr:rowOff>
        </xdr:from>
        <xdr:to>
          <xdr:col>7</xdr:col>
          <xdr:colOff>25400</xdr:colOff>
          <xdr:row>10</xdr:row>
          <xdr:rowOff>711200</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20</xdr:row>
          <xdr:rowOff>127000</xdr:rowOff>
        </xdr:from>
        <xdr:to>
          <xdr:col>6</xdr:col>
          <xdr:colOff>749300</xdr:colOff>
          <xdr:row>20</xdr:row>
          <xdr:rowOff>495300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22</xdr:row>
          <xdr:rowOff>139700</xdr:rowOff>
        </xdr:from>
        <xdr:to>
          <xdr:col>6</xdr:col>
          <xdr:colOff>889000</xdr:colOff>
          <xdr:row>22</xdr:row>
          <xdr:rowOff>596900</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32</xdr:row>
          <xdr:rowOff>127000</xdr:rowOff>
        </xdr:from>
        <xdr:to>
          <xdr:col>6</xdr:col>
          <xdr:colOff>825500</xdr:colOff>
          <xdr:row>32</xdr:row>
          <xdr:rowOff>342900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200-00006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35</xdr:row>
          <xdr:rowOff>101600</xdr:rowOff>
        </xdr:from>
        <xdr:to>
          <xdr:col>7</xdr:col>
          <xdr:colOff>38100</xdr:colOff>
          <xdr:row>35</xdr:row>
          <xdr:rowOff>469900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200-00007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36</xdr:row>
          <xdr:rowOff>76200</xdr:rowOff>
        </xdr:from>
        <xdr:to>
          <xdr:col>7</xdr:col>
          <xdr:colOff>12700</xdr:colOff>
          <xdr:row>36</xdr:row>
          <xdr:rowOff>368300</xdr:rowOff>
        </xdr:to>
        <xdr:sp macro="" textlink="">
          <xdr:nvSpPr>
            <xdr:cNvPr id="2161" name="Option Button 113" hidden="1">
              <a:extLst>
                <a:ext uri="{63B3BB69-23CF-44E3-9099-C40C66FF867C}">
                  <a14:compatExt spid="_x0000_s2161"/>
                </a:ext>
                <a:ext uri="{FF2B5EF4-FFF2-40B4-BE49-F238E27FC236}">
                  <a16:creationId xmlns:a16="http://schemas.microsoft.com/office/drawing/2014/main" id="{00000000-0008-0000-0200-00007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33</xdr:row>
          <xdr:rowOff>101600</xdr:rowOff>
        </xdr:from>
        <xdr:to>
          <xdr:col>6</xdr:col>
          <xdr:colOff>825500</xdr:colOff>
          <xdr:row>33</xdr:row>
          <xdr:rowOff>419100</xdr:rowOff>
        </xdr:to>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200-00007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34</xdr:row>
          <xdr:rowOff>50800</xdr:rowOff>
        </xdr:from>
        <xdr:to>
          <xdr:col>6</xdr:col>
          <xdr:colOff>838200</xdr:colOff>
          <xdr:row>34</xdr:row>
          <xdr:rowOff>368300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200-00007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21</xdr:row>
          <xdr:rowOff>114300</xdr:rowOff>
        </xdr:from>
        <xdr:to>
          <xdr:col>6</xdr:col>
          <xdr:colOff>914400</xdr:colOff>
          <xdr:row>21</xdr:row>
          <xdr:rowOff>508000</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200-00007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3302000</xdr:colOff>
          <xdr:row>6</xdr:row>
          <xdr:rowOff>63500</xdr:rowOff>
        </xdr:from>
        <xdr:to>
          <xdr:col>7</xdr:col>
          <xdr:colOff>139700</xdr:colOff>
          <xdr:row>6</xdr:row>
          <xdr:rowOff>393700</xdr:rowOff>
        </xdr:to>
        <xdr:sp macro="" textlink="">
          <xdr:nvSpPr>
            <xdr:cNvPr id="9217" name="Group Box 1"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3302000</xdr:colOff>
          <xdr:row>7</xdr:row>
          <xdr:rowOff>50800</xdr:rowOff>
        </xdr:from>
        <xdr:to>
          <xdr:col>7</xdr:col>
          <xdr:colOff>152400</xdr:colOff>
          <xdr:row>7</xdr:row>
          <xdr:rowOff>533400</xdr:rowOff>
        </xdr:to>
        <xdr:sp macro="" textlink="">
          <xdr:nvSpPr>
            <xdr:cNvPr id="9218" name="Group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3314700</xdr:colOff>
          <xdr:row>8</xdr:row>
          <xdr:rowOff>76200</xdr:rowOff>
        </xdr:from>
        <xdr:to>
          <xdr:col>7</xdr:col>
          <xdr:colOff>127000</xdr:colOff>
          <xdr:row>8</xdr:row>
          <xdr:rowOff>381000</xdr:rowOff>
        </xdr:to>
        <xdr:sp macro="" textlink="">
          <xdr:nvSpPr>
            <xdr:cNvPr id="9219" name="Group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3314700</xdr:colOff>
          <xdr:row>9</xdr:row>
          <xdr:rowOff>25400</xdr:rowOff>
        </xdr:from>
        <xdr:to>
          <xdr:col>7</xdr:col>
          <xdr:colOff>114300</xdr:colOff>
          <xdr:row>9</xdr:row>
          <xdr:rowOff>368300</xdr:rowOff>
        </xdr:to>
        <xdr:sp macro="" textlink="">
          <xdr:nvSpPr>
            <xdr:cNvPr id="9220" name="Group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6</xdr:row>
          <xdr:rowOff>101600</xdr:rowOff>
        </xdr:from>
        <xdr:to>
          <xdr:col>2</xdr:col>
          <xdr:colOff>317500</xdr:colOff>
          <xdr:row>6</xdr:row>
          <xdr:rowOff>381000</xdr:rowOff>
        </xdr:to>
        <xdr:sp macro="" textlink="">
          <xdr:nvSpPr>
            <xdr:cNvPr id="9221" name="Option Button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114300</xdr:rowOff>
        </xdr:from>
        <xdr:to>
          <xdr:col>3</xdr:col>
          <xdr:colOff>330200</xdr:colOff>
          <xdr:row>6</xdr:row>
          <xdr:rowOff>368300</xdr:rowOff>
        </xdr:to>
        <xdr:sp macro="" textlink="">
          <xdr:nvSpPr>
            <xdr:cNvPr id="9222" name="Option Button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6</xdr:row>
          <xdr:rowOff>101600</xdr:rowOff>
        </xdr:from>
        <xdr:to>
          <xdr:col>4</xdr:col>
          <xdr:colOff>368300</xdr:colOff>
          <xdr:row>6</xdr:row>
          <xdr:rowOff>381000</xdr:rowOff>
        </xdr:to>
        <xdr:sp macro="" textlink="">
          <xdr:nvSpPr>
            <xdr:cNvPr id="9223" name="Option Button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6</xdr:row>
          <xdr:rowOff>101600</xdr:rowOff>
        </xdr:from>
        <xdr:to>
          <xdr:col>5</xdr:col>
          <xdr:colOff>368300</xdr:colOff>
          <xdr:row>6</xdr:row>
          <xdr:rowOff>381000</xdr:rowOff>
        </xdr:to>
        <xdr:sp macro="" textlink="">
          <xdr:nvSpPr>
            <xdr:cNvPr id="9224" name="Option Button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xdr:row>
          <xdr:rowOff>88900</xdr:rowOff>
        </xdr:from>
        <xdr:to>
          <xdr:col>3</xdr:col>
          <xdr:colOff>0</xdr:colOff>
          <xdr:row>7</xdr:row>
          <xdr:rowOff>508000</xdr:rowOff>
        </xdr:to>
        <xdr:sp macro="" textlink="">
          <xdr:nvSpPr>
            <xdr:cNvPr id="9225" name="Option Button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101600</xdr:rowOff>
        </xdr:from>
        <xdr:to>
          <xdr:col>3</xdr:col>
          <xdr:colOff>342900</xdr:colOff>
          <xdr:row>7</xdr:row>
          <xdr:rowOff>508000</xdr:rowOff>
        </xdr:to>
        <xdr:sp macro="" textlink="">
          <xdr:nvSpPr>
            <xdr:cNvPr id="9226" name="Option Button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7</xdr:row>
          <xdr:rowOff>101600</xdr:rowOff>
        </xdr:from>
        <xdr:to>
          <xdr:col>4</xdr:col>
          <xdr:colOff>368300</xdr:colOff>
          <xdr:row>7</xdr:row>
          <xdr:rowOff>508000</xdr:rowOff>
        </xdr:to>
        <xdr:sp macro="" textlink="">
          <xdr:nvSpPr>
            <xdr:cNvPr id="9227" name="Option Button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7</xdr:row>
          <xdr:rowOff>76200</xdr:rowOff>
        </xdr:from>
        <xdr:to>
          <xdr:col>5</xdr:col>
          <xdr:colOff>368300</xdr:colOff>
          <xdr:row>7</xdr:row>
          <xdr:rowOff>520700</xdr:rowOff>
        </xdr:to>
        <xdr:sp macro="" textlink="">
          <xdr:nvSpPr>
            <xdr:cNvPr id="9228" name="Option Button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xdr:row>
          <xdr:rowOff>88900</xdr:rowOff>
        </xdr:from>
        <xdr:to>
          <xdr:col>3</xdr:col>
          <xdr:colOff>0</xdr:colOff>
          <xdr:row>8</xdr:row>
          <xdr:rowOff>381000</xdr:rowOff>
        </xdr:to>
        <xdr:sp macro="" textlink="">
          <xdr:nvSpPr>
            <xdr:cNvPr id="9229" name="Option Button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114300</xdr:rowOff>
        </xdr:from>
        <xdr:to>
          <xdr:col>3</xdr:col>
          <xdr:colOff>355600</xdr:colOff>
          <xdr:row>8</xdr:row>
          <xdr:rowOff>355600</xdr:rowOff>
        </xdr:to>
        <xdr:sp macro="" textlink="">
          <xdr:nvSpPr>
            <xdr:cNvPr id="9230" name="Option Button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8</xdr:row>
          <xdr:rowOff>114300</xdr:rowOff>
        </xdr:from>
        <xdr:to>
          <xdr:col>4</xdr:col>
          <xdr:colOff>381000</xdr:colOff>
          <xdr:row>8</xdr:row>
          <xdr:rowOff>355600</xdr:rowOff>
        </xdr:to>
        <xdr:sp macro="" textlink="">
          <xdr:nvSpPr>
            <xdr:cNvPr id="9231" name="Option Button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8</xdr:row>
          <xdr:rowOff>114300</xdr:rowOff>
        </xdr:from>
        <xdr:to>
          <xdr:col>5</xdr:col>
          <xdr:colOff>368300</xdr:colOff>
          <xdr:row>8</xdr:row>
          <xdr:rowOff>355600</xdr:rowOff>
        </xdr:to>
        <xdr:sp macro="" textlink="">
          <xdr:nvSpPr>
            <xdr:cNvPr id="9232" name="Option Button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9</xdr:row>
          <xdr:rowOff>76200</xdr:rowOff>
        </xdr:from>
        <xdr:to>
          <xdr:col>3</xdr:col>
          <xdr:colOff>0</xdr:colOff>
          <xdr:row>9</xdr:row>
          <xdr:rowOff>368300</xdr:rowOff>
        </xdr:to>
        <xdr:sp macro="" textlink="">
          <xdr:nvSpPr>
            <xdr:cNvPr id="9233" name="Option Button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76200</xdr:rowOff>
        </xdr:from>
        <xdr:to>
          <xdr:col>3</xdr:col>
          <xdr:colOff>368300</xdr:colOff>
          <xdr:row>9</xdr:row>
          <xdr:rowOff>368300</xdr:rowOff>
        </xdr:to>
        <xdr:sp macro="" textlink="">
          <xdr:nvSpPr>
            <xdr:cNvPr id="9234" name="Option Button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9</xdr:row>
          <xdr:rowOff>88900</xdr:rowOff>
        </xdr:from>
        <xdr:to>
          <xdr:col>4</xdr:col>
          <xdr:colOff>381000</xdr:colOff>
          <xdr:row>9</xdr:row>
          <xdr:rowOff>342900</xdr:rowOff>
        </xdr:to>
        <xdr:sp macro="" textlink="">
          <xdr:nvSpPr>
            <xdr:cNvPr id="9235" name="Option Button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9</xdr:row>
          <xdr:rowOff>63500</xdr:rowOff>
        </xdr:from>
        <xdr:to>
          <xdr:col>5</xdr:col>
          <xdr:colOff>368300</xdr:colOff>
          <xdr:row>9</xdr:row>
          <xdr:rowOff>368300</xdr:rowOff>
        </xdr:to>
        <xdr:sp macro="" textlink="">
          <xdr:nvSpPr>
            <xdr:cNvPr id="9236" name="Option Button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5461000</xdr:colOff>
          <xdr:row>18</xdr:row>
          <xdr:rowOff>38100</xdr:rowOff>
        </xdr:from>
        <xdr:to>
          <xdr:col>7</xdr:col>
          <xdr:colOff>203200</xdr:colOff>
          <xdr:row>18</xdr:row>
          <xdr:rowOff>546100</xdr:rowOff>
        </xdr:to>
        <xdr:sp macro="" textlink="">
          <xdr:nvSpPr>
            <xdr:cNvPr id="9237" name="Group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203200</xdr:rowOff>
        </xdr:from>
        <xdr:to>
          <xdr:col>7</xdr:col>
          <xdr:colOff>266700</xdr:colOff>
          <xdr:row>21</xdr:row>
          <xdr:rowOff>584200</xdr:rowOff>
        </xdr:to>
        <xdr:sp macro="" textlink="">
          <xdr:nvSpPr>
            <xdr:cNvPr id="9240" name="Group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508000</xdr:rowOff>
        </xdr:from>
        <xdr:to>
          <xdr:col>7</xdr:col>
          <xdr:colOff>241300</xdr:colOff>
          <xdr:row>22</xdr:row>
          <xdr:rowOff>1003300</xdr:rowOff>
        </xdr:to>
        <xdr:sp macro="" textlink="">
          <xdr:nvSpPr>
            <xdr:cNvPr id="9241" name="Group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3352800</xdr:colOff>
          <xdr:row>23</xdr:row>
          <xdr:rowOff>215900</xdr:rowOff>
        </xdr:from>
        <xdr:to>
          <xdr:col>7</xdr:col>
          <xdr:colOff>215900</xdr:colOff>
          <xdr:row>23</xdr:row>
          <xdr:rowOff>533400</xdr:rowOff>
        </xdr:to>
        <xdr:sp macro="" textlink="">
          <xdr:nvSpPr>
            <xdr:cNvPr id="9242" name="Group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5461000</xdr:colOff>
          <xdr:row>24</xdr:row>
          <xdr:rowOff>76200</xdr:rowOff>
        </xdr:from>
        <xdr:to>
          <xdr:col>7</xdr:col>
          <xdr:colOff>228600</xdr:colOff>
          <xdr:row>24</xdr:row>
          <xdr:rowOff>546100</xdr:rowOff>
        </xdr:to>
        <xdr:sp macro="" textlink="">
          <xdr:nvSpPr>
            <xdr:cNvPr id="9243" name="Group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5461000</xdr:colOff>
          <xdr:row>25</xdr:row>
          <xdr:rowOff>63500</xdr:rowOff>
        </xdr:from>
        <xdr:to>
          <xdr:col>7</xdr:col>
          <xdr:colOff>203200</xdr:colOff>
          <xdr:row>25</xdr:row>
          <xdr:rowOff>546100</xdr:rowOff>
        </xdr:to>
        <xdr:sp macro="" textlink="">
          <xdr:nvSpPr>
            <xdr:cNvPr id="9244" name="Group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101600</xdr:rowOff>
        </xdr:from>
        <xdr:to>
          <xdr:col>3</xdr:col>
          <xdr:colOff>25400</xdr:colOff>
          <xdr:row>18</xdr:row>
          <xdr:rowOff>546100</xdr:rowOff>
        </xdr:to>
        <xdr:sp macro="" textlink="">
          <xdr:nvSpPr>
            <xdr:cNvPr id="9246" name="Option Button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18</xdr:row>
          <xdr:rowOff>101600</xdr:rowOff>
        </xdr:from>
        <xdr:to>
          <xdr:col>3</xdr:col>
          <xdr:colOff>368300</xdr:colOff>
          <xdr:row>18</xdr:row>
          <xdr:rowOff>546100</xdr:rowOff>
        </xdr:to>
        <xdr:sp macro="" textlink="">
          <xdr:nvSpPr>
            <xdr:cNvPr id="9247" name="Option Button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18</xdr:row>
          <xdr:rowOff>101600</xdr:rowOff>
        </xdr:from>
        <xdr:to>
          <xdr:col>4</xdr:col>
          <xdr:colOff>368300</xdr:colOff>
          <xdr:row>18</xdr:row>
          <xdr:rowOff>546100</xdr:rowOff>
        </xdr:to>
        <xdr:sp macro="" textlink="">
          <xdr:nvSpPr>
            <xdr:cNvPr id="9248" name="Option Button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330200</xdr:rowOff>
        </xdr:from>
        <xdr:to>
          <xdr:col>3</xdr:col>
          <xdr:colOff>25400</xdr:colOff>
          <xdr:row>21</xdr:row>
          <xdr:rowOff>482600</xdr:rowOff>
        </xdr:to>
        <xdr:sp macro="" textlink="">
          <xdr:nvSpPr>
            <xdr:cNvPr id="9258" name="Option Button 42" hidden="1">
              <a:extLst>
                <a:ext uri="{63B3BB69-23CF-44E3-9099-C40C66FF867C}">
                  <a14:compatExt spid="_x0000_s9258"/>
                </a:ext>
                <a:ext uri="{FF2B5EF4-FFF2-40B4-BE49-F238E27FC236}">
                  <a16:creationId xmlns:a16="http://schemas.microsoft.com/office/drawing/2014/main" id="{00000000-0008-0000-0300-00002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21</xdr:row>
          <xdr:rowOff>330200</xdr:rowOff>
        </xdr:from>
        <xdr:to>
          <xdr:col>3</xdr:col>
          <xdr:colOff>330200</xdr:colOff>
          <xdr:row>21</xdr:row>
          <xdr:rowOff>482600</xdr:rowOff>
        </xdr:to>
        <xdr:sp macro="" textlink="">
          <xdr:nvSpPr>
            <xdr:cNvPr id="9259" name="Option Button 43" hidden="1">
              <a:extLst>
                <a:ext uri="{63B3BB69-23CF-44E3-9099-C40C66FF867C}">
                  <a14:compatExt spid="_x0000_s9259"/>
                </a:ext>
                <a:ext uri="{FF2B5EF4-FFF2-40B4-BE49-F238E27FC236}">
                  <a16:creationId xmlns:a16="http://schemas.microsoft.com/office/drawing/2014/main" id="{00000000-0008-0000-0300-00002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546100</xdr:rowOff>
        </xdr:from>
        <xdr:to>
          <xdr:col>3</xdr:col>
          <xdr:colOff>0</xdr:colOff>
          <xdr:row>22</xdr:row>
          <xdr:rowOff>1003300</xdr:rowOff>
        </xdr:to>
        <xdr:sp macro="" textlink="">
          <xdr:nvSpPr>
            <xdr:cNvPr id="9262" name="Option Button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22</xdr:row>
          <xdr:rowOff>546100</xdr:rowOff>
        </xdr:from>
        <xdr:to>
          <xdr:col>3</xdr:col>
          <xdr:colOff>431800</xdr:colOff>
          <xdr:row>22</xdr:row>
          <xdr:rowOff>1003300</xdr:rowOff>
        </xdr:to>
        <xdr:sp macro="" textlink="">
          <xdr:nvSpPr>
            <xdr:cNvPr id="9263" name="Option Button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22</xdr:row>
          <xdr:rowOff>546100</xdr:rowOff>
        </xdr:from>
        <xdr:to>
          <xdr:col>4</xdr:col>
          <xdr:colOff>368300</xdr:colOff>
          <xdr:row>22</xdr:row>
          <xdr:rowOff>1003300</xdr:rowOff>
        </xdr:to>
        <xdr:sp macro="" textlink="">
          <xdr:nvSpPr>
            <xdr:cNvPr id="9264" name="Option Button 48" hidden="1">
              <a:extLst>
                <a:ext uri="{63B3BB69-23CF-44E3-9099-C40C66FF867C}">
                  <a14:compatExt spid="_x0000_s9264"/>
                </a:ext>
                <a:ext uri="{FF2B5EF4-FFF2-40B4-BE49-F238E27FC236}">
                  <a16:creationId xmlns:a16="http://schemas.microsoft.com/office/drawing/2014/main" id="{00000000-0008-0000-0300-00003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22</xdr:row>
          <xdr:rowOff>546100</xdr:rowOff>
        </xdr:from>
        <xdr:to>
          <xdr:col>5</xdr:col>
          <xdr:colOff>381000</xdr:colOff>
          <xdr:row>22</xdr:row>
          <xdr:rowOff>1003300</xdr:rowOff>
        </xdr:to>
        <xdr:sp macro="" textlink="">
          <xdr:nvSpPr>
            <xdr:cNvPr id="9265" name="Option Button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23</xdr:row>
          <xdr:rowOff>254000</xdr:rowOff>
        </xdr:from>
        <xdr:to>
          <xdr:col>2</xdr:col>
          <xdr:colOff>330200</xdr:colOff>
          <xdr:row>23</xdr:row>
          <xdr:rowOff>520700</xdr:rowOff>
        </xdr:to>
        <xdr:sp macro="" textlink="">
          <xdr:nvSpPr>
            <xdr:cNvPr id="9266" name="Option Button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23</xdr:row>
          <xdr:rowOff>266700</xdr:rowOff>
        </xdr:from>
        <xdr:to>
          <xdr:col>3</xdr:col>
          <xdr:colOff>368300</xdr:colOff>
          <xdr:row>23</xdr:row>
          <xdr:rowOff>508000</xdr:rowOff>
        </xdr:to>
        <xdr:sp macro="" textlink="">
          <xdr:nvSpPr>
            <xdr:cNvPr id="9267" name="Option Button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23</xdr:row>
          <xdr:rowOff>254000</xdr:rowOff>
        </xdr:from>
        <xdr:to>
          <xdr:col>4</xdr:col>
          <xdr:colOff>381000</xdr:colOff>
          <xdr:row>23</xdr:row>
          <xdr:rowOff>520700</xdr:rowOff>
        </xdr:to>
        <xdr:sp macro="" textlink="">
          <xdr:nvSpPr>
            <xdr:cNvPr id="9268" name="Option Button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23</xdr:row>
          <xdr:rowOff>254000</xdr:rowOff>
        </xdr:from>
        <xdr:to>
          <xdr:col>5</xdr:col>
          <xdr:colOff>381000</xdr:colOff>
          <xdr:row>23</xdr:row>
          <xdr:rowOff>520700</xdr:rowOff>
        </xdr:to>
        <xdr:sp macro="" textlink="">
          <xdr:nvSpPr>
            <xdr:cNvPr id="9269" name="Option Button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114300</xdr:rowOff>
        </xdr:from>
        <xdr:to>
          <xdr:col>2</xdr:col>
          <xdr:colOff>355600</xdr:colOff>
          <xdr:row>24</xdr:row>
          <xdr:rowOff>546100</xdr:rowOff>
        </xdr:to>
        <xdr:sp macro="" textlink="">
          <xdr:nvSpPr>
            <xdr:cNvPr id="9270" name="Option Button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24</xdr:row>
          <xdr:rowOff>127000</xdr:rowOff>
        </xdr:from>
        <xdr:to>
          <xdr:col>3</xdr:col>
          <xdr:colOff>342900</xdr:colOff>
          <xdr:row>24</xdr:row>
          <xdr:rowOff>546100</xdr:rowOff>
        </xdr:to>
        <xdr:sp macro="" textlink="">
          <xdr:nvSpPr>
            <xdr:cNvPr id="9271" name="Option Button 55" hidden="1">
              <a:extLst>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24</xdr:row>
          <xdr:rowOff>114300</xdr:rowOff>
        </xdr:from>
        <xdr:to>
          <xdr:col>4</xdr:col>
          <xdr:colOff>368300</xdr:colOff>
          <xdr:row>24</xdr:row>
          <xdr:rowOff>546100</xdr:rowOff>
        </xdr:to>
        <xdr:sp macro="" textlink="">
          <xdr:nvSpPr>
            <xdr:cNvPr id="9272" name="Option Button 56" hidden="1">
              <a:extLst>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24</xdr:row>
          <xdr:rowOff>114300</xdr:rowOff>
        </xdr:from>
        <xdr:to>
          <xdr:col>5</xdr:col>
          <xdr:colOff>381000</xdr:colOff>
          <xdr:row>24</xdr:row>
          <xdr:rowOff>546100</xdr:rowOff>
        </xdr:to>
        <xdr:sp macro="" textlink="">
          <xdr:nvSpPr>
            <xdr:cNvPr id="9273" name="Option Button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101600</xdr:rowOff>
        </xdr:from>
        <xdr:to>
          <xdr:col>3</xdr:col>
          <xdr:colOff>0</xdr:colOff>
          <xdr:row>25</xdr:row>
          <xdr:rowOff>546100</xdr:rowOff>
        </xdr:to>
        <xdr:sp macro="" textlink="">
          <xdr:nvSpPr>
            <xdr:cNvPr id="9274" name="Option Button 58" hidden="1">
              <a:extLst>
                <a:ext uri="{63B3BB69-23CF-44E3-9099-C40C66FF867C}">
                  <a14:compatExt spid="_x0000_s9274"/>
                </a:ext>
                <a:ext uri="{FF2B5EF4-FFF2-40B4-BE49-F238E27FC236}">
                  <a16:creationId xmlns:a16="http://schemas.microsoft.com/office/drawing/2014/main" id="{00000000-0008-0000-0300-00003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25</xdr:row>
          <xdr:rowOff>101600</xdr:rowOff>
        </xdr:from>
        <xdr:to>
          <xdr:col>3</xdr:col>
          <xdr:colOff>355600</xdr:colOff>
          <xdr:row>25</xdr:row>
          <xdr:rowOff>546100</xdr:rowOff>
        </xdr:to>
        <xdr:sp macro="" textlink="">
          <xdr:nvSpPr>
            <xdr:cNvPr id="9275" name="Option Button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25</xdr:row>
          <xdr:rowOff>101600</xdr:rowOff>
        </xdr:from>
        <xdr:to>
          <xdr:col>4</xdr:col>
          <xdr:colOff>368300</xdr:colOff>
          <xdr:row>25</xdr:row>
          <xdr:rowOff>546100</xdr:rowOff>
        </xdr:to>
        <xdr:sp macro="" textlink="">
          <xdr:nvSpPr>
            <xdr:cNvPr id="9276" name="Option Button 60" hidden="1">
              <a:extLst>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25</xdr:row>
          <xdr:rowOff>101600</xdr:rowOff>
        </xdr:from>
        <xdr:to>
          <xdr:col>5</xdr:col>
          <xdr:colOff>368300</xdr:colOff>
          <xdr:row>25</xdr:row>
          <xdr:rowOff>546100</xdr:rowOff>
        </xdr:to>
        <xdr:sp macro="" textlink="">
          <xdr:nvSpPr>
            <xdr:cNvPr id="9277" name="Option Button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5461000</xdr:colOff>
          <xdr:row>33</xdr:row>
          <xdr:rowOff>63500</xdr:rowOff>
        </xdr:from>
        <xdr:to>
          <xdr:col>7</xdr:col>
          <xdr:colOff>127000</xdr:colOff>
          <xdr:row>33</xdr:row>
          <xdr:rowOff>647700</xdr:rowOff>
        </xdr:to>
        <xdr:sp macro="" textlink="">
          <xdr:nvSpPr>
            <xdr:cNvPr id="9282" name="Group Box 66" hidden="1">
              <a:extLst>
                <a:ext uri="{63B3BB69-23CF-44E3-9099-C40C66FF867C}">
                  <a14:compatExt spid="_x0000_s9282"/>
                </a:ext>
                <a:ext uri="{FF2B5EF4-FFF2-40B4-BE49-F238E27FC236}">
                  <a16:creationId xmlns:a16="http://schemas.microsoft.com/office/drawing/2014/main" id="{00000000-0008-0000-0300-000042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3289300</xdr:colOff>
          <xdr:row>34</xdr:row>
          <xdr:rowOff>0</xdr:rowOff>
        </xdr:from>
        <xdr:to>
          <xdr:col>7</xdr:col>
          <xdr:colOff>101600</xdr:colOff>
          <xdr:row>35</xdr:row>
          <xdr:rowOff>0</xdr:rowOff>
        </xdr:to>
        <xdr:sp macro="" textlink="">
          <xdr:nvSpPr>
            <xdr:cNvPr id="9283" name="Group Box 67" hidden="1">
              <a:extLst>
                <a:ext uri="{63B3BB69-23CF-44E3-9099-C40C66FF867C}">
                  <a14:compatExt spid="_x0000_s9283"/>
                </a:ext>
                <a:ext uri="{FF2B5EF4-FFF2-40B4-BE49-F238E27FC236}">
                  <a16:creationId xmlns:a16="http://schemas.microsoft.com/office/drawing/2014/main" id="{00000000-0008-0000-0300-000043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3314700</xdr:colOff>
          <xdr:row>35</xdr:row>
          <xdr:rowOff>25400</xdr:rowOff>
        </xdr:from>
        <xdr:to>
          <xdr:col>7</xdr:col>
          <xdr:colOff>88900</xdr:colOff>
          <xdr:row>35</xdr:row>
          <xdr:rowOff>571500</xdr:rowOff>
        </xdr:to>
        <xdr:sp macro="" textlink="">
          <xdr:nvSpPr>
            <xdr:cNvPr id="9284" name="Group Box 68" hidden="1">
              <a:extLst>
                <a:ext uri="{63B3BB69-23CF-44E3-9099-C40C66FF867C}">
                  <a14:compatExt spid="_x0000_s9284"/>
                </a:ext>
                <a:ext uri="{FF2B5EF4-FFF2-40B4-BE49-F238E27FC236}">
                  <a16:creationId xmlns:a16="http://schemas.microsoft.com/office/drawing/2014/main" id="{00000000-0008-0000-0300-000044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3314700</xdr:colOff>
          <xdr:row>36</xdr:row>
          <xdr:rowOff>63500</xdr:rowOff>
        </xdr:from>
        <xdr:to>
          <xdr:col>7</xdr:col>
          <xdr:colOff>139700</xdr:colOff>
          <xdr:row>37</xdr:row>
          <xdr:rowOff>25400</xdr:rowOff>
        </xdr:to>
        <xdr:sp macro="" textlink="">
          <xdr:nvSpPr>
            <xdr:cNvPr id="9285" name="Group Box 69" hidden="1">
              <a:extLst>
                <a:ext uri="{63B3BB69-23CF-44E3-9099-C40C66FF867C}">
                  <a14:compatExt spid="_x0000_s9285"/>
                </a:ext>
                <a:ext uri="{FF2B5EF4-FFF2-40B4-BE49-F238E27FC236}">
                  <a16:creationId xmlns:a16="http://schemas.microsoft.com/office/drawing/2014/main" id="{00000000-0008-0000-0300-000045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5461000</xdr:colOff>
          <xdr:row>37</xdr:row>
          <xdr:rowOff>63500</xdr:rowOff>
        </xdr:from>
        <xdr:to>
          <xdr:col>7</xdr:col>
          <xdr:colOff>152400</xdr:colOff>
          <xdr:row>38</xdr:row>
          <xdr:rowOff>114300</xdr:rowOff>
        </xdr:to>
        <xdr:sp macro="" textlink="">
          <xdr:nvSpPr>
            <xdr:cNvPr id="9286" name="Group Box 70" hidden="1">
              <a:extLst>
                <a:ext uri="{63B3BB69-23CF-44E3-9099-C40C66FF867C}">
                  <a14:compatExt spid="_x0000_s9286"/>
                </a:ext>
                <a:ext uri="{FF2B5EF4-FFF2-40B4-BE49-F238E27FC236}">
                  <a16:creationId xmlns:a16="http://schemas.microsoft.com/office/drawing/2014/main" id="{00000000-0008-0000-0300-000046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165100</xdr:rowOff>
        </xdr:from>
        <xdr:to>
          <xdr:col>7</xdr:col>
          <xdr:colOff>165100</xdr:colOff>
          <xdr:row>38</xdr:row>
          <xdr:rowOff>901700</xdr:rowOff>
        </xdr:to>
        <xdr:sp macro="" textlink="">
          <xdr:nvSpPr>
            <xdr:cNvPr id="9287" name="Group Box 71" hidden="1">
              <a:extLst>
                <a:ext uri="{63B3BB69-23CF-44E3-9099-C40C66FF867C}">
                  <a14:compatExt spid="_x0000_s9287"/>
                </a:ext>
                <a:ext uri="{FF2B5EF4-FFF2-40B4-BE49-F238E27FC236}">
                  <a16:creationId xmlns:a16="http://schemas.microsoft.com/office/drawing/2014/main" id="{00000000-0008-0000-0300-000047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3340100</xdr:colOff>
          <xdr:row>39</xdr:row>
          <xdr:rowOff>25400</xdr:rowOff>
        </xdr:from>
        <xdr:to>
          <xdr:col>7</xdr:col>
          <xdr:colOff>215900</xdr:colOff>
          <xdr:row>40</xdr:row>
          <xdr:rowOff>0</xdr:rowOff>
        </xdr:to>
        <xdr:sp macro="" textlink="">
          <xdr:nvSpPr>
            <xdr:cNvPr id="9288" name="Group Box 72" hidden="1">
              <a:extLst>
                <a:ext uri="{63B3BB69-23CF-44E3-9099-C40C66FF867C}">
                  <a14:compatExt spid="_x0000_s9288"/>
                </a:ext>
                <a:ext uri="{FF2B5EF4-FFF2-40B4-BE49-F238E27FC236}">
                  <a16:creationId xmlns:a16="http://schemas.microsoft.com/office/drawing/2014/main" id="{00000000-0008-0000-0300-000048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34</xdr:row>
          <xdr:rowOff>63500</xdr:rowOff>
        </xdr:from>
        <xdr:to>
          <xdr:col>3</xdr:col>
          <xdr:colOff>25400</xdr:colOff>
          <xdr:row>34</xdr:row>
          <xdr:rowOff>444500</xdr:rowOff>
        </xdr:to>
        <xdr:sp macro="" textlink="">
          <xdr:nvSpPr>
            <xdr:cNvPr id="9293" name="Option Button 77" hidden="1">
              <a:extLst>
                <a:ext uri="{63B3BB69-23CF-44E3-9099-C40C66FF867C}">
                  <a14:compatExt spid="_x0000_s9293"/>
                </a:ext>
                <a:ext uri="{FF2B5EF4-FFF2-40B4-BE49-F238E27FC236}">
                  <a16:creationId xmlns:a16="http://schemas.microsoft.com/office/drawing/2014/main" id="{00000000-0008-0000-0300-00004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34</xdr:row>
          <xdr:rowOff>63500</xdr:rowOff>
        </xdr:from>
        <xdr:to>
          <xdr:col>3</xdr:col>
          <xdr:colOff>330200</xdr:colOff>
          <xdr:row>34</xdr:row>
          <xdr:rowOff>444500</xdr:rowOff>
        </xdr:to>
        <xdr:sp macro="" textlink="">
          <xdr:nvSpPr>
            <xdr:cNvPr id="9294" name="Option Button 78" hidden="1">
              <a:extLst>
                <a:ext uri="{63B3BB69-23CF-44E3-9099-C40C66FF867C}">
                  <a14:compatExt spid="_x0000_s9294"/>
                </a:ext>
                <a:ext uri="{FF2B5EF4-FFF2-40B4-BE49-F238E27FC236}">
                  <a16:creationId xmlns:a16="http://schemas.microsoft.com/office/drawing/2014/main" id="{00000000-0008-0000-0300-00004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34</xdr:row>
          <xdr:rowOff>63500</xdr:rowOff>
        </xdr:from>
        <xdr:to>
          <xdr:col>4</xdr:col>
          <xdr:colOff>368300</xdr:colOff>
          <xdr:row>34</xdr:row>
          <xdr:rowOff>444500</xdr:rowOff>
        </xdr:to>
        <xdr:sp macro="" textlink="">
          <xdr:nvSpPr>
            <xdr:cNvPr id="9295" name="Option Button 79" hidden="1">
              <a:extLst>
                <a:ext uri="{63B3BB69-23CF-44E3-9099-C40C66FF867C}">
                  <a14:compatExt spid="_x0000_s9295"/>
                </a:ext>
                <a:ext uri="{FF2B5EF4-FFF2-40B4-BE49-F238E27FC236}">
                  <a16:creationId xmlns:a16="http://schemas.microsoft.com/office/drawing/2014/main" id="{00000000-0008-0000-0300-00004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34</xdr:row>
          <xdr:rowOff>63500</xdr:rowOff>
        </xdr:from>
        <xdr:to>
          <xdr:col>5</xdr:col>
          <xdr:colOff>368300</xdr:colOff>
          <xdr:row>34</xdr:row>
          <xdr:rowOff>444500</xdr:rowOff>
        </xdr:to>
        <xdr:sp macro="" textlink="">
          <xdr:nvSpPr>
            <xdr:cNvPr id="9296" name="Option Button 80" hidden="1">
              <a:extLst>
                <a:ext uri="{63B3BB69-23CF-44E3-9099-C40C66FF867C}">
                  <a14:compatExt spid="_x0000_s9296"/>
                </a:ext>
                <a:ext uri="{FF2B5EF4-FFF2-40B4-BE49-F238E27FC236}">
                  <a16:creationId xmlns:a16="http://schemas.microsoft.com/office/drawing/2014/main" id="{00000000-0008-0000-0300-00005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35</xdr:row>
          <xdr:rowOff>50800</xdr:rowOff>
        </xdr:from>
        <xdr:to>
          <xdr:col>3</xdr:col>
          <xdr:colOff>0</xdr:colOff>
          <xdr:row>35</xdr:row>
          <xdr:rowOff>571500</xdr:rowOff>
        </xdr:to>
        <xdr:sp macro="" textlink="">
          <xdr:nvSpPr>
            <xdr:cNvPr id="9297" name="Option Button 81" hidden="1">
              <a:extLst>
                <a:ext uri="{63B3BB69-23CF-44E3-9099-C40C66FF867C}">
                  <a14:compatExt spid="_x0000_s9297"/>
                </a:ext>
                <a:ext uri="{FF2B5EF4-FFF2-40B4-BE49-F238E27FC236}">
                  <a16:creationId xmlns:a16="http://schemas.microsoft.com/office/drawing/2014/main" id="{00000000-0008-0000-0300-00005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35</xdr:row>
          <xdr:rowOff>50800</xdr:rowOff>
        </xdr:from>
        <xdr:to>
          <xdr:col>3</xdr:col>
          <xdr:colOff>381000</xdr:colOff>
          <xdr:row>35</xdr:row>
          <xdr:rowOff>571500</xdr:rowOff>
        </xdr:to>
        <xdr:sp macro="" textlink="">
          <xdr:nvSpPr>
            <xdr:cNvPr id="9298" name="Option Button 82" hidden="1">
              <a:extLst>
                <a:ext uri="{63B3BB69-23CF-44E3-9099-C40C66FF867C}">
                  <a14:compatExt spid="_x0000_s9298"/>
                </a:ext>
                <a:ext uri="{FF2B5EF4-FFF2-40B4-BE49-F238E27FC236}">
                  <a16:creationId xmlns:a16="http://schemas.microsoft.com/office/drawing/2014/main" id="{00000000-0008-0000-0300-00005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35</xdr:row>
          <xdr:rowOff>50800</xdr:rowOff>
        </xdr:from>
        <xdr:to>
          <xdr:col>4</xdr:col>
          <xdr:colOff>368300</xdr:colOff>
          <xdr:row>35</xdr:row>
          <xdr:rowOff>571500</xdr:rowOff>
        </xdr:to>
        <xdr:sp macro="" textlink="">
          <xdr:nvSpPr>
            <xdr:cNvPr id="9299" name="Option Button 83" hidden="1">
              <a:extLst>
                <a:ext uri="{63B3BB69-23CF-44E3-9099-C40C66FF867C}">
                  <a14:compatExt spid="_x0000_s9299"/>
                </a:ext>
                <a:ext uri="{FF2B5EF4-FFF2-40B4-BE49-F238E27FC236}">
                  <a16:creationId xmlns:a16="http://schemas.microsoft.com/office/drawing/2014/main" id="{00000000-0008-0000-0300-00005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35</xdr:row>
          <xdr:rowOff>50800</xdr:rowOff>
        </xdr:from>
        <xdr:to>
          <xdr:col>5</xdr:col>
          <xdr:colOff>368300</xdr:colOff>
          <xdr:row>35</xdr:row>
          <xdr:rowOff>571500</xdr:rowOff>
        </xdr:to>
        <xdr:sp macro="" textlink="">
          <xdr:nvSpPr>
            <xdr:cNvPr id="9300" name="Option Button 84" hidden="1">
              <a:extLst>
                <a:ext uri="{63B3BB69-23CF-44E3-9099-C40C66FF867C}">
                  <a14:compatExt spid="_x0000_s9300"/>
                </a:ext>
                <a:ext uri="{FF2B5EF4-FFF2-40B4-BE49-F238E27FC236}">
                  <a16:creationId xmlns:a16="http://schemas.microsoft.com/office/drawing/2014/main" id="{00000000-0008-0000-0300-00005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37</xdr:row>
          <xdr:rowOff>114300</xdr:rowOff>
        </xdr:from>
        <xdr:to>
          <xdr:col>3</xdr:col>
          <xdr:colOff>0</xdr:colOff>
          <xdr:row>38</xdr:row>
          <xdr:rowOff>101600</xdr:rowOff>
        </xdr:to>
        <xdr:sp macro="" textlink="">
          <xdr:nvSpPr>
            <xdr:cNvPr id="9305" name="Option Button 89" hidden="1">
              <a:extLst>
                <a:ext uri="{63B3BB69-23CF-44E3-9099-C40C66FF867C}">
                  <a14:compatExt spid="_x0000_s9305"/>
                </a:ext>
                <a:ext uri="{FF2B5EF4-FFF2-40B4-BE49-F238E27FC236}">
                  <a16:creationId xmlns:a16="http://schemas.microsoft.com/office/drawing/2014/main" id="{00000000-0008-0000-0300-00005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37</xdr:row>
          <xdr:rowOff>114300</xdr:rowOff>
        </xdr:from>
        <xdr:to>
          <xdr:col>3</xdr:col>
          <xdr:colOff>368300</xdr:colOff>
          <xdr:row>38</xdr:row>
          <xdr:rowOff>101600</xdr:rowOff>
        </xdr:to>
        <xdr:sp macro="" textlink="">
          <xdr:nvSpPr>
            <xdr:cNvPr id="9306" name="Option Button 90" hidden="1">
              <a:extLst>
                <a:ext uri="{63B3BB69-23CF-44E3-9099-C40C66FF867C}">
                  <a14:compatExt spid="_x0000_s9306"/>
                </a:ext>
                <a:ext uri="{FF2B5EF4-FFF2-40B4-BE49-F238E27FC236}">
                  <a16:creationId xmlns:a16="http://schemas.microsoft.com/office/drawing/2014/main" id="{00000000-0008-0000-0300-00005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37</xdr:row>
          <xdr:rowOff>114300</xdr:rowOff>
        </xdr:from>
        <xdr:to>
          <xdr:col>4</xdr:col>
          <xdr:colOff>342900</xdr:colOff>
          <xdr:row>38</xdr:row>
          <xdr:rowOff>101600</xdr:rowOff>
        </xdr:to>
        <xdr:sp macro="" textlink="">
          <xdr:nvSpPr>
            <xdr:cNvPr id="9307" name="Option Button 91" hidden="1">
              <a:extLst>
                <a:ext uri="{63B3BB69-23CF-44E3-9099-C40C66FF867C}">
                  <a14:compatExt spid="_x0000_s9307"/>
                </a:ext>
                <a:ext uri="{FF2B5EF4-FFF2-40B4-BE49-F238E27FC236}">
                  <a16:creationId xmlns:a16="http://schemas.microsoft.com/office/drawing/2014/main" id="{00000000-0008-0000-0300-00005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37</xdr:row>
          <xdr:rowOff>190500</xdr:rowOff>
        </xdr:from>
        <xdr:to>
          <xdr:col>5</xdr:col>
          <xdr:colOff>342900</xdr:colOff>
          <xdr:row>38</xdr:row>
          <xdr:rowOff>25400</xdr:rowOff>
        </xdr:to>
        <xdr:sp macro="" textlink="">
          <xdr:nvSpPr>
            <xdr:cNvPr id="9308" name="Option Button 92" hidden="1">
              <a:extLst>
                <a:ext uri="{63B3BB69-23CF-44E3-9099-C40C66FF867C}">
                  <a14:compatExt spid="_x0000_s9308"/>
                </a:ext>
                <a:ext uri="{FF2B5EF4-FFF2-40B4-BE49-F238E27FC236}">
                  <a16:creationId xmlns:a16="http://schemas.microsoft.com/office/drawing/2014/main" id="{00000000-0008-0000-0300-00005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38</xdr:row>
          <xdr:rowOff>342900</xdr:rowOff>
        </xdr:from>
        <xdr:to>
          <xdr:col>3</xdr:col>
          <xdr:colOff>0</xdr:colOff>
          <xdr:row>38</xdr:row>
          <xdr:rowOff>762000</xdr:rowOff>
        </xdr:to>
        <xdr:sp macro="" textlink="">
          <xdr:nvSpPr>
            <xdr:cNvPr id="9309" name="Option Button 93" hidden="1">
              <a:extLst>
                <a:ext uri="{63B3BB69-23CF-44E3-9099-C40C66FF867C}">
                  <a14:compatExt spid="_x0000_s9309"/>
                </a:ext>
                <a:ext uri="{FF2B5EF4-FFF2-40B4-BE49-F238E27FC236}">
                  <a16:creationId xmlns:a16="http://schemas.microsoft.com/office/drawing/2014/main" id="{00000000-0008-0000-0300-00005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38</xdr:row>
          <xdr:rowOff>342900</xdr:rowOff>
        </xdr:from>
        <xdr:to>
          <xdr:col>3</xdr:col>
          <xdr:colOff>381000</xdr:colOff>
          <xdr:row>38</xdr:row>
          <xdr:rowOff>762000</xdr:rowOff>
        </xdr:to>
        <xdr:sp macro="" textlink="">
          <xdr:nvSpPr>
            <xdr:cNvPr id="9310" name="Option Button 94" hidden="1">
              <a:extLst>
                <a:ext uri="{63B3BB69-23CF-44E3-9099-C40C66FF867C}">
                  <a14:compatExt spid="_x0000_s9310"/>
                </a:ext>
                <a:ext uri="{FF2B5EF4-FFF2-40B4-BE49-F238E27FC236}">
                  <a16:creationId xmlns:a16="http://schemas.microsoft.com/office/drawing/2014/main" id="{00000000-0008-0000-0300-00005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38</xdr:row>
          <xdr:rowOff>342900</xdr:rowOff>
        </xdr:from>
        <xdr:to>
          <xdr:col>4</xdr:col>
          <xdr:colOff>342900</xdr:colOff>
          <xdr:row>38</xdr:row>
          <xdr:rowOff>762000</xdr:rowOff>
        </xdr:to>
        <xdr:sp macro="" textlink="">
          <xdr:nvSpPr>
            <xdr:cNvPr id="9311" name="Option Button 95" hidden="1">
              <a:extLst>
                <a:ext uri="{63B3BB69-23CF-44E3-9099-C40C66FF867C}">
                  <a14:compatExt spid="_x0000_s9311"/>
                </a:ext>
                <a:ext uri="{FF2B5EF4-FFF2-40B4-BE49-F238E27FC236}">
                  <a16:creationId xmlns:a16="http://schemas.microsoft.com/office/drawing/2014/main" id="{00000000-0008-0000-0300-00005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38</xdr:row>
          <xdr:rowOff>342900</xdr:rowOff>
        </xdr:from>
        <xdr:to>
          <xdr:col>5</xdr:col>
          <xdr:colOff>355600</xdr:colOff>
          <xdr:row>38</xdr:row>
          <xdr:rowOff>762000</xdr:rowOff>
        </xdr:to>
        <xdr:sp macro="" textlink="">
          <xdr:nvSpPr>
            <xdr:cNvPr id="9312" name="Option Button 96" hidden="1">
              <a:extLst>
                <a:ext uri="{63B3BB69-23CF-44E3-9099-C40C66FF867C}">
                  <a14:compatExt spid="_x0000_s9312"/>
                </a:ext>
                <a:ext uri="{FF2B5EF4-FFF2-40B4-BE49-F238E27FC236}">
                  <a16:creationId xmlns:a16="http://schemas.microsoft.com/office/drawing/2014/main" id="{00000000-0008-0000-0300-00006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18</xdr:row>
          <xdr:rowOff>114300</xdr:rowOff>
        </xdr:from>
        <xdr:to>
          <xdr:col>5</xdr:col>
          <xdr:colOff>368300</xdr:colOff>
          <xdr:row>18</xdr:row>
          <xdr:rowOff>533400</xdr:rowOff>
        </xdr:to>
        <xdr:sp macro="" textlink="">
          <xdr:nvSpPr>
            <xdr:cNvPr id="9319" name="Option Button 103" hidden="1">
              <a:extLst>
                <a:ext uri="{63B3BB69-23CF-44E3-9099-C40C66FF867C}">
                  <a14:compatExt spid="_x0000_s9319"/>
                </a:ext>
                <a:ext uri="{FF2B5EF4-FFF2-40B4-BE49-F238E27FC236}">
                  <a16:creationId xmlns:a16="http://schemas.microsoft.com/office/drawing/2014/main" id="{00000000-0008-0000-0300-00006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21</xdr:row>
          <xdr:rowOff>317500</xdr:rowOff>
        </xdr:from>
        <xdr:to>
          <xdr:col>4</xdr:col>
          <xdr:colOff>317500</xdr:colOff>
          <xdr:row>21</xdr:row>
          <xdr:rowOff>482600</xdr:rowOff>
        </xdr:to>
        <xdr:sp macro="" textlink="">
          <xdr:nvSpPr>
            <xdr:cNvPr id="9320" name="Option Button 104" hidden="1">
              <a:extLst>
                <a:ext uri="{63B3BB69-23CF-44E3-9099-C40C66FF867C}">
                  <a14:compatExt spid="_x0000_s9320"/>
                </a:ext>
                <a:ext uri="{FF2B5EF4-FFF2-40B4-BE49-F238E27FC236}">
                  <a16:creationId xmlns:a16="http://schemas.microsoft.com/office/drawing/2014/main" id="{00000000-0008-0000-0300-00006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21</xdr:row>
          <xdr:rowOff>317500</xdr:rowOff>
        </xdr:from>
        <xdr:to>
          <xdr:col>5</xdr:col>
          <xdr:colOff>381000</xdr:colOff>
          <xdr:row>21</xdr:row>
          <xdr:rowOff>482600</xdr:rowOff>
        </xdr:to>
        <xdr:sp macro="" textlink="">
          <xdr:nvSpPr>
            <xdr:cNvPr id="9321" name="Option Button 105" hidden="1">
              <a:extLst>
                <a:ext uri="{63B3BB69-23CF-44E3-9099-C40C66FF867C}">
                  <a14:compatExt spid="_x0000_s9321"/>
                </a:ext>
                <a:ext uri="{FF2B5EF4-FFF2-40B4-BE49-F238E27FC236}">
                  <a16:creationId xmlns:a16="http://schemas.microsoft.com/office/drawing/2014/main" id="{00000000-0008-0000-0300-00006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33</xdr:row>
          <xdr:rowOff>101600</xdr:rowOff>
        </xdr:from>
        <xdr:to>
          <xdr:col>2</xdr:col>
          <xdr:colOff>292100</xdr:colOff>
          <xdr:row>33</xdr:row>
          <xdr:rowOff>635000</xdr:rowOff>
        </xdr:to>
        <xdr:sp macro="" textlink="">
          <xdr:nvSpPr>
            <xdr:cNvPr id="9326" name="Option Button 110" hidden="1">
              <a:extLst>
                <a:ext uri="{63B3BB69-23CF-44E3-9099-C40C66FF867C}">
                  <a14:compatExt spid="_x0000_s9326"/>
                </a:ext>
                <a:ext uri="{FF2B5EF4-FFF2-40B4-BE49-F238E27FC236}">
                  <a16:creationId xmlns:a16="http://schemas.microsoft.com/office/drawing/2014/main" id="{00000000-0008-0000-0300-00006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33</xdr:row>
          <xdr:rowOff>101600</xdr:rowOff>
        </xdr:from>
        <xdr:to>
          <xdr:col>3</xdr:col>
          <xdr:colOff>279400</xdr:colOff>
          <xdr:row>33</xdr:row>
          <xdr:rowOff>635000</xdr:rowOff>
        </xdr:to>
        <xdr:sp macro="" textlink="">
          <xdr:nvSpPr>
            <xdr:cNvPr id="9327" name="Option Button 111" hidden="1">
              <a:extLst>
                <a:ext uri="{63B3BB69-23CF-44E3-9099-C40C66FF867C}">
                  <a14:compatExt spid="_x0000_s9327"/>
                </a:ext>
                <a:ext uri="{FF2B5EF4-FFF2-40B4-BE49-F238E27FC236}">
                  <a16:creationId xmlns:a16="http://schemas.microsoft.com/office/drawing/2014/main" id="{00000000-0008-0000-0300-00006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33</xdr:row>
          <xdr:rowOff>101600</xdr:rowOff>
        </xdr:from>
        <xdr:to>
          <xdr:col>4</xdr:col>
          <xdr:colOff>342900</xdr:colOff>
          <xdr:row>33</xdr:row>
          <xdr:rowOff>635000</xdr:rowOff>
        </xdr:to>
        <xdr:sp macro="" textlink="">
          <xdr:nvSpPr>
            <xdr:cNvPr id="9328" name="Option Button 112" hidden="1">
              <a:extLst>
                <a:ext uri="{63B3BB69-23CF-44E3-9099-C40C66FF867C}">
                  <a14:compatExt spid="_x0000_s9328"/>
                </a:ext>
                <a:ext uri="{FF2B5EF4-FFF2-40B4-BE49-F238E27FC236}">
                  <a16:creationId xmlns:a16="http://schemas.microsoft.com/office/drawing/2014/main" id="{00000000-0008-0000-0300-00007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33</xdr:row>
          <xdr:rowOff>101600</xdr:rowOff>
        </xdr:from>
        <xdr:to>
          <xdr:col>5</xdr:col>
          <xdr:colOff>304800</xdr:colOff>
          <xdr:row>33</xdr:row>
          <xdr:rowOff>635000</xdr:rowOff>
        </xdr:to>
        <xdr:sp macro="" textlink="">
          <xdr:nvSpPr>
            <xdr:cNvPr id="9329" name="Option Button 113" hidden="1">
              <a:extLst>
                <a:ext uri="{63B3BB69-23CF-44E3-9099-C40C66FF867C}">
                  <a14:compatExt spid="_x0000_s9329"/>
                </a:ext>
                <a:ext uri="{FF2B5EF4-FFF2-40B4-BE49-F238E27FC236}">
                  <a16:creationId xmlns:a16="http://schemas.microsoft.com/office/drawing/2014/main" id="{00000000-0008-0000-0300-00007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5461000</xdr:colOff>
          <xdr:row>32</xdr:row>
          <xdr:rowOff>139700</xdr:rowOff>
        </xdr:from>
        <xdr:to>
          <xdr:col>7</xdr:col>
          <xdr:colOff>76200</xdr:colOff>
          <xdr:row>32</xdr:row>
          <xdr:rowOff>419100</xdr:rowOff>
        </xdr:to>
        <xdr:sp macro="" textlink="">
          <xdr:nvSpPr>
            <xdr:cNvPr id="9330" name="Group Box 114" hidden="1">
              <a:extLst>
                <a:ext uri="{63B3BB69-23CF-44E3-9099-C40C66FF867C}">
                  <a14:compatExt spid="_x0000_s9330"/>
                </a:ext>
                <a:ext uri="{FF2B5EF4-FFF2-40B4-BE49-F238E27FC236}">
                  <a16:creationId xmlns:a16="http://schemas.microsoft.com/office/drawing/2014/main" id="{00000000-0008-0000-0300-000072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32</xdr:row>
          <xdr:rowOff>190500</xdr:rowOff>
        </xdr:from>
        <xdr:to>
          <xdr:col>2</xdr:col>
          <xdr:colOff>292100</xdr:colOff>
          <xdr:row>32</xdr:row>
          <xdr:rowOff>406400</xdr:rowOff>
        </xdr:to>
        <xdr:sp macro="" textlink="">
          <xdr:nvSpPr>
            <xdr:cNvPr id="9331" name="Option Button 115" hidden="1">
              <a:extLst>
                <a:ext uri="{63B3BB69-23CF-44E3-9099-C40C66FF867C}">
                  <a14:compatExt spid="_x0000_s9331"/>
                </a:ext>
                <a:ext uri="{FF2B5EF4-FFF2-40B4-BE49-F238E27FC236}">
                  <a16:creationId xmlns:a16="http://schemas.microsoft.com/office/drawing/2014/main" id="{00000000-0008-0000-0300-00007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32</xdr:row>
          <xdr:rowOff>190500</xdr:rowOff>
        </xdr:from>
        <xdr:to>
          <xdr:col>3</xdr:col>
          <xdr:colOff>254000</xdr:colOff>
          <xdr:row>32</xdr:row>
          <xdr:rowOff>406400</xdr:rowOff>
        </xdr:to>
        <xdr:sp macro="" textlink="">
          <xdr:nvSpPr>
            <xdr:cNvPr id="9332" name="Option Button 116" hidden="1">
              <a:extLst>
                <a:ext uri="{63B3BB69-23CF-44E3-9099-C40C66FF867C}">
                  <a14:compatExt spid="_x0000_s9332"/>
                </a:ext>
                <a:ext uri="{FF2B5EF4-FFF2-40B4-BE49-F238E27FC236}">
                  <a16:creationId xmlns:a16="http://schemas.microsoft.com/office/drawing/2014/main" id="{00000000-0008-0000-0300-00007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32</xdr:row>
          <xdr:rowOff>177800</xdr:rowOff>
        </xdr:from>
        <xdr:to>
          <xdr:col>4</xdr:col>
          <xdr:colOff>317500</xdr:colOff>
          <xdr:row>32</xdr:row>
          <xdr:rowOff>406400</xdr:rowOff>
        </xdr:to>
        <xdr:sp macro="" textlink="">
          <xdr:nvSpPr>
            <xdr:cNvPr id="9333" name="Option Button 117" hidden="1">
              <a:extLst>
                <a:ext uri="{63B3BB69-23CF-44E3-9099-C40C66FF867C}">
                  <a14:compatExt spid="_x0000_s9333"/>
                </a:ext>
                <a:ext uri="{FF2B5EF4-FFF2-40B4-BE49-F238E27FC236}">
                  <a16:creationId xmlns:a16="http://schemas.microsoft.com/office/drawing/2014/main" id="{00000000-0008-0000-0300-00007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32</xdr:row>
          <xdr:rowOff>177800</xdr:rowOff>
        </xdr:from>
        <xdr:to>
          <xdr:col>5</xdr:col>
          <xdr:colOff>368300</xdr:colOff>
          <xdr:row>32</xdr:row>
          <xdr:rowOff>406400</xdr:rowOff>
        </xdr:to>
        <xdr:sp macro="" textlink="">
          <xdr:nvSpPr>
            <xdr:cNvPr id="9334" name="Option Button 118" hidden="1">
              <a:extLst>
                <a:ext uri="{63B3BB69-23CF-44E3-9099-C40C66FF867C}">
                  <a14:compatExt spid="_x0000_s9334"/>
                </a:ext>
                <a:ext uri="{FF2B5EF4-FFF2-40B4-BE49-F238E27FC236}">
                  <a16:creationId xmlns:a16="http://schemas.microsoft.com/office/drawing/2014/main" id="{00000000-0008-0000-0300-00007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6</xdr:row>
          <xdr:rowOff>101600</xdr:rowOff>
        </xdr:from>
        <xdr:to>
          <xdr:col>6</xdr:col>
          <xdr:colOff>749300</xdr:colOff>
          <xdr:row>6</xdr:row>
          <xdr:rowOff>381000</xdr:rowOff>
        </xdr:to>
        <xdr:sp macro="" textlink="">
          <xdr:nvSpPr>
            <xdr:cNvPr id="9335" name="Option Button 119" hidden="1">
              <a:extLst>
                <a:ext uri="{63B3BB69-23CF-44E3-9099-C40C66FF867C}">
                  <a14:compatExt spid="_x0000_s9335"/>
                </a:ext>
                <a:ext uri="{FF2B5EF4-FFF2-40B4-BE49-F238E27FC236}">
                  <a16:creationId xmlns:a16="http://schemas.microsoft.com/office/drawing/2014/main" id="{00000000-0008-0000-0300-00007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7</xdr:row>
          <xdr:rowOff>88900</xdr:rowOff>
        </xdr:from>
        <xdr:to>
          <xdr:col>6</xdr:col>
          <xdr:colOff>774700</xdr:colOff>
          <xdr:row>7</xdr:row>
          <xdr:rowOff>520700</xdr:rowOff>
        </xdr:to>
        <xdr:sp macro="" textlink="">
          <xdr:nvSpPr>
            <xdr:cNvPr id="9336" name="Option Button 120" hidden="1">
              <a:extLst>
                <a:ext uri="{63B3BB69-23CF-44E3-9099-C40C66FF867C}">
                  <a14:compatExt spid="_x0000_s9336"/>
                </a:ext>
                <a:ext uri="{FF2B5EF4-FFF2-40B4-BE49-F238E27FC236}">
                  <a16:creationId xmlns:a16="http://schemas.microsoft.com/office/drawing/2014/main" id="{00000000-0008-0000-0300-00007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8</xdr:row>
          <xdr:rowOff>127000</xdr:rowOff>
        </xdr:from>
        <xdr:to>
          <xdr:col>6</xdr:col>
          <xdr:colOff>774700</xdr:colOff>
          <xdr:row>8</xdr:row>
          <xdr:rowOff>355600</xdr:rowOff>
        </xdr:to>
        <xdr:sp macro="" textlink="">
          <xdr:nvSpPr>
            <xdr:cNvPr id="9337" name="Option Button 121" hidden="1">
              <a:extLst>
                <a:ext uri="{63B3BB69-23CF-44E3-9099-C40C66FF867C}">
                  <a14:compatExt spid="_x0000_s9337"/>
                </a:ext>
                <a:ext uri="{FF2B5EF4-FFF2-40B4-BE49-F238E27FC236}">
                  <a16:creationId xmlns:a16="http://schemas.microsoft.com/office/drawing/2014/main" id="{00000000-0008-0000-0300-00007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9</xdr:row>
          <xdr:rowOff>76200</xdr:rowOff>
        </xdr:from>
        <xdr:to>
          <xdr:col>6</xdr:col>
          <xdr:colOff>800100</xdr:colOff>
          <xdr:row>9</xdr:row>
          <xdr:rowOff>368300</xdr:rowOff>
        </xdr:to>
        <xdr:sp macro="" textlink="">
          <xdr:nvSpPr>
            <xdr:cNvPr id="9338" name="Option Button 122" hidden="1">
              <a:extLst>
                <a:ext uri="{63B3BB69-23CF-44E3-9099-C40C66FF867C}">
                  <a14:compatExt spid="_x0000_s9338"/>
                </a:ext>
                <a:ext uri="{FF2B5EF4-FFF2-40B4-BE49-F238E27FC236}">
                  <a16:creationId xmlns:a16="http://schemas.microsoft.com/office/drawing/2014/main" id="{00000000-0008-0000-0300-00007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18</xdr:row>
          <xdr:rowOff>114300</xdr:rowOff>
        </xdr:from>
        <xdr:to>
          <xdr:col>6</xdr:col>
          <xdr:colOff>812800</xdr:colOff>
          <xdr:row>18</xdr:row>
          <xdr:rowOff>533400</xdr:rowOff>
        </xdr:to>
        <xdr:sp macro="" textlink="">
          <xdr:nvSpPr>
            <xdr:cNvPr id="9339" name="Option Button 123" hidden="1">
              <a:extLst>
                <a:ext uri="{63B3BB69-23CF-44E3-9099-C40C66FF867C}">
                  <a14:compatExt spid="_x0000_s9339"/>
                </a:ext>
                <a:ext uri="{FF2B5EF4-FFF2-40B4-BE49-F238E27FC236}">
                  <a16:creationId xmlns:a16="http://schemas.microsoft.com/office/drawing/2014/main" id="{00000000-0008-0000-0300-00007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22</xdr:row>
          <xdr:rowOff>558800</xdr:rowOff>
        </xdr:from>
        <xdr:to>
          <xdr:col>7</xdr:col>
          <xdr:colOff>63500</xdr:colOff>
          <xdr:row>22</xdr:row>
          <xdr:rowOff>1003300</xdr:rowOff>
        </xdr:to>
        <xdr:sp macro="" textlink="">
          <xdr:nvSpPr>
            <xdr:cNvPr id="9343" name="Option Button 127" hidden="1">
              <a:extLst>
                <a:ext uri="{63B3BB69-23CF-44E3-9099-C40C66FF867C}">
                  <a14:compatExt spid="_x0000_s9343"/>
                </a:ext>
                <a:ext uri="{FF2B5EF4-FFF2-40B4-BE49-F238E27FC236}">
                  <a16:creationId xmlns:a16="http://schemas.microsoft.com/office/drawing/2014/main" id="{00000000-0008-0000-0300-00007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23</xdr:row>
          <xdr:rowOff>254000</xdr:rowOff>
        </xdr:from>
        <xdr:to>
          <xdr:col>6</xdr:col>
          <xdr:colOff>939800</xdr:colOff>
          <xdr:row>23</xdr:row>
          <xdr:rowOff>520700</xdr:rowOff>
        </xdr:to>
        <xdr:sp macro="" textlink="">
          <xdr:nvSpPr>
            <xdr:cNvPr id="9344" name="Option Button 128" hidden="1">
              <a:extLst>
                <a:ext uri="{63B3BB69-23CF-44E3-9099-C40C66FF867C}">
                  <a14:compatExt spid="_x0000_s9344"/>
                </a:ext>
                <a:ext uri="{FF2B5EF4-FFF2-40B4-BE49-F238E27FC236}">
                  <a16:creationId xmlns:a16="http://schemas.microsoft.com/office/drawing/2014/main" id="{00000000-0008-0000-0300-00008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24</xdr:row>
          <xdr:rowOff>114300</xdr:rowOff>
        </xdr:from>
        <xdr:to>
          <xdr:col>7</xdr:col>
          <xdr:colOff>101600</xdr:colOff>
          <xdr:row>24</xdr:row>
          <xdr:rowOff>546100</xdr:rowOff>
        </xdr:to>
        <xdr:sp macro="" textlink="">
          <xdr:nvSpPr>
            <xdr:cNvPr id="9345" name="Option Button 129" hidden="1">
              <a:extLst>
                <a:ext uri="{63B3BB69-23CF-44E3-9099-C40C66FF867C}">
                  <a14:compatExt spid="_x0000_s9345"/>
                </a:ext>
                <a:ext uri="{FF2B5EF4-FFF2-40B4-BE49-F238E27FC236}">
                  <a16:creationId xmlns:a16="http://schemas.microsoft.com/office/drawing/2014/main" id="{00000000-0008-0000-0300-00008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25</xdr:row>
          <xdr:rowOff>127000</xdr:rowOff>
        </xdr:from>
        <xdr:to>
          <xdr:col>7</xdr:col>
          <xdr:colOff>63500</xdr:colOff>
          <xdr:row>25</xdr:row>
          <xdr:rowOff>520700</xdr:rowOff>
        </xdr:to>
        <xdr:sp macro="" textlink="">
          <xdr:nvSpPr>
            <xdr:cNvPr id="9346" name="Option Button 130" hidden="1">
              <a:extLst>
                <a:ext uri="{63B3BB69-23CF-44E3-9099-C40C66FF867C}">
                  <a14:compatExt spid="_x0000_s9346"/>
                </a:ext>
                <a:ext uri="{FF2B5EF4-FFF2-40B4-BE49-F238E27FC236}">
                  <a16:creationId xmlns:a16="http://schemas.microsoft.com/office/drawing/2014/main" id="{00000000-0008-0000-0300-00008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32</xdr:row>
          <xdr:rowOff>190500</xdr:rowOff>
        </xdr:from>
        <xdr:to>
          <xdr:col>7</xdr:col>
          <xdr:colOff>0</xdr:colOff>
          <xdr:row>32</xdr:row>
          <xdr:rowOff>406400</xdr:rowOff>
        </xdr:to>
        <xdr:sp macro="" textlink="">
          <xdr:nvSpPr>
            <xdr:cNvPr id="9348" name="Option Button 132" hidden="1">
              <a:extLst>
                <a:ext uri="{63B3BB69-23CF-44E3-9099-C40C66FF867C}">
                  <a14:compatExt spid="_x0000_s9348"/>
                </a:ext>
                <a:ext uri="{FF2B5EF4-FFF2-40B4-BE49-F238E27FC236}">
                  <a16:creationId xmlns:a16="http://schemas.microsoft.com/office/drawing/2014/main" id="{00000000-0008-0000-0300-00008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33</xdr:row>
          <xdr:rowOff>165100</xdr:rowOff>
        </xdr:from>
        <xdr:to>
          <xdr:col>7</xdr:col>
          <xdr:colOff>25400</xdr:colOff>
          <xdr:row>33</xdr:row>
          <xdr:rowOff>571500</xdr:rowOff>
        </xdr:to>
        <xdr:sp macro="" textlink="">
          <xdr:nvSpPr>
            <xdr:cNvPr id="9349" name="Option Button 133" hidden="1">
              <a:extLst>
                <a:ext uri="{63B3BB69-23CF-44E3-9099-C40C66FF867C}">
                  <a14:compatExt spid="_x0000_s9349"/>
                </a:ext>
                <a:ext uri="{FF2B5EF4-FFF2-40B4-BE49-F238E27FC236}">
                  <a16:creationId xmlns:a16="http://schemas.microsoft.com/office/drawing/2014/main" id="{00000000-0008-0000-0300-00008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37</xdr:row>
          <xdr:rowOff>254000</xdr:rowOff>
        </xdr:from>
        <xdr:to>
          <xdr:col>7</xdr:col>
          <xdr:colOff>127000</xdr:colOff>
          <xdr:row>37</xdr:row>
          <xdr:rowOff>749300</xdr:rowOff>
        </xdr:to>
        <xdr:sp macro="" textlink="">
          <xdr:nvSpPr>
            <xdr:cNvPr id="9352" name="Option Button 136" hidden="1">
              <a:extLst>
                <a:ext uri="{63B3BB69-23CF-44E3-9099-C40C66FF867C}">
                  <a14:compatExt spid="_x0000_s9352"/>
                </a:ext>
                <a:ext uri="{FF2B5EF4-FFF2-40B4-BE49-F238E27FC236}">
                  <a16:creationId xmlns:a16="http://schemas.microsoft.com/office/drawing/2014/main" id="{00000000-0008-0000-0300-00008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38</xdr:row>
          <xdr:rowOff>355600</xdr:rowOff>
        </xdr:from>
        <xdr:to>
          <xdr:col>7</xdr:col>
          <xdr:colOff>114300</xdr:colOff>
          <xdr:row>38</xdr:row>
          <xdr:rowOff>749300</xdr:rowOff>
        </xdr:to>
        <xdr:sp macro="" textlink="">
          <xdr:nvSpPr>
            <xdr:cNvPr id="9353" name="Option Button 137" hidden="1">
              <a:extLst>
                <a:ext uri="{63B3BB69-23CF-44E3-9099-C40C66FF867C}">
                  <a14:compatExt spid="_x0000_s9353"/>
                </a:ext>
                <a:ext uri="{FF2B5EF4-FFF2-40B4-BE49-F238E27FC236}">
                  <a16:creationId xmlns:a16="http://schemas.microsoft.com/office/drawing/2014/main" id="{00000000-0008-0000-0300-00008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21</xdr:row>
          <xdr:rowOff>241300</xdr:rowOff>
        </xdr:from>
        <xdr:to>
          <xdr:col>7</xdr:col>
          <xdr:colOff>76200</xdr:colOff>
          <xdr:row>21</xdr:row>
          <xdr:rowOff>558800</xdr:rowOff>
        </xdr:to>
        <xdr:sp macro="" textlink="">
          <xdr:nvSpPr>
            <xdr:cNvPr id="9356" name="Option Button 140" hidden="1">
              <a:extLst>
                <a:ext uri="{63B3BB69-23CF-44E3-9099-C40C66FF867C}">
                  <a14:compatExt spid="_x0000_s9356"/>
                </a:ext>
                <a:ext uri="{FF2B5EF4-FFF2-40B4-BE49-F238E27FC236}">
                  <a16:creationId xmlns:a16="http://schemas.microsoft.com/office/drawing/2014/main" id="{00000000-0008-0000-0300-00008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34</xdr:row>
          <xdr:rowOff>50800</xdr:rowOff>
        </xdr:from>
        <xdr:to>
          <xdr:col>7</xdr:col>
          <xdr:colOff>12700</xdr:colOff>
          <xdr:row>34</xdr:row>
          <xdr:rowOff>444500</xdr:rowOff>
        </xdr:to>
        <xdr:sp macro="" textlink="">
          <xdr:nvSpPr>
            <xdr:cNvPr id="9357" name="Option Button 141" hidden="1">
              <a:extLst>
                <a:ext uri="{63B3BB69-23CF-44E3-9099-C40C66FF867C}">
                  <a14:compatExt spid="_x0000_s9357"/>
                </a:ext>
                <a:ext uri="{FF2B5EF4-FFF2-40B4-BE49-F238E27FC236}">
                  <a16:creationId xmlns:a16="http://schemas.microsoft.com/office/drawing/2014/main" id="{00000000-0008-0000-0300-00008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35</xdr:row>
          <xdr:rowOff>101600</xdr:rowOff>
        </xdr:from>
        <xdr:to>
          <xdr:col>6</xdr:col>
          <xdr:colOff>825500</xdr:colOff>
          <xdr:row>35</xdr:row>
          <xdr:rowOff>520700</xdr:rowOff>
        </xdr:to>
        <xdr:sp macro="" textlink="">
          <xdr:nvSpPr>
            <xdr:cNvPr id="9358" name="Option Button 142" hidden="1">
              <a:extLst>
                <a:ext uri="{63B3BB69-23CF-44E3-9099-C40C66FF867C}">
                  <a14:compatExt spid="_x0000_s9358"/>
                </a:ext>
                <a:ext uri="{FF2B5EF4-FFF2-40B4-BE49-F238E27FC236}">
                  <a16:creationId xmlns:a16="http://schemas.microsoft.com/office/drawing/2014/main" id="{00000000-0008-0000-0300-00008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63500</xdr:rowOff>
        </xdr:from>
        <xdr:to>
          <xdr:col>7</xdr:col>
          <xdr:colOff>228600</xdr:colOff>
          <xdr:row>26</xdr:row>
          <xdr:rowOff>762000</xdr:rowOff>
        </xdr:to>
        <xdr:sp macro="" textlink="">
          <xdr:nvSpPr>
            <xdr:cNvPr id="9366" name="Group Box 150" hidden="1">
              <a:extLst>
                <a:ext uri="{63B3BB69-23CF-44E3-9099-C40C66FF867C}">
                  <a14:compatExt spid="_x0000_s9366"/>
                </a:ext>
                <a:ext uri="{FF2B5EF4-FFF2-40B4-BE49-F238E27FC236}">
                  <a16:creationId xmlns:a16="http://schemas.microsoft.com/office/drawing/2014/main" id="{00000000-0008-0000-0300-000096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101600</xdr:rowOff>
        </xdr:from>
        <xdr:to>
          <xdr:col>2</xdr:col>
          <xdr:colOff>330200</xdr:colOff>
          <xdr:row>26</xdr:row>
          <xdr:rowOff>723900</xdr:rowOff>
        </xdr:to>
        <xdr:sp macro="" textlink="">
          <xdr:nvSpPr>
            <xdr:cNvPr id="9367" name="Option Button 151" hidden="1">
              <a:extLst>
                <a:ext uri="{63B3BB69-23CF-44E3-9099-C40C66FF867C}">
                  <a14:compatExt spid="_x0000_s9367"/>
                </a:ext>
                <a:ext uri="{FF2B5EF4-FFF2-40B4-BE49-F238E27FC236}">
                  <a16:creationId xmlns:a16="http://schemas.microsoft.com/office/drawing/2014/main" id="{00000000-0008-0000-0300-00009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26</xdr:row>
          <xdr:rowOff>101600</xdr:rowOff>
        </xdr:from>
        <xdr:to>
          <xdr:col>3</xdr:col>
          <xdr:colOff>406400</xdr:colOff>
          <xdr:row>26</xdr:row>
          <xdr:rowOff>711200</xdr:rowOff>
        </xdr:to>
        <xdr:sp macro="" textlink="">
          <xdr:nvSpPr>
            <xdr:cNvPr id="9368" name="Option Button 152" hidden="1">
              <a:extLst>
                <a:ext uri="{63B3BB69-23CF-44E3-9099-C40C66FF867C}">
                  <a14:compatExt spid="_x0000_s9368"/>
                </a:ext>
                <a:ext uri="{FF2B5EF4-FFF2-40B4-BE49-F238E27FC236}">
                  <a16:creationId xmlns:a16="http://schemas.microsoft.com/office/drawing/2014/main" id="{00000000-0008-0000-0300-00009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26</xdr:row>
          <xdr:rowOff>88900</xdr:rowOff>
        </xdr:from>
        <xdr:to>
          <xdr:col>4</xdr:col>
          <xdr:colOff>393700</xdr:colOff>
          <xdr:row>26</xdr:row>
          <xdr:rowOff>723900</xdr:rowOff>
        </xdr:to>
        <xdr:sp macro="" textlink="">
          <xdr:nvSpPr>
            <xdr:cNvPr id="9369" name="Option Button 153" hidden="1">
              <a:extLst>
                <a:ext uri="{63B3BB69-23CF-44E3-9099-C40C66FF867C}">
                  <a14:compatExt spid="_x0000_s9369"/>
                </a:ext>
                <a:ext uri="{FF2B5EF4-FFF2-40B4-BE49-F238E27FC236}">
                  <a16:creationId xmlns:a16="http://schemas.microsoft.com/office/drawing/2014/main" id="{00000000-0008-0000-0300-00009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26</xdr:row>
          <xdr:rowOff>101600</xdr:rowOff>
        </xdr:from>
        <xdr:to>
          <xdr:col>5</xdr:col>
          <xdr:colOff>444500</xdr:colOff>
          <xdr:row>26</xdr:row>
          <xdr:rowOff>723900</xdr:rowOff>
        </xdr:to>
        <xdr:sp macro="" textlink="">
          <xdr:nvSpPr>
            <xdr:cNvPr id="9370" name="Option Button 154" hidden="1">
              <a:extLst>
                <a:ext uri="{63B3BB69-23CF-44E3-9099-C40C66FF867C}">
                  <a14:compatExt spid="_x0000_s9370"/>
                </a:ext>
                <a:ext uri="{FF2B5EF4-FFF2-40B4-BE49-F238E27FC236}">
                  <a16:creationId xmlns:a16="http://schemas.microsoft.com/office/drawing/2014/main" id="{00000000-0008-0000-0300-00009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26</xdr:row>
          <xdr:rowOff>101600</xdr:rowOff>
        </xdr:from>
        <xdr:to>
          <xdr:col>6</xdr:col>
          <xdr:colOff>736600</xdr:colOff>
          <xdr:row>26</xdr:row>
          <xdr:rowOff>711200</xdr:rowOff>
        </xdr:to>
        <xdr:sp macro="" textlink="">
          <xdr:nvSpPr>
            <xdr:cNvPr id="9371" name="Option Button 155" hidden="1">
              <a:extLst>
                <a:ext uri="{63B3BB69-23CF-44E3-9099-C40C66FF867C}">
                  <a14:compatExt spid="_x0000_s9371"/>
                </a:ext>
                <a:ext uri="{FF2B5EF4-FFF2-40B4-BE49-F238E27FC236}">
                  <a16:creationId xmlns:a16="http://schemas.microsoft.com/office/drawing/2014/main" id="{00000000-0008-0000-0300-00009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5422900</xdr:colOff>
          <xdr:row>19</xdr:row>
          <xdr:rowOff>50800</xdr:rowOff>
        </xdr:from>
        <xdr:to>
          <xdr:col>7</xdr:col>
          <xdr:colOff>215900</xdr:colOff>
          <xdr:row>19</xdr:row>
          <xdr:rowOff>558800</xdr:rowOff>
        </xdr:to>
        <xdr:sp macro="" textlink="">
          <xdr:nvSpPr>
            <xdr:cNvPr id="9372" name="Group Box 156" hidden="1">
              <a:extLst>
                <a:ext uri="{63B3BB69-23CF-44E3-9099-C40C66FF867C}">
                  <a14:compatExt spid="_x0000_s9372"/>
                </a:ext>
                <a:ext uri="{FF2B5EF4-FFF2-40B4-BE49-F238E27FC236}">
                  <a16:creationId xmlns:a16="http://schemas.microsoft.com/office/drawing/2014/main" id="{00000000-0008-0000-0300-00009C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88900</xdr:rowOff>
        </xdr:from>
        <xdr:to>
          <xdr:col>2</xdr:col>
          <xdr:colOff>342900</xdr:colOff>
          <xdr:row>19</xdr:row>
          <xdr:rowOff>546100</xdr:rowOff>
        </xdr:to>
        <xdr:sp macro="" textlink="">
          <xdr:nvSpPr>
            <xdr:cNvPr id="9373" name="Option Button 157" hidden="1">
              <a:extLst>
                <a:ext uri="{63B3BB69-23CF-44E3-9099-C40C66FF867C}">
                  <a14:compatExt spid="_x0000_s9373"/>
                </a:ext>
                <a:ext uri="{FF2B5EF4-FFF2-40B4-BE49-F238E27FC236}">
                  <a16:creationId xmlns:a16="http://schemas.microsoft.com/office/drawing/2014/main" id="{00000000-0008-0000-0300-00009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19</xdr:row>
          <xdr:rowOff>88900</xdr:rowOff>
        </xdr:from>
        <xdr:to>
          <xdr:col>3</xdr:col>
          <xdr:colOff>406400</xdr:colOff>
          <xdr:row>19</xdr:row>
          <xdr:rowOff>546100</xdr:rowOff>
        </xdr:to>
        <xdr:sp macro="" textlink="">
          <xdr:nvSpPr>
            <xdr:cNvPr id="9374" name="Option Button 158" hidden="1">
              <a:extLst>
                <a:ext uri="{63B3BB69-23CF-44E3-9099-C40C66FF867C}">
                  <a14:compatExt spid="_x0000_s9374"/>
                </a:ext>
                <a:ext uri="{FF2B5EF4-FFF2-40B4-BE49-F238E27FC236}">
                  <a16:creationId xmlns:a16="http://schemas.microsoft.com/office/drawing/2014/main" id="{00000000-0008-0000-0300-00009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19</xdr:row>
          <xdr:rowOff>88900</xdr:rowOff>
        </xdr:from>
        <xdr:to>
          <xdr:col>4</xdr:col>
          <xdr:colOff>393700</xdr:colOff>
          <xdr:row>19</xdr:row>
          <xdr:rowOff>546100</xdr:rowOff>
        </xdr:to>
        <xdr:sp macro="" textlink="">
          <xdr:nvSpPr>
            <xdr:cNvPr id="9375" name="Option Button 159" hidden="1">
              <a:extLst>
                <a:ext uri="{63B3BB69-23CF-44E3-9099-C40C66FF867C}">
                  <a14:compatExt spid="_x0000_s9375"/>
                </a:ext>
                <a:ext uri="{FF2B5EF4-FFF2-40B4-BE49-F238E27FC236}">
                  <a16:creationId xmlns:a16="http://schemas.microsoft.com/office/drawing/2014/main" id="{00000000-0008-0000-0300-00009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19</xdr:row>
          <xdr:rowOff>88900</xdr:rowOff>
        </xdr:from>
        <xdr:to>
          <xdr:col>5</xdr:col>
          <xdr:colOff>482600</xdr:colOff>
          <xdr:row>19</xdr:row>
          <xdr:rowOff>533400</xdr:rowOff>
        </xdr:to>
        <xdr:sp macro="" textlink="">
          <xdr:nvSpPr>
            <xdr:cNvPr id="9376" name="Option Button 160" hidden="1">
              <a:extLst>
                <a:ext uri="{63B3BB69-23CF-44E3-9099-C40C66FF867C}">
                  <a14:compatExt spid="_x0000_s9376"/>
                </a:ext>
                <a:ext uri="{FF2B5EF4-FFF2-40B4-BE49-F238E27FC236}">
                  <a16:creationId xmlns:a16="http://schemas.microsoft.com/office/drawing/2014/main" id="{00000000-0008-0000-0300-0000A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19</xdr:row>
          <xdr:rowOff>101600</xdr:rowOff>
        </xdr:from>
        <xdr:to>
          <xdr:col>6</xdr:col>
          <xdr:colOff>787400</xdr:colOff>
          <xdr:row>19</xdr:row>
          <xdr:rowOff>533400</xdr:rowOff>
        </xdr:to>
        <xdr:sp macro="" textlink="">
          <xdr:nvSpPr>
            <xdr:cNvPr id="9377" name="Option Button 161" hidden="1">
              <a:extLst>
                <a:ext uri="{63B3BB69-23CF-44E3-9099-C40C66FF867C}">
                  <a14:compatExt spid="_x0000_s9377"/>
                </a:ext>
                <a:ext uri="{FF2B5EF4-FFF2-40B4-BE49-F238E27FC236}">
                  <a16:creationId xmlns:a16="http://schemas.microsoft.com/office/drawing/2014/main" id="{00000000-0008-0000-0300-0000A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5384800</xdr:colOff>
          <xdr:row>20</xdr:row>
          <xdr:rowOff>63500</xdr:rowOff>
        </xdr:from>
        <xdr:to>
          <xdr:col>7</xdr:col>
          <xdr:colOff>279400</xdr:colOff>
          <xdr:row>20</xdr:row>
          <xdr:rowOff>1168400</xdr:rowOff>
        </xdr:to>
        <xdr:sp macro="" textlink="">
          <xdr:nvSpPr>
            <xdr:cNvPr id="9378" name="Group Box 162" hidden="1">
              <a:extLst>
                <a:ext uri="{63B3BB69-23CF-44E3-9099-C40C66FF867C}">
                  <a14:compatExt spid="_x0000_s9378"/>
                </a:ext>
                <a:ext uri="{FF2B5EF4-FFF2-40B4-BE49-F238E27FC236}">
                  <a16:creationId xmlns:a16="http://schemas.microsoft.com/office/drawing/2014/main" id="{00000000-0008-0000-0300-0000A2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127000</xdr:rowOff>
        </xdr:from>
        <xdr:to>
          <xdr:col>2</xdr:col>
          <xdr:colOff>368300</xdr:colOff>
          <xdr:row>20</xdr:row>
          <xdr:rowOff>1066800</xdr:rowOff>
        </xdr:to>
        <xdr:sp macro="" textlink="">
          <xdr:nvSpPr>
            <xdr:cNvPr id="9379" name="Option Button 163" hidden="1">
              <a:extLst>
                <a:ext uri="{63B3BB69-23CF-44E3-9099-C40C66FF867C}">
                  <a14:compatExt spid="_x0000_s9379"/>
                </a:ext>
                <a:ext uri="{FF2B5EF4-FFF2-40B4-BE49-F238E27FC236}">
                  <a16:creationId xmlns:a16="http://schemas.microsoft.com/office/drawing/2014/main" id="{00000000-0008-0000-0300-0000A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20</xdr:row>
          <xdr:rowOff>127000</xdr:rowOff>
        </xdr:from>
        <xdr:to>
          <xdr:col>3</xdr:col>
          <xdr:colOff>508000</xdr:colOff>
          <xdr:row>20</xdr:row>
          <xdr:rowOff>1104900</xdr:rowOff>
        </xdr:to>
        <xdr:sp macro="" textlink="">
          <xdr:nvSpPr>
            <xdr:cNvPr id="9380" name="Option Button 164" hidden="1">
              <a:extLst>
                <a:ext uri="{63B3BB69-23CF-44E3-9099-C40C66FF867C}">
                  <a14:compatExt spid="_x0000_s9380"/>
                </a:ext>
                <a:ext uri="{FF2B5EF4-FFF2-40B4-BE49-F238E27FC236}">
                  <a16:creationId xmlns:a16="http://schemas.microsoft.com/office/drawing/2014/main" id="{00000000-0008-0000-0300-0000A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127000</xdr:rowOff>
        </xdr:from>
        <xdr:to>
          <xdr:col>4</xdr:col>
          <xdr:colOff>431800</xdr:colOff>
          <xdr:row>20</xdr:row>
          <xdr:rowOff>1117600</xdr:rowOff>
        </xdr:to>
        <xdr:sp macro="" textlink="">
          <xdr:nvSpPr>
            <xdr:cNvPr id="9381" name="Option Button 165" hidden="1">
              <a:extLst>
                <a:ext uri="{63B3BB69-23CF-44E3-9099-C40C66FF867C}">
                  <a14:compatExt spid="_x0000_s9381"/>
                </a:ext>
                <a:ext uri="{FF2B5EF4-FFF2-40B4-BE49-F238E27FC236}">
                  <a16:creationId xmlns:a16="http://schemas.microsoft.com/office/drawing/2014/main" id="{00000000-0008-0000-0300-0000A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20</xdr:row>
          <xdr:rowOff>114300</xdr:rowOff>
        </xdr:from>
        <xdr:to>
          <xdr:col>5</xdr:col>
          <xdr:colOff>520700</xdr:colOff>
          <xdr:row>20</xdr:row>
          <xdr:rowOff>1130300</xdr:rowOff>
        </xdr:to>
        <xdr:sp macro="" textlink="">
          <xdr:nvSpPr>
            <xdr:cNvPr id="9382" name="Option Button 166" hidden="1">
              <a:extLst>
                <a:ext uri="{63B3BB69-23CF-44E3-9099-C40C66FF867C}">
                  <a14:compatExt spid="_x0000_s9382"/>
                </a:ext>
                <a:ext uri="{FF2B5EF4-FFF2-40B4-BE49-F238E27FC236}">
                  <a16:creationId xmlns:a16="http://schemas.microsoft.com/office/drawing/2014/main" id="{00000000-0008-0000-0300-0000A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20</xdr:row>
          <xdr:rowOff>101600</xdr:rowOff>
        </xdr:from>
        <xdr:to>
          <xdr:col>6</xdr:col>
          <xdr:colOff>939800</xdr:colOff>
          <xdr:row>20</xdr:row>
          <xdr:rowOff>1130300</xdr:rowOff>
        </xdr:to>
        <xdr:sp macro="" textlink="">
          <xdr:nvSpPr>
            <xdr:cNvPr id="9383" name="Option Button 167" hidden="1">
              <a:extLst>
                <a:ext uri="{63B3BB69-23CF-44E3-9099-C40C66FF867C}">
                  <a14:compatExt spid="_x0000_s9383"/>
                </a:ext>
                <a:ext uri="{FF2B5EF4-FFF2-40B4-BE49-F238E27FC236}">
                  <a16:creationId xmlns:a16="http://schemas.microsoft.com/office/drawing/2014/main" id="{00000000-0008-0000-0300-0000A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36</xdr:row>
          <xdr:rowOff>101600</xdr:rowOff>
        </xdr:from>
        <xdr:to>
          <xdr:col>3</xdr:col>
          <xdr:colOff>114300</xdr:colOff>
          <xdr:row>36</xdr:row>
          <xdr:rowOff>762000</xdr:rowOff>
        </xdr:to>
        <xdr:sp macro="" textlink="">
          <xdr:nvSpPr>
            <xdr:cNvPr id="9384" name="Option Button 168" hidden="1">
              <a:extLst>
                <a:ext uri="{63B3BB69-23CF-44E3-9099-C40C66FF867C}">
                  <a14:compatExt spid="_x0000_s9384"/>
                </a:ext>
                <a:ext uri="{FF2B5EF4-FFF2-40B4-BE49-F238E27FC236}">
                  <a16:creationId xmlns:a16="http://schemas.microsoft.com/office/drawing/2014/main" id="{00000000-0008-0000-0300-0000A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36</xdr:row>
          <xdr:rowOff>101600</xdr:rowOff>
        </xdr:from>
        <xdr:to>
          <xdr:col>3</xdr:col>
          <xdr:colOff>469900</xdr:colOff>
          <xdr:row>36</xdr:row>
          <xdr:rowOff>749300</xdr:rowOff>
        </xdr:to>
        <xdr:sp macro="" textlink="">
          <xdr:nvSpPr>
            <xdr:cNvPr id="9385" name="Option Button 169" hidden="1">
              <a:extLst>
                <a:ext uri="{63B3BB69-23CF-44E3-9099-C40C66FF867C}">
                  <a14:compatExt spid="_x0000_s9385"/>
                </a:ext>
                <a:ext uri="{FF2B5EF4-FFF2-40B4-BE49-F238E27FC236}">
                  <a16:creationId xmlns:a16="http://schemas.microsoft.com/office/drawing/2014/main" id="{00000000-0008-0000-0300-0000A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36</xdr:row>
          <xdr:rowOff>101600</xdr:rowOff>
        </xdr:from>
        <xdr:to>
          <xdr:col>4</xdr:col>
          <xdr:colOff>419100</xdr:colOff>
          <xdr:row>36</xdr:row>
          <xdr:rowOff>762000</xdr:rowOff>
        </xdr:to>
        <xdr:sp macro="" textlink="">
          <xdr:nvSpPr>
            <xdr:cNvPr id="9386" name="Option Button 170" hidden="1">
              <a:extLst>
                <a:ext uri="{63B3BB69-23CF-44E3-9099-C40C66FF867C}">
                  <a14:compatExt spid="_x0000_s9386"/>
                </a:ext>
                <a:ext uri="{FF2B5EF4-FFF2-40B4-BE49-F238E27FC236}">
                  <a16:creationId xmlns:a16="http://schemas.microsoft.com/office/drawing/2014/main" id="{00000000-0008-0000-0300-0000A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36</xdr:row>
          <xdr:rowOff>101600</xdr:rowOff>
        </xdr:from>
        <xdr:to>
          <xdr:col>5</xdr:col>
          <xdr:colOff>431800</xdr:colOff>
          <xdr:row>36</xdr:row>
          <xdr:rowOff>749300</xdr:rowOff>
        </xdr:to>
        <xdr:sp macro="" textlink="">
          <xdr:nvSpPr>
            <xdr:cNvPr id="9387" name="Option Button 171" hidden="1">
              <a:extLst>
                <a:ext uri="{63B3BB69-23CF-44E3-9099-C40C66FF867C}">
                  <a14:compatExt spid="_x0000_s9387"/>
                </a:ext>
                <a:ext uri="{FF2B5EF4-FFF2-40B4-BE49-F238E27FC236}">
                  <a16:creationId xmlns:a16="http://schemas.microsoft.com/office/drawing/2014/main" id="{00000000-0008-0000-0300-0000A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36</xdr:row>
          <xdr:rowOff>114300</xdr:rowOff>
        </xdr:from>
        <xdr:to>
          <xdr:col>6</xdr:col>
          <xdr:colOff>939800</xdr:colOff>
          <xdr:row>36</xdr:row>
          <xdr:rowOff>736600</xdr:rowOff>
        </xdr:to>
        <xdr:sp macro="" textlink="">
          <xdr:nvSpPr>
            <xdr:cNvPr id="9388" name="Option Button 172" hidden="1">
              <a:extLst>
                <a:ext uri="{63B3BB69-23CF-44E3-9099-C40C66FF867C}">
                  <a14:compatExt spid="_x0000_s9388"/>
                </a:ext>
                <a:ext uri="{FF2B5EF4-FFF2-40B4-BE49-F238E27FC236}">
                  <a16:creationId xmlns:a16="http://schemas.microsoft.com/office/drawing/2014/main" id="{00000000-0008-0000-0300-0000A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39</xdr:row>
          <xdr:rowOff>76200</xdr:rowOff>
        </xdr:from>
        <xdr:to>
          <xdr:col>3</xdr:col>
          <xdr:colOff>25400</xdr:colOff>
          <xdr:row>39</xdr:row>
          <xdr:rowOff>952500</xdr:rowOff>
        </xdr:to>
        <xdr:sp macro="" textlink="">
          <xdr:nvSpPr>
            <xdr:cNvPr id="9389" name="Option Button 173" hidden="1">
              <a:extLst>
                <a:ext uri="{63B3BB69-23CF-44E3-9099-C40C66FF867C}">
                  <a14:compatExt spid="_x0000_s9389"/>
                </a:ext>
                <a:ext uri="{FF2B5EF4-FFF2-40B4-BE49-F238E27FC236}">
                  <a16:creationId xmlns:a16="http://schemas.microsoft.com/office/drawing/2014/main" id="{00000000-0008-0000-0300-0000A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39</xdr:row>
          <xdr:rowOff>88900</xdr:rowOff>
        </xdr:from>
        <xdr:to>
          <xdr:col>3</xdr:col>
          <xdr:colOff>571500</xdr:colOff>
          <xdr:row>39</xdr:row>
          <xdr:rowOff>939800</xdr:rowOff>
        </xdr:to>
        <xdr:sp macro="" textlink="">
          <xdr:nvSpPr>
            <xdr:cNvPr id="9390" name="Option Button 174" hidden="1">
              <a:extLst>
                <a:ext uri="{63B3BB69-23CF-44E3-9099-C40C66FF867C}">
                  <a14:compatExt spid="_x0000_s9390"/>
                </a:ext>
                <a:ext uri="{FF2B5EF4-FFF2-40B4-BE49-F238E27FC236}">
                  <a16:creationId xmlns:a16="http://schemas.microsoft.com/office/drawing/2014/main" id="{00000000-0008-0000-0300-0000A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39</xdr:row>
          <xdr:rowOff>76200</xdr:rowOff>
        </xdr:from>
        <xdr:to>
          <xdr:col>4</xdr:col>
          <xdr:colOff>482600</xdr:colOff>
          <xdr:row>39</xdr:row>
          <xdr:rowOff>952500</xdr:rowOff>
        </xdr:to>
        <xdr:sp macro="" textlink="">
          <xdr:nvSpPr>
            <xdr:cNvPr id="9391" name="Option Button 175" hidden="1">
              <a:extLst>
                <a:ext uri="{63B3BB69-23CF-44E3-9099-C40C66FF867C}">
                  <a14:compatExt spid="_x0000_s9391"/>
                </a:ext>
                <a:ext uri="{FF2B5EF4-FFF2-40B4-BE49-F238E27FC236}">
                  <a16:creationId xmlns:a16="http://schemas.microsoft.com/office/drawing/2014/main" id="{00000000-0008-0000-0300-0000A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39</xdr:row>
          <xdr:rowOff>88900</xdr:rowOff>
        </xdr:from>
        <xdr:to>
          <xdr:col>5</xdr:col>
          <xdr:colOff>406400</xdr:colOff>
          <xdr:row>39</xdr:row>
          <xdr:rowOff>939800</xdr:rowOff>
        </xdr:to>
        <xdr:sp macro="" textlink="">
          <xdr:nvSpPr>
            <xdr:cNvPr id="9392" name="Option Button 176" hidden="1">
              <a:extLst>
                <a:ext uri="{63B3BB69-23CF-44E3-9099-C40C66FF867C}">
                  <a14:compatExt spid="_x0000_s9392"/>
                </a:ext>
                <a:ext uri="{FF2B5EF4-FFF2-40B4-BE49-F238E27FC236}">
                  <a16:creationId xmlns:a16="http://schemas.microsoft.com/office/drawing/2014/main" id="{00000000-0008-0000-0300-0000B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39</xdr:row>
          <xdr:rowOff>76200</xdr:rowOff>
        </xdr:from>
        <xdr:to>
          <xdr:col>6</xdr:col>
          <xdr:colOff>812800</xdr:colOff>
          <xdr:row>39</xdr:row>
          <xdr:rowOff>965200</xdr:rowOff>
        </xdr:to>
        <xdr:sp macro="" textlink="">
          <xdr:nvSpPr>
            <xdr:cNvPr id="9393" name="Option Button 177" hidden="1">
              <a:extLst>
                <a:ext uri="{63B3BB69-23CF-44E3-9099-C40C66FF867C}">
                  <a14:compatExt spid="_x0000_s9393"/>
                </a:ext>
                <a:ext uri="{FF2B5EF4-FFF2-40B4-BE49-F238E27FC236}">
                  <a16:creationId xmlns:a16="http://schemas.microsoft.com/office/drawing/2014/main" id="{00000000-0008-0000-0300-0000B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3606800</xdr:colOff>
          <xdr:row>6</xdr:row>
          <xdr:rowOff>50800</xdr:rowOff>
        </xdr:from>
        <xdr:to>
          <xdr:col>7</xdr:col>
          <xdr:colOff>165100</xdr:colOff>
          <xdr:row>6</xdr:row>
          <xdr:rowOff>508000</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3606800</xdr:colOff>
          <xdr:row>7</xdr:row>
          <xdr:rowOff>50800</xdr:rowOff>
        </xdr:from>
        <xdr:to>
          <xdr:col>7</xdr:col>
          <xdr:colOff>152400</xdr:colOff>
          <xdr:row>7</xdr:row>
          <xdr:rowOff>520700</xdr:rowOff>
        </xdr:to>
        <xdr:sp macro="" textlink="">
          <xdr:nvSpPr>
            <xdr:cNvPr id="5122" name="Group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3606800</xdr:colOff>
          <xdr:row>8</xdr:row>
          <xdr:rowOff>139700</xdr:rowOff>
        </xdr:from>
        <xdr:to>
          <xdr:col>7</xdr:col>
          <xdr:colOff>165100</xdr:colOff>
          <xdr:row>8</xdr:row>
          <xdr:rowOff>596900</xdr:rowOff>
        </xdr:to>
        <xdr:sp macro="" textlink="">
          <xdr:nvSpPr>
            <xdr:cNvPr id="5123" name="Group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3568700</xdr:colOff>
          <xdr:row>19</xdr:row>
          <xdr:rowOff>38100</xdr:rowOff>
        </xdr:from>
        <xdr:to>
          <xdr:col>7</xdr:col>
          <xdr:colOff>152400</xdr:colOff>
          <xdr:row>19</xdr:row>
          <xdr:rowOff>1054100</xdr:rowOff>
        </xdr:to>
        <xdr:sp macro="" textlink="">
          <xdr:nvSpPr>
            <xdr:cNvPr id="5127" name="Group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3568700</xdr:colOff>
          <xdr:row>20</xdr:row>
          <xdr:rowOff>38100</xdr:rowOff>
        </xdr:from>
        <xdr:to>
          <xdr:col>7</xdr:col>
          <xdr:colOff>177800</xdr:colOff>
          <xdr:row>20</xdr:row>
          <xdr:rowOff>342900</xdr:rowOff>
        </xdr:to>
        <xdr:sp macro="" textlink="">
          <xdr:nvSpPr>
            <xdr:cNvPr id="5128" name="Group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3568700</xdr:colOff>
          <xdr:row>21</xdr:row>
          <xdr:rowOff>127000</xdr:rowOff>
        </xdr:from>
        <xdr:to>
          <xdr:col>7</xdr:col>
          <xdr:colOff>165100</xdr:colOff>
          <xdr:row>21</xdr:row>
          <xdr:rowOff>469900</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3568700</xdr:colOff>
          <xdr:row>22</xdr:row>
          <xdr:rowOff>25400</xdr:rowOff>
        </xdr:from>
        <xdr:to>
          <xdr:col>7</xdr:col>
          <xdr:colOff>139700</xdr:colOff>
          <xdr:row>22</xdr:row>
          <xdr:rowOff>901700</xdr:rowOff>
        </xdr:to>
        <xdr:sp macro="" textlink="">
          <xdr:nvSpPr>
            <xdr:cNvPr id="5130" name="Group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3632200</xdr:colOff>
          <xdr:row>29</xdr:row>
          <xdr:rowOff>736600</xdr:rowOff>
        </xdr:from>
        <xdr:to>
          <xdr:col>7</xdr:col>
          <xdr:colOff>76200</xdr:colOff>
          <xdr:row>30</xdr:row>
          <xdr:rowOff>736600</xdr:rowOff>
        </xdr:to>
        <xdr:sp macro="" textlink="">
          <xdr:nvSpPr>
            <xdr:cNvPr id="5132" name="Group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3632200</xdr:colOff>
          <xdr:row>30</xdr:row>
          <xdr:rowOff>736600</xdr:rowOff>
        </xdr:from>
        <xdr:to>
          <xdr:col>7</xdr:col>
          <xdr:colOff>114300</xdr:colOff>
          <xdr:row>32</xdr:row>
          <xdr:rowOff>12700</xdr:rowOff>
        </xdr:to>
        <xdr:sp macro="" textlink="">
          <xdr:nvSpPr>
            <xdr:cNvPr id="5133" name="Group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3644900</xdr:colOff>
          <xdr:row>32</xdr:row>
          <xdr:rowOff>177800</xdr:rowOff>
        </xdr:from>
        <xdr:to>
          <xdr:col>7</xdr:col>
          <xdr:colOff>165100</xdr:colOff>
          <xdr:row>32</xdr:row>
          <xdr:rowOff>787400</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3644900</xdr:colOff>
          <xdr:row>33</xdr:row>
          <xdr:rowOff>50800</xdr:rowOff>
        </xdr:from>
        <xdr:to>
          <xdr:col>7</xdr:col>
          <xdr:colOff>139700</xdr:colOff>
          <xdr:row>33</xdr:row>
          <xdr:rowOff>876300</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3619500</xdr:colOff>
          <xdr:row>40</xdr:row>
          <xdr:rowOff>50800</xdr:rowOff>
        </xdr:from>
        <xdr:to>
          <xdr:col>7</xdr:col>
          <xdr:colOff>76200</xdr:colOff>
          <xdr:row>40</xdr:row>
          <xdr:rowOff>596900</xdr:rowOff>
        </xdr:to>
        <xdr:sp macro="" textlink="">
          <xdr:nvSpPr>
            <xdr:cNvPr id="5137" name="Group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3619500</xdr:colOff>
          <xdr:row>41</xdr:row>
          <xdr:rowOff>76200</xdr:rowOff>
        </xdr:from>
        <xdr:to>
          <xdr:col>7</xdr:col>
          <xdr:colOff>38100</xdr:colOff>
          <xdr:row>41</xdr:row>
          <xdr:rowOff>736600</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3606800</xdr:colOff>
          <xdr:row>42</xdr:row>
          <xdr:rowOff>292100</xdr:rowOff>
        </xdr:from>
        <xdr:to>
          <xdr:col>7</xdr:col>
          <xdr:colOff>88900</xdr:colOff>
          <xdr:row>42</xdr:row>
          <xdr:rowOff>825500</xdr:rowOff>
        </xdr:to>
        <xdr:sp macro="" textlink="">
          <xdr:nvSpPr>
            <xdr:cNvPr id="5139" name="Group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3606800</xdr:colOff>
          <xdr:row>9</xdr:row>
          <xdr:rowOff>25400</xdr:rowOff>
        </xdr:from>
        <xdr:to>
          <xdr:col>7</xdr:col>
          <xdr:colOff>127000</xdr:colOff>
          <xdr:row>9</xdr:row>
          <xdr:rowOff>596900</xdr:rowOff>
        </xdr:to>
        <xdr:sp macro="" textlink="">
          <xdr:nvSpPr>
            <xdr:cNvPr id="5141" name="Group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xdr:row>
          <xdr:rowOff>76200</xdr:rowOff>
        </xdr:from>
        <xdr:to>
          <xdr:col>3</xdr:col>
          <xdr:colOff>25400</xdr:colOff>
          <xdr:row>6</xdr:row>
          <xdr:rowOff>508000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88900</xdr:rowOff>
        </xdr:from>
        <xdr:to>
          <xdr:col>3</xdr:col>
          <xdr:colOff>342900</xdr:colOff>
          <xdr:row>6</xdr:row>
          <xdr:rowOff>508000</xdr:rowOff>
        </xdr:to>
        <xdr:sp macro="" textlink="">
          <xdr:nvSpPr>
            <xdr:cNvPr id="5143" name="Option Button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6</xdr:row>
          <xdr:rowOff>88900</xdr:rowOff>
        </xdr:from>
        <xdr:to>
          <xdr:col>4</xdr:col>
          <xdr:colOff>381000</xdr:colOff>
          <xdr:row>6</xdr:row>
          <xdr:rowOff>508000</xdr:rowOff>
        </xdr:to>
        <xdr:sp macro="" textlink="">
          <xdr:nvSpPr>
            <xdr:cNvPr id="5144" name="Option Button 24"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88900</xdr:rowOff>
        </xdr:from>
        <xdr:to>
          <xdr:col>5</xdr:col>
          <xdr:colOff>368300</xdr:colOff>
          <xdr:row>6</xdr:row>
          <xdr:rowOff>508000</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400-00001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xdr:row>
          <xdr:rowOff>88900</xdr:rowOff>
        </xdr:from>
        <xdr:to>
          <xdr:col>3</xdr:col>
          <xdr:colOff>50800</xdr:colOff>
          <xdr:row>7</xdr:row>
          <xdr:rowOff>520700</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400-00001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88900</xdr:rowOff>
        </xdr:from>
        <xdr:to>
          <xdr:col>3</xdr:col>
          <xdr:colOff>330200</xdr:colOff>
          <xdr:row>7</xdr:row>
          <xdr:rowOff>520700</xdr:rowOff>
        </xdr:to>
        <xdr:sp macro="" textlink="">
          <xdr:nvSpPr>
            <xdr:cNvPr id="5147" name="Option Button 27" hidden="1">
              <a:extLst>
                <a:ext uri="{63B3BB69-23CF-44E3-9099-C40C66FF867C}">
                  <a14:compatExt spid="_x0000_s5147"/>
                </a:ext>
                <a:ext uri="{FF2B5EF4-FFF2-40B4-BE49-F238E27FC236}">
                  <a16:creationId xmlns:a16="http://schemas.microsoft.com/office/drawing/2014/main" id="{00000000-0008-0000-0400-00001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7</xdr:row>
          <xdr:rowOff>88900</xdr:rowOff>
        </xdr:from>
        <xdr:to>
          <xdr:col>4</xdr:col>
          <xdr:colOff>406400</xdr:colOff>
          <xdr:row>7</xdr:row>
          <xdr:rowOff>520700</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88900</xdr:rowOff>
        </xdr:from>
        <xdr:to>
          <xdr:col>5</xdr:col>
          <xdr:colOff>368300</xdr:colOff>
          <xdr:row>7</xdr:row>
          <xdr:rowOff>520700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177800</xdr:rowOff>
        </xdr:from>
        <xdr:to>
          <xdr:col>3</xdr:col>
          <xdr:colOff>25400</xdr:colOff>
          <xdr:row>8</xdr:row>
          <xdr:rowOff>558800</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400-00001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165100</xdr:rowOff>
        </xdr:from>
        <xdr:to>
          <xdr:col>3</xdr:col>
          <xdr:colOff>355600</xdr:colOff>
          <xdr:row>8</xdr:row>
          <xdr:rowOff>584200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8</xdr:row>
          <xdr:rowOff>165100</xdr:rowOff>
        </xdr:from>
        <xdr:to>
          <xdr:col>4</xdr:col>
          <xdr:colOff>381000</xdr:colOff>
          <xdr:row>8</xdr:row>
          <xdr:rowOff>584200</xdr:rowOff>
        </xdr:to>
        <xdr:sp macro="" textlink="">
          <xdr:nvSpPr>
            <xdr:cNvPr id="5152" name="Option Button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165100</xdr:rowOff>
        </xdr:from>
        <xdr:to>
          <xdr:col>5</xdr:col>
          <xdr:colOff>393700</xdr:colOff>
          <xdr:row>8</xdr:row>
          <xdr:rowOff>584200</xdr:rowOff>
        </xdr:to>
        <xdr:sp macro="" textlink="">
          <xdr:nvSpPr>
            <xdr:cNvPr id="5153" name="Option Button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63500</xdr:rowOff>
        </xdr:from>
        <xdr:to>
          <xdr:col>3</xdr:col>
          <xdr:colOff>50800</xdr:colOff>
          <xdr:row>9</xdr:row>
          <xdr:rowOff>546100</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400-00002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63500</xdr:rowOff>
        </xdr:from>
        <xdr:to>
          <xdr:col>3</xdr:col>
          <xdr:colOff>330200</xdr:colOff>
          <xdr:row>9</xdr:row>
          <xdr:rowOff>546100</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400-00002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9</xdr:row>
          <xdr:rowOff>76200</xdr:rowOff>
        </xdr:from>
        <xdr:to>
          <xdr:col>4</xdr:col>
          <xdr:colOff>406400</xdr:colOff>
          <xdr:row>9</xdr:row>
          <xdr:rowOff>533400</xdr:rowOff>
        </xdr:to>
        <xdr:sp macro="" textlink="">
          <xdr:nvSpPr>
            <xdr:cNvPr id="5156" name="Option Button 36" hidden="1">
              <a:extLst>
                <a:ext uri="{63B3BB69-23CF-44E3-9099-C40C66FF867C}">
                  <a14:compatExt spid="_x0000_s5156"/>
                </a:ext>
                <a:ext uri="{FF2B5EF4-FFF2-40B4-BE49-F238E27FC236}">
                  <a16:creationId xmlns:a16="http://schemas.microsoft.com/office/drawing/2014/main" id="{00000000-0008-0000-0400-00002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63500</xdr:rowOff>
        </xdr:from>
        <xdr:to>
          <xdr:col>5</xdr:col>
          <xdr:colOff>368300</xdr:colOff>
          <xdr:row>9</xdr:row>
          <xdr:rowOff>546100</xdr:rowOff>
        </xdr:to>
        <xdr:sp macro="" textlink="">
          <xdr:nvSpPr>
            <xdr:cNvPr id="5157" name="Option Button 37" hidden="1">
              <a:extLst>
                <a:ext uri="{63B3BB69-23CF-44E3-9099-C40C66FF867C}">
                  <a14:compatExt spid="_x0000_s5157"/>
                </a:ext>
                <a:ext uri="{FF2B5EF4-FFF2-40B4-BE49-F238E27FC236}">
                  <a16:creationId xmlns:a16="http://schemas.microsoft.com/office/drawing/2014/main" id="{00000000-0008-0000-0400-00002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76200</xdr:rowOff>
        </xdr:from>
        <xdr:to>
          <xdr:col>3</xdr:col>
          <xdr:colOff>25400</xdr:colOff>
          <xdr:row>20</xdr:row>
          <xdr:rowOff>279400</xdr:rowOff>
        </xdr:to>
        <xdr:sp macro="" textlink="">
          <xdr:nvSpPr>
            <xdr:cNvPr id="5170" name="Option Button 50" hidden="1">
              <a:extLst>
                <a:ext uri="{63B3BB69-23CF-44E3-9099-C40C66FF867C}">
                  <a14:compatExt spid="_x0000_s5170"/>
                </a:ext>
                <a:ext uri="{FF2B5EF4-FFF2-40B4-BE49-F238E27FC236}">
                  <a16:creationId xmlns:a16="http://schemas.microsoft.com/office/drawing/2014/main" id="{00000000-0008-0000-0400-00003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165100</xdr:rowOff>
        </xdr:from>
        <xdr:to>
          <xdr:col>3</xdr:col>
          <xdr:colOff>25400</xdr:colOff>
          <xdr:row>21</xdr:row>
          <xdr:rowOff>444500</xdr:rowOff>
        </xdr:to>
        <xdr:sp macro="" textlink="">
          <xdr:nvSpPr>
            <xdr:cNvPr id="5174" name="Option Button 54" hidden="1">
              <a:extLst>
                <a:ext uri="{63B3BB69-23CF-44E3-9099-C40C66FF867C}">
                  <a14:compatExt spid="_x0000_s5174"/>
                </a:ext>
                <a:ext uri="{FF2B5EF4-FFF2-40B4-BE49-F238E27FC236}">
                  <a16:creationId xmlns:a16="http://schemas.microsoft.com/office/drawing/2014/main" id="{00000000-0008-0000-0400-00003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165100</xdr:rowOff>
        </xdr:from>
        <xdr:to>
          <xdr:col>3</xdr:col>
          <xdr:colOff>457200</xdr:colOff>
          <xdr:row>21</xdr:row>
          <xdr:rowOff>444500</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400-00003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21</xdr:row>
          <xdr:rowOff>165100</xdr:rowOff>
        </xdr:from>
        <xdr:to>
          <xdr:col>4</xdr:col>
          <xdr:colOff>482600</xdr:colOff>
          <xdr:row>21</xdr:row>
          <xdr:rowOff>444500</xdr:rowOff>
        </xdr:to>
        <xdr:sp macro="" textlink="">
          <xdr:nvSpPr>
            <xdr:cNvPr id="5176" name="Option Button 56" hidden="1">
              <a:extLst>
                <a:ext uri="{63B3BB69-23CF-44E3-9099-C40C66FF867C}">
                  <a14:compatExt spid="_x0000_s5176"/>
                </a:ext>
                <a:ext uri="{FF2B5EF4-FFF2-40B4-BE49-F238E27FC236}">
                  <a16:creationId xmlns:a16="http://schemas.microsoft.com/office/drawing/2014/main" id="{00000000-0008-0000-0400-00003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21</xdr:row>
          <xdr:rowOff>165100</xdr:rowOff>
        </xdr:from>
        <xdr:to>
          <xdr:col>5</xdr:col>
          <xdr:colOff>381000</xdr:colOff>
          <xdr:row>21</xdr:row>
          <xdr:rowOff>444500</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400-00003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22</xdr:row>
          <xdr:rowOff>63500</xdr:rowOff>
        </xdr:from>
        <xdr:to>
          <xdr:col>3</xdr:col>
          <xdr:colOff>50800</xdr:colOff>
          <xdr:row>22</xdr:row>
          <xdr:rowOff>876300</xdr:rowOff>
        </xdr:to>
        <xdr:sp macro="" textlink="">
          <xdr:nvSpPr>
            <xdr:cNvPr id="5178" name="Option Button 58" hidden="1">
              <a:extLst>
                <a:ext uri="{63B3BB69-23CF-44E3-9099-C40C66FF867C}">
                  <a14:compatExt spid="_x0000_s5178"/>
                </a:ext>
                <a:ext uri="{FF2B5EF4-FFF2-40B4-BE49-F238E27FC236}">
                  <a16:creationId xmlns:a16="http://schemas.microsoft.com/office/drawing/2014/main" id="{00000000-0008-0000-0400-00003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63500</xdr:rowOff>
        </xdr:from>
        <xdr:to>
          <xdr:col>3</xdr:col>
          <xdr:colOff>406400</xdr:colOff>
          <xdr:row>22</xdr:row>
          <xdr:rowOff>876300</xdr:rowOff>
        </xdr:to>
        <xdr:sp macro="" textlink="">
          <xdr:nvSpPr>
            <xdr:cNvPr id="5179" name="Option Button 59" hidden="1">
              <a:extLst>
                <a:ext uri="{63B3BB69-23CF-44E3-9099-C40C66FF867C}">
                  <a14:compatExt spid="_x0000_s5179"/>
                </a:ext>
                <a:ext uri="{FF2B5EF4-FFF2-40B4-BE49-F238E27FC236}">
                  <a16:creationId xmlns:a16="http://schemas.microsoft.com/office/drawing/2014/main" id="{00000000-0008-0000-0400-00003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22</xdr:row>
          <xdr:rowOff>63500</xdr:rowOff>
        </xdr:from>
        <xdr:to>
          <xdr:col>4</xdr:col>
          <xdr:colOff>419100</xdr:colOff>
          <xdr:row>22</xdr:row>
          <xdr:rowOff>876300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400-00003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22</xdr:row>
          <xdr:rowOff>63500</xdr:rowOff>
        </xdr:from>
        <xdr:to>
          <xdr:col>5</xdr:col>
          <xdr:colOff>406400</xdr:colOff>
          <xdr:row>22</xdr:row>
          <xdr:rowOff>876300</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400-00003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88900</xdr:rowOff>
        </xdr:from>
        <xdr:to>
          <xdr:col>3</xdr:col>
          <xdr:colOff>368300</xdr:colOff>
          <xdr:row>20</xdr:row>
          <xdr:rowOff>279400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400-00004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76200</xdr:rowOff>
        </xdr:from>
        <xdr:to>
          <xdr:col>4</xdr:col>
          <xdr:colOff>381000</xdr:colOff>
          <xdr:row>20</xdr:row>
          <xdr:rowOff>279400</xdr:rowOff>
        </xdr:to>
        <xdr:sp macro="" textlink="">
          <xdr:nvSpPr>
            <xdr:cNvPr id="5185" name="Option Button 65" hidden="1">
              <a:extLst>
                <a:ext uri="{63B3BB69-23CF-44E3-9099-C40C66FF867C}">
                  <a14:compatExt spid="_x0000_s5185"/>
                </a:ext>
                <a:ext uri="{FF2B5EF4-FFF2-40B4-BE49-F238E27FC236}">
                  <a16:creationId xmlns:a16="http://schemas.microsoft.com/office/drawing/2014/main" id="{00000000-0008-0000-0400-00004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20</xdr:row>
          <xdr:rowOff>88900</xdr:rowOff>
        </xdr:from>
        <xdr:to>
          <xdr:col>5</xdr:col>
          <xdr:colOff>368300</xdr:colOff>
          <xdr:row>20</xdr:row>
          <xdr:rowOff>279400</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400-00004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25400</xdr:rowOff>
        </xdr:from>
        <xdr:to>
          <xdr:col>3</xdr:col>
          <xdr:colOff>63500</xdr:colOff>
          <xdr:row>30</xdr:row>
          <xdr:rowOff>723900</xdr:rowOff>
        </xdr:to>
        <xdr:sp macro="" textlink="">
          <xdr:nvSpPr>
            <xdr:cNvPr id="5191" name="Option Button 71" hidden="1">
              <a:extLst>
                <a:ext uri="{63B3BB69-23CF-44E3-9099-C40C66FF867C}">
                  <a14:compatExt spid="_x0000_s5191"/>
                </a:ext>
                <a:ext uri="{FF2B5EF4-FFF2-40B4-BE49-F238E27FC236}">
                  <a16:creationId xmlns:a16="http://schemas.microsoft.com/office/drawing/2014/main" id="{00000000-0008-0000-0400-00004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25400</xdr:rowOff>
        </xdr:from>
        <xdr:to>
          <xdr:col>3</xdr:col>
          <xdr:colOff>393700</xdr:colOff>
          <xdr:row>30</xdr:row>
          <xdr:rowOff>711200</xdr:rowOff>
        </xdr:to>
        <xdr:sp macro="" textlink="">
          <xdr:nvSpPr>
            <xdr:cNvPr id="5192" name="Option Button 72" hidden="1">
              <a:extLst>
                <a:ext uri="{63B3BB69-23CF-44E3-9099-C40C66FF867C}">
                  <a14:compatExt spid="_x0000_s5192"/>
                </a:ext>
                <a:ext uri="{FF2B5EF4-FFF2-40B4-BE49-F238E27FC236}">
                  <a16:creationId xmlns:a16="http://schemas.microsoft.com/office/drawing/2014/main" id="{00000000-0008-0000-0400-00004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30</xdr:row>
          <xdr:rowOff>25400</xdr:rowOff>
        </xdr:from>
        <xdr:to>
          <xdr:col>4</xdr:col>
          <xdr:colOff>368300</xdr:colOff>
          <xdr:row>30</xdr:row>
          <xdr:rowOff>723900</xdr:rowOff>
        </xdr:to>
        <xdr:sp macro="" textlink="">
          <xdr:nvSpPr>
            <xdr:cNvPr id="5193" name="Option Button 73" hidden="1">
              <a:extLst>
                <a:ext uri="{63B3BB69-23CF-44E3-9099-C40C66FF867C}">
                  <a14:compatExt spid="_x0000_s5193"/>
                </a:ext>
                <a:ext uri="{FF2B5EF4-FFF2-40B4-BE49-F238E27FC236}">
                  <a16:creationId xmlns:a16="http://schemas.microsoft.com/office/drawing/2014/main" id="{00000000-0008-0000-0400-00004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30</xdr:row>
          <xdr:rowOff>12700</xdr:rowOff>
        </xdr:from>
        <xdr:to>
          <xdr:col>5</xdr:col>
          <xdr:colOff>368300</xdr:colOff>
          <xdr:row>30</xdr:row>
          <xdr:rowOff>723900</xdr:rowOff>
        </xdr:to>
        <xdr:sp macro="" textlink="">
          <xdr:nvSpPr>
            <xdr:cNvPr id="5194" name="Option Button 74" hidden="1">
              <a:extLst>
                <a:ext uri="{63B3BB69-23CF-44E3-9099-C40C66FF867C}">
                  <a14:compatExt spid="_x0000_s5194"/>
                </a:ext>
                <a:ext uri="{FF2B5EF4-FFF2-40B4-BE49-F238E27FC236}">
                  <a16:creationId xmlns:a16="http://schemas.microsoft.com/office/drawing/2014/main" id="{00000000-0008-0000-0400-00004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215900</xdr:rowOff>
        </xdr:from>
        <xdr:to>
          <xdr:col>3</xdr:col>
          <xdr:colOff>25400</xdr:colOff>
          <xdr:row>32</xdr:row>
          <xdr:rowOff>762000</xdr:rowOff>
        </xdr:to>
        <xdr:sp macro="" textlink="">
          <xdr:nvSpPr>
            <xdr:cNvPr id="5199" name="Option Button 79" hidden="1">
              <a:extLst>
                <a:ext uri="{63B3BB69-23CF-44E3-9099-C40C66FF867C}">
                  <a14:compatExt spid="_x0000_s5199"/>
                </a:ext>
                <a:ext uri="{FF2B5EF4-FFF2-40B4-BE49-F238E27FC236}">
                  <a16:creationId xmlns:a16="http://schemas.microsoft.com/office/drawing/2014/main" id="{00000000-0008-0000-0400-00004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215900</xdr:rowOff>
        </xdr:from>
        <xdr:to>
          <xdr:col>3</xdr:col>
          <xdr:colOff>393700</xdr:colOff>
          <xdr:row>32</xdr:row>
          <xdr:rowOff>762000</xdr:rowOff>
        </xdr:to>
        <xdr:sp macro="" textlink="">
          <xdr:nvSpPr>
            <xdr:cNvPr id="5200" name="Option Button 80" hidden="1">
              <a:extLst>
                <a:ext uri="{63B3BB69-23CF-44E3-9099-C40C66FF867C}">
                  <a14:compatExt spid="_x0000_s5200"/>
                </a:ext>
                <a:ext uri="{FF2B5EF4-FFF2-40B4-BE49-F238E27FC236}">
                  <a16:creationId xmlns:a16="http://schemas.microsoft.com/office/drawing/2014/main" id="{00000000-0008-0000-0400-00005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32</xdr:row>
          <xdr:rowOff>228600</xdr:rowOff>
        </xdr:from>
        <xdr:to>
          <xdr:col>4</xdr:col>
          <xdr:colOff>381000</xdr:colOff>
          <xdr:row>32</xdr:row>
          <xdr:rowOff>762000</xdr:rowOff>
        </xdr:to>
        <xdr:sp macro="" textlink="">
          <xdr:nvSpPr>
            <xdr:cNvPr id="5201" name="Option Button 81" hidden="1">
              <a:extLst>
                <a:ext uri="{63B3BB69-23CF-44E3-9099-C40C66FF867C}">
                  <a14:compatExt spid="_x0000_s5201"/>
                </a:ext>
                <a:ext uri="{FF2B5EF4-FFF2-40B4-BE49-F238E27FC236}">
                  <a16:creationId xmlns:a16="http://schemas.microsoft.com/office/drawing/2014/main" id="{00000000-0008-0000-0400-00005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32</xdr:row>
          <xdr:rowOff>215900</xdr:rowOff>
        </xdr:from>
        <xdr:to>
          <xdr:col>5</xdr:col>
          <xdr:colOff>355600</xdr:colOff>
          <xdr:row>32</xdr:row>
          <xdr:rowOff>762000</xdr:rowOff>
        </xdr:to>
        <xdr:sp macro="" textlink="">
          <xdr:nvSpPr>
            <xdr:cNvPr id="5202" name="Option Button 82" hidden="1">
              <a:extLst>
                <a:ext uri="{63B3BB69-23CF-44E3-9099-C40C66FF867C}">
                  <a14:compatExt spid="_x0000_s5202"/>
                </a:ext>
                <a:ext uri="{FF2B5EF4-FFF2-40B4-BE49-F238E27FC236}">
                  <a16:creationId xmlns:a16="http://schemas.microsoft.com/office/drawing/2014/main" id="{00000000-0008-0000-0400-00005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76200</xdr:rowOff>
        </xdr:from>
        <xdr:to>
          <xdr:col>3</xdr:col>
          <xdr:colOff>101600</xdr:colOff>
          <xdr:row>33</xdr:row>
          <xdr:rowOff>749300</xdr:rowOff>
        </xdr:to>
        <xdr:sp macro="" textlink="">
          <xdr:nvSpPr>
            <xdr:cNvPr id="5203" name="Option Button 83" hidden="1">
              <a:extLst>
                <a:ext uri="{63B3BB69-23CF-44E3-9099-C40C66FF867C}">
                  <a14:compatExt spid="_x0000_s5203"/>
                </a:ext>
                <a:ext uri="{FF2B5EF4-FFF2-40B4-BE49-F238E27FC236}">
                  <a16:creationId xmlns:a16="http://schemas.microsoft.com/office/drawing/2014/main" id="{00000000-0008-0000-0400-00005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76200</xdr:rowOff>
        </xdr:from>
        <xdr:to>
          <xdr:col>3</xdr:col>
          <xdr:colOff>342900</xdr:colOff>
          <xdr:row>33</xdr:row>
          <xdr:rowOff>749300</xdr:rowOff>
        </xdr:to>
        <xdr:sp macro="" textlink="">
          <xdr:nvSpPr>
            <xdr:cNvPr id="5204" name="Option Button 84" hidden="1">
              <a:extLst>
                <a:ext uri="{63B3BB69-23CF-44E3-9099-C40C66FF867C}">
                  <a14:compatExt spid="_x0000_s5204"/>
                </a:ext>
                <a:ext uri="{FF2B5EF4-FFF2-40B4-BE49-F238E27FC236}">
                  <a16:creationId xmlns:a16="http://schemas.microsoft.com/office/drawing/2014/main" id="{00000000-0008-0000-0400-00005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33</xdr:row>
          <xdr:rowOff>88900</xdr:rowOff>
        </xdr:from>
        <xdr:to>
          <xdr:col>4</xdr:col>
          <xdr:colOff>381000</xdr:colOff>
          <xdr:row>33</xdr:row>
          <xdr:rowOff>749300</xdr:rowOff>
        </xdr:to>
        <xdr:sp macro="" textlink="">
          <xdr:nvSpPr>
            <xdr:cNvPr id="5205" name="Option Button 85" hidden="1">
              <a:extLst>
                <a:ext uri="{63B3BB69-23CF-44E3-9099-C40C66FF867C}">
                  <a14:compatExt spid="_x0000_s5205"/>
                </a:ext>
                <a:ext uri="{FF2B5EF4-FFF2-40B4-BE49-F238E27FC236}">
                  <a16:creationId xmlns:a16="http://schemas.microsoft.com/office/drawing/2014/main" id="{00000000-0008-0000-0400-00005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33</xdr:row>
          <xdr:rowOff>50800</xdr:rowOff>
        </xdr:from>
        <xdr:to>
          <xdr:col>5</xdr:col>
          <xdr:colOff>368300</xdr:colOff>
          <xdr:row>33</xdr:row>
          <xdr:rowOff>774700</xdr:rowOff>
        </xdr:to>
        <xdr:sp macro="" textlink="">
          <xdr:nvSpPr>
            <xdr:cNvPr id="5206" name="Option Button 86" hidden="1">
              <a:extLst>
                <a:ext uri="{63B3BB69-23CF-44E3-9099-C40C66FF867C}">
                  <a14:compatExt spid="_x0000_s5206"/>
                </a:ext>
                <a:ext uri="{FF2B5EF4-FFF2-40B4-BE49-F238E27FC236}">
                  <a16:creationId xmlns:a16="http://schemas.microsoft.com/office/drawing/2014/main" id="{00000000-0008-0000-0400-00005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127000</xdr:rowOff>
        </xdr:from>
        <xdr:to>
          <xdr:col>3</xdr:col>
          <xdr:colOff>25400</xdr:colOff>
          <xdr:row>40</xdr:row>
          <xdr:rowOff>457200</xdr:rowOff>
        </xdr:to>
        <xdr:sp macro="" textlink="">
          <xdr:nvSpPr>
            <xdr:cNvPr id="5211" name="Option Button 91" hidden="1">
              <a:extLst>
                <a:ext uri="{63B3BB69-23CF-44E3-9099-C40C66FF867C}">
                  <a14:compatExt spid="_x0000_s5211"/>
                </a:ext>
                <a:ext uri="{FF2B5EF4-FFF2-40B4-BE49-F238E27FC236}">
                  <a16:creationId xmlns:a16="http://schemas.microsoft.com/office/drawing/2014/main" id="{00000000-0008-0000-0400-00005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40</xdr:row>
          <xdr:rowOff>127000</xdr:rowOff>
        </xdr:from>
        <xdr:to>
          <xdr:col>3</xdr:col>
          <xdr:colOff>469900</xdr:colOff>
          <xdr:row>40</xdr:row>
          <xdr:rowOff>457200</xdr:rowOff>
        </xdr:to>
        <xdr:sp macro="" textlink="">
          <xdr:nvSpPr>
            <xdr:cNvPr id="5212" name="Option Button 92" hidden="1">
              <a:extLst>
                <a:ext uri="{63B3BB69-23CF-44E3-9099-C40C66FF867C}">
                  <a14:compatExt spid="_x0000_s5212"/>
                </a:ext>
                <a:ext uri="{FF2B5EF4-FFF2-40B4-BE49-F238E27FC236}">
                  <a16:creationId xmlns:a16="http://schemas.microsoft.com/office/drawing/2014/main" id="{00000000-0008-0000-0400-00005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40</xdr:row>
          <xdr:rowOff>127000</xdr:rowOff>
        </xdr:from>
        <xdr:to>
          <xdr:col>4</xdr:col>
          <xdr:colOff>355600</xdr:colOff>
          <xdr:row>40</xdr:row>
          <xdr:rowOff>457200</xdr:rowOff>
        </xdr:to>
        <xdr:sp macro="" textlink="">
          <xdr:nvSpPr>
            <xdr:cNvPr id="5213" name="Option Button 93" hidden="1">
              <a:extLst>
                <a:ext uri="{63B3BB69-23CF-44E3-9099-C40C66FF867C}">
                  <a14:compatExt spid="_x0000_s5213"/>
                </a:ext>
                <a:ext uri="{FF2B5EF4-FFF2-40B4-BE49-F238E27FC236}">
                  <a16:creationId xmlns:a16="http://schemas.microsoft.com/office/drawing/2014/main" id="{00000000-0008-0000-0400-00005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40</xdr:row>
          <xdr:rowOff>127000</xdr:rowOff>
        </xdr:from>
        <xdr:to>
          <xdr:col>5</xdr:col>
          <xdr:colOff>355600</xdr:colOff>
          <xdr:row>40</xdr:row>
          <xdr:rowOff>457200</xdr:rowOff>
        </xdr:to>
        <xdr:sp macro="" textlink="">
          <xdr:nvSpPr>
            <xdr:cNvPr id="5214" name="Option Button 94" hidden="1">
              <a:extLst>
                <a:ext uri="{63B3BB69-23CF-44E3-9099-C40C66FF867C}">
                  <a14:compatExt spid="_x0000_s5214"/>
                </a:ext>
                <a:ext uri="{FF2B5EF4-FFF2-40B4-BE49-F238E27FC236}">
                  <a16:creationId xmlns:a16="http://schemas.microsoft.com/office/drawing/2014/main" id="{00000000-0008-0000-0400-00005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41</xdr:row>
          <xdr:rowOff>88900</xdr:rowOff>
        </xdr:from>
        <xdr:to>
          <xdr:col>3</xdr:col>
          <xdr:colOff>25400</xdr:colOff>
          <xdr:row>41</xdr:row>
          <xdr:rowOff>711200</xdr:rowOff>
        </xdr:to>
        <xdr:sp macro="" textlink="">
          <xdr:nvSpPr>
            <xdr:cNvPr id="5215" name="Option Button 95" hidden="1">
              <a:extLst>
                <a:ext uri="{63B3BB69-23CF-44E3-9099-C40C66FF867C}">
                  <a14:compatExt spid="_x0000_s5215"/>
                </a:ext>
                <a:ext uri="{FF2B5EF4-FFF2-40B4-BE49-F238E27FC236}">
                  <a16:creationId xmlns:a16="http://schemas.microsoft.com/office/drawing/2014/main" id="{00000000-0008-0000-0400-00005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88900</xdr:rowOff>
        </xdr:from>
        <xdr:to>
          <xdr:col>3</xdr:col>
          <xdr:colOff>406400</xdr:colOff>
          <xdr:row>41</xdr:row>
          <xdr:rowOff>711200</xdr:rowOff>
        </xdr:to>
        <xdr:sp macro="" textlink="">
          <xdr:nvSpPr>
            <xdr:cNvPr id="5216" name="Option Button 96" hidden="1">
              <a:extLst>
                <a:ext uri="{63B3BB69-23CF-44E3-9099-C40C66FF867C}">
                  <a14:compatExt spid="_x0000_s5216"/>
                </a:ext>
                <a:ext uri="{FF2B5EF4-FFF2-40B4-BE49-F238E27FC236}">
                  <a16:creationId xmlns:a16="http://schemas.microsoft.com/office/drawing/2014/main" id="{00000000-0008-0000-0400-00006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41</xdr:row>
          <xdr:rowOff>88900</xdr:rowOff>
        </xdr:from>
        <xdr:to>
          <xdr:col>4</xdr:col>
          <xdr:colOff>406400</xdr:colOff>
          <xdr:row>41</xdr:row>
          <xdr:rowOff>711200</xdr:rowOff>
        </xdr:to>
        <xdr:sp macro="" textlink="">
          <xdr:nvSpPr>
            <xdr:cNvPr id="5217" name="Option Button 97" hidden="1">
              <a:extLst>
                <a:ext uri="{63B3BB69-23CF-44E3-9099-C40C66FF867C}">
                  <a14:compatExt spid="_x0000_s5217"/>
                </a:ext>
                <a:ext uri="{FF2B5EF4-FFF2-40B4-BE49-F238E27FC236}">
                  <a16:creationId xmlns:a16="http://schemas.microsoft.com/office/drawing/2014/main" id="{00000000-0008-0000-0400-00006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41</xdr:row>
          <xdr:rowOff>88900</xdr:rowOff>
        </xdr:from>
        <xdr:to>
          <xdr:col>5</xdr:col>
          <xdr:colOff>368300</xdr:colOff>
          <xdr:row>41</xdr:row>
          <xdr:rowOff>711200</xdr:rowOff>
        </xdr:to>
        <xdr:sp macro="" textlink="">
          <xdr:nvSpPr>
            <xdr:cNvPr id="5218" name="Option Button 98" hidden="1">
              <a:extLst>
                <a:ext uri="{63B3BB69-23CF-44E3-9099-C40C66FF867C}">
                  <a14:compatExt spid="_x0000_s5218"/>
                </a:ext>
                <a:ext uri="{FF2B5EF4-FFF2-40B4-BE49-F238E27FC236}">
                  <a16:creationId xmlns:a16="http://schemas.microsoft.com/office/drawing/2014/main" id="{00000000-0008-0000-0400-00006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42</xdr:row>
          <xdr:rowOff>444500</xdr:rowOff>
        </xdr:from>
        <xdr:to>
          <xdr:col>2</xdr:col>
          <xdr:colOff>342900</xdr:colOff>
          <xdr:row>42</xdr:row>
          <xdr:rowOff>673100</xdr:rowOff>
        </xdr:to>
        <xdr:sp macro="" textlink="">
          <xdr:nvSpPr>
            <xdr:cNvPr id="5219" name="Option Button 99" hidden="1">
              <a:extLst>
                <a:ext uri="{63B3BB69-23CF-44E3-9099-C40C66FF867C}">
                  <a14:compatExt spid="_x0000_s5219"/>
                </a:ext>
                <a:ext uri="{FF2B5EF4-FFF2-40B4-BE49-F238E27FC236}">
                  <a16:creationId xmlns:a16="http://schemas.microsoft.com/office/drawing/2014/main" id="{00000000-0008-0000-0400-00006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444500</xdr:rowOff>
        </xdr:from>
        <xdr:to>
          <xdr:col>3</xdr:col>
          <xdr:colOff>381000</xdr:colOff>
          <xdr:row>42</xdr:row>
          <xdr:rowOff>673100</xdr:rowOff>
        </xdr:to>
        <xdr:sp macro="" textlink="">
          <xdr:nvSpPr>
            <xdr:cNvPr id="5220" name="Option Button 100" hidden="1">
              <a:extLst>
                <a:ext uri="{63B3BB69-23CF-44E3-9099-C40C66FF867C}">
                  <a14:compatExt spid="_x0000_s5220"/>
                </a:ext>
                <a:ext uri="{FF2B5EF4-FFF2-40B4-BE49-F238E27FC236}">
                  <a16:creationId xmlns:a16="http://schemas.microsoft.com/office/drawing/2014/main" id="{00000000-0008-0000-0400-00006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42</xdr:row>
          <xdr:rowOff>419100</xdr:rowOff>
        </xdr:from>
        <xdr:to>
          <xdr:col>4</xdr:col>
          <xdr:colOff>381000</xdr:colOff>
          <xdr:row>42</xdr:row>
          <xdr:rowOff>685800</xdr:rowOff>
        </xdr:to>
        <xdr:sp macro="" textlink="">
          <xdr:nvSpPr>
            <xdr:cNvPr id="5221" name="Option Button 101" hidden="1">
              <a:extLst>
                <a:ext uri="{63B3BB69-23CF-44E3-9099-C40C66FF867C}">
                  <a14:compatExt spid="_x0000_s5221"/>
                </a:ext>
                <a:ext uri="{FF2B5EF4-FFF2-40B4-BE49-F238E27FC236}">
                  <a16:creationId xmlns:a16="http://schemas.microsoft.com/office/drawing/2014/main" id="{00000000-0008-0000-0400-00006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42</xdr:row>
          <xdr:rowOff>431800</xdr:rowOff>
        </xdr:from>
        <xdr:to>
          <xdr:col>5</xdr:col>
          <xdr:colOff>381000</xdr:colOff>
          <xdr:row>42</xdr:row>
          <xdr:rowOff>673100</xdr:rowOff>
        </xdr:to>
        <xdr:sp macro="" textlink="">
          <xdr:nvSpPr>
            <xdr:cNvPr id="5222" name="Option Button 102" hidden="1">
              <a:extLst>
                <a:ext uri="{63B3BB69-23CF-44E3-9099-C40C66FF867C}">
                  <a14:compatExt spid="_x0000_s5222"/>
                </a:ext>
                <a:ext uri="{FF2B5EF4-FFF2-40B4-BE49-F238E27FC236}">
                  <a16:creationId xmlns:a16="http://schemas.microsoft.com/office/drawing/2014/main" id="{00000000-0008-0000-0400-00006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76200</xdr:rowOff>
        </xdr:from>
        <xdr:to>
          <xdr:col>2</xdr:col>
          <xdr:colOff>342900</xdr:colOff>
          <xdr:row>31</xdr:row>
          <xdr:rowOff>711200</xdr:rowOff>
        </xdr:to>
        <xdr:sp macro="" textlink="">
          <xdr:nvSpPr>
            <xdr:cNvPr id="5231" name="Option Button 111" hidden="1">
              <a:extLst>
                <a:ext uri="{63B3BB69-23CF-44E3-9099-C40C66FF867C}">
                  <a14:compatExt spid="_x0000_s5231"/>
                </a:ext>
                <a:ext uri="{FF2B5EF4-FFF2-40B4-BE49-F238E27FC236}">
                  <a16:creationId xmlns:a16="http://schemas.microsoft.com/office/drawing/2014/main" id="{00000000-0008-0000-0400-00006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50800</xdr:rowOff>
        </xdr:from>
        <xdr:to>
          <xdr:col>3</xdr:col>
          <xdr:colOff>342900</xdr:colOff>
          <xdr:row>31</xdr:row>
          <xdr:rowOff>723900</xdr:rowOff>
        </xdr:to>
        <xdr:sp macro="" textlink="">
          <xdr:nvSpPr>
            <xdr:cNvPr id="5232" name="Option Button 112" hidden="1">
              <a:extLst>
                <a:ext uri="{63B3BB69-23CF-44E3-9099-C40C66FF867C}">
                  <a14:compatExt spid="_x0000_s5232"/>
                </a:ext>
                <a:ext uri="{FF2B5EF4-FFF2-40B4-BE49-F238E27FC236}">
                  <a16:creationId xmlns:a16="http://schemas.microsoft.com/office/drawing/2014/main" id="{00000000-0008-0000-0400-00007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31</xdr:row>
          <xdr:rowOff>63500</xdr:rowOff>
        </xdr:from>
        <xdr:to>
          <xdr:col>4</xdr:col>
          <xdr:colOff>355600</xdr:colOff>
          <xdr:row>31</xdr:row>
          <xdr:rowOff>723900</xdr:rowOff>
        </xdr:to>
        <xdr:sp macro="" textlink="">
          <xdr:nvSpPr>
            <xdr:cNvPr id="5233" name="Option Button 113" hidden="1">
              <a:extLst>
                <a:ext uri="{63B3BB69-23CF-44E3-9099-C40C66FF867C}">
                  <a14:compatExt spid="_x0000_s5233"/>
                </a:ext>
                <a:ext uri="{FF2B5EF4-FFF2-40B4-BE49-F238E27FC236}">
                  <a16:creationId xmlns:a16="http://schemas.microsoft.com/office/drawing/2014/main" id="{00000000-0008-0000-0400-00007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31</xdr:row>
          <xdr:rowOff>63500</xdr:rowOff>
        </xdr:from>
        <xdr:to>
          <xdr:col>5</xdr:col>
          <xdr:colOff>355600</xdr:colOff>
          <xdr:row>31</xdr:row>
          <xdr:rowOff>723900</xdr:rowOff>
        </xdr:to>
        <xdr:sp macro="" textlink="">
          <xdr:nvSpPr>
            <xdr:cNvPr id="5234" name="Option Button 114" hidden="1">
              <a:extLst>
                <a:ext uri="{63B3BB69-23CF-44E3-9099-C40C66FF867C}">
                  <a14:compatExt spid="_x0000_s5234"/>
                </a:ext>
                <a:ext uri="{FF2B5EF4-FFF2-40B4-BE49-F238E27FC236}">
                  <a16:creationId xmlns:a16="http://schemas.microsoft.com/office/drawing/2014/main" id="{00000000-0008-0000-0400-00007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xdr:row>
          <xdr:rowOff>127000</xdr:rowOff>
        </xdr:from>
        <xdr:to>
          <xdr:col>6</xdr:col>
          <xdr:colOff>876300</xdr:colOff>
          <xdr:row>6</xdr:row>
          <xdr:rowOff>469900</xdr:rowOff>
        </xdr:to>
        <xdr:sp macro="" textlink="">
          <xdr:nvSpPr>
            <xdr:cNvPr id="5235" name="Option Button 115" hidden="1">
              <a:extLst>
                <a:ext uri="{63B3BB69-23CF-44E3-9099-C40C66FF867C}">
                  <a14:compatExt spid="_x0000_s5235"/>
                </a:ext>
                <a:ext uri="{FF2B5EF4-FFF2-40B4-BE49-F238E27FC236}">
                  <a16:creationId xmlns:a16="http://schemas.microsoft.com/office/drawing/2014/main" id="{00000000-0008-0000-0400-00007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xdr:row>
          <xdr:rowOff>114300</xdr:rowOff>
        </xdr:from>
        <xdr:to>
          <xdr:col>7</xdr:col>
          <xdr:colOff>25400</xdr:colOff>
          <xdr:row>7</xdr:row>
          <xdr:rowOff>495300</xdr:rowOff>
        </xdr:to>
        <xdr:sp macro="" textlink="">
          <xdr:nvSpPr>
            <xdr:cNvPr id="5236" name="Option Button 116" hidden="1">
              <a:extLst>
                <a:ext uri="{63B3BB69-23CF-44E3-9099-C40C66FF867C}">
                  <a14:compatExt spid="_x0000_s5236"/>
                </a:ext>
                <a:ext uri="{FF2B5EF4-FFF2-40B4-BE49-F238E27FC236}">
                  <a16:creationId xmlns:a16="http://schemas.microsoft.com/office/drawing/2014/main" id="{00000000-0008-0000-0400-00007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8</xdr:row>
          <xdr:rowOff>177800</xdr:rowOff>
        </xdr:from>
        <xdr:to>
          <xdr:col>7</xdr:col>
          <xdr:colOff>38100</xdr:colOff>
          <xdr:row>8</xdr:row>
          <xdr:rowOff>558800</xdr:rowOff>
        </xdr:to>
        <xdr:sp macro="" textlink="">
          <xdr:nvSpPr>
            <xdr:cNvPr id="5237" name="Option Button 117" hidden="1">
              <a:extLst>
                <a:ext uri="{63B3BB69-23CF-44E3-9099-C40C66FF867C}">
                  <a14:compatExt spid="_x0000_s5237"/>
                </a:ext>
                <a:ext uri="{FF2B5EF4-FFF2-40B4-BE49-F238E27FC236}">
                  <a16:creationId xmlns:a16="http://schemas.microsoft.com/office/drawing/2014/main" id="{00000000-0008-0000-0400-00007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9</xdr:row>
          <xdr:rowOff>63500</xdr:rowOff>
        </xdr:from>
        <xdr:to>
          <xdr:col>7</xdr:col>
          <xdr:colOff>88900</xdr:colOff>
          <xdr:row>9</xdr:row>
          <xdr:rowOff>546100</xdr:rowOff>
        </xdr:to>
        <xdr:sp macro="" textlink="">
          <xdr:nvSpPr>
            <xdr:cNvPr id="5238" name="Option Button 118" hidden="1">
              <a:extLst>
                <a:ext uri="{63B3BB69-23CF-44E3-9099-C40C66FF867C}">
                  <a14:compatExt spid="_x0000_s5238"/>
                </a:ext>
                <a:ext uri="{FF2B5EF4-FFF2-40B4-BE49-F238E27FC236}">
                  <a16:creationId xmlns:a16="http://schemas.microsoft.com/office/drawing/2014/main" id="{00000000-0008-0000-0400-00007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3619500</xdr:colOff>
          <xdr:row>10</xdr:row>
          <xdr:rowOff>88900</xdr:rowOff>
        </xdr:from>
        <xdr:to>
          <xdr:col>7</xdr:col>
          <xdr:colOff>139700</xdr:colOff>
          <xdr:row>10</xdr:row>
          <xdr:rowOff>520700</xdr:rowOff>
        </xdr:to>
        <xdr:sp macro="" textlink="">
          <xdr:nvSpPr>
            <xdr:cNvPr id="5245" name="Group Box 125" hidden="1">
              <a:extLst>
                <a:ext uri="{63B3BB69-23CF-44E3-9099-C40C66FF867C}">
                  <a14:compatExt spid="_x0000_s5245"/>
                </a:ext>
                <a:ext uri="{FF2B5EF4-FFF2-40B4-BE49-F238E27FC236}">
                  <a16:creationId xmlns:a16="http://schemas.microsoft.com/office/drawing/2014/main" id="{00000000-0008-0000-0400-00007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10</xdr:row>
          <xdr:rowOff>152400</xdr:rowOff>
        </xdr:from>
        <xdr:to>
          <xdr:col>2</xdr:col>
          <xdr:colOff>355600</xdr:colOff>
          <xdr:row>10</xdr:row>
          <xdr:rowOff>469900</xdr:rowOff>
        </xdr:to>
        <xdr:sp macro="" textlink="">
          <xdr:nvSpPr>
            <xdr:cNvPr id="5246" name="Option Button 126" hidden="1">
              <a:extLst>
                <a:ext uri="{63B3BB69-23CF-44E3-9099-C40C66FF867C}">
                  <a14:compatExt spid="_x0000_s5246"/>
                </a:ext>
                <a:ext uri="{FF2B5EF4-FFF2-40B4-BE49-F238E27FC236}">
                  <a16:creationId xmlns:a16="http://schemas.microsoft.com/office/drawing/2014/main" id="{00000000-0008-0000-0400-00007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127000</xdr:rowOff>
        </xdr:from>
        <xdr:to>
          <xdr:col>3</xdr:col>
          <xdr:colOff>292100</xdr:colOff>
          <xdr:row>10</xdr:row>
          <xdr:rowOff>482600</xdr:rowOff>
        </xdr:to>
        <xdr:sp macro="" textlink="">
          <xdr:nvSpPr>
            <xdr:cNvPr id="5247" name="Option Button 127" hidden="1">
              <a:extLst>
                <a:ext uri="{63B3BB69-23CF-44E3-9099-C40C66FF867C}">
                  <a14:compatExt spid="_x0000_s5247"/>
                </a:ext>
                <a:ext uri="{FF2B5EF4-FFF2-40B4-BE49-F238E27FC236}">
                  <a16:creationId xmlns:a16="http://schemas.microsoft.com/office/drawing/2014/main" id="{00000000-0008-0000-0400-00007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xdr:row>
          <xdr:rowOff>127000</xdr:rowOff>
        </xdr:from>
        <xdr:to>
          <xdr:col>4</xdr:col>
          <xdr:colOff>330200</xdr:colOff>
          <xdr:row>10</xdr:row>
          <xdr:rowOff>495300</xdr:rowOff>
        </xdr:to>
        <xdr:sp macro="" textlink="">
          <xdr:nvSpPr>
            <xdr:cNvPr id="5248" name="Option Button 128" hidden="1">
              <a:extLst>
                <a:ext uri="{63B3BB69-23CF-44E3-9099-C40C66FF867C}">
                  <a14:compatExt spid="_x0000_s5248"/>
                </a:ext>
                <a:ext uri="{FF2B5EF4-FFF2-40B4-BE49-F238E27FC236}">
                  <a16:creationId xmlns:a16="http://schemas.microsoft.com/office/drawing/2014/main" id="{00000000-0008-0000-0400-00008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127000</xdr:rowOff>
        </xdr:from>
        <xdr:to>
          <xdr:col>5</xdr:col>
          <xdr:colOff>330200</xdr:colOff>
          <xdr:row>10</xdr:row>
          <xdr:rowOff>495300</xdr:rowOff>
        </xdr:to>
        <xdr:sp macro="" textlink="">
          <xdr:nvSpPr>
            <xdr:cNvPr id="5249" name="Option Button 129" hidden="1">
              <a:extLst>
                <a:ext uri="{63B3BB69-23CF-44E3-9099-C40C66FF867C}">
                  <a14:compatExt spid="_x0000_s5249"/>
                </a:ext>
                <a:ext uri="{FF2B5EF4-FFF2-40B4-BE49-F238E27FC236}">
                  <a16:creationId xmlns:a16="http://schemas.microsoft.com/office/drawing/2014/main" id="{00000000-0008-0000-0400-00008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20</xdr:row>
          <xdr:rowOff>63500</xdr:rowOff>
        </xdr:from>
        <xdr:to>
          <xdr:col>7</xdr:col>
          <xdr:colOff>177800</xdr:colOff>
          <xdr:row>20</xdr:row>
          <xdr:rowOff>292100</xdr:rowOff>
        </xdr:to>
        <xdr:sp macro="" textlink="">
          <xdr:nvSpPr>
            <xdr:cNvPr id="5253" name="Option Button 133" hidden="1">
              <a:extLst>
                <a:ext uri="{63B3BB69-23CF-44E3-9099-C40C66FF867C}">
                  <a14:compatExt spid="_x0000_s5253"/>
                </a:ext>
                <a:ext uri="{FF2B5EF4-FFF2-40B4-BE49-F238E27FC236}">
                  <a16:creationId xmlns:a16="http://schemas.microsoft.com/office/drawing/2014/main" id="{00000000-0008-0000-0400-00008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10</xdr:row>
          <xdr:rowOff>114300</xdr:rowOff>
        </xdr:from>
        <xdr:to>
          <xdr:col>6</xdr:col>
          <xdr:colOff>825500</xdr:colOff>
          <xdr:row>10</xdr:row>
          <xdr:rowOff>495300</xdr:rowOff>
        </xdr:to>
        <xdr:sp macro="" textlink="">
          <xdr:nvSpPr>
            <xdr:cNvPr id="5256" name="Option Button 136" hidden="1">
              <a:extLst>
                <a:ext uri="{63B3BB69-23CF-44E3-9099-C40C66FF867C}">
                  <a14:compatExt spid="_x0000_s5256"/>
                </a:ext>
                <a:ext uri="{FF2B5EF4-FFF2-40B4-BE49-F238E27FC236}">
                  <a16:creationId xmlns:a16="http://schemas.microsoft.com/office/drawing/2014/main" id="{00000000-0008-0000-0400-00008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152400</xdr:rowOff>
        </xdr:from>
        <xdr:to>
          <xdr:col>2</xdr:col>
          <xdr:colOff>317500</xdr:colOff>
          <xdr:row>19</xdr:row>
          <xdr:rowOff>1003300</xdr:rowOff>
        </xdr:to>
        <xdr:sp macro="" textlink="">
          <xdr:nvSpPr>
            <xdr:cNvPr id="5260" name="Option Button 140" hidden="1">
              <a:extLst>
                <a:ext uri="{63B3BB69-23CF-44E3-9099-C40C66FF867C}">
                  <a14:compatExt spid="_x0000_s5260"/>
                </a:ext>
                <a:ext uri="{FF2B5EF4-FFF2-40B4-BE49-F238E27FC236}">
                  <a16:creationId xmlns:a16="http://schemas.microsoft.com/office/drawing/2014/main" id="{00000000-0008-0000-0400-00008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139700</xdr:rowOff>
        </xdr:from>
        <xdr:to>
          <xdr:col>3</xdr:col>
          <xdr:colOff>368300</xdr:colOff>
          <xdr:row>19</xdr:row>
          <xdr:rowOff>1016000</xdr:rowOff>
        </xdr:to>
        <xdr:sp macro="" textlink="">
          <xdr:nvSpPr>
            <xdr:cNvPr id="5261" name="Option Button 141" hidden="1">
              <a:extLst>
                <a:ext uri="{63B3BB69-23CF-44E3-9099-C40C66FF867C}">
                  <a14:compatExt spid="_x0000_s5261"/>
                </a:ext>
                <a:ext uri="{FF2B5EF4-FFF2-40B4-BE49-F238E27FC236}">
                  <a16:creationId xmlns:a16="http://schemas.microsoft.com/office/drawing/2014/main" id="{00000000-0008-0000-0400-00008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19</xdr:row>
          <xdr:rowOff>152400</xdr:rowOff>
        </xdr:from>
        <xdr:to>
          <xdr:col>4</xdr:col>
          <xdr:colOff>419100</xdr:colOff>
          <xdr:row>19</xdr:row>
          <xdr:rowOff>1003300</xdr:rowOff>
        </xdr:to>
        <xdr:sp macro="" textlink="">
          <xdr:nvSpPr>
            <xdr:cNvPr id="5262" name="Option Button 142" hidden="1">
              <a:extLst>
                <a:ext uri="{63B3BB69-23CF-44E3-9099-C40C66FF867C}">
                  <a14:compatExt spid="_x0000_s5262"/>
                </a:ext>
                <a:ext uri="{FF2B5EF4-FFF2-40B4-BE49-F238E27FC236}">
                  <a16:creationId xmlns:a16="http://schemas.microsoft.com/office/drawing/2014/main" id="{00000000-0008-0000-0400-00008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19</xdr:row>
          <xdr:rowOff>152400</xdr:rowOff>
        </xdr:from>
        <xdr:to>
          <xdr:col>5</xdr:col>
          <xdr:colOff>444500</xdr:colOff>
          <xdr:row>19</xdr:row>
          <xdr:rowOff>1016000</xdr:rowOff>
        </xdr:to>
        <xdr:sp macro="" textlink="">
          <xdr:nvSpPr>
            <xdr:cNvPr id="5263" name="Option Button 143" hidden="1">
              <a:extLst>
                <a:ext uri="{63B3BB69-23CF-44E3-9099-C40C66FF867C}">
                  <a14:compatExt spid="_x0000_s5263"/>
                </a:ext>
                <a:ext uri="{FF2B5EF4-FFF2-40B4-BE49-F238E27FC236}">
                  <a16:creationId xmlns:a16="http://schemas.microsoft.com/office/drawing/2014/main" id="{00000000-0008-0000-0400-00008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19</xdr:row>
          <xdr:rowOff>177800</xdr:rowOff>
        </xdr:from>
        <xdr:to>
          <xdr:col>6</xdr:col>
          <xdr:colOff>927100</xdr:colOff>
          <xdr:row>19</xdr:row>
          <xdr:rowOff>977900</xdr:rowOff>
        </xdr:to>
        <xdr:sp macro="" textlink="">
          <xdr:nvSpPr>
            <xdr:cNvPr id="5264" name="Option Button 144" hidden="1">
              <a:extLst>
                <a:ext uri="{63B3BB69-23CF-44E3-9099-C40C66FF867C}">
                  <a14:compatExt spid="_x0000_s5264"/>
                </a:ext>
                <a:ext uri="{FF2B5EF4-FFF2-40B4-BE49-F238E27FC236}">
                  <a16:creationId xmlns:a16="http://schemas.microsoft.com/office/drawing/2014/main" id="{00000000-0008-0000-0400-00009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30</xdr:row>
          <xdr:rowOff>165100</xdr:rowOff>
        </xdr:from>
        <xdr:to>
          <xdr:col>6</xdr:col>
          <xdr:colOff>723900</xdr:colOff>
          <xdr:row>30</xdr:row>
          <xdr:rowOff>584200</xdr:rowOff>
        </xdr:to>
        <xdr:sp macro="" textlink="">
          <xdr:nvSpPr>
            <xdr:cNvPr id="5266" name="Option Button 146" hidden="1">
              <a:extLst>
                <a:ext uri="{63B3BB69-23CF-44E3-9099-C40C66FF867C}">
                  <a14:compatExt spid="_x0000_s5266"/>
                </a:ext>
                <a:ext uri="{FF2B5EF4-FFF2-40B4-BE49-F238E27FC236}">
                  <a16:creationId xmlns:a16="http://schemas.microsoft.com/office/drawing/2014/main" id="{00000000-0008-0000-0400-00009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31</xdr:row>
          <xdr:rowOff>127000</xdr:rowOff>
        </xdr:from>
        <xdr:to>
          <xdr:col>7</xdr:col>
          <xdr:colOff>25400</xdr:colOff>
          <xdr:row>31</xdr:row>
          <xdr:rowOff>647700</xdr:rowOff>
        </xdr:to>
        <xdr:sp macro="" textlink="">
          <xdr:nvSpPr>
            <xdr:cNvPr id="5267" name="Option Button 147" hidden="1">
              <a:extLst>
                <a:ext uri="{63B3BB69-23CF-44E3-9099-C40C66FF867C}">
                  <a14:compatExt spid="_x0000_s5267"/>
                </a:ext>
                <a:ext uri="{FF2B5EF4-FFF2-40B4-BE49-F238E27FC236}">
                  <a16:creationId xmlns:a16="http://schemas.microsoft.com/office/drawing/2014/main" id="{00000000-0008-0000-0400-00009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32</xdr:row>
          <xdr:rowOff>241300</xdr:rowOff>
        </xdr:from>
        <xdr:to>
          <xdr:col>7</xdr:col>
          <xdr:colOff>25400</xdr:colOff>
          <xdr:row>32</xdr:row>
          <xdr:rowOff>736600</xdr:rowOff>
        </xdr:to>
        <xdr:sp macro="" textlink="">
          <xdr:nvSpPr>
            <xdr:cNvPr id="5268" name="Option Button 148" hidden="1">
              <a:extLst>
                <a:ext uri="{63B3BB69-23CF-44E3-9099-C40C66FF867C}">
                  <a14:compatExt spid="_x0000_s5268"/>
                </a:ext>
                <a:ext uri="{FF2B5EF4-FFF2-40B4-BE49-F238E27FC236}">
                  <a16:creationId xmlns:a16="http://schemas.microsoft.com/office/drawing/2014/main" id="{00000000-0008-0000-0400-00009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33</xdr:row>
          <xdr:rowOff>139700</xdr:rowOff>
        </xdr:from>
        <xdr:to>
          <xdr:col>6</xdr:col>
          <xdr:colOff>812800</xdr:colOff>
          <xdr:row>33</xdr:row>
          <xdr:rowOff>685800</xdr:rowOff>
        </xdr:to>
        <xdr:sp macro="" textlink="">
          <xdr:nvSpPr>
            <xdr:cNvPr id="5272" name="Option Button 152" hidden="1">
              <a:extLst>
                <a:ext uri="{63B3BB69-23CF-44E3-9099-C40C66FF867C}">
                  <a14:compatExt spid="_x0000_s5272"/>
                </a:ext>
                <a:ext uri="{FF2B5EF4-FFF2-40B4-BE49-F238E27FC236}">
                  <a16:creationId xmlns:a16="http://schemas.microsoft.com/office/drawing/2014/main" id="{00000000-0008-0000-0400-00009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3619500</xdr:colOff>
          <xdr:row>29</xdr:row>
          <xdr:rowOff>25400</xdr:rowOff>
        </xdr:from>
        <xdr:to>
          <xdr:col>7</xdr:col>
          <xdr:colOff>139700</xdr:colOff>
          <xdr:row>29</xdr:row>
          <xdr:rowOff>711200</xdr:rowOff>
        </xdr:to>
        <xdr:sp macro="" textlink="">
          <xdr:nvSpPr>
            <xdr:cNvPr id="5273" name="Group Box 153" hidden="1">
              <a:extLst>
                <a:ext uri="{63B3BB69-23CF-44E3-9099-C40C66FF867C}">
                  <a14:compatExt spid="_x0000_s5273"/>
                </a:ext>
                <a:ext uri="{FF2B5EF4-FFF2-40B4-BE49-F238E27FC236}">
                  <a16:creationId xmlns:a16="http://schemas.microsoft.com/office/drawing/2014/main" id="{00000000-0008-0000-0400-00009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76200</xdr:rowOff>
        </xdr:from>
        <xdr:to>
          <xdr:col>3</xdr:col>
          <xdr:colOff>76200</xdr:colOff>
          <xdr:row>29</xdr:row>
          <xdr:rowOff>685800</xdr:rowOff>
        </xdr:to>
        <xdr:sp macro="" textlink="">
          <xdr:nvSpPr>
            <xdr:cNvPr id="5274" name="Option Button 154" hidden="1">
              <a:extLst>
                <a:ext uri="{63B3BB69-23CF-44E3-9099-C40C66FF867C}">
                  <a14:compatExt spid="_x0000_s5274"/>
                </a:ext>
                <a:ext uri="{FF2B5EF4-FFF2-40B4-BE49-F238E27FC236}">
                  <a16:creationId xmlns:a16="http://schemas.microsoft.com/office/drawing/2014/main" id="{00000000-0008-0000-0400-00009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88900</xdr:rowOff>
        </xdr:from>
        <xdr:to>
          <xdr:col>3</xdr:col>
          <xdr:colOff>381000</xdr:colOff>
          <xdr:row>29</xdr:row>
          <xdr:rowOff>685800</xdr:rowOff>
        </xdr:to>
        <xdr:sp macro="" textlink="">
          <xdr:nvSpPr>
            <xdr:cNvPr id="5275" name="Option Button 155" hidden="1">
              <a:extLst>
                <a:ext uri="{63B3BB69-23CF-44E3-9099-C40C66FF867C}">
                  <a14:compatExt spid="_x0000_s5275"/>
                </a:ext>
                <a:ext uri="{FF2B5EF4-FFF2-40B4-BE49-F238E27FC236}">
                  <a16:creationId xmlns:a16="http://schemas.microsoft.com/office/drawing/2014/main" id="{00000000-0008-0000-0400-00009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29</xdr:row>
          <xdr:rowOff>76200</xdr:rowOff>
        </xdr:from>
        <xdr:to>
          <xdr:col>4</xdr:col>
          <xdr:colOff>469900</xdr:colOff>
          <xdr:row>29</xdr:row>
          <xdr:rowOff>698500</xdr:rowOff>
        </xdr:to>
        <xdr:sp macro="" textlink="">
          <xdr:nvSpPr>
            <xdr:cNvPr id="5276" name="Option Button 156" hidden="1">
              <a:extLst>
                <a:ext uri="{63B3BB69-23CF-44E3-9099-C40C66FF867C}">
                  <a14:compatExt spid="_x0000_s5276"/>
                </a:ext>
                <a:ext uri="{FF2B5EF4-FFF2-40B4-BE49-F238E27FC236}">
                  <a16:creationId xmlns:a16="http://schemas.microsoft.com/office/drawing/2014/main" id="{00000000-0008-0000-0400-00009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29</xdr:row>
          <xdr:rowOff>76200</xdr:rowOff>
        </xdr:from>
        <xdr:to>
          <xdr:col>5</xdr:col>
          <xdr:colOff>469900</xdr:colOff>
          <xdr:row>29</xdr:row>
          <xdr:rowOff>698500</xdr:rowOff>
        </xdr:to>
        <xdr:sp macro="" textlink="">
          <xdr:nvSpPr>
            <xdr:cNvPr id="5277" name="Option Button 157" hidden="1">
              <a:extLst>
                <a:ext uri="{63B3BB69-23CF-44E3-9099-C40C66FF867C}">
                  <a14:compatExt spid="_x0000_s5277"/>
                </a:ext>
                <a:ext uri="{FF2B5EF4-FFF2-40B4-BE49-F238E27FC236}">
                  <a16:creationId xmlns:a16="http://schemas.microsoft.com/office/drawing/2014/main" id="{00000000-0008-0000-0400-00009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29</xdr:row>
          <xdr:rowOff>63500</xdr:rowOff>
        </xdr:from>
        <xdr:to>
          <xdr:col>6</xdr:col>
          <xdr:colOff>698500</xdr:colOff>
          <xdr:row>29</xdr:row>
          <xdr:rowOff>698500</xdr:rowOff>
        </xdr:to>
        <xdr:sp macro="" textlink="">
          <xdr:nvSpPr>
            <xdr:cNvPr id="5278" name="Option Button 158" hidden="1">
              <a:extLst>
                <a:ext uri="{63B3BB69-23CF-44E3-9099-C40C66FF867C}">
                  <a14:compatExt spid="_x0000_s5278"/>
                </a:ext>
                <a:ext uri="{FF2B5EF4-FFF2-40B4-BE49-F238E27FC236}">
                  <a16:creationId xmlns:a16="http://schemas.microsoft.com/office/drawing/2014/main" id="{00000000-0008-0000-0400-00009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3644900</xdr:colOff>
          <xdr:row>18</xdr:row>
          <xdr:rowOff>0</xdr:rowOff>
        </xdr:from>
        <xdr:to>
          <xdr:col>7</xdr:col>
          <xdr:colOff>139700</xdr:colOff>
          <xdr:row>18</xdr:row>
          <xdr:rowOff>520700</xdr:rowOff>
        </xdr:to>
        <xdr:sp macro="" textlink="">
          <xdr:nvSpPr>
            <xdr:cNvPr id="5279" name="Group Box 159" hidden="1">
              <a:extLst>
                <a:ext uri="{63B3BB69-23CF-44E3-9099-C40C66FF867C}">
                  <a14:compatExt spid="_x0000_s5279"/>
                </a:ext>
                <a:ext uri="{FF2B5EF4-FFF2-40B4-BE49-F238E27FC236}">
                  <a16:creationId xmlns:a16="http://schemas.microsoft.com/office/drawing/2014/main" id="{00000000-0008-0000-0400-00009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50800</xdr:rowOff>
        </xdr:from>
        <xdr:to>
          <xdr:col>2</xdr:col>
          <xdr:colOff>355600</xdr:colOff>
          <xdr:row>18</xdr:row>
          <xdr:rowOff>508000</xdr:rowOff>
        </xdr:to>
        <xdr:sp macro="" textlink="">
          <xdr:nvSpPr>
            <xdr:cNvPr id="5280" name="Option Button 160" hidden="1">
              <a:extLst>
                <a:ext uri="{63B3BB69-23CF-44E3-9099-C40C66FF867C}">
                  <a14:compatExt spid="_x0000_s5280"/>
                </a:ext>
                <a:ext uri="{FF2B5EF4-FFF2-40B4-BE49-F238E27FC236}">
                  <a16:creationId xmlns:a16="http://schemas.microsoft.com/office/drawing/2014/main" id="{00000000-0008-0000-0400-0000A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38100</xdr:rowOff>
        </xdr:from>
        <xdr:to>
          <xdr:col>3</xdr:col>
          <xdr:colOff>368300</xdr:colOff>
          <xdr:row>18</xdr:row>
          <xdr:rowOff>520700</xdr:rowOff>
        </xdr:to>
        <xdr:sp macro="" textlink="">
          <xdr:nvSpPr>
            <xdr:cNvPr id="5281" name="Option Button 161" hidden="1">
              <a:extLst>
                <a:ext uri="{63B3BB69-23CF-44E3-9099-C40C66FF867C}">
                  <a14:compatExt spid="_x0000_s5281"/>
                </a:ext>
                <a:ext uri="{FF2B5EF4-FFF2-40B4-BE49-F238E27FC236}">
                  <a16:creationId xmlns:a16="http://schemas.microsoft.com/office/drawing/2014/main" id="{00000000-0008-0000-0400-0000A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18</xdr:row>
          <xdr:rowOff>50800</xdr:rowOff>
        </xdr:from>
        <xdr:to>
          <xdr:col>4</xdr:col>
          <xdr:colOff>469900</xdr:colOff>
          <xdr:row>18</xdr:row>
          <xdr:rowOff>520700</xdr:rowOff>
        </xdr:to>
        <xdr:sp macro="" textlink="">
          <xdr:nvSpPr>
            <xdr:cNvPr id="5282" name="Option Button 162" hidden="1">
              <a:extLst>
                <a:ext uri="{63B3BB69-23CF-44E3-9099-C40C66FF867C}">
                  <a14:compatExt spid="_x0000_s5282"/>
                </a:ext>
                <a:ext uri="{FF2B5EF4-FFF2-40B4-BE49-F238E27FC236}">
                  <a16:creationId xmlns:a16="http://schemas.microsoft.com/office/drawing/2014/main" id="{00000000-0008-0000-0400-0000A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18</xdr:row>
          <xdr:rowOff>50800</xdr:rowOff>
        </xdr:from>
        <xdr:to>
          <xdr:col>5</xdr:col>
          <xdr:colOff>469900</xdr:colOff>
          <xdr:row>18</xdr:row>
          <xdr:rowOff>508000</xdr:rowOff>
        </xdr:to>
        <xdr:sp macro="" textlink="">
          <xdr:nvSpPr>
            <xdr:cNvPr id="5283" name="Option Button 163" hidden="1">
              <a:extLst>
                <a:ext uri="{63B3BB69-23CF-44E3-9099-C40C66FF867C}">
                  <a14:compatExt spid="_x0000_s5283"/>
                </a:ext>
                <a:ext uri="{FF2B5EF4-FFF2-40B4-BE49-F238E27FC236}">
                  <a16:creationId xmlns:a16="http://schemas.microsoft.com/office/drawing/2014/main" id="{00000000-0008-0000-0400-0000A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18</xdr:row>
          <xdr:rowOff>63500</xdr:rowOff>
        </xdr:from>
        <xdr:to>
          <xdr:col>6</xdr:col>
          <xdr:colOff>825500</xdr:colOff>
          <xdr:row>18</xdr:row>
          <xdr:rowOff>495300</xdr:rowOff>
        </xdr:to>
        <xdr:sp macro="" textlink="">
          <xdr:nvSpPr>
            <xdr:cNvPr id="5284" name="Option Button 164" hidden="1">
              <a:extLst>
                <a:ext uri="{63B3BB69-23CF-44E3-9099-C40C66FF867C}">
                  <a14:compatExt spid="_x0000_s5284"/>
                </a:ext>
                <a:ext uri="{FF2B5EF4-FFF2-40B4-BE49-F238E27FC236}">
                  <a16:creationId xmlns:a16="http://schemas.microsoft.com/office/drawing/2014/main" id="{00000000-0008-0000-0400-0000A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40</xdr:row>
          <xdr:rowOff>76200</xdr:rowOff>
        </xdr:from>
        <xdr:to>
          <xdr:col>7</xdr:col>
          <xdr:colOff>63500</xdr:colOff>
          <xdr:row>40</xdr:row>
          <xdr:rowOff>495300</xdr:rowOff>
        </xdr:to>
        <xdr:sp macro="" textlink="">
          <xdr:nvSpPr>
            <xdr:cNvPr id="5286" name="Option Button 166" hidden="1">
              <a:extLst>
                <a:ext uri="{63B3BB69-23CF-44E3-9099-C40C66FF867C}">
                  <a14:compatExt spid="_x0000_s5286"/>
                </a:ext>
                <a:ext uri="{FF2B5EF4-FFF2-40B4-BE49-F238E27FC236}">
                  <a16:creationId xmlns:a16="http://schemas.microsoft.com/office/drawing/2014/main" id="{00000000-0008-0000-0400-0000A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3632200</xdr:colOff>
          <xdr:row>39</xdr:row>
          <xdr:rowOff>25400</xdr:rowOff>
        </xdr:from>
        <xdr:to>
          <xdr:col>7</xdr:col>
          <xdr:colOff>76200</xdr:colOff>
          <xdr:row>39</xdr:row>
          <xdr:rowOff>876300</xdr:rowOff>
        </xdr:to>
        <xdr:sp macro="" textlink="">
          <xdr:nvSpPr>
            <xdr:cNvPr id="5290" name="Group Box 170" hidden="1">
              <a:extLst>
                <a:ext uri="{63B3BB69-23CF-44E3-9099-C40C66FF867C}">
                  <a14:compatExt spid="_x0000_s5290"/>
                </a:ext>
                <a:ext uri="{FF2B5EF4-FFF2-40B4-BE49-F238E27FC236}">
                  <a16:creationId xmlns:a16="http://schemas.microsoft.com/office/drawing/2014/main" id="{00000000-0008-0000-0400-0000A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139700</xdr:rowOff>
        </xdr:from>
        <xdr:to>
          <xdr:col>2</xdr:col>
          <xdr:colOff>330200</xdr:colOff>
          <xdr:row>39</xdr:row>
          <xdr:rowOff>800100</xdr:rowOff>
        </xdr:to>
        <xdr:sp macro="" textlink="">
          <xdr:nvSpPr>
            <xdr:cNvPr id="5291" name="Option Button 171" hidden="1">
              <a:extLst>
                <a:ext uri="{63B3BB69-23CF-44E3-9099-C40C66FF867C}">
                  <a14:compatExt spid="_x0000_s5291"/>
                </a:ext>
                <a:ext uri="{FF2B5EF4-FFF2-40B4-BE49-F238E27FC236}">
                  <a16:creationId xmlns:a16="http://schemas.microsoft.com/office/drawing/2014/main" id="{00000000-0008-0000-0400-0000A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101600</xdr:rowOff>
        </xdr:from>
        <xdr:to>
          <xdr:col>3</xdr:col>
          <xdr:colOff>330200</xdr:colOff>
          <xdr:row>39</xdr:row>
          <xdr:rowOff>838200</xdr:rowOff>
        </xdr:to>
        <xdr:sp macro="" textlink="">
          <xdr:nvSpPr>
            <xdr:cNvPr id="5292" name="Option Button 172" hidden="1">
              <a:extLst>
                <a:ext uri="{63B3BB69-23CF-44E3-9099-C40C66FF867C}">
                  <a14:compatExt spid="_x0000_s5292"/>
                </a:ext>
                <a:ext uri="{FF2B5EF4-FFF2-40B4-BE49-F238E27FC236}">
                  <a16:creationId xmlns:a16="http://schemas.microsoft.com/office/drawing/2014/main" id="{00000000-0008-0000-0400-0000A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39</xdr:row>
          <xdr:rowOff>114300</xdr:rowOff>
        </xdr:from>
        <xdr:to>
          <xdr:col>4</xdr:col>
          <xdr:colOff>419100</xdr:colOff>
          <xdr:row>39</xdr:row>
          <xdr:rowOff>825500</xdr:rowOff>
        </xdr:to>
        <xdr:sp macro="" textlink="">
          <xdr:nvSpPr>
            <xdr:cNvPr id="5293" name="Option Button 173" hidden="1">
              <a:extLst>
                <a:ext uri="{63B3BB69-23CF-44E3-9099-C40C66FF867C}">
                  <a14:compatExt spid="_x0000_s5293"/>
                </a:ext>
                <a:ext uri="{FF2B5EF4-FFF2-40B4-BE49-F238E27FC236}">
                  <a16:creationId xmlns:a16="http://schemas.microsoft.com/office/drawing/2014/main" id="{00000000-0008-0000-0400-0000A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50800</xdr:colOff>
          <xdr:row>39</xdr:row>
          <xdr:rowOff>101600</xdr:rowOff>
        </xdr:from>
        <xdr:to>
          <xdr:col>5</xdr:col>
          <xdr:colOff>368300</xdr:colOff>
          <xdr:row>39</xdr:row>
          <xdr:rowOff>838200</xdr:rowOff>
        </xdr:to>
        <xdr:sp macro="" textlink="">
          <xdr:nvSpPr>
            <xdr:cNvPr id="5294" name="Option Button 174" hidden="1">
              <a:extLst>
                <a:ext uri="{63B3BB69-23CF-44E3-9099-C40C66FF867C}">
                  <a14:compatExt spid="_x0000_s5294"/>
                </a:ext>
                <a:ext uri="{FF2B5EF4-FFF2-40B4-BE49-F238E27FC236}">
                  <a16:creationId xmlns:a16="http://schemas.microsoft.com/office/drawing/2014/main" id="{00000000-0008-0000-0400-0000A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39</xdr:row>
          <xdr:rowOff>101600</xdr:rowOff>
        </xdr:from>
        <xdr:to>
          <xdr:col>6</xdr:col>
          <xdr:colOff>749300</xdr:colOff>
          <xdr:row>39</xdr:row>
          <xdr:rowOff>838200</xdr:rowOff>
        </xdr:to>
        <xdr:sp macro="" textlink="">
          <xdr:nvSpPr>
            <xdr:cNvPr id="5295" name="Option Button 175" hidden="1">
              <a:extLst>
                <a:ext uri="{63B3BB69-23CF-44E3-9099-C40C66FF867C}">
                  <a14:compatExt spid="_x0000_s5295"/>
                </a:ext>
                <a:ext uri="{FF2B5EF4-FFF2-40B4-BE49-F238E27FC236}">
                  <a16:creationId xmlns:a16="http://schemas.microsoft.com/office/drawing/2014/main" id="{00000000-0008-0000-0400-0000A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41</xdr:row>
          <xdr:rowOff>127000</xdr:rowOff>
        </xdr:from>
        <xdr:to>
          <xdr:col>6</xdr:col>
          <xdr:colOff>876300</xdr:colOff>
          <xdr:row>41</xdr:row>
          <xdr:rowOff>673100</xdr:rowOff>
        </xdr:to>
        <xdr:sp macro="" textlink="">
          <xdr:nvSpPr>
            <xdr:cNvPr id="5296" name="Option Button 176" hidden="1">
              <a:extLst>
                <a:ext uri="{63B3BB69-23CF-44E3-9099-C40C66FF867C}">
                  <a14:compatExt spid="_x0000_s5296"/>
                </a:ext>
                <a:ext uri="{FF2B5EF4-FFF2-40B4-BE49-F238E27FC236}">
                  <a16:creationId xmlns:a16="http://schemas.microsoft.com/office/drawing/2014/main" id="{00000000-0008-0000-0400-0000B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42</xdr:row>
          <xdr:rowOff>304800</xdr:rowOff>
        </xdr:from>
        <xdr:to>
          <xdr:col>6</xdr:col>
          <xdr:colOff>914400</xdr:colOff>
          <xdr:row>42</xdr:row>
          <xdr:rowOff>800100</xdr:rowOff>
        </xdr:to>
        <xdr:sp macro="" textlink="">
          <xdr:nvSpPr>
            <xdr:cNvPr id="5297" name="Option Button 177" hidden="1">
              <a:extLst>
                <a:ext uri="{63B3BB69-23CF-44E3-9099-C40C66FF867C}">
                  <a14:compatExt spid="_x0000_s5297"/>
                </a:ext>
                <a:ext uri="{FF2B5EF4-FFF2-40B4-BE49-F238E27FC236}">
                  <a16:creationId xmlns:a16="http://schemas.microsoft.com/office/drawing/2014/main" id="{00000000-0008-0000-0400-0000B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21</xdr:row>
          <xdr:rowOff>177800</xdr:rowOff>
        </xdr:from>
        <xdr:to>
          <xdr:col>6</xdr:col>
          <xdr:colOff>889000</xdr:colOff>
          <xdr:row>21</xdr:row>
          <xdr:rowOff>431800</xdr:rowOff>
        </xdr:to>
        <xdr:sp macro="" textlink="">
          <xdr:nvSpPr>
            <xdr:cNvPr id="5298" name="Option Button 178" hidden="1">
              <a:extLst>
                <a:ext uri="{63B3BB69-23CF-44E3-9099-C40C66FF867C}">
                  <a14:compatExt spid="_x0000_s5298"/>
                </a:ext>
                <a:ext uri="{FF2B5EF4-FFF2-40B4-BE49-F238E27FC236}">
                  <a16:creationId xmlns:a16="http://schemas.microsoft.com/office/drawing/2014/main" id="{00000000-0008-0000-0400-0000B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22</xdr:row>
          <xdr:rowOff>88900</xdr:rowOff>
        </xdr:from>
        <xdr:to>
          <xdr:col>6</xdr:col>
          <xdr:colOff>838200</xdr:colOff>
          <xdr:row>22</xdr:row>
          <xdr:rowOff>863600</xdr:rowOff>
        </xdr:to>
        <xdr:sp macro="" textlink="">
          <xdr:nvSpPr>
            <xdr:cNvPr id="5299" name="Option Button 179" hidden="1">
              <a:extLst>
                <a:ext uri="{63B3BB69-23CF-44E3-9099-C40C66FF867C}">
                  <a14:compatExt spid="_x0000_s5299"/>
                </a:ext>
                <a:ext uri="{FF2B5EF4-FFF2-40B4-BE49-F238E27FC236}">
                  <a16:creationId xmlns:a16="http://schemas.microsoft.com/office/drawing/2014/main" id="{00000000-0008-0000-0400-0000B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4597400</xdr:colOff>
          <xdr:row>7</xdr:row>
          <xdr:rowOff>63500</xdr:rowOff>
        </xdr:from>
        <xdr:to>
          <xdr:col>7</xdr:col>
          <xdr:colOff>254000</xdr:colOff>
          <xdr:row>7</xdr:row>
          <xdr:rowOff>533400</xdr:rowOff>
        </xdr:to>
        <xdr:sp macro="" textlink="">
          <xdr:nvSpPr>
            <xdr:cNvPr id="10242" name="Group Box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4610100</xdr:colOff>
          <xdr:row>8</xdr:row>
          <xdr:rowOff>139700</xdr:rowOff>
        </xdr:from>
        <xdr:to>
          <xdr:col>7</xdr:col>
          <xdr:colOff>292100</xdr:colOff>
          <xdr:row>8</xdr:row>
          <xdr:rowOff>609600</xdr:rowOff>
        </xdr:to>
        <xdr:sp macro="" textlink="">
          <xdr:nvSpPr>
            <xdr:cNvPr id="10243" name="Group Box 3"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7</xdr:row>
          <xdr:rowOff>101600</xdr:rowOff>
        </xdr:from>
        <xdr:to>
          <xdr:col>3</xdr:col>
          <xdr:colOff>12700</xdr:colOff>
          <xdr:row>7</xdr:row>
          <xdr:rowOff>520700</xdr:rowOff>
        </xdr:to>
        <xdr:sp macro="" textlink="">
          <xdr:nvSpPr>
            <xdr:cNvPr id="10249" name="Option Button 9" hidden="1">
              <a:extLst>
                <a:ext uri="{63B3BB69-23CF-44E3-9099-C40C66FF867C}">
                  <a14:compatExt spid="_x0000_s10249"/>
                </a:ext>
                <a:ext uri="{FF2B5EF4-FFF2-40B4-BE49-F238E27FC236}">
                  <a16:creationId xmlns:a16="http://schemas.microsoft.com/office/drawing/2014/main" id="{00000000-0008-0000-0500-00000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xdr:row>
          <xdr:rowOff>101600</xdr:rowOff>
        </xdr:from>
        <xdr:to>
          <xdr:col>3</xdr:col>
          <xdr:colOff>368300</xdr:colOff>
          <xdr:row>7</xdr:row>
          <xdr:rowOff>520700</xdr:rowOff>
        </xdr:to>
        <xdr:sp macro="" textlink="">
          <xdr:nvSpPr>
            <xdr:cNvPr id="10250" name="Option Button 10" hidden="1">
              <a:extLst>
                <a:ext uri="{63B3BB69-23CF-44E3-9099-C40C66FF867C}">
                  <a14:compatExt spid="_x0000_s10250"/>
                </a:ext>
                <a:ext uri="{FF2B5EF4-FFF2-40B4-BE49-F238E27FC236}">
                  <a16:creationId xmlns:a16="http://schemas.microsoft.com/office/drawing/2014/main" id="{00000000-0008-0000-0500-00000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7</xdr:row>
          <xdr:rowOff>101600</xdr:rowOff>
        </xdr:from>
        <xdr:to>
          <xdr:col>4</xdr:col>
          <xdr:colOff>304800</xdr:colOff>
          <xdr:row>7</xdr:row>
          <xdr:rowOff>520700</xdr:rowOff>
        </xdr:to>
        <xdr:sp macro="" textlink="">
          <xdr:nvSpPr>
            <xdr:cNvPr id="10251" name="Option Button 11" hidden="1">
              <a:extLst>
                <a:ext uri="{63B3BB69-23CF-44E3-9099-C40C66FF867C}">
                  <a14:compatExt spid="_x0000_s10251"/>
                </a:ext>
                <a:ext uri="{FF2B5EF4-FFF2-40B4-BE49-F238E27FC236}">
                  <a16:creationId xmlns:a16="http://schemas.microsoft.com/office/drawing/2014/main" id="{00000000-0008-0000-0500-00000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7</xdr:row>
          <xdr:rowOff>101600</xdr:rowOff>
        </xdr:from>
        <xdr:to>
          <xdr:col>5</xdr:col>
          <xdr:colOff>381000</xdr:colOff>
          <xdr:row>7</xdr:row>
          <xdr:rowOff>520700</xdr:rowOff>
        </xdr:to>
        <xdr:sp macro="" textlink="">
          <xdr:nvSpPr>
            <xdr:cNvPr id="10252" name="Option Button 12" hidden="1">
              <a:extLst>
                <a:ext uri="{63B3BB69-23CF-44E3-9099-C40C66FF867C}">
                  <a14:compatExt spid="_x0000_s10252"/>
                </a:ext>
                <a:ext uri="{FF2B5EF4-FFF2-40B4-BE49-F238E27FC236}">
                  <a16:creationId xmlns:a16="http://schemas.microsoft.com/office/drawing/2014/main" id="{00000000-0008-0000-0500-00000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8</xdr:row>
          <xdr:rowOff>177800</xdr:rowOff>
        </xdr:from>
        <xdr:to>
          <xdr:col>3</xdr:col>
          <xdr:colOff>38100</xdr:colOff>
          <xdr:row>8</xdr:row>
          <xdr:rowOff>596900</xdr:rowOff>
        </xdr:to>
        <xdr:sp macro="" textlink="">
          <xdr:nvSpPr>
            <xdr:cNvPr id="10253" name="Option Button 13" hidden="1">
              <a:extLst>
                <a:ext uri="{63B3BB69-23CF-44E3-9099-C40C66FF867C}">
                  <a14:compatExt spid="_x0000_s10253"/>
                </a:ext>
                <a:ext uri="{FF2B5EF4-FFF2-40B4-BE49-F238E27FC236}">
                  <a16:creationId xmlns:a16="http://schemas.microsoft.com/office/drawing/2014/main" id="{00000000-0008-0000-0500-00000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8</xdr:row>
          <xdr:rowOff>177800</xdr:rowOff>
        </xdr:from>
        <xdr:to>
          <xdr:col>3</xdr:col>
          <xdr:colOff>342900</xdr:colOff>
          <xdr:row>8</xdr:row>
          <xdr:rowOff>609600</xdr:rowOff>
        </xdr:to>
        <xdr:sp macro="" textlink="">
          <xdr:nvSpPr>
            <xdr:cNvPr id="10254" name="Option Button 14" hidden="1">
              <a:extLst>
                <a:ext uri="{63B3BB69-23CF-44E3-9099-C40C66FF867C}">
                  <a14:compatExt spid="_x0000_s10254"/>
                </a:ext>
                <a:ext uri="{FF2B5EF4-FFF2-40B4-BE49-F238E27FC236}">
                  <a16:creationId xmlns:a16="http://schemas.microsoft.com/office/drawing/2014/main" id="{00000000-0008-0000-0500-00000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8</xdr:row>
          <xdr:rowOff>177800</xdr:rowOff>
        </xdr:from>
        <xdr:to>
          <xdr:col>4</xdr:col>
          <xdr:colOff>368300</xdr:colOff>
          <xdr:row>8</xdr:row>
          <xdr:rowOff>596900</xdr:rowOff>
        </xdr:to>
        <xdr:sp macro="" textlink="">
          <xdr:nvSpPr>
            <xdr:cNvPr id="10255" name="Option Button 15" hidden="1">
              <a:extLst>
                <a:ext uri="{63B3BB69-23CF-44E3-9099-C40C66FF867C}">
                  <a14:compatExt spid="_x0000_s10255"/>
                </a:ext>
                <a:ext uri="{FF2B5EF4-FFF2-40B4-BE49-F238E27FC236}">
                  <a16:creationId xmlns:a16="http://schemas.microsoft.com/office/drawing/2014/main" id="{00000000-0008-0000-0500-00000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8</xdr:row>
          <xdr:rowOff>165100</xdr:rowOff>
        </xdr:from>
        <xdr:to>
          <xdr:col>5</xdr:col>
          <xdr:colOff>393700</xdr:colOff>
          <xdr:row>8</xdr:row>
          <xdr:rowOff>609600</xdr:rowOff>
        </xdr:to>
        <xdr:sp macro="" textlink="">
          <xdr:nvSpPr>
            <xdr:cNvPr id="10256" name="Option Button 16" hidden="1">
              <a:extLst>
                <a:ext uri="{63B3BB69-23CF-44E3-9099-C40C66FF867C}">
                  <a14:compatExt spid="_x0000_s10256"/>
                </a:ext>
                <a:ext uri="{FF2B5EF4-FFF2-40B4-BE49-F238E27FC236}">
                  <a16:creationId xmlns:a16="http://schemas.microsoft.com/office/drawing/2014/main" id="{00000000-0008-0000-0500-00001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4203700</xdr:colOff>
          <xdr:row>16</xdr:row>
          <xdr:rowOff>76200</xdr:rowOff>
        </xdr:from>
        <xdr:to>
          <xdr:col>7</xdr:col>
          <xdr:colOff>165100</xdr:colOff>
          <xdr:row>16</xdr:row>
          <xdr:rowOff>482600</xdr:rowOff>
        </xdr:to>
        <xdr:sp macro="" textlink="">
          <xdr:nvSpPr>
            <xdr:cNvPr id="10261" name="Group Box 21" hidden="1">
              <a:extLst>
                <a:ext uri="{63B3BB69-23CF-44E3-9099-C40C66FF867C}">
                  <a14:compatExt spid="_x0000_s10261"/>
                </a:ext>
                <a:ext uri="{FF2B5EF4-FFF2-40B4-BE49-F238E27FC236}">
                  <a16:creationId xmlns:a16="http://schemas.microsoft.com/office/drawing/2014/main" id="{00000000-0008-0000-0500-000015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4203700</xdr:colOff>
          <xdr:row>17</xdr:row>
          <xdr:rowOff>12700</xdr:rowOff>
        </xdr:from>
        <xdr:to>
          <xdr:col>7</xdr:col>
          <xdr:colOff>241300</xdr:colOff>
          <xdr:row>17</xdr:row>
          <xdr:rowOff>368300</xdr:rowOff>
        </xdr:to>
        <xdr:sp macro="" textlink="">
          <xdr:nvSpPr>
            <xdr:cNvPr id="10262" name="Group Box 22" hidden="1">
              <a:extLst>
                <a:ext uri="{63B3BB69-23CF-44E3-9099-C40C66FF867C}">
                  <a14:compatExt spid="_x0000_s10262"/>
                </a:ext>
                <a:ext uri="{FF2B5EF4-FFF2-40B4-BE49-F238E27FC236}">
                  <a16:creationId xmlns:a16="http://schemas.microsoft.com/office/drawing/2014/main" id="{00000000-0008-0000-0500-000016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4203700</xdr:colOff>
          <xdr:row>19</xdr:row>
          <xdr:rowOff>12700</xdr:rowOff>
        </xdr:from>
        <xdr:to>
          <xdr:col>7</xdr:col>
          <xdr:colOff>292100</xdr:colOff>
          <xdr:row>20</xdr:row>
          <xdr:rowOff>38100</xdr:rowOff>
        </xdr:to>
        <xdr:sp macro="" textlink="">
          <xdr:nvSpPr>
            <xdr:cNvPr id="10264" name="Group Box 24" hidden="1">
              <a:extLst>
                <a:ext uri="{63B3BB69-23CF-44E3-9099-C40C66FF867C}">
                  <a14:compatExt spid="_x0000_s10264"/>
                </a:ext>
                <a:ext uri="{FF2B5EF4-FFF2-40B4-BE49-F238E27FC236}">
                  <a16:creationId xmlns:a16="http://schemas.microsoft.com/office/drawing/2014/main" id="{00000000-0008-0000-0500-000018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4178300</xdr:colOff>
          <xdr:row>20</xdr:row>
          <xdr:rowOff>88900</xdr:rowOff>
        </xdr:from>
        <xdr:to>
          <xdr:col>7</xdr:col>
          <xdr:colOff>279400</xdr:colOff>
          <xdr:row>20</xdr:row>
          <xdr:rowOff>495300</xdr:rowOff>
        </xdr:to>
        <xdr:sp macro="" textlink="">
          <xdr:nvSpPr>
            <xdr:cNvPr id="10265" name="Group Box 25" hidden="1">
              <a:extLst>
                <a:ext uri="{63B3BB69-23CF-44E3-9099-C40C66FF867C}">
                  <a14:compatExt spid="_x0000_s10265"/>
                </a:ext>
                <a:ext uri="{FF2B5EF4-FFF2-40B4-BE49-F238E27FC236}">
                  <a16:creationId xmlns:a16="http://schemas.microsoft.com/office/drawing/2014/main" id="{00000000-0008-0000-0500-000019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4140200</xdr:colOff>
          <xdr:row>30</xdr:row>
          <xdr:rowOff>88900</xdr:rowOff>
        </xdr:from>
        <xdr:to>
          <xdr:col>7</xdr:col>
          <xdr:colOff>127000</xdr:colOff>
          <xdr:row>30</xdr:row>
          <xdr:rowOff>685800</xdr:rowOff>
        </xdr:to>
        <xdr:sp macro="" textlink="">
          <xdr:nvSpPr>
            <xdr:cNvPr id="10267" name="Group Box 27" hidden="1">
              <a:extLst>
                <a:ext uri="{63B3BB69-23CF-44E3-9099-C40C66FF867C}">
                  <a14:compatExt spid="_x0000_s10267"/>
                </a:ext>
                <a:ext uri="{FF2B5EF4-FFF2-40B4-BE49-F238E27FC236}">
                  <a16:creationId xmlns:a16="http://schemas.microsoft.com/office/drawing/2014/main" id="{00000000-0008-0000-0500-00001B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4102100</xdr:colOff>
          <xdr:row>32</xdr:row>
          <xdr:rowOff>38100</xdr:rowOff>
        </xdr:from>
        <xdr:to>
          <xdr:col>7</xdr:col>
          <xdr:colOff>279400</xdr:colOff>
          <xdr:row>32</xdr:row>
          <xdr:rowOff>901700</xdr:rowOff>
        </xdr:to>
        <xdr:sp macro="" textlink="">
          <xdr:nvSpPr>
            <xdr:cNvPr id="10269" name="Group Box 29" hidden="1">
              <a:extLst>
                <a:ext uri="{63B3BB69-23CF-44E3-9099-C40C66FF867C}">
                  <a14:compatExt spid="_x0000_s10269"/>
                </a:ext>
                <a:ext uri="{FF2B5EF4-FFF2-40B4-BE49-F238E27FC236}">
                  <a16:creationId xmlns:a16="http://schemas.microsoft.com/office/drawing/2014/main" id="{00000000-0008-0000-0500-00001D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4102100</xdr:colOff>
          <xdr:row>33</xdr:row>
          <xdr:rowOff>25400</xdr:rowOff>
        </xdr:from>
        <xdr:to>
          <xdr:col>7</xdr:col>
          <xdr:colOff>381000</xdr:colOff>
          <xdr:row>34</xdr:row>
          <xdr:rowOff>25400</xdr:rowOff>
        </xdr:to>
        <xdr:sp macro="" textlink="">
          <xdr:nvSpPr>
            <xdr:cNvPr id="10270" name="Group Box 30" hidden="1">
              <a:extLst>
                <a:ext uri="{63B3BB69-23CF-44E3-9099-C40C66FF867C}">
                  <a14:compatExt spid="_x0000_s10270"/>
                </a:ext>
                <a:ext uri="{FF2B5EF4-FFF2-40B4-BE49-F238E27FC236}">
                  <a16:creationId xmlns:a16="http://schemas.microsoft.com/office/drawing/2014/main" id="{00000000-0008-0000-0500-00001E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16</xdr:row>
          <xdr:rowOff>114300</xdr:rowOff>
        </xdr:from>
        <xdr:to>
          <xdr:col>3</xdr:col>
          <xdr:colOff>25400</xdr:colOff>
          <xdr:row>16</xdr:row>
          <xdr:rowOff>482600</xdr:rowOff>
        </xdr:to>
        <xdr:sp macro="" textlink="">
          <xdr:nvSpPr>
            <xdr:cNvPr id="10273" name="Option Button 33" hidden="1">
              <a:extLst>
                <a:ext uri="{63B3BB69-23CF-44E3-9099-C40C66FF867C}">
                  <a14:compatExt spid="_x0000_s10273"/>
                </a:ext>
                <a:ext uri="{FF2B5EF4-FFF2-40B4-BE49-F238E27FC236}">
                  <a16:creationId xmlns:a16="http://schemas.microsoft.com/office/drawing/2014/main" id="{00000000-0008-0000-0500-00002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16</xdr:row>
          <xdr:rowOff>127000</xdr:rowOff>
        </xdr:from>
        <xdr:to>
          <xdr:col>3</xdr:col>
          <xdr:colOff>342900</xdr:colOff>
          <xdr:row>16</xdr:row>
          <xdr:rowOff>482600</xdr:rowOff>
        </xdr:to>
        <xdr:sp macro="" textlink="">
          <xdr:nvSpPr>
            <xdr:cNvPr id="10274" name="Option Button 34" hidden="1">
              <a:extLst>
                <a:ext uri="{63B3BB69-23CF-44E3-9099-C40C66FF867C}">
                  <a14:compatExt spid="_x0000_s10274"/>
                </a:ext>
                <a:ext uri="{FF2B5EF4-FFF2-40B4-BE49-F238E27FC236}">
                  <a16:creationId xmlns:a16="http://schemas.microsoft.com/office/drawing/2014/main" id="{00000000-0008-0000-0500-00002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16</xdr:row>
          <xdr:rowOff>114300</xdr:rowOff>
        </xdr:from>
        <xdr:to>
          <xdr:col>4</xdr:col>
          <xdr:colOff>368300</xdr:colOff>
          <xdr:row>16</xdr:row>
          <xdr:rowOff>482600</xdr:rowOff>
        </xdr:to>
        <xdr:sp macro="" textlink="">
          <xdr:nvSpPr>
            <xdr:cNvPr id="10275" name="Option Button 35" hidden="1">
              <a:extLst>
                <a:ext uri="{63B3BB69-23CF-44E3-9099-C40C66FF867C}">
                  <a14:compatExt spid="_x0000_s10275"/>
                </a:ext>
                <a:ext uri="{FF2B5EF4-FFF2-40B4-BE49-F238E27FC236}">
                  <a16:creationId xmlns:a16="http://schemas.microsoft.com/office/drawing/2014/main" id="{00000000-0008-0000-0500-00002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16</xdr:row>
          <xdr:rowOff>114300</xdr:rowOff>
        </xdr:from>
        <xdr:to>
          <xdr:col>5</xdr:col>
          <xdr:colOff>393700</xdr:colOff>
          <xdr:row>16</xdr:row>
          <xdr:rowOff>482600</xdr:rowOff>
        </xdr:to>
        <xdr:sp macro="" textlink="">
          <xdr:nvSpPr>
            <xdr:cNvPr id="10276" name="Option Button 36" hidden="1">
              <a:extLst>
                <a:ext uri="{63B3BB69-23CF-44E3-9099-C40C66FF867C}">
                  <a14:compatExt spid="_x0000_s10276"/>
                </a:ext>
                <a:ext uri="{FF2B5EF4-FFF2-40B4-BE49-F238E27FC236}">
                  <a16:creationId xmlns:a16="http://schemas.microsoft.com/office/drawing/2014/main" id="{00000000-0008-0000-0500-00002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17</xdr:row>
          <xdr:rowOff>76200</xdr:rowOff>
        </xdr:from>
        <xdr:to>
          <xdr:col>3</xdr:col>
          <xdr:colOff>25400</xdr:colOff>
          <xdr:row>17</xdr:row>
          <xdr:rowOff>368300</xdr:rowOff>
        </xdr:to>
        <xdr:sp macro="" textlink="">
          <xdr:nvSpPr>
            <xdr:cNvPr id="10277" name="Option Button 37" hidden="1">
              <a:extLst>
                <a:ext uri="{63B3BB69-23CF-44E3-9099-C40C66FF867C}">
                  <a14:compatExt spid="_x0000_s10277"/>
                </a:ext>
                <a:ext uri="{FF2B5EF4-FFF2-40B4-BE49-F238E27FC236}">
                  <a16:creationId xmlns:a16="http://schemas.microsoft.com/office/drawing/2014/main" id="{00000000-0008-0000-0500-00002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17</xdr:row>
          <xdr:rowOff>76200</xdr:rowOff>
        </xdr:from>
        <xdr:to>
          <xdr:col>3</xdr:col>
          <xdr:colOff>368300</xdr:colOff>
          <xdr:row>17</xdr:row>
          <xdr:rowOff>368300</xdr:rowOff>
        </xdr:to>
        <xdr:sp macro="" textlink="">
          <xdr:nvSpPr>
            <xdr:cNvPr id="10278" name="Option Button 38" hidden="1">
              <a:extLst>
                <a:ext uri="{63B3BB69-23CF-44E3-9099-C40C66FF867C}">
                  <a14:compatExt spid="_x0000_s10278"/>
                </a:ext>
                <a:ext uri="{FF2B5EF4-FFF2-40B4-BE49-F238E27FC236}">
                  <a16:creationId xmlns:a16="http://schemas.microsoft.com/office/drawing/2014/main" id="{00000000-0008-0000-0500-00002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17</xdr:row>
          <xdr:rowOff>76200</xdr:rowOff>
        </xdr:from>
        <xdr:to>
          <xdr:col>4</xdr:col>
          <xdr:colOff>381000</xdr:colOff>
          <xdr:row>17</xdr:row>
          <xdr:rowOff>368300</xdr:rowOff>
        </xdr:to>
        <xdr:sp macro="" textlink="">
          <xdr:nvSpPr>
            <xdr:cNvPr id="10279" name="Option Button 39" hidden="1">
              <a:extLst>
                <a:ext uri="{63B3BB69-23CF-44E3-9099-C40C66FF867C}">
                  <a14:compatExt spid="_x0000_s10279"/>
                </a:ext>
                <a:ext uri="{FF2B5EF4-FFF2-40B4-BE49-F238E27FC236}">
                  <a16:creationId xmlns:a16="http://schemas.microsoft.com/office/drawing/2014/main" id="{00000000-0008-0000-0500-00002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17</xdr:row>
          <xdr:rowOff>76200</xdr:rowOff>
        </xdr:from>
        <xdr:to>
          <xdr:col>5</xdr:col>
          <xdr:colOff>393700</xdr:colOff>
          <xdr:row>17</xdr:row>
          <xdr:rowOff>368300</xdr:rowOff>
        </xdr:to>
        <xdr:sp macro="" textlink="">
          <xdr:nvSpPr>
            <xdr:cNvPr id="10280" name="Option Button 40" hidden="1">
              <a:extLst>
                <a:ext uri="{63B3BB69-23CF-44E3-9099-C40C66FF867C}">
                  <a14:compatExt spid="_x0000_s10280"/>
                </a:ext>
                <a:ext uri="{FF2B5EF4-FFF2-40B4-BE49-F238E27FC236}">
                  <a16:creationId xmlns:a16="http://schemas.microsoft.com/office/drawing/2014/main" id="{00000000-0008-0000-0500-00002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19</xdr:row>
          <xdr:rowOff>50800</xdr:rowOff>
        </xdr:from>
        <xdr:to>
          <xdr:col>3</xdr:col>
          <xdr:colOff>25400</xdr:colOff>
          <xdr:row>20</xdr:row>
          <xdr:rowOff>12700</xdr:rowOff>
        </xdr:to>
        <xdr:sp macro="" textlink="">
          <xdr:nvSpPr>
            <xdr:cNvPr id="10285" name="Option Button 45" hidden="1">
              <a:extLst>
                <a:ext uri="{63B3BB69-23CF-44E3-9099-C40C66FF867C}">
                  <a14:compatExt spid="_x0000_s10285"/>
                </a:ext>
                <a:ext uri="{FF2B5EF4-FFF2-40B4-BE49-F238E27FC236}">
                  <a16:creationId xmlns:a16="http://schemas.microsoft.com/office/drawing/2014/main" id="{00000000-0008-0000-0500-00002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19</xdr:row>
          <xdr:rowOff>38100</xdr:rowOff>
        </xdr:from>
        <xdr:to>
          <xdr:col>3</xdr:col>
          <xdr:colOff>381000</xdr:colOff>
          <xdr:row>20</xdr:row>
          <xdr:rowOff>25400</xdr:rowOff>
        </xdr:to>
        <xdr:sp macro="" textlink="">
          <xdr:nvSpPr>
            <xdr:cNvPr id="10286" name="Option Button 46" hidden="1">
              <a:extLst>
                <a:ext uri="{63B3BB69-23CF-44E3-9099-C40C66FF867C}">
                  <a14:compatExt spid="_x0000_s10286"/>
                </a:ext>
                <a:ext uri="{FF2B5EF4-FFF2-40B4-BE49-F238E27FC236}">
                  <a16:creationId xmlns:a16="http://schemas.microsoft.com/office/drawing/2014/main" id="{00000000-0008-0000-0500-00002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19</xdr:row>
          <xdr:rowOff>63500</xdr:rowOff>
        </xdr:from>
        <xdr:to>
          <xdr:col>4</xdr:col>
          <xdr:colOff>368300</xdr:colOff>
          <xdr:row>20</xdr:row>
          <xdr:rowOff>12700</xdr:rowOff>
        </xdr:to>
        <xdr:sp macro="" textlink="">
          <xdr:nvSpPr>
            <xdr:cNvPr id="10287" name="Option Button 47" hidden="1">
              <a:extLst>
                <a:ext uri="{63B3BB69-23CF-44E3-9099-C40C66FF867C}">
                  <a14:compatExt spid="_x0000_s10287"/>
                </a:ext>
                <a:ext uri="{FF2B5EF4-FFF2-40B4-BE49-F238E27FC236}">
                  <a16:creationId xmlns:a16="http://schemas.microsoft.com/office/drawing/2014/main" id="{00000000-0008-0000-0500-00002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19</xdr:row>
          <xdr:rowOff>50800</xdr:rowOff>
        </xdr:from>
        <xdr:to>
          <xdr:col>5</xdr:col>
          <xdr:colOff>368300</xdr:colOff>
          <xdr:row>20</xdr:row>
          <xdr:rowOff>12700</xdr:rowOff>
        </xdr:to>
        <xdr:sp macro="" textlink="">
          <xdr:nvSpPr>
            <xdr:cNvPr id="10288" name="Option Button 48" hidden="1">
              <a:extLst>
                <a:ext uri="{63B3BB69-23CF-44E3-9099-C40C66FF867C}">
                  <a14:compatExt spid="_x0000_s10288"/>
                </a:ext>
                <a:ext uri="{FF2B5EF4-FFF2-40B4-BE49-F238E27FC236}">
                  <a16:creationId xmlns:a16="http://schemas.microsoft.com/office/drawing/2014/main" id="{00000000-0008-0000-0500-00003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20</xdr:row>
          <xdr:rowOff>152400</xdr:rowOff>
        </xdr:from>
        <xdr:to>
          <xdr:col>3</xdr:col>
          <xdr:colOff>0</xdr:colOff>
          <xdr:row>20</xdr:row>
          <xdr:rowOff>495300</xdr:rowOff>
        </xdr:to>
        <xdr:sp macro="" textlink="">
          <xdr:nvSpPr>
            <xdr:cNvPr id="10289" name="Option Button 49" hidden="1">
              <a:extLst>
                <a:ext uri="{63B3BB69-23CF-44E3-9099-C40C66FF867C}">
                  <a14:compatExt spid="_x0000_s10289"/>
                </a:ext>
                <a:ext uri="{FF2B5EF4-FFF2-40B4-BE49-F238E27FC236}">
                  <a16:creationId xmlns:a16="http://schemas.microsoft.com/office/drawing/2014/main" id="{00000000-0008-0000-0500-00003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20</xdr:row>
          <xdr:rowOff>152400</xdr:rowOff>
        </xdr:from>
        <xdr:to>
          <xdr:col>3</xdr:col>
          <xdr:colOff>381000</xdr:colOff>
          <xdr:row>20</xdr:row>
          <xdr:rowOff>495300</xdr:rowOff>
        </xdr:to>
        <xdr:sp macro="" textlink="">
          <xdr:nvSpPr>
            <xdr:cNvPr id="10290" name="Option Button 50" hidden="1">
              <a:extLst>
                <a:ext uri="{63B3BB69-23CF-44E3-9099-C40C66FF867C}">
                  <a14:compatExt spid="_x0000_s10290"/>
                </a:ext>
                <a:ext uri="{FF2B5EF4-FFF2-40B4-BE49-F238E27FC236}">
                  <a16:creationId xmlns:a16="http://schemas.microsoft.com/office/drawing/2014/main" id="{00000000-0008-0000-0500-00003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20</xdr:row>
          <xdr:rowOff>152400</xdr:rowOff>
        </xdr:from>
        <xdr:to>
          <xdr:col>4</xdr:col>
          <xdr:colOff>381000</xdr:colOff>
          <xdr:row>20</xdr:row>
          <xdr:rowOff>495300</xdr:rowOff>
        </xdr:to>
        <xdr:sp macro="" textlink="">
          <xdr:nvSpPr>
            <xdr:cNvPr id="10291" name="Option Button 51" hidden="1">
              <a:extLst>
                <a:ext uri="{63B3BB69-23CF-44E3-9099-C40C66FF867C}">
                  <a14:compatExt spid="_x0000_s10291"/>
                </a:ext>
                <a:ext uri="{FF2B5EF4-FFF2-40B4-BE49-F238E27FC236}">
                  <a16:creationId xmlns:a16="http://schemas.microsoft.com/office/drawing/2014/main" id="{00000000-0008-0000-0500-00003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20</xdr:row>
          <xdr:rowOff>165100</xdr:rowOff>
        </xdr:from>
        <xdr:to>
          <xdr:col>5</xdr:col>
          <xdr:colOff>393700</xdr:colOff>
          <xdr:row>20</xdr:row>
          <xdr:rowOff>495300</xdr:rowOff>
        </xdr:to>
        <xdr:sp macro="" textlink="">
          <xdr:nvSpPr>
            <xdr:cNvPr id="10292" name="Option Button 52" hidden="1">
              <a:extLst>
                <a:ext uri="{63B3BB69-23CF-44E3-9099-C40C66FF867C}">
                  <a14:compatExt spid="_x0000_s10292"/>
                </a:ext>
                <a:ext uri="{FF2B5EF4-FFF2-40B4-BE49-F238E27FC236}">
                  <a16:creationId xmlns:a16="http://schemas.microsoft.com/office/drawing/2014/main" id="{00000000-0008-0000-0500-00003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30</xdr:row>
          <xdr:rowOff>152400</xdr:rowOff>
        </xdr:from>
        <xdr:to>
          <xdr:col>3</xdr:col>
          <xdr:colOff>25400</xdr:colOff>
          <xdr:row>30</xdr:row>
          <xdr:rowOff>673100</xdr:rowOff>
        </xdr:to>
        <xdr:sp macro="" textlink="">
          <xdr:nvSpPr>
            <xdr:cNvPr id="10297" name="Option Button 57" hidden="1">
              <a:extLst>
                <a:ext uri="{63B3BB69-23CF-44E3-9099-C40C66FF867C}">
                  <a14:compatExt spid="_x0000_s10297"/>
                </a:ext>
                <a:ext uri="{FF2B5EF4-FFF2-40B4-BE49-F238E27FC236}">
                  <a16:creationId xmlns:a16="http://schemas.microsoft.com/office/drawing/2014/main" id="{00000000-0008-0000-0500-00003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30</xdr:row>
          <xdr:rowOff>139700</xdr:rowOff>
        </xdr:from>
        <xdr:to>
          <xdr:col>3</xdr:col>
          <xdr:colOff>342900</xdr:colOff>
          <xdr:row>30</xdr:row>
          <xdr:rowOff>673100</xdr:rowOff>
        </xdr:to>
        <xdr:sp macro="" textlink="">
          <xdr:nvSpPr>
            <xdr:cNvPr id="10298" name="Option Button 58" hidden="1">
              <a:extLst>
                <a:ext uri="{63B3BB69-23CF-44E3-9099-C40C66FF867C}">
                  <a14:compatExt spid="_x0000_s10298"/>
                </a:ext>
                <a:ext uri="{FF2B5EF4-FFF2-40B4-BE49-F238E27FC236}">
                  <a16:creationId xmlns:a16="http://schemas.microsoft.com/office/drawing/2014/main" id="{00000000-0008-0000-0500-00003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30</xdr:row>
          <xdr:rowOff>152400</xdr:rowOff>
        </xdr:from>
        <xdr:to>
          <xdr:col>4</xdr:col>
          <xdr:colOff>342900</xdr:colOff>
          <xdr:row>30</xdr:row>
          <xdr:rowOff>673100</xdr:rowOff>
        </xdr:to>
        <xdr:sp macro="" textlink="">
          <xdr:nvSpPr>
            <xdr:cNvPr id="10299" name="Option Button 59" hidden="1">
              <a:extLst>
                <a:ext uri="{63B3BB69-23CF-44E3-9099-C40C66FF867C}">
                  <a14:compatExt spid="_x0000_s10299"/>
                </a:ext>
                <a:ext uri="{FF2B5EF4-FFF2-40B4-BE49-F238E27FC236}">
                  <a16:creationId xmlns:a16="http://schemas.microsoft.com/office/drawing/2014/main" id="{00000000-0008-0000-0500-00003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30</xdr:row>
          <xdr:rowOff>139700</xdr:rowOff>
        </xdr:from>
        <xdr:to>
          <xdr:col>5</xdr:col>
          <xdr:colOff>368300</xdr:colOff>
          <xdr:row>30</xdr:row>
          <xdr:rowOff>673100</xdr:rowOff>
        </xdr:to>
        <xdr:sp macro="" textlink="">
          <xdr:nvSpPr>
            <xdr:cNvPr id="10300" name="Option Button 60" hidden="1">
              <a:extLst>
                <a:ext uri="{63B3BB69-23CF-44E3-9099-C40C66FF867C}">
                  <a14:compatExt spid="_x0000_s10300"/>
                </a:ext>
                <a:ext uri="{FF2B5EF4-FFF2-40B4-BE49-F238E27FC236}">
                  <a16:creationId xmlns:a16="http://schemas.microsoft.com/office/drawing/2014/main" id="{00000000-0008-0000-0500-00003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32</xdr:row>
          <xdr:rowOff>76200</xdr:rowOff>
        </xdr:from>
        <xdr:to>
          <xdr:col>3</xdr:col>
          <xdr:colOff>88900</xdr:colOff>
          <xdr:row>32</xdr:row>
          <xdr:rowOff>876300</xdr:rowOff>
        </xdr:to>
        <xdr:sp macro="" textlink="">
          <xdr:nvSpPr>
            <xdr:cNvPr id="10305" name="Option Button 65" hidden="1">
              <a:extLst>
                <a:ext uri="{63B3BB69-23CF-44E3-9099-C40C66FF867C}">
                  <a14:compatExt spid="_x0000_s10305"/>
                </a:ext>
                <a:ext uri="{FF2B5EF4-FFF2-40B4-BE49-F238E27FC236}">
                  <a16:creationId xmlns:a16="http://schemas.microsoft.com/office/drawing/2014/main" id="{00000000-0008-0000-0500-00004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32</xdr:row>
          <xdr:rowOff>76200</xdr:rowOff>
        </xdr:from>
        <xdr:to>
          <xdr:col>3</xdr:col>
          <xdr:colOff>368300</xdr:colOff>
          <xdr:row>32</xdr:row>
          <xdr:rowOff>889000</xdr:rowOff>
        </xdr:to>
        <xdr:sp macro="" textlink="">
          <xdr:nvSpPr>
            <xdr:cNvPr id="10306" name="Option Button 66" hidden="1">
              <a:extLst>
                <a:ext uri="{63B3BB69-23CF-44E3-9099-C40C66FF867C}">
                  <a14:compatExt spid="_x0000_s10306"/>
                </a:ext>
                <a:ext uri="{FF2B5EF4-FFF2-40B4-BE49-F238E27FC236}">
                  <a16:creationId xmlns:a16="http://schemas.microsoft.com/office/drawing/2014/main" id="{00000000-0008-0000-0500-00004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32</xdr:row>
          <xdr:rowOff>63500</xdr:rowOff>
        </xdr:from>
        <xdr:to>
          <xdr:col>4</xdr:col>
          <xdr:colOff>368300</xdr:colOff>
          <xdr:row>32</xdr:row>
          <xdr:rowOff>889000</xdr:rowOff>
        </xdr:to>
        <xdr:sp macro="" textlink="">
          <xdr:nvSpPr>
            <xdr:cNvPr id="10307" name="Option Button 67" hidden="1">
              <a:extLst>
                <a:ext uri="{63B3BB69-23CF-44E3-9099-C40C66FF867C}">
                  <a14:compatExt spid="_x0000_s10307"/>
                </a:ext>
                <a:ext uri="{FF2B5EF4-FFF2-40B4-BE49-F238E27FC236}">
                  <a16:creationId xmlns:a16="http://schemas.microsoft.com/office/drawing/2014/main" id="{00000000-0008-0000-0500-00004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32</xdr:row>
          <xdr:rowOff>88900</xdr:rowOff>
        </xdr:from>
        <xdr:to>
          <xdr:col>5</xdr:col>
          <xdr:colOff>393700</xdr:colOff>
          <xdr:row>32</xdr:row>
          <xdr:rowOff>876300</xdr:rowOff>
        </xdr:to>
        <xdr:sp macro="" textlink="">
          <xdr:nvSpPr>
            <xdr:cNvPr id="10308" name="Option Button 68" hidden="1">
              <a:extLst>
                <a:ext uri="{63B3BB69-23CF-44E3-9099-C40C66FF867C}">
                  <a14:compatExt spid="_x0000_s10308"/>
                </a:ext>
                <a:ext uri="{FF2B5EF4-FFF2-40B4-BE49-F238E27FC236}">
                  <a16:creationId xmlns:a16="http://schemas.microsoft.com/office/drawing/2014/main" id="{00000000-0008-0000-0500-00004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33</xdr:row>
          <xdr:rowOff>139700</xdr:rowOff>
        </xdr:from>
        <xdr:to>
          <xdr:col>3</xdr:col>
          <xdr:colOff>0</xdr:colOff>
          <xdr:row>33</xdr:row>
          <xdr:rowOff>850900</xdr:rowOff>
        </xdr:to>
        <xdr:sp macro="" textlink="">
          <xdr:nvSpPr>
            <xdr:cNvPr id="10309" name="Option Button 69" hidden="1">
              <a:extLst>
                <a:ext uri="{63B3BB69-23CF-44E3-9099-C40C66FF867C}">
                  <a14:compatExt spid="_x0000_s10309"/>
                </a:ext>
                <a:ext uri="{FF2B5EF4-FFF2-40B4-BE49-F238E27FC236}">
                  <a16:creationId xmlns:a16="http://schemas.microsoft.com/office/drawing/2014/main" id="{00000000-0008-0000-0500-00004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33</xdr:row>
          <xdr:rowOff>152400</xdr:rowOff>
        </xdr:from>
        <xdr:to>
          <xdr:col>3</xdr:col>
          <xdr:colOff>368300</xdr:colOff>
          <xdr:row>33</xdr:row>
          <xdr:rowOff>838200</xdr:rowOff>
        </xdr:to>
        <xdr:sp macro="" textlink="">
          <xdr:nvSpPr>
            <xdr:cNvPr id="10310" name="Option Button 70" hidden="1">
              <a:extLst>
                <a:ext uri="{63B3BB69-23CF-44E3-9099-C40C66FF867C}">
                  <a14:compatExt spid="_x0000_s10310"/>
                </a:ext>
                <a:ext uri="{FF2B5EF4-FFF2-40B4-BE49-F238E27FC236}">
                  <a16:creationId xmlns:a16="http://schemas.microsoft.com/office/drawing/2014/main" id="{00000000-0008-0000-0500-00004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33</xdr:row>
          <xdr:rowOff>114300</xdr:rowOff>
        </xdr:from>
        <xdr:to>
          <xdr:col>4</xdr:col>
          <xdr:colOff>406400</xdr:colOff>
          <xdr:row>33</xdr:row>
          <xdr:rowOff>876300</xdr:rowOff>
        </xdr:to>
        <xdr:sp macro="" textlink="">
          <xdr:nvSpPr>
            <xdr:cNvPr id="10312" name="Option Button 72" hidden="1">
              <a:extLst>
                <a:ext uri="{63B3BB69-23CF-44E3-9099-C40C66FF867C}">
                  <a14:compatExt spid="_x0000_s10312"/>
                </a:ext>
                <a:ext uri="{FF2B5EF4-FFF2-40B4-BE49-F238E27FC236}">
                  <a16:creationId xmlns:a16="http://schemas.microsoft.com/office/drawing/2014/main" id="{00000000-0008-0000-0500-00004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33</xdr:row>
          <xdr:rowOff>139700</xdr:rowOff>
        </xdr:from>
        <xdr:to>
          <xdr:col>5</xdr:col>
          <xdr:colOff>368300</xdr:colOff>
          <xdr:row>33</xdr:row>
          <xdr:rowOff>850900</xdr:rowOff>
        </xdr:to>
        <xdr:sp macro="" textlink="">
          <xdr:nvSpPr>
            <xdr:cNvPr id="10345" name="Option Button 105" hidden="1">
              <a:extLst>
                <a:ext uri="{63B3BB69-23CF-44E3-9099-C40C66FF867C}">
                  <a14:compatExt spid="_x0000_s10345"/>
                </a:ext>
                <a:ext uri="{FF2B5EF4-FFF2-40B4-BE49-F238E27FC236}">
                  <a16:creationId xmlns:a16="http://schemas.microsoft.com/office/drawing/2014/main" id="{00000000-0008-0000-0500-00006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50800</xdr:rowOff>
        </xdr:from>
        <xdr:to>
          <xdr:col>7</xdr:col>
          <xdr:colOff>241300</xdr:colOff>
          <xdr:row>18</xdr:row>
          <xdr:rowOff>508000</xdr:rowOff>
        </xdr:to>
        <xdr:sp macro="" textlink="">
          <xdr:nvSpPr>
            <xdr:cNvPr id="10346" name="Group Box 106" hidden="1">
              <a:extLst>
                <a:ext uri="{63B3BB69-23CF-44E3-9099-C40C66FF867C}">
                  <a14:compatExt spid="_x0000_s10346"/>
                </a:ext>
                <a:ext uri="{FF2B5EF4-FFF2-40B4-BE49-F238E27FC236}">
                  <a16:creationId xmlns:a16="http://schemas.microsoft.com/office/drawing/2014/main" id="{00000000-0008-0000-0500-00006A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18</xdr:row>
          <xdr:rowOff>101600</xdr:rowOff>
        </xdr:from>
        <xdr:to>
          <xdr:col>2</xdr:col>
          <xdr:colOff>317500</xdr:colOff>
          <xdr:row>18</xdr:row>
          <xdr:rowOff>495300</xdr:rowOff>
        </xdr:to>
        <xdr:sp macro="" textlink="">
          <xdr:nvSpPr>
            <xdr:cNvPr id="10347" name="Option Button 107" hidden="1">
              <a:extLst>
                <a:ext uri="{63B3BB69-23CF-44E3-9099-C40C66FF867C}">
                  <a14:compatExt spid="_x0000_s10347"/>
                </a:ext>
                <a:ext uri="{FF2B5EF4-FFF2-40B4-BE49-F238E27FC236}">
                  <a16:creationId xmlns:a16="http://schemas.microsoft.com/office/drawing/2014/main" id="{00000000-0008-0000-0500-00006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18</xdr:row>
          <xdr:rowOff>101600</xdr:rowOff>
        </xdr:from>
        <xdr:to>
          <xdr:col>3</xdr:col>
          <xdr:colOff>317500</xdr:colOff>
          <xdr:row>18</xdr:row>
          <xdr:rowOff>495300</xdr:rowOff>
        </xdr:to>
        <xdr:sp macro="" textlink="">
          <xdr:nvSpPr>
            <xdr:cNvPr id="10348" name="Option Button 108" hidden="1">
              <a:extLst>
                <a:ext uri="{63B3BB69-23CF-44E3-9099-C40C66FF867C}">
                  <a14:compatExt spid="_x0000_s10348"/>
                </a:ext>
                <a:ext uri="{FF2B5EF4-FFF2-40B4-BE49-F238E27FC236}">
                  <a16:creationId xmlns:a16="http://schemas.microsoft.com/office/drawing/2014/main" id="{00000000-0008-0000-0500-00006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18</xdr:row>
          <xdr:rowOff>101600</xdr:rowOff>
        </xdr:from>
        <xdr:to>
          <xdr:col>4</xdr:col>
          <xdr:colOff>419100</xdr:colOff>
          <xdr:row>18</xdr:row>
          <xdr:rowOff>495300</xdr:rowOff>
        </xdr:to>
        <xdr:sp macro="" textlink="">
          <xdr:nvSpPr>
            <xdr:cNvPr id="10349" name="Option Button 109" hidden="1">
              <a:extLst>
                <a:ext uri="{63B3BB69-23CF-44E3-9099-C40C66FF867C}">
                  <a14:compatExt spid="_x0000_s10349"/>
                </a:ext>
                <a:ext uri="{FF2B5EF4-FFF2-40B4-BE49-F238E27FC236}">
                  <a16:creationId xmlns:a16="http://schemas.microsoft.com/office/drawing/2014/main" id="{00000000-0008-0000-0500-00006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18</xdr:row>
          <xdr:rowOff>101600</xdr:rowOff>
        </xdr:from>
        <xdr:to>
          <xdr:col>5</xdr:col>
          <xdr:colOff>342900</xdr:colOff>
          <xdr:row>18</xdr:row>
          <xdr:rowOff>495300</xdr:rowOff>
        </xdr:to>
        <xdr:sp macro="" textlink="">
          <xdr:nvSpPr>
            <xdr:cNvPr id="10350" name="Option Button 110" hidden="1">
              <a:extLst>
                <a:ext uri="{63B3BB69-23CF-44E3-9099-C40C66FF867C}">
                  <a14:compatExt spid="_x0000_s10350"/>
                </a:ext>
                <a:ext uri="{FF2B5EF4-FFF2-40B4-BE49-F238E27FC236}">
                  <a16:creationId xmlns:a16="http://schemas.microsoft.com/office/drawing/2014/main" id="{00000000-0008-0000-0500-00006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12700</xdr:rowOff>
        </xdr:from>
        <xdr:to>
          <xdr:col>7</xdr:col>
          <xdr:colOff>114300</xdr:colOff>
          <xdr:row>31</xdr:row>
          <xdr:rowOff>736600</xdr:rowOff>
        </xdr:to>
        <xdr:sp macro="" textlink="">
          <xdr:nvSpPr>
            <xdr:cNvPr id="10351" name="Group Box 111" hidden="1">
              <a:extLst>
                <a:ext uri="{63B3BB69-23CF-44E3-9099-C40C66FF867C}">
                  <a14:compatExt spid="_x0000_s10351"/>
                </a:ext>
                <a:ext uri="{FF2B5EF4-FFF2-40B4-BE49-F238E27FC236}">
                  <a16:creationId xmlns:a16="http://schemas.microsoft.com/office/drawing/2014/main" id="{00000000-0008-0000-0500-00006F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31</xdr:row>
          <xdr:rowOff>63500</xdr:rowOff>
        </xdr:from>
        <xdr:to>
          <xdr:col>3</xdr:col>
          <xdr:colOff>0</xdr:colOff>
          <xdr:row>31</xdr:row>
          <xdr:rowOff>723900</xdr:rowOff>
        </xdr:to>
        <xdr:sp macro="" textlink="">
          <xdr:nvSpPr>
            <xdr:cNvPr id="10352" name="Option Button 112" hidden="1">
              <a:extLst>
                <a:ext uri="{63B3BB69-23CF-44E3-9099-C40C66FF867C}">
                  <a14:compatExt spid="_x0000_s10352"/>
                </a:ext>
                <a:ext uri="{FF2B5EF4-FFF2-40B4-BE49-F238E27FC236}">
                  <a16:creationId xmlns:a16="http://schemas.microsoft.com/office/drawing/2014/main" id="{00000000-0008-0000-0500-00007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31</xdr:row>
          <xdr:rowOff>63500</xdr:rowOff>
        </xdr:from>
        <xdr:to>
          <xdr:col>3</xdr:col>
          <xdr:colOff>330200</xdr:colOff>
          <xdr:row>31</xdr:row>
          <xdr:rowOff>723900</xdr:rowOff>
        </xdr:to>
        <xdr:sp macro="" textlink="">
          <xdr:nvSpPr>
            <xdr:cNvPr id="10353" name="Option Button 113" hidden="1">
              <a:extLst>
                <a:ext uri="{63B3BB69-23CF-44E3-9099-C40C66FF867C}">
                  <a14:compatExt spid="_x0000_s10353"/>
                </a:ext>
                <a:ext uri="{FF2B5EF4-FFF2-40B4-BE49-F238E27FC236}">
                  <a16:creationId xmlns:a16="http://schemas.microsoft.com/office/drawing/2014/main" id="{00000000-0008-0000-0500-00007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31</xdr:row>
          <xdr:rowOff>76200</xdr:rowOff>
        </xdr:from>
        <xdr:to>
          <xdr:col>4</xdr:col>
          <xdr:colOff>292100</xdr:colOff>
          <xdr:row>31</xdr:row>
          <xdr:rowOff>723900</xdr:rowOff>
        </xdr:to>
        <xdr:sp macro="" textlink="">
          <xdr:nvSpPr>
            <xdr:cNvPr id="10354" name="Option Button 114" hidden="1">
              <a:extLst>
                <a:ext uri="{63B3BB69-23CF-44E3-9099-C40C66FF867C}">
                  <a14:compatExt spid="_x0000_s10354"/>
                </a:ext>
                <a:ext uri="{FF2B5EF4-FFF2-40B4-BE49-F238E27FC236}">
                  <a16:creationId xmlns:a16="http://schemas.microsoft.com/office/drawing/2014/main" id="{00000000-0008-0000-0500-00007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31</xdr:row>
          <xdr:rowOff>76200</xdr:rowOff>
        </xdr:from>
        <xdr:to>
          <xdr:col>5</xdr:col>
          <xdr:colOff>342900</xdr:colOff>
          <xdr:row>31</xdr:row>
          <xdr:rowOff>723900</xdr:rowOff>
        </xdr:to>
        <xdr:sp macro="" textlink="">
          <xdr:nvSpPr>
            <xdr:cNvPr id="10355" name="Option Button 115" hidden="1">
              <a:extLst>
                <a:ext uri="{63B3BB69-23CF-44E3-9099-C40C66FF867C}">
                  <a14:compatExt spid="_x0000_s10355"/>
                </a:ext>
                <a:ext uri="{FF2B5EF4-FFF2-40B4-BE49-F238E27FC236}">
                  <a16:creationId xmlns:a16="http://schemas.microsoft.com/office/drawing/2014/main" id="{00000000-0008-0000-0500-00007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7</xdr:row>
          <xdr:rowOff>114300</xdr:rowOff>
        </xdr:from>
        <xdr:to>
          <xdr:col>6</xdr:col>
          <xdr:colOff>863600</xdr:colOff>
          <xdr:row>7</xdr:row>
          <xdr:rowOff>508000</xdr:rowOff>
        </xdr:to>
        <xdr:sp macro="" textlink="">
          <xdr:nvSpPr>
            <xdr:cNvPr id="10357" name="Option Button 117" hidden="1">
              <a:extLst>
                <a:ext uri="{63B3BB69-23CF-44E3-9099-C40C66FF867C}">
                  <a14:compatExt spid="_x0000_s10357"/>
                </a:ext>
                <a:ext uri="{FF2B5EF4-FFF2-40B4-BE49-F238E27FC236}">
                  <a16:creationId xmlns:a16="http://schemas.microsoft.com/office/drawing/2014/main" id="{00000000-0008-0000-0500-00007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8</xdr:row>
          <xdr:rowOff>177800</xdr:rowOff>
        </xdr:from>
        <xdr:to>
          <xdr:col>6</xdr:col>
          <xdr:colOff>901700</xdr:colOff>
          <xdr:row>8</xdr:row>
          <xdr:rowOff>596900</xdr:rowOff>
        </xdr:to>
        <xdr:sp macro="" textlink="">
          <xdr:nvSpPr>
            <xdr:cNvPr id="10358" name="Option Button 118" hidden="1">
              <a:extLst>
                <a:ext uri="{63B3BB69-23CF-44E3-9099-C40C66FF867C}">
                  <a14:compatExt spid="_x0000_s10358"/>
                </a:ext>
                <a:ext uri="{FF2B5EF4-FFF2-40B4-BE49-F238E27FC236}">
                  <a16:creationId xmlns:a16="http://schemas.microsoft.com/office/drawing/2014/main" id="{00000000-0008-0000-0500-00007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16</xdr:row>
          <xdr:rowOff>114300</xdr:rowOff>
        </xdr:from>
        <xdr:to>
          <xdr:col>6</xdr:col>
          <xdr:colOff>812800</xdr:colOff>
          <xdr:row>16</xdr:row>
          <xdr:rowOff>482600</xdr:rowOff>
        </xdr:to>
        <xdr:sp macro="" textlink="">
          <xdr:nvSpPr>
            <xdr:cNvPr id="10361" name="Option Button 121" hidden="1">
              <a:extLst>
                <a:ext uri="{63B3BB69-23CF-44E3-9099-C40C66FF867C}">
                  <a14:compatExt spid="_x0000_s10361"/>
                </a:ext>
                <a:ext uri="{FF2B5EF4-FFF2-40B4-BE49-F238E27FC236}">
                  <a16:creationId xmlns:a16="http://schemas.microsoft.com/office/drawing/2014/main" id="{00000000-0008-0000-0500-00007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17</xdr:row>
          <xdr:rowOff>88900</xdr:rowOff>
        </xdr:from>
        <xdr:to>
          <xdr:col>6</xdr:col>
          <xdr:colOff>825500</xdr:colOff>
          <xdr:row>17</xdr:row>
          <xdr:rowOff>342900</xdr:rowOff>
        </xdr:to>
        <xdr:sp macro="" textlink="">
          <xdr:nvSpPr>
            <xdr:cNvPr id="10362" name="Option Button 122" hidden="1">
              <a:extLst>
                <a:ext uri="{63B3BB69-23CF-44E3-9099-C40C66FF867C}">
                  <a14:compatExt spid="_x0000_s10362"/>
                </a:ext>
                <a:ext uri="{FF2B5EF4-FFF2-40B4-BE49-F238E27FC236}">
                  <a16:creationId xmlns:a16="http://schemas.microsoft.com/office/drawing/2014/main" id="{00000000-0008-0000-0500-00007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18</xdr:row>
          <xdr:rowOff>114300</xdr:rowOff>
        </xdr:from>
        <xdr:to>
          <xdr:col>6</xdr:col>
          <xdr:colOff>838200</xdr:colOff>
          <xdr:row>18</xdr:row>
          <xdr:rowOff>482600</xdr:rowOff>
        </xdr:to>
        <xdr:sp macro="" textlink="">
          <xdr:nvSpPr>
            <xdr:cNvPr id="10363" name="Option Button 123" hidden="1">
              <a:extLst>
                <a:ext uri="{63B3BB69-23CF-44E3-9099-C40C66FF867C}">
                  <a14:compatExt spid="_x0000_s10363"/>
                </a:ext>
                <a:ext uri="{FF2B5EF4-FFF2-40B4-BE49-F238E27FC236}">
                  <a16:creationId xmlns:a16="http://schemas.microsoft.com/office/drawing/2014/main" id="{00000000-0008-0000-0500-00007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19</xdr:row>
          <xdr:rowOff>152400</xdr:rowOff>
        </xdr:from>
        <xdr:to>
          <xdr:col>6</xdr:col>
          <xdr:colOff>863600</xdr:colOff>
          <xdr:row>19</xdr:row>
          <xdr:rowOff>520700</xdr:rowOff>
        </xdr:to>
        <xdr:sp macro="" textlink="">
          <xdr:nvSpPr>
            <xdr:cNvPr id="10364" name="Option Button 124" hidden="1">
              <a:extLst>
                <a:ext uri="{63B3BB69-23CF-44E3-9099-C40C66FF867C}">
                  <a14:compatExt spid="_x0000_s10364"/>
                </a:ext>
                <a:ext uri="{FF2B5EF4-FFF2-40B4-BE49-F238E27FC236}">
                  <a16:creationId xmlns:a16="http://schemas.microsoft.com/office/drawing/2014/main" id="{00000000-0008-0000-0500-00007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20</xdr:row>
          <xdr:rowOff>152400</xdr:rowOff>
        </xdr:from>
        <xdr:to>
          <xdr:col>6</xdr:col>
          <xdr:colOff>812800</xdr:colOff>
          <xdr:row>20</xdr:row>
          <xdr:rowOff>495300</xdr:rowOff>
        </xdr:to>
        <xdr:sp macro="" textlink="">
          <xdr:nvSpPr>
            <xdr:cNvPr id="10365" name="Option Button 125" hidden="1">
              <a:extLst>
                <a:ext uri="{63B3BB69-23CF-44E3-9099-C40C66FF867C}">
                  <a14:compatExt spid="_x0000_s10365"/>
                </a:ext>
                <a:ext uri="{FF2B5EF4-FFF2-40B4-BE49-F238E27FC236}">
                  <a16:creationId xmlns:a16="http://schemas.microsoft.com/office/drawing/2014/main" id="{00000000-0008-0000-0500-00007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30</xdr:row>
          <xdr:rowOff>152400</xdr:rowOff>
        </xdr:from>
        <xdr:to>
          <xdr:col>6</xdr:col>
          <xdr:colOff>774700</xdr:colOff>
          <xdr:row>30</xdr:row>
          <xdr:rowOff>673100</xdr:rowOff>
        </xdr:to>
        <xdr:sp macro="" textlink="">
          <xdr:nvSpPr>
            <xdr:cNvPr id="10367" name="Option Button 127" hidden="1">
              <a:extLst>
                <a:ext uri="{63B3BB69-23CF-44E3-9099-C40C66FF867C}">
                  <a14:compatExt spid="_x0000_s10367"/>
                </a:ext>
                <a:ext uri="{FF2B5EF4-FFF2-40B4-BE49-F238E27FC236}">
                  <a16:creationId xmlns:a16="http://schemas.microsoft.com/office/drawing/2014/main" id="{00000000-0008-0000-0500-00007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31</xdr:row>
          <xdr:rowOff>76200</xdr:rowOff>
        </xdr:from>
        <xdr:to>
          <xdr:col>6</xdr:col>
          <xdr:colOff>825500</xdr:colOff>
          <xdr:row>31</xdr:row>
          <xdr:rowOff>711200</xdr:rowOff>
        </xdr:to>
        <xdr:sp macro="" textlink="">
          <xdr:nvSpPr>
            <xdr:cNvPr id="10368" name="Option Button 128" hidden="1">
              <a:extLst>
                <a:ext uri="{63B3BB69-23CF-44E3-9099-C40C66FF867C}">
                  <a14:compatExt spid="_x0000_s10368"/>
                </a:ext>
                <a:ext uri="{FF2B5EF4-FFF2-40B4-BE49-F238E27FC236}">
                  <a16:creationId xmlns:a16="http://schemas.microsoft.com/office/drawing/2014/main" id="{00000000-0008-0000-0500-00008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32</xdr:row>
          <xdr:rowOff>114300</xdr:rowOff>
        </xdr:from>
        <xdr:to>
          <xdr:col>6</xdr:col>
          <xdr:colOff>838200</xdr:colOff>
          <xdr:row>32</xdr:row>
          <xdr:rowOff>850900</xdr:rowOff>
        </xdr:to>
        <xdr:sp macro="" textlink="">
          <xdr:nvSpPr>
            <xdr:cNvPr id="10369" name="Option Button 129" hidden="1">
              <a:extLst>
                <a:ext uri="{63B3BB69-23CF-44E3-9099-C40C66FF867C}">
                  <a14:compatExt spid="_x0000_s10369"/>
                </a:ext>
                <a:ext uri="{FF2B5EF4-FFF2-40B4-BE49-F238E27FC236}">
                  <a16:creationId xmlns:a16="http://schemas.microsoft.com/office/drawing/2014/main" id="{00000000-0008-0000-0500-00008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33</xdr:row>
          <xdr:rowOff>101600</xdr:rowOff>
        </xdr:from>
        <xdr:to>
          <xdr:col>6</xdr:col>
          <xdr:colOff>774700</xdr:colOff>
          <xdr:row>33</xdr:row>
          <xdr:rowOff>876300</xdr:rowOff>
        </xdr:to>
        <xdr:sp macro="" textlink="">
          <xdr:nvSpPr>
            <xdr:cNvPr id="10370" name="Option Button 130" hidden="1">
              <a:extLst>
                <a:ext uri="{63B3BB69-23CF-44E3-9099-C40C66FF867C}">
                  <a14:compatExt spid="_x0000_s10370"/>
                </a:ext>
                <a:ext uri="{FF2B5EF4-FFF2-40B4-BE49-F238E27FC236}">
                  <a16:creationId xmlns:a16="http://schemas.microsoft.com/office/drawing/2014/main" id="{00000000-0008-0000-0500-00008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4648200</xdr:colOff>
          <xdr:row>6</xdr:row>
          <xdr:rowOff>25400</xdr:rowOff>
        </xdr:from>
        <xdr:to>
          <xdr:col>7</xdr:col>
          <xdr:colOff>228600</xdr:colOff>
          <xdr:row>6</xdr:row>
          <xdr:rowOff>508000</xdr:rowOff>
        </xdr:to>
        <xdr:sp macro="" textlink="">
          <xdr:nvSpPr>
            <xdr:cNvPr id="10372" name="Group Box 132" hidden="1">
              <a:extLst>
                <a:ext uri="{63B3BB69-23CF-44E3-9099-C40C66FF867C}">
                  <a14:compatExt spid="_x0000_s10372"/>
                </a:ext>
                <a:ext uri="{FF2B5EF4-FFF2-40B4-BE49-F238E27FC236}">
                  <a16:creationId xmlns:a16="http://schemas.microsoft.com/office/drawing/2014/main" id="{00000000-0008-0000-0500-000084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6</xdr:row>
          <xdr:rowOff>50800</xdr:rowOff>
        </xdr:from>
        <xdr:to>
          <xdr:col>2</xdr:col>
          <xdr:colOff>381000</xdr:colOff>
          <xdr:row>6</xdr:row>
          <xdr:rowOff>469900</xdr:rowOff>
        </xdr:to>
        <xdr:sp macro="" textlink="">
          <xdr:nvSpPr>
            <xdr:cNvPr id="10373" name="Option Button 133" hidden="1">
              <a:extLst>
                <a:ext uri="{63B3BB69-23CF-44E3-9099-C40C66FF867C}">
                  <a14:compatExt spid="_x0000_s10373"/>
                </a:ext>
                <a:ext uri="{FF2B5EF4-FFF2-40B4-BE49-F238E27FC236}">
                  <a16:creationId xmlns:a16="http://schemas.microsoft.com/office/drawing/2014/main" id="{00000000-0008-0000-0500-00008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6</xdr:row>
          <xdr:rowOff>63500</xdr:rowOff>
        </xdr:from>
        <xdr:to>
          <xdr:col>3</xdr:col>
          <xdr:colOff>393700</xdr:colOff>
          <xdr:row>6</xdr:row>
          <xdr:rowOff>469900</xdr:rowOff>
        </xdr:to>
        <xdr:sp macro="" textlink="">
          <xdr:nvSpPr>
            <xdr:cNvPr id="10374" name="Option Button 134" hidden="1">
              <a:extLst>
                <a:ext uri="{63B3BB69-23CF-44E3-9099-C40C66FF867C}">
                  <a14:compatExt spid="_x0000_s10374"/>
                </a:ext>
                <a:ext uri="{FF2B5EF4-FFF2-40B4-BE49-F238E27FC236}">
                  <a16:creationId xmlns:a16="http://schemas.microsoft.com/office/drawing/2014/main" id="{00000000-0008-0000-0500-00008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6</xdr:row>
          <xdr:rowOff>63500</xdr:rowOff>
        </xdr:from>
        <xdr:to>
          <xdr:col>4</xdr:col>
          <xdr:colOff>355600</xdr:colOff>
          <xdr:row>6</xdr:row>
          <xdr:rowOff>469900</xdr:rowOff>
        </xdr:to>
        <xdr:sp macro="" textlink="">
          <xdr:nvSpPr>
            <xdr:cNvPr id="10375" name="Option Button 135" hidden="1">
              <a:extLst>
                <a:ext uri="{63B3BB69-23CF-44E3-9099-C40C66FF867C}">
                  <a14:compatExt spid="_x0000_s10375"/>
                </a:ext>
                <a:ext uri="{FF2B5EF4-FFF2-40B4-BE49-F238E27FC236}">
                  <a16:creationId xmlns:a16="http://schemas.microsoft.com/office/drawing/2014/main" id="{00000000-0008-0000-0500-00008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xdr:row>
          <xdr:rowOff>50800</xdr:rowOff>
        </xdr:from>
        <xdr:to>
          <xdr:col>5</xdr:col>
          <xdr:colOff>444500</xdr:colOff>
          <xdr:row>6</xdr:row>
          <xdr:rowOff>482600</xdr:rowOff>
        </xdr:to>
        <xdr:sp macro="" textlink="">
          <xdr:nvSpPr>
            <xdr:cNvPr id="10376" name="Option Button 136" hidden="1">
              <a:extLst>
                <a:ext uri="{63B3BB69-23CF-44E3-9099-C40C66FF867C}">
                  <a14:compatExt spid="_x0000_s10376"/>
                </a:ext>
                <a:ext uri="{FF2B5EF4-FFF2-40B4-BE49-F238E27FC236}">
                  <a16:creationId xmlns:a16="http://schemas.microsoft.com/office/drawing/2014/main" id="{00000000-0008-0000-0500-00008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6</xdr:row>
          <xdr:rowOff>38100</xdr:rowOff>
        </xdr:from>
        <xdr:to>
          <xdr:col>6</xdr:col>
          <xdr:colOff>812800</xdr:colOff>
          <xdr:row>6</xdr:row>
          <xdr:rowOff>482600</xdr:rowOff>
        </xdr:to>
        <xdr:sp macro="" textlink="">
          <xdr:nvSpPr>
            <xdr:cNvPr id="10377" name="Option Button 137" hidden="1">
              <a:extLst>
                <a:ext uri="{63B3BB69-23CF-44E3-9099-C40C66FF867C}">
                  <a14:compatExt spid="_x0000_s10377"/>
                </a:ext>
                <a:ext uri="{FF2B5EF4-FFF2-40B4-BE49-F238E27FC236}">
                  <a16:creationId xmlns:a16="http://schemas.microsoft.com/office/drawing/2014/main" id="{00000000-0008-0000-0500-00008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13</xdr:row>
          <xdr:rowOff>63500</xdr:rowOff>
        </xdr:from>
        <xdr:to>
          <xdr:col>7</xdr:col>
          <xdr:colOff>215900</xdr:colOff>
          <xdr:row>13</xdr:row>
          <xdr:rowOff>1104900</xdr:rowOff>
        </xdr:to>
        <xdr:sp macro="" textlink="">
          <xdr:nvSpPr>
            <xdr:cNvPr id="11265" name="Group Box 1" hidden="1">
              <a:extLst>
                <a:ext uri="{63B3BB69-23CF-44E3-9099-C40C66FF867C}">
                  <a14:compatExt spid="_x0000_s11265"/>
                </a:ext>
                <a:ext uri="{FF2B5EF4-FFF2-40B4-BE49-F238E27FC236}">
                  <a16:creationId xmlns:a16="http://schemas.microsoft.com/office/drawing/2014/main" id="{00000000-0008-0000-0600-00000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50800</xdr:rowOff>
        </xdr:from>
        <xdr:to>
          <xdr:col>7</xdr:col>
          <xdr:colOff>228600</xdr:colOff>
          <xdr:row>14</xdr:row>
          <xdr:rowOff>876300</xdr:rowOff>
        </xdr:to>
        <xdr:sp macro="" textlink="">
          <xdr:nvSpPr>
            <xdr:cNvPr id="11266" name="Group Box 2" hidden="1">
              <a:extLst>
                <a:ext uri="{63B3BB69-23CF-44E3-9099-C40C66FF867C}">
                  <a14:compatExt spid="_x0000_s11266"/>
                </a:ext>
                <a:ext uri="{FF2B5EF4-FFF2-40B4-BE49-F238E27FC236}">
                  <a16:creationId xmlns:a16="http://schemas.microsoft.com/office/drawing/2014/main" id="{00000000-0008-0000-0600-00000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317500</xdr:rowOff>
        </xdr:from>
        <xdr:to>
          <xdr:col>7</xdr:col>
          <xdr:colOff>203200</xdr:colOff>
          <xdr:row>15</xdr:row>
          <xdr:rowOff>736600</xdr:rowOff>
        </xdr:to>
        <xdr:sp macro="" textlink="">
          <xdr:nvSpPr>
            <xdr:cNvPr id="11267" name="Group Box 3" hidden="1">
              <a:extLst>
                <a:ext uri="{63B3BB69-23CF-44E3-9099-C40C66FF867C}">
                  <a14:compatExt spid="_x0000_s11267"/>
                </a:ext>
                <a:ext uri="{FF2B5EF4-FFF2-40B4-BE49-F238E27FC236}">
                  <a16:creationId xmlns:a16="http://schemas.microsoft.com/office/drawing/2014/main" id="{00000000-0008-0000-0600-00000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3962400</xdr:colOff>
          <xdr:row>16</xdr:row>
          <xdr:rowOff>63500</xdr:rowOff>
        </xdr:from>
        <xdr:to>
          <xdr:col>7</xdr:col>
          <xdr:colOff>203200</xdr:colOff>
          <xdr:row>16</xdr:row>
          <xdr:rowOff>889000</xdr:rowOff>
        </xdr:to>
        <xdr:sp macro="" textlink="">
          <xdr:nvSpPr>
            <xdr:cNvPr id="11268" name="Group Box 4" hidden="1">
              <a:extLst>
                <a:ext uri="{63B3BB69-23CF-44E3-9099-C40C66FF867C}">
                  <a14:compatExt spid="_x0000_s11268"/>
                </a:ext>
                <a:ext uri="{FF2B5EF4-FFF2-40B4-BE49-F238E27FC236}">
                  <a16:creationId xmlns:a16="http://schemas.microsoft.com/office/drawing/2014/main" id="{00000000-0008-0000-0600-00000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13</xdr:row>
          <xdr:rowOff>114300</xdr:rowOff>
        </xdr:from>
        <xdr:to>
          <xdr:col>3</xdr:col>
          <xdr:colOff>25400</xdr:colOff>
          <xdr:row>13</xdr:row>
          <xdr:rowOff>1041400</xdr:rowOff>
        </xdr:to>
        <xdr:sp macro="" textlink="">
          <xdr:nvSpPr>
            <xdr:cNvPr id="11282" name="Option Button 18" hidden="1">
              <a:extLst>
                <a:ext uri="{63B3BB69-23CF-44E3-9099-C40C66FF867C}">
                  <a14:compatExt spid="_x0000_s11282"/>
                </a:ext>
                <a:ext uri="{FF2B5EF4-FFF2-40B4-BE49-F238E27FC236}">
                  <a16:creationId xmlns:a16="http://schemas.microsoft.com/office/drawing/2014/main" id="{00000000-0008-0000-0600-00001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13</xdr:row>
          <xdr:rowOff>127000</xdr:rowOff>
        </xdr:from>
        <xdr:to>
          <xdr:col>3</xdr:col>
          <xdr:colOff>304800</xdr:colOff>
          <xdr:row>13</xdr:row>
          <xdr:rowOff>1028700</xdr:rowOff>
        </xdr:to>
        <xdr:sp macro="" textlink="">
          <xdr:nvSpPr>
            <xdr:cNvPr id="11283" name="Option Button 19" hidden="1">
              <a:extLst>
                <a:ext uri="{63B3BB69-23CF-44E3-9099-C40C66FF867C}">
                  <a14:compatExt spid="_x0000_s11283"/>
                </a:ext>
                <a:ext uri="{FF2B5EF4-FFF2-40B4-BE49-F238E27FC236}">
                  <a16:creationId xmlns:a16="http://schemas.microsoft.com/office/drawing/2014/main" id="{00000000-0008-0000-0600-00001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13</xdr:row>
          <xdr:rowOff>152400</xdr:rowOff>
        </xdr:from>
        <xdr:to>
          <xdr:col>4</xdr:col>
          <xdr:colOff>406400</xdr:colOff>
          <xdr:row>13</xdr:row>
          <xdr:rowOff>1003300</xdr:rowOff>
        </xdr:to>
        <xdr:sp macro="" textlink="">
          <xdr:nvSpPr>
            <xdr:cNvPr id="11284" name="Option Button 20" hidden="1">
              <a:extLst>
                <a:ext uri="{63B3BB69-23CF-44E3-9099-C40C66FF867C}">
                  <a14:compatExt spid="_x0000_s11284"/>
                </a:ext>
                <a:ext uri="{FF2B5EF4-FFF2-40B4-BE49-F238E27FC236}">
                  <a16:creationId xmlns:a16="http://schemas.microsoft.com/office/drawing/2014/main" id="{00000000-0008-0000-0600-00001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13</xdr:row>
          <xdr:rowOff>101600</xdr:rowOff>
        </xdr:from>
        <xdr:to>
          <xdr:col>5</xdr:col>
          <xdr:colOff>406400</xdr:colOff>
          <xdr:row>13</xdr:row>
          <xdr:rowOff>1054100</xdr:rowOff>
        </xdr:to>
        <xdr:sp macro="" textlink="">
          <xdr:nvSpPr>
            <xdr:cNvPr id="11285" name="Option Button 21" hidden="1">
              <a:extLst>
                <a:ext uri="{63B3BB69-23CF-44E3-9099-C40C66FF867C}">
                  <a14:compatExt spid="_x0000_s11285"/>
                </a:ext>
                <a:ext uri="{FF2B5EF4-FFF2-40B4-BE49-F238E27FC236}">
                  <a16:creationId xmlns:a16="http://schemas.microsoft.com/office/drawing/2014/main" id="{00000000-0008-0000-0600-00001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14</xdr:row>
          <xdr:rowOff>88900</xdr:rowOff>
        </xdr:from>
        <xdr:to>
          <xdr:col>3</xdr:col>
          <xdr:colOff>0</xdr:colOff>
          <xdr:row>14</xdr:row>
          <xdr:rowOff>838200</xdr:rowOff>
        </xdr:to>
        <xdr:sp macro="" textlink="">
          <xdr:nvSpPr>
            <xdr:cNvPr id="11286" name="Option Button 22" hidden="1">
              <a:extLst>
                <a:ext uri="{63B3BB69-23CF-44E3-9099-C40C66FF867C}">
                  <a14:compatExt spid="_x0000_s11286"/>
                </a:ext>
                <a:ext uri="{FF2B5EF4-FFF2-40B4-BE49-F238E27FC236}">
                  <a16:creationId xmlns:a16="http://schemas.microsoft.com/office/drawing/2014/main" id="{00000000-0008-0000-0600-00001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14</xdr:row>
          <xdr:rowOff>88900</xdr:rowOff>
        </xdr:from>
        <xdr:to>
          <xdr:col>3</xdr:col>
          <xdr:colOff>419100</xdr:colOff>
          <xdr:row>14</xdr:row>
          <xdr:rowOff>838200</xdr:rowOff>
        </xdr:to>
        <xdr:sp macro="" textlink="">
          <xdr:nvSpPr>
            <xdr:cNvPr id="11287" name="Option Button 23" hidden="1">
              <a:extLst>
                <a:ext uri="{63B3BB69-23CF-44E3-9099-C40C66FF867C}">
                  <a14:compatExt spid="_x0000_s11287"/>
                </a:ext>
                <a:ext uri="{FF2B5EF4-FFF2-40B4-BE49-F238E27FC236}">
                  <a16:creationId xmlns:a16="http://schemas.microsoft.com/office/drawing/2014/main" id="{00000000-0008-0000-0600-00001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14</xdr:row>
          <xdr:rowOff>101600</xdr:rowOff>
        </xdr:from>
        <xdr:to>
          <xdr:col>4</xdr:col>
          <xdr:colOff>381000</xdr:colOff>
          <xdr:row>14</xdr:row>
          <xdr:rowOff>825500</xdr:rowOff>
        </xdr:to>
        <xdr:sp macro="" textlink="">
          <xdr:nvSpPr>
            <xdr:cNvPr id="11288" name="Option Button 24" hidden="1">
              <a:extLst>
                <a:ext uri="{63B3BB69-23CF-44E3-9099-C40C66FF867C}">
                  <a14:compatExt spid="_x0000_s11288"/>
                </a:ext>
                <a:ext uri="{FF2B5EF4-FFF2-40B4-BE49-F238E27FC236}">
                  <a16:creationId xmlns:a16="http://schemas.microsoft.com/office/drawing/2014/main" id="{00000000-0008-0000-0600-00001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14</xdr:row>
          <xdr:rowOff>101600</xdr:rowOff>
        </xdr:from>
        <xdr:to>
          <xdr:col>5</xdr:col>
          <xdr:colOff>355600</xdr:colOff>
          <xdr:row>14</xdr:row>
          <xdr:rowOff>825500</xdr:rowOff>
        </xdr:to>
        <xdr:sp macro="" textlink="">
          <xdr:nvSpPr>
            <xdr:cNvPr id="11289" name="Option Button 25" hidden="1">
              <a:extLst>
                <a:ext uri="{63B3BB69-23CF-44E3-9099-C40C66FF867C}">
                  <a14:compatExt spid="_x0000_s11289"/>
                </a:ext>
                <a:ext uri="{FF2B5EF4-FFF2-40B4-BE49-F238E27FC236}">
                  <a16:creationId xmlns:a16="http://schemas.microsoft.com/office/drawing/2014/main" id="{00000000-0008-0000-0600-00001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15</xdr:row>
          <xdr:rowOff>381000</xdr:rowOff>
        </xdr:from>
        <xdr:to>
          <xdr:col>3</xdr:col>
          <xdr:colOff>25400</xdr:colOff>
          <xdr:row>15</xdr:row>
          <xdr:rowOff>711200</xdr:rowOff>
        </xdr:to>
        <xdr:sp macro="" textlink="">
          <xdr:nvSpPr>
            <xdr:cNvPr id="11290" name="Option Button 26" hidden="1">
              <a:extLst>
                <a:ext uri="{63B3BB69-23CF-44E3-9099-C40C66FF867C}">
                  <a14:compatExt spid="_x0000_s11290"/>
                </a:ext>
                <a:ext uri="{FF2B5EF4-FFF2-40B4-BE49-F238E27FC236}">
                  <a16:creationId xmlns:a16="http://schemas.microsoft.com/office/drawing/2014/main" id="{00000000-0008-0000-0600-00001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15</xdr:row>
          <xdr:rowOff>381000</xdr:rowOff>
        </xdr:from>
        <xdr:to>
          <xdr:col>3</xdr:col>
          <xdr:colOff>355600</xdr:colOff>
          <xdr:row>15</xdr:row>
          <xdr:rowOff>723900</xdr:rowOff>
        </xdr:to>
        <xdr:sp macro="" textlink="">
          <xdr:nvSpPr>
            <xdr:cNvPr id="11291" name="Option Button 27" hidden="1">
              <a:extLst>
                <a:ext uri="{63B3BB69-23CF-44E3-9099-C40C66FF867C}">
                  <a14:compatExt spid="_x0000_s11291"/>
                </a:ext>
                <a:ext uri="{FF2B5EF4-FFF2-40B4-BE49-F238E27FC236}">
                  <a16:creationId xmlns:a16="http://schemas.microsoft.com/office/drawing/2014/main" id="{00000000-0008-0000-0600-00001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15</xdr:row>
          <xdr:rowOff>368300</xdr:rowOff>
        </xdr:from>
        <xdr:to>
          <xdr:col>4</xdr:col>
          <xdr:colOff>368300</xdr:colOff>
          <xdr:row>15</xdr:row>
          <xdr:rowOff>723900</xdr:rowOff>
        </xdr:to>
        <xdr:sp macro="" textlink="">
          <xdr:nvSpPr>
            <xdr:cNvPr id="11292" name="Option Button 28" hidden="1">
              <a:extLst>
                <a:ext uri="{63B3BB69-23CF-44E3-9099-C40C66FF867C}">
                  <a14:compatExt spid="_x0000_s11292"/>
                </a:ext>
                <a:ext uri="{FF2B5EF4-FFF2-40B4-BE49-F238E27FC236}">
                  <a16:creationId xmlns:a16="http://schemas.microsoft.com/office/drawing/2014/main" id="{00000000-0008-0000-0600-00001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15</xdr:row>
          <xdr:rowOff>368300</xdr:rowOff>
        </xdr:from>
        <xdr:to>
          <xdr:col>5</xdr:col>
          <xdr:colOff>368300</xdr:colOff>
          <xdr:row>15</xdr:row>
          <xdr:rowOff>723900</xdr:rowOff>
        </xdr:to>
        <xdr:sp macro="" textlink="">
          <xdr:nvSpPr>
            <xdr:cNvPr id="11293" name="Option Button 29" hidden="1">
              <a:extLst>
                <a:ext uri="{63B3BB69-23CF-44E3-9099-C40C66FF867C}">
                  <a14:compatExt spid="_x0000_s11293"/>
                </a:ext>
                <a:ext uri="{FF2B5EF4-FFF2-40B4-BE49-F238E27FC236}">
                  <a16:creationId xmlns:a16="http://schemas.microsoft.com/office/drawing/2014/main" id="{00000000-0008-0000-0600-00001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16</xdr:row>
          <xdr:rowOff>101600</xdr:rowOff>
        </xdr:from>
        <xdr:to>
          <xdr:col>3</xdr:col>
          <xdr:colOff>25400</xdr:colOff>
          <xdr:row>16</xdr:row>
          <xdr:rowOff>863600</xdr:rowOff>
        </xdr:to>
        <xdr:sp macro="" textlink="">
          <xdr:nvSpPr>
            <xdr:cNvPr id="11294" name="Option Button 30" hidden="1">
              <a:extLst>
                <a:ext uri="{63B3BB69-23CF-44E3-9099-C40C66FF867C}">
                  <a14:compatExt spid="_x0000_s11294"/>
                </a:ext>
                <a:ext uri="{FF2B5EF4-FFF2-40B4-BE49-F238E27FC236}">
                  <a16:creationId xmlns:a16="http://schemas.microsoft.com/office/drawing/2014/main" id="{00000000-0008-0000-0600-00001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16</xdr:row>
          <xdr:rowOff>101600</xdr:rowOff>
        </xdr:from>
        <xdr:to>
          <xdr:col>3</xdr:col>
          <xdr:colOff>355600</xdr:colOff>
          <xdr:row>16</xdr:row>
          <xdr:rowOff>863600</xdr:rowOff>
        </xdr:to>
        <xdr:sp macro="" textlink="">
          <xdr:nvSpPr>
            <xdr:cNvPr id="11295" name="Option Button 31" hidden="1">
              <a:extLst>
                <a:ext uri="{63B3BB69-23CF-44E3-9099-C40C66FF867C}">
                  <a14:compatExt spid="_x0000_s11295"/>
                </a:ext>
                <a:ext uri="{FF2B5EF4-FFF2-40B4-BE49-F238E27FC236}">
                  <a16:creationId xmlns:a16="http://schemas.microsoft.com/office/drawing/2014/main" id="{00000000-0008-0000-0600-00001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16</xdr:row>
          <xdr:rowOff>114300</xdr:rowOff>
        </xdr:from>
        <xdr:to>
          <xdr:col>4</xdr:col>
          <xdr:colOff>381000</xdr:colOff>
          <xdr:row>16</xdr:row>
          <xdr:rowOff>850900</xdr:rowOff>
        </xdr:to>
        <xdr:sp macro="" textlink="">
          <xdr:nvSpPr>
            <xdr:cNvPr id="11296" name="Option Button 32" hidden="1">
              <a:extLst>
                <a:ext uri="{63B3BB69-23CF-44E3-9099-C40C66FF867C}">
                  <a14:compatExt spid="_x0000_s11296"/>
                </a:ext>
                <a:ext uri="{FF2B5EF4-FFF2-40B4-BE49-F238E27FC236}">
                  <a16:creationId xmlns:a16="http://schemas.microsoft.com/office/drawing/2014/main" id="{00000000-0008-0000-0600-00002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16</xdr:row>
          <xdr:rowOff>114300</xdr:rowOff>
        </xdr:from>
        <xdr:to>
          <xdr:col>5</xdr:col>
          <xdr:colOff>355600</xdr:colOff>
          <xdr:row>16</xdr:row>
          <xdr:rowOff>850900</xdr:rowOff>
        </xdr:to>
        <xdr:sp macro="" textlink="">
          <xdr:nvSpPr>
            <xdr:cNvPr id="11297" name="Option Button 33" hidden="1">
              <a:extLst>
                <a:ext uri="{63B3BB69-23CF-44E3-9099-C40C66FF867C}">
                  <a14:compatExt spid="_x0000_s11297"/>
                </a:ext>
                <a:ext uri="{FF2B5EF4-FFF2-40B4-BE49-F238E27FC236}">
                  <a16:creationId xmlns:a16="http://schemas.microsoft.com/office/drawing/2014/main" id="{00000000-0008-0000-0600-00002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6</xdr:row>
          <xdr:rowOff>63500</xdr:rowOff>
        </xdr:from>
        <xdr:to>
          <xdr:col>7</xdr:col>
          <xdr:colOff>76200</xdr:colOff>
          <xdr:row>6</xdr:row>
          <xdr:rowOff>457200</xdr:rowOff>
        </xdr:to>
        <xdr:sp macro="" textlink="">
          <xdr:nvSpPr>
            <xdr:cNvPr id="11322" name="Group Box 58" hidden="1">
              <a:extLst>
                <a:ext uri="{63B3BB69-23CF-44E3-9099-C40C66FF867C}">
                  <a14:compatExt spid="_x0000_s11322"/>
                </a:ext>
                <a:ext uri="{FF2B5EF4-FFF2-40B4-BE49-F238E27FC236}">
                  <a16:creationId xmlns:a16="http://schemas.microsoft.com/office/drawing/2014/main" id="{00000000-0008-0000-0600-00003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50800</xdr:rowOff>
        </xdr:from>
        <xdr:to>
          <xdr:col>7</xdr:col>
          <xdr:colOff>127000</xdr:colOff>
          <xdr:row>7</xdr:row>
          <xdr:rowOff>800100</xdr:rowOff>
        </xdr:to>
        <xdr:sp macro="" textlink="">
          <xdr:nvSpPr>
            <xdr:cNvPr id="11323" name="Group Box 59" hidden="1">
              <a:extLst>
                <a:ext uri="{63B3BB69-23CF-44E3-9099-C40C66FF867C}">
                  <a14:compatExt spid="_x0000_s11323"/>
                </a:ext>
                <a:ext uri="{FF2B5EF4-FFF2-40B4-BE49-F238E27FC236}">
                  <a16:creationId xmlns:a16="http://schemas.microsoft.com/office/drawing/2014/main" id="{00000000-0008-0000-0600-00003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6</xdr:row>
          <xdr:rowOff>114300</xdr:rowOff>
        </xdr:from>
        <xdr:to>
          <xdr:col>3</xdr:col>
          <xdr:colOff>0</xdr:colOff>
          <xdr:row>6</xdr:row>
          <xdr:rowOff>457200</xdr:rowOff>
        </xdr:to>
        <xdr:sp macro="" textlink="">
          <xdr:nvSpPr>
            <xdr:cNvPr id="11324" name="Option Button 60" hidden="1">
              <a:extLst>
                <a:ext uri="{63B3BB69-23CF-44E3-9099-C40C66FF867C}">
                  <a14:compatExt spid="_x0000_s11324"/>
                </a:ext>
                <a:ext uri="{FF2B5EF4-FFF2-40B4-BE49-F238E27FC236}">
                  <a16:creationId xmlns:a16="http://schemas.microsoft.com/office/drawing/2014/main" id="{00000000-0008-0000-0600-00003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6</xdr:row>
          <xdr:rowOff>114300</xdr:rowOff>
        </xdr:from>
        <xdr:to>
          <xdr:col>3</xdr:col>
          <xdr:colOff>381000</xdr:colOff>
          <xdr:row>6</xdr:row>
          <xdr:rowOff>457200</xdr:rowOff>
        </xdr:to>
        <xdr:sp macro="" textlink="">
          <xdr:nvSpPr>
            <xdr:cNvPr id="11325" name="Option Button 61" hidden="1">
              <a:extLst>
                <a:ext uri="{63B3BB69-23CF-44E3-9099-C40C66FF867C}">
                  <a14:compatExt spid="_x0000_s11325"/>
                </a:ext>
                <a:ext uri="{FF2B5EF4-FFF2-40B4-BE49-F238E27FC236}">
                  <a16:creationId xmlns:a16="http://schemas.microsoft.com/office/drawing/2014/main" id="{00000000-0008-0000-0600-00003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6</xdr:row>
          <xdr:rowOff>114300</xdr:rowOff>
        </xdr:from>
        <xdr:to>
          <xdr:col>4</xdr:col>
          <xdr:colOff>381000</xdr:colOff>
          <xdr:row>6</xdr:row>
          <xdr:rowOff>457200</xdr:rowOff>
        </xdr:to>
        <xdr:sp macro="" textlink="">
          <xdr:nvSpPr>
            <xdr:cNvPr id="11326" name="Option Button 62" hidden="1">
              <a:extLst>
                <a:ext uri="{63B3BB69-23CF-44E3-9099-C40C66FF867C}">
                  <a14:compatExt spid="_x0000_s11326"/>
                </a:ext>
                <a:ext uri="{FF2B5EF4-FFF2-40B4-BE49-F238E27FC236}">
                  <a16:creationId xmlns:a16="http://schemas.microsoft.com/office/drawing/2014/main" id="{00000000-0008-0000-0600-00003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xdr:row>
          <xdr:rowOff>101600</xdr:rowOff>
        </xdr:from>
        <xdr:to>
          <xdr:col>5</xdr:col>
          <xdr:colOff>406400</xdr:colOff>
          <xdr:row>6</xdr:row>
          <xdr:rowOff>457200</xdr:rowOff>
        </xdr:to>
        <xdr:sp macro="" textlink="">
          <xdr:nvSpPr>
            <xdr:cNvPr id="11327" name="Option Button 63" hidden="1">
              <a:extLst>
                <a:ext uri="{63B3BB69-23CF-44E3-9099-C40C66FF867C}">
                  <a14:compatExt spid="_x0000_s11327"/>
                </a:ext>
                <a:ext uri="{FF2B5EF4-FFF2-40B4-BE49-F238E27FC236}">
                  <a16:creationId xmlns:a16="http://schemas.microsoft.com/office/drawing/2014/main" id="{00000000-0008-0000-0600-00003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7</xdr:row>
          <xdr:rowOff>190500</xdr:rowOff>
        </xdr:from>
        <xdr:to>
          <xdr:col>3</xdr:col>
          <xdr:colOff>0</xdr:colOff>
          <xdr:row>7</xdr:row>
          <xdr:rowOff>711200</xdr:rowOff>
        </xdr:to>
        <xdr:sp macro="" textlink="">
          <xdr:nvSpPr>
            <xdr:cNvPr id="11328" name="Option Button 64" hidden="1">
              <a:extLst>
                <a:ext uri="{63B3BB69-23CF-44E3-9099-C40C66FF867C}">
                  <a14:compatExt spid="_x0000_s11328"/>
                </a:ext>
                <a:ext uri="{FF2B5EF4-FFF2-40B4-BE49-F238E27FC236}">
                  <a16:creationId xmlns:a16="http://schemas.microsoft.com/office/drawing/2014/main" id="{00000000-0008-0000-0600-00004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xdr:row>
          <xdr:rowOff>165100</xdr:rowOff>
        </xdr:from>
        <xdr:to>
          <xdr:col>3</xdr:col>
          <xdr:colOff>368300</xdr:colOff>
          <xdr:row>7</xdr:row>
          <xdr:rowOff>736600</xdr:rowOff>
        </xdr:to>
        <xdr:sp macro="" textlink="">
          <xdr:nvSpPr>
            <xdr:cNvPr id="11329" name="Option Button 65" hidden="1">
              <a:extLst>
                <a:ext uri="{63B3BB69-23CF-44E3-9099-C40C66FF867C}">
                  <a14:compatExt spid="_x0000_s11329"/>
                </a:ext>
                <a:ext uri="{FF2B5EF4-FFF2-40B4-BE49-F238E27FC236}">
                  <a16:creationId xmlns:a16="http://schemas.microsoft.com/office/drawing/2014/main" id="{00000000-0008-0000-0600-00004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7</xdr:row>
          <xdr:rowOff>127000</xdr:rowOff>
        </xdr:from>
        <xdr:to>
          <xdr:col>4</xdr:col>
          <xdr:colOff>368300</xdr:colOff>
          <xdr:row>7</xdr:row>
          <xdr:rowOff>774700</xdr:rowOff>
        </xdr:to>
        <xdr:sp macro="" textlink="">
          <xdr:nvSpPr>
            <xdr:cNvPr id="11330" name="Option Button 66" hidden="1">
              <a:extLst>
                <a:ext uri="{63B3BB69-23CF-44E3-9099-C40C66FF867C}">
                  <a14:compatExt spid="_x0000_s11330"/>
                </a:ext>
                <a:ext uri="{FF2B5EF4-FFF2-40B4-BE49-F238E27FC236}">
                  <a16:creationId xmlns:a16="http://schemas.microsoft.com/office/drawing/2014/main" id="{00000000-0008-0000-0600-00004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7</xdr:row>
          <xdr:rowOff>127000</xdr:rowOff>
        </xdr:from>
        <xdr:to>
          <xdr:col>5</xdr:col>
          <xdr:colOff>393700</xdr:colOff>
          <xdr:row>7</xdr:row>
          <xdr:rowOff>774700</xdr:rowOff>
        </xdr:to>
        <xdr:sp macro="" textlink="">
          <xdr:nvSpPr>
            <xdr:cNvPr id="11331" name="Option Button 67" hidden="1">
              <a:extLst>
                <a:ext uri="{63B3BB69-23CF-44E3-9099-C40C66FF867C}">
                  <a14:compatExt spid="_x0000_s11331"/>
                </a:ext>
                <a:ext uri="{FF2B5EF4-FFF2-40B4-BE49-F238E27FC236}">
                  <a16:creationId xmlns:a16="http://schemas.microsoft.com/office/drawing/2014/main" id="{00000000-0008-0000-0600-00004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24</xdr:row>
          <xdr:rowOff>38100</xdr:rowOff>
        </xdr:from>
        <xdr:to>
          <xdr:col>7</xdr:col>
          <xdr:colOff>114300</xdr:colOff>
          <xdr:row>24</xdr:row>
          <xdr:rowOff>495300</xdr:rowOff>
        </xdr:to>
        <xdr:sp macro="" textlink="">
          <xdr:nvSpPr>
            <xdr:cNvPr id="11332" name="Group Box 68" hidden="1">
              <a:extLst>
                <a:ext uri="{63B3BB69-23CF-44E3-9099-C40C66FF867C}">
                  <a14:compatExt spid="_x0000_s11332"/>
                </a:ext>
                <a:ext uri="{FF2B5EF4-FFF2-40B4-BE49-F238E27FC236}">
                  <a16:creationId xmlns:a16="http://schemas.microsoft.com/office/drawing/2014/main" id="{00000000-0008-0000-0600-00004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25</xdr:row>
          <xdr:rowOff>38100</xdr:rowOff>
        </xdr:from>
        <xdr:to>
          <xdr:col>7</xdr:col>
          <xdr:colOff>152400</xdr:colOff>
          <xdr:row>25</xdr:row>
          <xdr:rowOff>571500</xdr:rowOff>
        </xdr:to>
        <xdr:sp macro="" textlink="">
          <xdr:nvSpPr>
            <xdr:cNvPr id="11333" name="Group Box 69" hidden="1">
              <a:extLst>
                <a:ext uri="{63B3BB69-23CF-44E3-9099-C40C66FF867C}">
                  <a14:compatExt spid="_x0000_s11333"/>
                </a:ext>
                <a:ext uri="{FF2B5EF4-FFF2-40B4-BE49-F238E27FC236}">
                  <a16:creationId xmlns:a16="http://schemas.microsoft.com/office/drawing/2014/main" id="{00000000-0008-0000-0600-00004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26</xdr:row>
          <xdr:rowOff>177800</xdr:rowOff>
        </xdr:from>
        <xdr:to>
          <xdr:col>7</xdr:col>
          <xdr:colOff>203200</xdr:colOff>
          <xdr:row>26</xdr:row>
          <xdr:rowOff>774700</xdr:rowOff>
        </xdr:to>
        <xdr:sp macro="" textlink="">
          <xdr:nvSpPr>
            <xdr:cNvPr id="11334" name="Group Box 70" hidden="1">
              <a:extLst>
                <a:ext uri="{63B3BB69-23CF-44E3-9099-C40C66FF867C}">
                  <a14:compatExt spid="_x0000_s11334"/>
                </a:ext>
                <a:ext uri="{FF2B5EF4-FFF2-40B4-BE49-F238E27FC236}">
                  <a16:creationId xmlns:a16="http://schemas.microsoft.com/office/drawing/2014/main" id="{00000000-0008-0000-0600-00004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25</xdr:row>
          <xdr:rowOff>63500</xdr:rowOff>
        </xdr:from>
        <xdr:to>
          <xdr:col>2</xdr:col>
          <xdr:colOff>330200</xdr:colOff>
          <xdr:row>25</xdr:row>
          <xdr:rowOff>571500</xdr:rowOff>
        </xdr:to>
        <xdr:sp macro="" textlink="">
          <xdr:nvSpPr>
            <xdr:cNvPr id="11340" name="Option Button 76" hidden="1">
              <a:extLst>
                <a:ext uri="{63B3BB69-23CF-44E3-9099-C40C66FF867C}">
                  <a14:compatExt spid="_x0000_s11340"/>
                </a:ext>
                <a:ext uri="{FF2B5EF4-FFF2-40B4-BE49-F238E27FC236}">
                  <a16:creationId xmlns:a16="http://schemas.microsoft.com/office/drawing/2014/main" id="{00000000-0008-0000-0600-00004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25</xdr:row>
          <xdr:rowOff>63500</xdr:rowOff>
        </xdr:from>
        <xdr:to>
          <xdr:col>3</xdr:col>
          <xdr:colOff>292100</xdr:colOff>
          <xdr:row>25</xdr:row>
          <xdr:rowOff>571500</xdr:rowOff>
        </xdr:to>
        <xdr:sp macro="" textlink="">
          <xdr:nvSpPr>
            <xdr:cNvPr id="11341" name="Option Button 77" hidden="1">
              <a:extLst>
                <a:ext uri="{63B3BB69-23CF-44E3-9099-C40C66FF867C}">
                  <a14:compatExt spid="_x0000_s11341"/>
                </a:ext>
                <a:ext uri="{FF2B5EF4-FFF2-40B4-BE49-F238E27FC236}">
                  <a16:creationId xmlns:a16="http://schemas.microsoft.com/office/drawing/2014/main" id="{00000000-0008-0000-0600-00004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25</xdr:row>
          <xdr:rowOff>76200</xdr:rowOff>
        </xdr:from>
        <xdr:to>
          <xdr:col>4</xdr:col>
          <xdr:colOff>342900</xdr:colOff>
          <xdr:row>25</xdr:row>
          <xdr:rowOff>571500</xdr:rowOff>
        </xdr:to>
        <xdr:sp macro="" textlink="">
          <xdr:nvSpPr>
            <xdr:cNvPr id="11342" name="Option Button 78" hidden="1">
              <a:extLst>
                <a:ext uri="{63B3BB69-23CF-44E3-9099-C40C66FF867C}">
                  <a14:compatExt spid="_x0000_s11342"/>
                </a:ext>
                <a:ext uri="{FF2B5EF4-FFF2-40B4-BE49-F238E27FC236}">
                  <a16:creationId xmlns:a16="http://schemas.microsoft.com/office/drawing/2014/main" id="{00000000-0008-0000-0600-00004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25</xdr:row>
          <xdr:rowOff>63500</xdr:rowOff>
        </xdr:from>
        <xdr:to>
          <xdr:col>5</xdr:col>
          <xdr:colOff>330200</xdr:colOff>
          <xdr:row>25</xdr:row>
          <xdr:rowOff>571500</xdr:rowOff>
        </xdr:to>
        <xdr:sp macro="" textlink="">
          <xdr:nvSpPr>
            <xdr:cNvPr id="11343" name="Option Button 79" hidden="1">
              <a:extLst>
                <a:ext uri="{63B3BB69-23CF-44E3-9099-C40C66FF867C}">
                  <a14:compatExt spid="_x0000_s11343"/>
                </a:ext>
                <a:ext uri="{FF2B5EF4-FFF2-40B4-BE49-F238E27FC236}">
                  <a16:creationId xmlns:a16="http://schemas.microsoft.com/office/drawing/2014/main" id="{00000000-0008-0000-0600-00004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26</xdr:row>
          <xdr:rowOff>203200</xdr:rowOff>
        </xdr:from>
        <xdr:to>
          <xdr:col>2</xdr:col>
          <xdr:colOff>330200</xdr:colOff>
          <xdr:row>26</xdr:row>
          <xdr:rowOff>749300</xdr:rowOff>
        </xdr:to>
        <xdr:sp macro="" textlink="">
          <xdr:nvSpPr>
            <xdr:cNvPr id="11344" name="Option Button 80" hidden="1">
              <a:extLst>
                <a:ext uri="{63B3BB69-23CF-44E3-9099-C40C66FF867C}">
                  <a14:compatExt spid="_x0000_s11344"/>
                </a:ext>
                <a:ext uri="{FF2B5EF4-FFF2-40B4-BE49-F238E27FC236}">
                  <a16:creationId xmlns:a16="http://schemas.microsoft.com/office/drawing/2014/main" id="{00000000-0008-0000-0600-00005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26</xdr:row>
          <xdr:rowOff>203200</xdr:rowOff>
        </xdr:from>
        <xdr:to>
          <xdr:col>3</xdr:col>
          <xdr:colOff>317500</xdr:colOff>
          <xdr:row>26</xdr:row>
          <xdr:rowOff>749300</xdr:rowOff>
        </xdr:to>
        <xdr:sp macro="" textlink="">
          <xdr:nvSpPr>
            <xdr:cNvPr id="11345" name="Option Button 81" hidden="1">
              <a:extLst>
                <a:ext uri="{63B3BB69-23CF-44E3-9099-C40C66FF867C}">
                  <a14:compatExt spid="_x0000_s11345"/>
                </a:ext>
                <a:ext uri="{FF2B5EF4-FFF2-40B4-BE49-F238E27FC236}">
                  <a16:creationId xmlns:a16="http://schemas.microsoft.com/office/drawing/2014/main" id="{00000000-0008-0000-0600-00005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26</xdr:row>
          <xdr:rowOff>203200</xdr:rowOff>
        </xdr:from>
        <xdr:to>
          <xdr:col>4</xdr:col>
          <xdr:colOff>317500</xdr:colOff>
          <xdr:row>26</xdr:row>
          <xdr:rowOff>749300</xdr:rowOff>
        </xdr:to>
        <xdr:sp macro="" textlink="">
          <xdr:nvSpPr>
            <xdr:cNvPr id="11346" name="Option Button 82" hidden="1">
              <a:extLst>
                <a:ext uri="{63B3BB69-23CF-44E3-9099-C40C66FF867C}">
                  <a14:compatExt spid="_x0000_s11346"/>
                </a:ext>
                <a:ext uri="{FF2B5EF4-FFF2-40B4-BE49-F238E27FC236}">
                  <a16:creationId xmlns:a16="http://schemas.microsoft.com/office/drawing/2014/main" id="{00000000-0008-0000-0600-00005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26</xdr:row>
          <xdr:rowOff>190500</xdr:rowOff>
        </xdr:from>
        <xdr:to>
          <xdr:col>5</xdr:col>
          <xdr:colOff>317500</xdr:colOff>
          <xdr:row>26</xdr:row>
          <xdr:rowOff>762000</xdr:rowOff>
        </xdr:to>
        <xdr:sp macro="" textlink="">
          <xdr:nvSpPr>
            <xdr:cNvPr id="11347" name="Option Button 83" hidden="1">
              <a:extLst>
                <a:ext uri="{63B3BB69-23CF-44E3-9099-C40C66FF867C}">
                  <a14:compatExt spid="_x0000_s11347"/>
                </a:ext>
                <a:ext uri="{FF2B5EF4-FFF2-40B4-BE49-F238E27FC236}">
                  <a16:creationId xmlns:a16="http://schemas.microsoft.com/office/drawing/2014/main" id="{00000000-0008-0000-0600-00005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6</xdr:row>
          <xdr:rowOff>139700</xdr:rowOff>
        </xdr:from>
        <xdr:to>
          <xdr:col>7</xdr:col>
          <xdr:colOff>25400</xdr:colOff>
          <xdr:row>6</xdr:row>
          <xdr:rowOff>431800</xdr:rowOff>
        </xdr:to>
        <xdr:sp macro="" textlink="">
          <xdr:nvSpPr>
            <xdr:cNvPr id="11348" name="Option Button 84" hidden="1">
              <a:extLst>
                <a:ext uri="{63B3BB69-23CF-44E3-9099-C40C66FF867C}">
                  <a14:compatExt spid="_x0000_s11348"/>
                </a:ext>
                <a:ext uri="{FF2B5EF4-FFF2-40B4-BE49-F238E27FC236}">
                  <a16:creationId xmlns:a16="http://schemas.microsoft.com/office/drawing/2014/main" id="{00000000-0008-0000-0600-00005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13</xdr:row>
          <xdr:rowOff>152400</xdr:rowOff>
        </xdr:from>
        <xdr:to>
          <xdr:col>7</xdr:col>
          <xdr:colOff>25400</xdr:colOff>
          <xdr:row>13</xdr:row>
          <xdr:rowOff>1003300</xdr:rowOff>
        </xdr:to>
        <xdr:sp macro="" textlink="">
          <xdr:nvSpPr>
            <xdr:cNvPr id="11350" name="Option Button 86" hidden="1">
              <a:extLst>
                <a:ext uri="{63B3BB69-23CF-44E3-9099-C40C66FF867C}">
                  <a14:compatExt spid="_x0000_s11350"/>
                </a:ext>
                <a:ext uri="{FF2B5EF4-FFF2-40B4-BE49-F238E27FC236}">
                  <a16:creationId xmlns:a16="http://schemas.microsoft.com/office/drawing/2014/main" id="{00000000-0008-0000-0600-00005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14</xdr:row>
          <xdr:rowOff>88900</xdr:rowOff>
        </xdr:from>
        <xdr:to>
          <xdr:col>7</xdr:col>
          <xdr:colOff>76200</xdr:colOff>
          <xdr:row>14</xdr:row>
          <xdr:rowOff>838200</xdr:rowOff>
        </xdr:to>
        <xdr:sp macro="" textlink="">
          <xdr:nvSpPr>
            <xdr:cNvPr id="11351" name="Option Button 87" hidden="1">
              <a:extLst>
                <a:ext uri="{63B3BB69-23CF-44E3-9099-C40C66FF867C}">
                  <a14:compatExt spid="_x0000_s11351"/>
                </a:ext>
                <a:ext uri="{FF2B5EF4-FFF2-40B4-BE49-F238E27FC236}">
                  <a16:creationId xmlns:a16="http://schemas.microsoft.com/office/drawing/2014/main" id="{00000000-0008-0000-0600-00005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15</xdr:row>
          <xdr:rowOff>381000</xdr:rowOff>
        </xdr:from>
        <xdr:to>
          <xdr:col>7</xdr:col>
          <xdr:colOff>88900</xdr:colOff>
          <xdr:row>15</xdr:row>
          <xdr:rowOff>723900</xdr:rowOff>
        </xdr:to>
        <xdr:sp macro="" textlink="">
          <xdr:nvSpPr>
            <xdr:cNvPr id="11352" name="Option Button 88" hidden="1">
              <a:extLst>
                <a:ext uri="{63B3BB69-23CF-44E3-9099-C40C66FF867C}">
                  <a14:compatExt spid="_x0000_s11352"/>
                </a:ext>
                <a:ext uri="{FF2B5EF4-FFF2-40B4-BE49-F238E27FC236}">
                  <a16:creationId xmlns:a16="http://schemas.microsoft.com/office/drawing/2014/main" id="{00000000-0008-0000-0600-00005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5448300</xdr:colOff>
          <xdr:row>17</xdr:row>
          <xdr:rowOff>38100</xdr:rowOff>
        </xdr:from>
        <xdr:to>
          <xdr:col>7</xdr:col>
          <xdr:colOff>266700</xdr:colOff>
          <xdr:row>17</xdr:row>
          <xdr:rowOff>711200</xdr:rowOff>
        </xdr:to>
        <xdr:sp macro="" textlink="">
          <xdr:nvSpPr>
            <xdr:cNvPr id="11354" name="Group Box 90" hidden="1">
              <a:extLst>
                <a:ext uri="{63B3BB69-23CF-44E3-9099-C40C66FF867C}">
                  <a14:compatExt spid="_x0000_s11354"/>
                </a:ext>
                <a:ext uri="{FF2B5EF4-FFF2-40B4-BE49-F238E27FC236}">
                  <a16:creationId xmlns:a16="http://schemas.microsoft.com/office/drawing/2014/main" id="{00000000-0008-0000-0600-00005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17</xdr:row>
          <xdr:rowOff>88900</xdr:rowOff>
        </xdr:from>
        <xdr:to>
          <xdr:col>2</xdr:col>
          <xdr:colOff>368300</xdr:colOff>
          <xdr:row>17</xdr:row>
          <xdr:rowOff>673100</xdr:rowOff>
        </xdr:to>
        <xdr:sp macro="" textlink="">
          <xdr:nvSpPr>
            <xdr:cNvPr id="11355" name="Option Button 91" hidden="1">
              <a:extLst>
                <a:ext uri="{63B3BB69-23CF-44E3-9099-C40C66FF867C}">
                  <a14:compatExt spid="_x0000_s11355"/>
                </a:ext>
                <a:ext uri="{FF2B5EF4-FFF2-40B4-BE49-F238E27FC236}">
                  <a16:creationId xmlns:a16="http://schemas.microsoft.com/office/drawing/2014/main" id="{00000000-0008-0000-0600-00005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17</xdr:row>
          <xdr:rowOff>88900</xdr:rowOff>
        </xdr:from>
        <xdr:to>
          <xdr:col>3</xdr:col>
          <xdr:colOff>355600</xdr:colOff>
          <xdr:row>17</xdr:row>
          <xdr:rowOff>673100</xdr:rowOff>
        </xdr:to>
        <xdr:sp macro="" textlink="">
          <xdr:nvSpPr>
            <xdr:cNvPr id="11356" name="Option Button 92" hidden="1">
              <a:extLst>
                <a:ext uri="{63B3BB69-23CF-44E3-9099-C40C66FF867C}">
                  <a14:compatExt spid="_x0000_s11356"/>
                </a:ext>
                <a:ext uri="{FF2B5EF4-FFF2-40B4-BE49-F238E27FC236}">
                  <a16:creationId xmlns:a16="http://schemas.microsoft.com/office/drawing/2014/main" id="{00000000-0008-0000-0600-00005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17</xdr:row>
          <xdr:rowOff>88900</xdr:rowOff>
        </xdr:from>
        <xdr:to>
          <xdr:col>4</xdr:col>
          <xdr:colOff>355600</xdr:colOff>
          <xdr:row>17</xdr:row>
          <xdr:rowOff>673100</xdr:rowOff>
        </xdr:to>
        <xdr:sp macro="" textlink="">
          <xdr:nvSpPr>
            <xdr:cNvPr id="11357" name="Option Button 93" hidden="1">
              <a:extLst>
                <a:ext uri="{63B3BB69-23CF-44E3-9099-C40C66FF867C}">
                  <a14:compatExt spid="_x0000_s11357"/>
                </a:ext>
                <a:ext uri="{FF2B5EF4-FFF2-40B4-BE49-F238E27FC236}">
                  <a16:creationId xmlns:a16="http://schemas.microsoft.com/office/drawing/2014/main" id="{00000000-0008-0000-0600-00005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17</xdr:row>
          <xdr:rowOff>88900</xdr:rowOff>
        </xdr:from>
        <xdr:to>
          <xdr:col>5</xdr:col>
          <xdr:colOff>393700</xdr:colOff>
          <xdr:row>17</xdr:row>
          <xdr:rowOff>673100</xdr:rowOff>
        </xdr:to>
        <xdr:sp macro="" textlink="">
          <xdr:nvSpPr>
            <xdr:cNvPr id="11358" name="Option Button 94" hidden="1">
              <a:extLst>
                <a:ext uri="{63B3BB69-23CF-44E3-9099-C40C66FF867C}">
                  <a14:compatExt spid="_x0000_s11358"/>
                </a:ext>
                <a:ext uri="{FF2B5EF4-FFF2-40B4-BE49-F238E27FC236}">
                  <a16:creationId xmlns:a16="http://schemas.microsoft.com/office/drawing/2014/main" id="{00000000-0008-0000-0600-00005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17</xdr:row>
          <xdr:rowOff>88900</xdr:rowOff>
        </xdr:from>
        <xdr:to>
          <xdr:col>6</xdr:col>
          <xdr:colOff>825500</xdr:colOff>
          <xdr:row>17</xdr:row>
          <xdr:rowOff>673100</xdr:rowOff>
        </xdr:to>
        <xdr:sp macro="" textlink="">
          <xdr:nvSpPr>
            <xdr:cNvPr id="11359" name="Option Button 95" hidden="1">
              <a:extLst>
                <a:ext uri="{63B3BB69-23CF-44E3-9099-C40C66FF867C}">
                  <a14:compatExt spid="_x0000_s11359"/>
                </a:ext>
                <a:ext uri="{FF2B5EF4-FFF2-40B4-BE49-F238E27FC236}">
                  <a16:creationId xmlns:a16="http://schemas.microsoft.com/office/drawing/2014/main" id="{00000000-0008-0000-0600-00005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27</xdr:row>
          <xdr:rowOff>12700</xdr:rowOff>
        </xdr:from>
        <xdr:to>
          <xdr:col>7</xdr:col>
          <xdr:colOff>190500</xdr:colOff>
          <xdr:row>28</xdr:row>
          <xdr:rowOff>25400</xdr:rowOff>
        </xdr:to>
        <xdr:sp macro="" textlink="">
          <xdr:nvSpPr>
            <xdr:cNvPr id="11360" name="Group Box 96" hidden="1">
              <a:extLst>
                <a:ext uri="{63B3BB69-23CF-44E3-9099-C40C66FF867C}">
                  <a14:compatExt spid="_x0000_s11360"/>
                </a:ext>
                <a:ext uri="{FF2B5EF4-FFF2-40B4-BE49-F238E27FC236}">
                  <a16:creationId xmlns:a16="http://schemas.microsoft.com/office/drawing/2014/main" id="{00000000-0008-0000-0600-00006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27</xdr:row>
          <xdr:rowOff>38100</xdr:rowOff>
        </xdr:from>
        <xdr:to>
          <xdr:col>2</xdr:col>
          <xdr:colOff>355600</xdr:colOff>
          <xdr:row>27</xdr:row>
          <xdr:rowOff>342900</xdr:rowOff>
        </xdr:to>
        <xdr:sp macro="" textlink="">
          <xdr:nvSpPr>
            <xdr:cNvPr id="11361" name="Option Button 97" hidden="1">
              <a:extLst>
                <a:ext uri="{63B3BB69-23CF-44E3-9099-C40C66FF867C}">
                  <a14:compatExt spid="_x0000_s11361"/>
                </a:ext>
                <a:ext uri="{FF2B5EF4-FFF2-40B4-BE49-F238E27FC236}">
                  <a16:creationId xmlns:a16="http://schemas.microsoft.com/office/drawing/2014/main" id="{00000000-0008-0000-0600-00006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27</xdr:row>
          <xdr:rowOff>38100</xdr:rowOff>
        </xdr:from>
        <xdr:to>
          <xdr:col>3</xdr:col>
          <xdr:colOff>355600</xdr:colOff>
          <xdr:row>27</xdr:row>
          <xdr:rowOff>330200</xdr:rowOff>
        </xdr:to>
        <xdr:sp macro="" textlink="">
          <xdr:nvSpPr>
            <xdr:cNvPr id="11362" name="Option Button 98" hidden="1">
              <a:extLst>
                <a:ext uri="{63B3BB69-23CF-44E3-9099-C40C66FF867C}">
                  <a14:compatExt spid="_x0000_s11362"/>
                </a:ext>
                <a:ext uri="{FF2B5EF4-FFF2-40B4-BE49-F238E27FC236}">
                  <a16:creationId xmlns:a16="http://schemas.microsoft.com/office/drawing/2014/main" id="{00000000-0008-0000-0600-00006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27</xdr:row>
          <xdr:rowOff>38100</xdr:rowOff>
        </xdr:from>
        <xdr:to>
          <xdr:col>4</xdr:col>
          <xdr:colOff>381000</xdr:colOff>
          <xdr:row>27</xdr:row>
          <xdr:rowOff>342900</xdr:rowOff>
        </xdr:to>
        <xdr:sp macro="" textlink="">
          <xdr:nvSpPr>
            <xdr:cNvPr id="11363" name="Option Button 99" hidden="1">
              <a:extLst>
                <a:ext uri="{63B3BB69-23CF-44E3-9099-C40C66FF867C}">
                  <a14:compatExt spid="_x0000_s11363"/>
                </a:ext>
                <a:ext uri="{FF2B5EF4-FFF2-40B4-BE49-F238E27FC236}">
                  <a16:creationId xmlns:a16="http://schemas.microsoft.com/office/drawing/2014/main" id="{00000000-0008-0000-0600-00006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27</xdr:row>
          <xdr:rowOff>25400</xdr:rowOff>
        </xdr:from>
        <xdr:to>
          <xdr:col>5</xdr:col>
          <xdr:colOff>368300</xdr:colOff>
          <xdr:row>27</xdr:row>
          <xdr:rowOff>342900</xdr:rowOff>
        </xdr:to>
        <xdr:sp macro="" textlink="">
          <xdr:nvSpPr>
            <xdr:cNvPr id="11364" name="Option Button 100" hidden="1">
              <a:extLst>
                <a:ext uri="{63B3BB69-23CF-44E3-9099-C40C66FF867C}">
                  <a14:compatExt spid="_x0000_s11364"/>
                </a:ext>
                <a:ext uri="{FF2B5EF4-FFF2-40B4-BE49-F238E27FC236}">
                  <a16:creationId xmlns:a16="http://schemas.microsoft.com/office/drawing/2014/main" id="{00000000-0008-0000-0600-00006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27</xdr:row>
          <xdr:rowOff>38100</xdr:rowOff>
        </xdr:from>
        <xdr:to>
          <xdr:col>6</xdr:col>
          <xdr:colOff>762000</xdr:colOff>
          <xdr:row>27</xdr:row>
          <xdr:rowOff>342900</xdr:rowOff>
        </xdr:to>
        <xdr:sp macro="" textlink="">
          <xdr:nvSpPr>
            <xdr:cNvPr id="11365" name="Option Button 101" hidden="1">
              <a:extLst>
                <a:ext uri="{63B3BB69-23CF-44E3-9099-C40C66FF867C}">
                  <a14:compatExt spid="_x0000_s11365"/>
                </a:ext>
                <a:ext uri="{FF2B5EF4-FFF2-40B4-BE49-F238E27FC236}">
                  <a16:creationId xmlns:a16="http://schemas.microsoft.com/office/drawing/2014/main" id="{00000000-0008-0000-0600-00006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26</xdr:row>
          <xdr:rowOff>317500</xdr:rowOff>
        </xdr:from>
        <xdr:to>
          <xdr:col>6</xdr:col>
          <xdr:colOff>838200</xdr:colOff>
          <xdr:row>26</xdr:row>
          <xdr:rowOff>635000</xdr:rowOff>
        </xdr:to>
        <xdr:sp macro="" textlink="">
          <xdr:nvSpPr>
            <xdr:cNvPr id="11366" name="Option Button 102" hidden="1">
              <a:extLst>
                <a:ext uri="{63B3BB69-23CF-44E3-9099-C40C66FF867C}">
                  <a14:compatExt spid="_x0000_s11366"/>
                </a:ext>
                <a:ext uri="{FF2B5EF4-FFF2-40B4-BE49-F238E27FC236}">
                  <a16:creationId xmlns:a16="http://schemas.microsoft.com/office/drawing/2014/main" id="{00000000-0008-0000-0600-00006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25</xdr:row>
          <xdr:rowOff>88900</xdr:rowOff>
        </xdr:from>
        <xdr:to>
          <xdr:col>6</xdr:col>
          <xdr:colOff>876300</xdr:colOff>
          <xdr:row>25</xdr:row>
          <xdr:rowOff>546100</xdr:rowOff>
        </xdr:to>
        <xdr:sp macro="" textlink="">
          <xdr:nvSpPr>
            <xdr:cNvPr id="11367" name="Option Button 103" hidden="1">
              <a:extLst>
                <a:ext uri="{63B3BB69-23CF-44E3-9099-C40C66FF867C}">
                  <a14:compatExt spid="_x0000_s11367"/>
                </a:ext>
                <a:ext uri="{FF2B5EF4-FFF2-40B4-BE49-F238E27FC236}">
                  <a16:creationId xmlns:a16="http://schemas.microsoft.com/office/drawing/2014/main" id="{00000000-0008-0000-0600-00006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7</xdr:row>
          <xdr:rowOff>127000</xdr:rowOff>
        </xdr:from>
        <xdr:to>
          <xdr:col>6</xdr:col>
          <xdr:colOff>901700</xdr:colOff>
          <xdr:row>7</xdr:row>
          <xdr:rowOff>787400</xdr:rowOff>
        </xdr:to>
        <xdr:sp macro="" textlink="">
          <xdr:nvSpPr>
            <xdr:cNvPr id="11369" name="Option Button 105" hidden="1">
              <a:extLst>
                <a:ext uri="{63B3BB69-23CF-44E3-9099-C40C66FF867C}">
                  <a14:compatExt spid="_x0000_s11369"/>
                </a:ext>
                <a:ext uri="{FF2B5EF4-FFF2-40B4-BE49-F238E27FC236}">
                  <a16:creationId xmlns:a16="http://schemas.microsoft.com/office/drawing/2014/main" id="{00000000-0008-0000-0600-00006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16</xdr:row>
          <xdr:rowOff>177800</xdr:rowOff>
        </xdr:from>
        <xdr:to>
          <xdr:col>6</xdr:col>
          <xdr:colOff>863600</xdr:colOff>
          <xdr:row>16</xdr:row>
          <xdr:rowOff>787400</xdr:rowOff>
        </xdr:to>
        <xdr:sp macro="" textlink="">
          <xdr:nvSpPr>
            <xdr:cNvPr id="11370" name="Option Button 106" hidden="1">
              <a:extLst>
                <a:ext uri="{63B3BB69-23CF-44E3-9099-C40C66FF867C}">
                  <a14:compatExt spid="_x0000_s11370"/>
                </a:ext>
                <a:ext uri="{FF2B5EF4-FFF2-40B4-BE49-F238E27FC236}">
                  <a16:creationId xmlns:a16="http://schemas.microsoft.com/office/drawing/2014/main" id="{00000000-0008-0000-0600-00006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24</xdr:row>
          <xdr:rowOff>76200</xdr:rowOff>
        </xdr:from>
        <xdr:to>
          <xdr:col>2</xdr:col>
          <xdr:colOff>355600</xdr:colOff>
          <xdr:row>24</xdr:row>
          <xdr:rowOff>495300</xdr:rowOff>
        </xdr:to>
        <xdr:sp macro="" textlink="">
          <xdr:nvSpPr>
            <xdr:cNvPr id="11371" name="Option Button 107" hidden="1">
              <a:extLst>
                <a:ext uri="{63B3BB69-23CF-44E3-9099-C40C66FF867C}">
                  <a14:compatExt spid="_x0000_s11371"/>
                </a:ext>
                <a:ext uri="{FF2B5EF4-FFF2-40B4-BE49-F238E27FC236}">
                  <a16:creationId xmlns:a16="http://schemas.microsoft.com/office/drawing/2014/main" id="{00000000-0008-0000-0600-00006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24</xdr:row>
          <xdr:rowOff>88900</xdr:rowOff>
        </xdr:from>
        <xdr:to>
          <xdr:col>3</xdr:col>
          <xdr:colOff>304800</xdr:colOff>
          <xdr:row>24</xdr:row>
          <xdr:rowOff>482600</xdr:rowOff>
        </xdr:to>
        <xdr:sp macro="" textlink="">
          <xdr:nvSpPr>
            <xdr:cNvPr id="11372" name="Option Button 108" hidden="1">
              <a:extLst>
                <a:ext uri="{63B3BB69-23CF-44E3-9099-C40C66FF867C}">
                  <a14:compatExt spid="_x0000_s11372"/>
                </a:ext>
                <a:ext uri="{FF2B5EF4-FFF2-40B4-BE49-F238E27FC236}">
                  <a16:creationId xmlns:a16="http://schemas.microsoft.com/office/drawing/2014/main" id="{00000000-0008-0000-0600-00006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63500</xdr:colOff>
          <xdr:row>24</xdr:row>
          <xdr:rowOff>76200</xdr:rowOff>
        </xdr:from>
        <xdr:to>
          <xdr:col>4</xdr:col>
          <xdr:colOff>330200</xdr:colOff>
          <xdr:row>24</xdr:row>
          <xdr:rowOff>495300</xdr:rowOff>
        </xdr:to>
        <xdr:sp macro="" textlink="">
          <xdr:nvSpPr>
            <xdr:cNvPr id="11373" name="Option Button 109" hidden="1">
              <a:extLst>
                <a:ext uri="{63B3BB69-23CF-44E3-9099-C40C66FF867C}">
                  <a14:compatExt spid="_x0000_s11373"/>
                </a:ext>
                <a:ext uri="{FF2B5EF4-FFF2-40B4-BE49-F238E27FC236}">
                  <a16:creationId xmlns:a16="http://schemas.microsoft.com/office/drawing/2014/main" id="{00000000-0008-0000-0600-00006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24</xdr:row>
          <xdr:rowOff>88900</xdr:rowOff>
        </xdr:from>
        <xdr:to>
          <xdr:col>5</xdr:col>
          <xdr:colOff>330200</xdr:colOff>
          <xdr:row>24</xdr:row>
          <xdr:rowOff>482600</xdr:rowOff>
        </xdr:to>
        <xdr:sp macro="" textlink="">
          <xdr:nvSpPr>
            <xdr:cNvPr id="11374" name="Option Button 110" hidden="1">
              <a:extLst>
                <a:ext uri="{63B3BB69-23CF-44E3-9099-C40C66FF867C}">
                  <a14:compatExt spid="_x0000_s11374"/>
                </a:ext>
                <a:ext uri="{FF2B5EF4-FFF2-40B4-BE49-F238E27FC236}">
                  <a16:creationId xmlns:a16="http://schemas.microsoft.com/office/drawing/2014/main" id="{00000000-0008-0000-0600-00006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24</xdr:row>
          <xdr:rowOff>101600</xdr:rowOff>
        </xdr:from>
        <xdr:to>
          <xdr:col>6</xdr:col>
          <xdr:colOff>825500</xdr:colOff>
          <xdr:row>24</xdr:row>
          <xdr:rowOff>482600</xdr:rowOff>
        </xdr:to>
        <xdr:sp macro="" textlink="">
          <xdr:nvSpPr>
            <xdr:cNvPr id="11375" name="Option Button 111" hidden="1">
              <a:extLst>
                <a:ext uri="{63B3BB69-23CF-44E3-9099-C40C66FF867C}">
                  <a14:compatExt spid="_x0000_s11375"/>
                </a:ext>
                <a:ext uri="{FF2B5EF4-FFF2-40B4-BE49-F238E27FC236}">
                  <a16:creationId xmlns:a16="http://schemas.microsoft.com/office/drawing/2014/main" id="{00000000-0008-0000-0600-00006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4914900</xdr:colOff>
          <xdr:row>6</xdr:row>
          <xdr:rowOff>139700</xdr:rowOff>
        </xdr:from>
        <xdr:to>
          <xdr:col>7</xdr:col>
          <xdr:colOff>127000</xdr:colOff>
          <xdr:row>6</xdr:row>
          <xdr:rowOff>457200</xdr:rowOff>
        </xdr:to>
        <xdr:sp macro="" textlink="">
          <xdr:nvSpPr>
            <xdr:cNvPr id="12289" name="Group Box 1" hidden="1">
              <a:extLst>
                <a:ext uri="{63B3BB69-23CF-44E3-9099-C40C66FF867C}">
                  <a14:compatExt spid="_x0000_s12289"/>
                </a:ext>
                <a:ext uri="{FF2B5EF4-FFF2-40B4-BE49-F238E27FC236}">
                  <a16:creationId xmlns:a16="http://schemas.microsoft.com/office/drawing/2014/main" id="{00000000-0008-0000-0700-00000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4940300</xdr:colOff>
          <xdr:row>7</xdr:row>
          <xdr:rowOff>63500</xdr:rowOff>
        </xdr:from>
        <xdr:to>
          <xdr:col>7</xdr:col>
          <xdr:colOff>139700</xdr:colOff>
          <xdr:row>7</xdr:row>
          <xdr:rowOff>393700</xdr:rowOff>
        </xdr:to>
        <xdr:sp macro="" textlink="">
          <xdr:nvSpPr>
            <xdr:cNvPr id="12290" name="Group Box 2" hidden="1">
              <a:extLst>
                <a:ext uri="{63B3BB69-23CF-44E3-9099-C40C66FF867C}">
                  <a14:compatExt spid="_x0000_s12290"/>
                </a:ext>
                <a:ext uri="{FF2B5EF4-FFF2-40B4-BE49-F238E27FC236}">
                  <a16:creationId xmlns:a16="http://schemas.microsoft.com/office/drawing/2014/main" id="{00000000-0008-0000-0700-000002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88900</xdr:rowOff>
        </xdr:from>
        <xdr:to>
          <xdr:col>7</xdr:col>
          <xdr:colOff>152400</xdr:colOff>
          <xdr:row>8</xdr:row>
          <xdr:rowOff>546100</xdr:rowOff>
        </xdr:to>
        <xdr:sp macro="" textlink="">
          <xdr:nvSpPr>
            <xdr:cNvPr id="12291" name="Group Box 3" hidden="1">
              <a:extLst>
                <a:ext uri="{63B3BB69-23CF-44E3-9099-C40C66FF867C}">
                  <a14:compatExt spid="_x0000_s12291"/>
                </a:ext>
                <a:ext uri="{FF2B5EF4-FFF2-40B4-BE49-F238E27FC236}">
                  <a16:creationId xmlns:a16="http://schemas.microsoft.com/office/drawing/2014/main" id="{00000000-0008-0000-0700-000003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4940300</xdr:colOff>
          <xdr:row>9</xdr:row>
          <xdr:rowOff>63500</xdr:rowOff>
        </xdr:from>
        <xdr:to>
          <xdr:col>7</xdr:col>
          <xdr:colOff>139700</xdr:colOff>
          <xdr:row>9</xdr:row>
          <xdr:rowOff>546100</xdr:rowOff>
        </xdr:to>
        <xdr:sp macro="" textlink="">
          <xdr:nvSpPr>
            <xdr:cNvPr id="12292" name="Group Box 4" hidden="1">
              <a:extLst>
                <a:ext uri="{63B3BB69-23CF-44E3-9099-C40C66FF867C}">
                  <a14:compatExt spid="_x0000_s12292"/>
                </a:ext>
                <a:ext uri="{FF2B5EF4-FFF2-40B4-BE49-F238E27FC236}">
                  <a16:creationId xmlns:a16="http://schemas.microsoft.com/office/drawing/2014/main" id="{00000000-0008-0000-0700-00000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4940300</xdr:colOff>
          <xdr:row>15</xdr:row>
          <xdr:rowOff>12700</xdr:rowOff>
        </xdr:from>
        <xdr:to>
          <xdr:col>6</xdr:col>
          <xdr:colOff>914400</xdr:colOff>
          <xdr:row>15</xdr:row>
          <xdr:rowOff>520700</xdr:rowOff>
        </xdr:to>
        <xdr:sp macro="" textlink="">
          <xdr:nvSpPr>
            <xdr:cNvPr id="12294" name="Group Box 6" hidden="1">
              <a:extLst>
                <a:ext uri="{63B3BB69-23CF-44E3-9099-C40C66FF867C}">
                  <a14:compatExt spid="_x0000_s12294"/>
                </a:ext>
                <a:ext uri="{FF2B5EF4-FFF2-40B4-BE49-F238E27FC236}">
                  <a16:creationId xmlns:a16="http://schemas.microsoft.com/office/drawing/2014/main" id="{00000000-0008-0000-0700-000006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4940300</xdr:colOff>
          <xdr:row>16</xdr:row>
          <xdr:rowOff>25400</xdr:rowOff>
        </xdr:from>
        <xdr:to>
          <xdr:col>6</xdr:col>
          <xdr:colOff>914400</xdr:colOff>
          <xdr:row>16</xdr:row>
          <xdr:rowOff>520700</xdr:rowOff>
        </xdr:to>
        <xdr:sp macro="" textlink="">
          <xdr:nvSpPr>
            <xdr:cNvPr id="12295" name="Group Box 7" hidden="1">
              <a:extLst>
                <a:ext uri="{63B3BB69-23CF-44E3-9099-C40C66FF867C}">
                  <a14:compatExt spid="_x0000_s12295"/>
                </a:ext>
                <a:ext uri="{FF2B5EF4-FFF2-40B4-BE49-F238E27FC236}">
                  <a16:creationId xmlns:a16="http://schemas.microsoft.com/office/drawing/2014/main" id="{00000000-0008-0000-0700-000007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7</xdr:col>
          <xdr:colOff>266700</xdr:colOff>
          <xdr:row>17</xdr:row>
          <xdr:rowOff>381000</xdr:rowOff>
        </xdr:to>
        <xdr:sp macro="" textlink="">
          <xdr:nvSpPr>
            <xdr:cNvPr id="12296" name="Group Box 8" hidden="1">
              <a:extLst>
                <a:ext uri="{63B3BB69-23CF-44E3-9099-C40C66FF867C}">
                  <a14:compatExt spid="_x0000_s12296"/>
                </a:ext>
                <a:ext uri="{FF2B5EF4-FFF2-40B4-BE49-F238E27FC236}">
                  <a16:creationId xmlns:a16="http://schemas.microsoft.com/office/drawing/2014/main" id="{00000000-0008-0000-0700-000008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25400</xdr:rowOff>
        </xdr:from>
        <xdr:to>
          <xdr:col>7</xdr:col>
          <xdr:colOff>25400</xdr:colOff>
          <xdr:row>18</xdr:row>
          <xdr:rowOff>723900</xdr:rowOff>
        </xdr:to>
        <xdr:sp macro="" textlink="">
          <xdr:nvSpPr>
            <xdr:cNvPr id="12297" name="Group Box 9" hidden="1">
              <a:extLst>
                <a:ext uri="{63B3BB69-23CF-44E3-9099-C40C66FF867C}">
                  <a14:compatExt spid="_x0000_s12297"/>
                </a:ext>
                <a:ext uri="{FF2B5EF4-FFF2-40B4-BE49-F238E27FC236}">
                  <a16:creationId xmlns:a16="http://schemas.microsoft.com/office/drawing/2014/main" id="{00000000-0008-0000-0700-000009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50800</xdr:rowOff>
        </xdr:from>
        <xdr:to>
          <xdr:col>7</xdr:col>
          <xdr:colOff>63500</xdr:colOff>
          <xdr:row>27</xdr:row>
          <xdr:rowOff>711200</xdr:rowOff>
        </xdr:to>
        <xdr:sp macro="" textlink="">
          <xdr:nvSpPr>
            <xdr:cNvPr id="12300" name="Group Box 12" hidden="1">
              <a:extLst>
                <a:ext uri="{63B3BB69-23CF-44E3-9099-C40C66FF867C}">
                  <a14:compatExt spid="_x0000_s12300"/>
                </a:ext>
                <a:ext uri="{FF2B5EF4-FFF2-40B4-BE49-F238E27FC236}">
                  <a16:creationId xmlns:a16="http://schemas.microsoft.com/office/drawing/2014/main" id="{00000000-0008-0000-0700-00000C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18288" tIns="22860" rIns="0" bIns="0" anchor="t"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88900</xdr:rowOff>
        </xdr:from>
        <xdr:to>
          <xdr:col>7</xdr:col>
          <xdr:colOff>50800</xdr:colOff>
          <xdr:row>28</xdr:row>
          <xdr:rowOff>660400</xdr:rowOff>
        </xdr:to>
        <xdr:sp macro="" textlink="">
          <xdr:nvSpPr>
            <xdr:cNvPr id="12301" name="Group Box 13" hidden="1">
              <a:extLst>
                <a:ext uri="{63B3BB69-23CF-44E3-9099-C40C66FF867C}">
                  <a14:compatExt spid="_x0000_s12301"/>
                </a:ext>
                <a:ext uri="{FF2B5EF4-FFF2-40B4-BE49-F238E27FC236}">
                  <a16:creationId xmlns:a16="http://schemas.microsoft.com/office/drawing/2014/main" id="{00000000-0008-0000-0700-00000D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xdr:row>
          <xdr:rowOff>190500</xdr:rowOff>
        </xdr:from>
        <xdr:to>
          <xdr:col>3</xdr:col>
          <xdr:colOff>12700</xdr:colOff>
          <xdr:row>6</xdr:row>
          <xdr:rowOff>457200</xdr:rowOff>
        </xdr:to>
        <xdr:sp macro="" textlink="">
          <xdr:nvSpPr>
            <xdr:cNvPr id="12304" name="Option Button 16" hidden="1">
              <a:extLst>
                <a:ext uri="{63B3BB69-23CF-44E3-9099-C40C66FF867C}">
                  <a14:compatExt spid="_x0000_s12304"/>
                </a:ext>
                <a:ext uri="{FF2B5EF4-FFF2-40B4-BE49-F238E27FC236}">
                  <a16:creationId xmlns:a16="http://schemas.microsoft.com/office/drawing/2014/main" id="{00000000-0008-0000-0700-00001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6</xdr:row>
          <xdr:rowOff>190500</xdr:rowOff>
        </xdr:from>
        <xdr:to>
          <xdr:col>3</xdr:col>
          <xdr:colOff>368300</xdr:colOff>
          <xdr:row>6</xdr:row>
          <xdr:rowOff>457200</xdr:rowOff>
        </xdr:to>
        <xdr:sp macro="" textlink="">
          <xdr:nvSpPr>
            <xdr:cNvPr id="12305" name="Option Button 17" hidden="1">
              <a:extLst>
                <a:ext uri="{63B3BB69-23CF-44E3-9099-C40C66FF867C}">
                  <a14:compatExt spid="_x0000_s12305"/>
                </a:ext>
                <a:ext uri="{FF2B5EF4-FFF2-40B4-BE49-F238E27FC236}">
                  <a16:creationId xmlns:a16="http://schemas.microsoft.com/office/drawing/2014/main" id="{00000000-0008-0000-0700-00001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6</xdr:row>
          <xdr:rowOff>190500</xdr:rowOff>
        </xdr:from>
        <xdr:to>
          <xdr:col>4</xdr:col>
          <xdr:colOff>342900</xdr:colOff>
          <xdr:row>6</xdr:row>
          <xdr:rowOff>457200</xdr:rowOff>
        </xdr:to>
        <xdr:sp macro="" textlink="">
          <xdr:nvSpPr>
            <xdr:cNvPr id="12306" name="Option Button 18" hidden="1">
              <a:extLst>
                <a:ext uri="{63B3BB69-23CF-44E3-9099-C40C66FF867C}">
                  <a14:compatExt spid="_x0000_s12306"/>
                </a:ext>
                <a:ext uri="{FF2B5EF4-FFF2-40B4-BE49-F238E27FC236}">
                  <a16:creationId xmlns:a16="http://schemas.microsoft.com/office/drawing/2014/main" id="{00000000-0008-0000-0700-00001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xdr:row>
          <xdr:rowOff>190500</xdr:rowOff>
        </xdr:from>
        <xdr:to>
          <xdr:col>5</xdr:col>
          <xdr:colOff>368300</xdr:colOff>
          <xdr:row>6</xdr:row>
          <xdr:rowOff>457200</xdr:rowOff>
        </xdr:to>
        <xdr:sp macro="" textlink="">
          <xdr:nvSpPr>
            <xdr:cNvPr id="12307" name="Option Button 19" hidden="1">
              <a:extLst>
                <a:ext uri="{63B3BB69-23CF-44E3-9099-C40C66FF867C}">
                  <a14:compatExt spid="_x0000_s12307"/>
                </a:ext>
                <a:ext uri="{FF2B5EF4-FFF2-40B4-BE49-F238E27FC236}">
                  <a16:creationId xmlns:a16="http://schemas.microsoft.com/office/drawing/2014/main" id="{00000000-0008-0000-0700-00001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7</xdr:row>
          <xdr:rowOff>101600</xdr:rowOff>
        </xdr:from>
        <xdr:to>
          <xdr:col>3</xdr:col>
          <xdr:colOff>12700</xdr:colOff>
          <xdr:row>7</xdr:row>
          <xdr:rowOff>368300</xdr:rowOff>
        </xdr:to>
        <xdr:sp macro="" textlink="">
          <xdr:nvSpPr>
            <xdr:cNvPr id="12308" name="Option Button 20" hidden="1">
              <a:extLst>
                <a:ext uri="{63B3BB69-23CF-44E3-9099-C40C66FF867C}">
                  <a14:compatExt spid="_x0000_s12308"/>
                </a:ext>
                <a:ext uri="{FF2B5EF4-FFF2-40B4-BE49-F238E27FC236}">
                  <a16:creationId xmlns:a16="http://schemas.microsoft.com/office/drawing/2014/main" id="{00000000-0008-0000-0700-00001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7</xdr:row>
          <xdr:rowOff>101600</xdr:rowOff>
        </xdr:from>
        <xdr:to>
          <xdr:col>3</xdr:col>
          <xdr:colOff>355600</xdr:colOff>
          <xdr:row>7</xdr:row>
          <xdr:rowOff>368300</xdr:rowOff>
        </xdr:to>
        <xdr:sp macro="" textlink="">
          <xdr:nvSpPr>
            <xdr:cNvPr id="12309" name="Option Button 21" hidden="1">
              <a:extLst>
                <a:ext uri="{63B3BB69-23CF-44E3-9099-C40C66FF867C}">
                  <a14:compatExt spid="_x0000_s12309"/>
                </a:ext>
                <a:ext uri="{FF2B5EF4-FFF2-40B4-BE49-F238E27FC236}">
                  <a16:creationId xmlns:a16="http://schemas.microsoft.com/office/drawing/2014/main" id="{00000000-0008-0000-0700-00001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7</xdr:row>
          <xdr:rowOff>101600</xdr:rowOff>
        </xdr:from>
        <xdr:to>
          <xdr:col>4</xdr:col>
          <xdr:colOff>368300</xdr:colOff>
          <xdr:row>7</xdr:row>
          <xdr:rowOff>368300</xdr:rowOff>
        </xdr:to>
        <xdr:sp macro="" textlink="">
          <xdr:nvSpPr>
            <xdr:cNvPr id="12310" name="Option Button 22" hidden="1">
              <a:extLst>
                <a:ext uri="{63B3BB69-23CF-44E3-9099-C40C66FF867C}">
                  <a14:compatExt spid="_x0000_s12310"/>
                </a:ext>
                <a:ext uri="{FF2B5EF4-FFF2-40B4-BE49-F238E27FC236}">
                  <a16:creationId xmlns:a16="http://schemas.microsoft.com/office/drawing/2014/main" id="{00000000-0008-0000-0700-00001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7</xdr:row>
          <xdr:rowOff>101600</xdr:rowOff>
        </xdr:from>
        <xdr:to>
          <xdr:col>5</xdr:col>
          <xdr:colOff>368300</xdr:colOff>
          <xdr:row>7</xdr:row>
          <xdr:rowOff>368300</xdr:rowOff>
        </xdr:to>
        <xdr:sp macro="" textlink="">
          <xdr:nvSpPr>
            <xdr:cNvPr id="12311" name="Option Button 23" hidden="1">
              <a:extLst>
                <a:ext uri="{63B3BB69-23CF-44E3-9099-C40C66FF867C}">
                  <a14:compatExt spid="_x0000_s12311"/>
                </a:ext>
                <a:ext uri="{FF2B5EF4-FFF2-40B4-BE49-F238E27FC236}">
                  <a16:creationId xmlns:a16="http://schemas.microsoft.com/office/drawing/2014/main" id="{00000000-0008-0000-0700-00001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139700</xdr:rowOff>
        </xdr:from>
        <xdr:to>
          <xdr:col>3</xdr:col>
          <xdr:colOff>12700</xdr:colOff>
          <xdr:row>8</xdr:row>
          <xdr:rowOff>546100</xdr:rowOff>
        </xdr:to>
        <xdr:sp macro="" textlink="">
          <xdr:nvSpPr>
            <xdr:cNvPr id="12312" name="Option Button 24" hidden="1">
              <a:extLst>
                <a:ext uri="{63B3BB69-23CF-44E3-9099-C40C66FF867C}">
                  <a14:compatExt spid="_x0000_s12312"/>
                </a:ext>
                <a:ext uri="{FF2B5EF4-FFF2-40B4-BE49-F238E27FC236}">
                  <a16:creationId xmlns:a16="http://schemas.microsoft.com/office/drawing/2014/main" id="{00000000-0008-0000-0700-00001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8</xdr:row>
          <xdr:rowOff>139700</xdr:rowOff>
        </xdr:from>
        <xdr:to>
          <xdr:col>3</xdr:col>
          <xdr:colOff>330200</xdr:colOff>
          <xdr:row>8</xdr:row>
          <xdr:rowOff>546100</xdr:rowOff>
        </xdr:to>
        <xdr:sp macro="" textlink="">
          <xdr:nvSpPr>
            <xdr:cNvPr id="12313" name="Option Button 25" hidden="1">
              <a:extLst>
                <a:ext uri="{63B3BB69-23CF-44E3-9099-C40C66FF867C}">
                  <a14:compatExt spid="_x0000_s12313"/>
                </a:ext>
                <a:ext uri="{FF2B5EF4-FFF2-40B4-BE49-F238E27FC236}">
                  <a16:creationId xmlns:a16="http://schemas.microsoft.com/office/drawing/2014/main" id="{00000000-0008-0000-0700-00001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8</xdr:row>
          <xdr:rowOff>139700</xdr:rowOff>
        </xdr:from>
        <xdr:to>
          <xdr:col>4</xdr:col>
          <xdr:colOff>330200</xdr:colOff>
          <xdr:row>8</xdr:row>
          <xdr:rowOff>546100</xdr:rowOff>
        </xdr:to>
        <xdr:sp macro="" textlink="">
          <xdr:nvSpPr>
            <xdr:cNvPr id="12314" name="Option Button 26" hidden="1">
              <a:extLst>
                <a:ext uri="{63B3BB69-23CF-44E3-9099-C40C66FF867C}">
                  <a14:compatExt spid="_x0000_s12314"/>
                </a:ext>
                <a:ext uri="{FF2B5EF4-FFF2-40B4-BE49-F238E27FC236}">
                  <a16:creationId xmlns:a16="http://schemas.microsoft.com/office/drawing/2014/main" id="{00000000-0008-0000-0700-00001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8</xdr:row>
          <xdr:rowOff>139700</xdr:rowOff>
        </xdr:from>
        <xdr:to>
          <xdr:col>5</xdr:col>
          <xdr:colOff>368300</xdr:colOff>
          <xdr:row>8</xdr:row>
          <xdr:rowOff>546100</xdr:rowOff>
        </xdr:to>
        <xdr:sp macro="" textlink="">
          <xdr:nvSpPr>
            <xdr:cNvPr id="12315" name="Option Button 27" hidden="1">
              <a:extLst>
                <a:ext uri="{63B3BB69-23CF-44E3-9099-C40C66FF867C}">
                  <a14:compatExt spid="_x0000_s12315"/>
                </a:ext>
                <a:ext uri="{FF2B5EF4-FFF2-40B4-BE49-F238E27FC236}">
                  <a16:creationId xmlns:a16="http://schemas.microsoft.com/office/drawing/2014/main" id="{00000000-0008-0000-0700-00001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101600</xdr:rowOff>
        </xdr:from>
        <xdr:to>
          <xdr:col>2</xdr:col>
          <xdr:colOff>330200</xdr:colOff>
          <xdr:row>9</xdr:row>
          <xdr:rowOff>520700</xdr:rowOff>
        </xdr:to>
        <xdr:sp macro="" textlink="">
          <xdr:nvSpPr>
            <xdr:cNvPr id="12316" name="Option Button 28" hidden="1">
              <a:extLst>
                <a:ext uri="{63B3BB69-23CF-44E3-9099-C40C66FF867C}">
                  <a14:compatExt spid="_x0000_s12316"/>
                </a:ext>
                <a:ext uri="{FF2B5EF4-FFF2-40B4-BE49-F238E27FC236}">
                  <a16:creationId xmlns:a16="http://schemas.microsoft.com/office/drawing/2014/main" id="{00000000-0008-0000-0700-00001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9</xdr:row>
          <xdr:rowOff>101600</xdr:rowOff>
        </xdr:from>
        <xdr:to>
          <xdr:col>3</xdr:col>
          <xdr:colOff>368300</xdr:colOff>
          <xdr:row>9</xdr:row>
          <xdr:rowOff>520700</xdr:rowOff>
        </xdr:to>
        <xdr:sp macro="" textlink="">
          <xdr:nvSpPr>
            <xdr:cNvPr id="12317" name="Option Button 29" hidden="1">
              <a:extLst>
                <a:ext uri="{63B3BB69-23CF-44E3-9099-C40C66FF867C}">
                  <a14:compatExt spid="_x0000_s12317"/>
                </a:ext>
                <a:ext uri="{FF2B5EF4-FFF2-40B4-BE49-F238E27FC236}">
                  <a16:creationId xmlns:a16="http://schemas.microsoft.com/office/drawing/2014/main" id="{00000000-0008-0000-0700-00001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9</xdr:row>
          <xdr:rowOff>101600</xdr:rowOff>
        </xdr:from>
        <xdr:to>
          <xdr:col>4</xdr:col>
          <xdr:colOff>342900</xdr:colOff>
          <xdr:row>9</xdr:row>
          <xdr:rowOff>520700</xdr:rowOff>
        </xdr:to>
        <xdr:sp macro="" textlink="">
          <xdr:nvSpPr>
            <xdr:cNvPr id="12318" name="Option Button 30" hidden="1">
              <a:extLst>
                <a:ext uri="{63B3BB69-23CF-44E3-9099-C40C66FF867C}">
                  <a14:compatExt spid="_x0000_s12318"/>
                </a:ext>
                <a:ext uri="{FF2B5EF4-FFF2-40B4-BE49-F238E27FC236}">
                  <a16:creationId xmlns:a16="http://schemas.microsoft.com/office/drawing/2014/main" id="{00000000-0008-0000-0700-00001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9</xdr:row>
          <xdr:rowOff>127000</xdr:rowOff>
        </xdr:from>
        <xdr:to>
          <xdr:col>5</xdr:col>
          <xdr:colOff>342900</xdr:colOff>
          <xdr:row>9</xdr:row>
          <xdr:rowOff>508000</xdr:rowOff>
        </xdr:to>
        <xdr:sp macro="" textlink="">
          <xdr:nvSpPr>
            <xdr:cNvPr id="12319" name="Option Button 31" hidden="1">
              <a:extLst>
                <a:ext uri="{63B3BB69-23CF-44E3-9099-C40C66FF867C}">
                  <a14:compatExt spid="_x0000_s12319"/>
                </a:ext>
                <a:ext uri="{FF2B5EF4-FFF2-40B4-BE49-F238E27FC236}">
                  <a16:creationId xmlns:a16="http://schemas.microsoft.com/office/drawing/2014/main" id="{00000000-0008-0000-0700-00001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63500</xdr:rowOff>
        </xdr:from>
        <xdr:to>
          <xdr:col>3</xdr:col>
          <xdr:colOff>12700</xdr:colOff>
          <xdr:row>15</xdr:row>
          <xdr:rowOff>520700</xdr:rowOff>
        </xdr:to>
        <xdr:sp macro="" textlink="">
          <xdr:nvSpPr>
            <xdr:cNvPr id="12324" name="Option Button 36" hidden="1">
              <a:extLst>
                <a:ext uri="{63B3BB69-23CF-44E3-9099-C40C66FF867C}">
                  <a14:compatExt spid="_x0000_s12324"/>
                </a:ext>
                <a:ext uri="{FF2B5EF4-FFF2-40B4-BE49-F238E27FC236}">
                  <a16:creationId xmlns:a16="http://schemas.microsoft.com/office/drawing/2014/main" id="{00000000-0008-0000-0700-00002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15</xdr:row>
          <xdr:rowOff>63500</xdr:rowOff>
        </xdr:from>
        <xdr:to>
          <xdr:col>3</xdr:col>
          <xdr:colOff>355600</xdr:colOff>
          <xdr:row>15</xdr:row>
          <xdr:rowOff>520700</xdr:rowOff>
        </xdr:to>
        <xdr:sp macro="" textlink="">
          <xdr:nvSpPr>
            <xdr:cNvPr id="12325" name="Option Button 37" hidden="1">
              <a:extLst>
                <a:ext uri="{63B3BB69-23CF-44E3-9099-C40C66FF867C}">
                  <a14:compatExt spid="_x0000_s12325"/>
                </a:ext>
                <a:ext uri="{FF2B5EF4-FFF2-40B4-BE49-F238E27FC236}">
                  <a16:creationId xmlns:a16="http://schemas.microsoft.com/office/drawing/2014/main" id="{00000000-0008-0000-0700-00002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15</xdr:row>
          <xdr:rowOff>76200</xdr:rowOff>
        </xdr:from>
        <xdr:to>
          <xdr:col>4</xdr:col>
          <xdr:colOff>406400</xdr:colOff>
          <xdr:row>15</xdr:row>
          <xdr:rowOff>508000</xdr:rowOff>
        </xdr:to>
        <xdr:sp macro="" textlink="">
          <xdr:nvSpPr>
            <xdr:cNvPr id="12326" name="Option Button 38" hidden="1">
              <a:extLst>
                <a:ext uri="{63B3BB69-23CF-44E3-9099-C40C66FF867C}">
                  <a14:compatExt spid="_x0000_s12326"/>
                </a:ext>
                <a:ext uri="{FF2B5EF4-FFF2-40B4-BE49-F238E27FC236}">
                  <a16:creationId xmlns:a16="http://schemas.microsoft.com/office/drawing/2014/main" id="{00000000-0008-0000-0700-00002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15</xdr:row>
          <xdr:rowOff>50800</xdr:rowOff>
        </xdr:from>
        <xdr:to>
          <xdr:col>5</xdr:col>
          <xdr:colOff>368300</xdr:colOff>
          <xdr:row>15</xdr:row>
          <xdr:rowOff>520700</xdr:rowOff>
        </xdr:to>
        <xdr:sp macro="" textlink="">
          <xdr:nvSpPr>
            <xdr:cNvPr id="12327" name="Option Button 39" hidden="1">
              <a:extLst>
                <a:ext uri="{63B3BB69-23CF-44E3-9099-C40C66FF867C}">
                  <a14:compatExt spid="_x0000_s12327"/>
                </a:ext>
                <a:ext uri="{FF2B5EF4-FFF2-40B4-BE49-F238E27FC236}">
                  <a16:creationId xmlns:a16="http://schemas.microsoft.com/office/drawing/2014/main" id="{00000000-0008-0000-0700-00002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76200</xdr:rowOff>
        </xdr:from>
        <xdr:to>
          <xdr:col>3</xdr:col>
          <xdr:colOff>0</xdr:colOff>
          <xdr:row>16</xdr:row>
          <xdr:rowOff>508000</xdr:rowOff>
        </xdr:to>
        <xdr:sp macro="" textlink="">
          <xdr:nvSpPr>
            <xdr:cNvPr id="12328" name="Option Button 40" hidden="1">
              <a:extLst>
                <a:ext uri="{63B3BB69-23CF-44E3-9099-C40C66FF867C}">
                  <a14:compatExt spid="_x0000_s12328"/>
                </a:ext>
                <a:ext uri="{FF2B5EF4-FFF2-40B4-BE49-F238E27FC236}">
                  <a16:creationId xmlns:a16="http://schemas.microsoft.com/office/drawing/2014/main" id="{00000000-0008-0000-0700-00002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16</xdr:row>
          <xdr:rowOff>76200</xdr:rowOff>
        </xdr:from>
        <xdr:to>
          <xdr:col>3</xdr:col>
          <xdr:colOff>355600</xdr:colOff>
          <xdr:row>16</xdr:row>
          <xdr:rowOff>508000</xdr:rowOff>
        </xdr:to>
        <xdr:sp macro="" textlink="">
          <xdr:nvSpPr>
            <xdr:cNvPr id="12329" name="Option Button 41" hidden="1">
              <a:extLst>
                <a:ext uri="{63B3BB69-23CF-44E3-9099-C40C66FF867C}">
                  <a14:compatExt spid="_x0000_s12329"/>
                </a:ext>
                <a:ext uri="{FF2B5EF4-FFF2-40B4-BE49-F238E27FC236}">
                  <a16:creationId xmlns:a16="http://schemas.microsoft.com/office/drawing/2014/main" id="{00000000-0008-0000-0700-00002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16</xdr:row>
          <xdr:rowOff>76200</xdr:rowOff>
        </xdr:from>
        <xdr:to>
          <xdr:col>4</xdr:col>
          <xdr:colOff>368300</xdr:colOff>
          <xdr:row>16</xdr:row>
          <xdr:rowOff>508000</xdr:rowOff>
        </xdr:to>
        <xdr:sp macro="" textlink="">
          <xdr:nvSpPr>
            <xdr:cNvPr id="12330" name="Option Button 42" hidden="1">
              <a:extLst>
                <a:ext uri="{63B3BB69-23CF-44E3-9099-C40C66FF867C}">
                  <a14:compatExt spid="_x0000_s12330"/>
                </a:ext>
                <a:ext uri="{FF2B5EF4-FFF2-40B4-BE49-F238E27FC236}">
                  <a16:creationId xmlns:a16="http://schemas.microsoft.com/office/drawing/2014/main" id="{00000000-0008-0000-0700-00002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16</xdr:row>
          <xdr:rowOff>63500</xdr:rowOff>
        </xdr:from>
        <xdr:to>
          <xdr:col>5</xdr:col>
          <xdr:colOff>342900</xdr:colOff>
          <xdr:row>16</xdr:row>
          <xdr:rowOff>520700</xdr:rowOff>
        </xdr:to>
        <xdr:sp macro="" textlink="">
          <xdr:nvSpPr>
            <xdr:cNvPr id="12331" name="Option Button 43" hidden="1">
              <a:extLst>
                <a:ext uri="{63B3BB69-23CF-44E3-9099-C40C66FF867C}">
                  <a14:compatExt spid="_x0000_s12331"/>
                </a:ext>
                <a:ext uri="{FF2B5EF4-FFF2-40B4-BE49-F238E27FC236}">
                  <a16:creationId xmlns:a16="http://schemas.microsoft.com/office/drawing/2014/main" id="{00000000-0008-0000-0700-00002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25400</xdr:rowOff>
        </xdr:from>
        <xdr:to>
          <xdr:col>2</xdr:col>
          <xdr:colOff>330200</xdr:colOff>
          <xdr:row>17</xdr:row>
          <xdr:rowOff>368300</xdr:rowOff>
        </xdr:to>
        <xdr:sp macro="" textlink="">
          <xdr:nvSpPr>
            <xdr:cNvPr id="12332" name="Option Button 44" hidden="1">
              <a:extLst>
                <a:ext uri="{63B3BB69-23CF-44E3-9099-C40C66FF867C}">
                  <a14:compatExt spid="_x0000_s12332"/>
                </a:ext>
                <a:ext uri="{FF2B5EF4-FFF2-40B4-BE49-F238E27FC236}">
                  <a16:creationId xmlns:a16="http://schemas.microsoft.com/office/drawing/2014/main" id="{00000000-0008-0000-0700-00002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17</xdr:row>
          <xdr:rowOff>25400</xdr:rowOff>
        </xdr:from>
        <xdr:to>
          <xdr:col>3</xdr:col>
          <xdr:colOff>419100</xdr:colOff>
          <xdr:row>17</xdr:row>
          <xdr:rowOff>368300</xdr:rowOff>
        </xdr:to>
        <xdr:sp macro="" textlink="">
          <xdr:nvSpPr>
            <xdr:cNvPr id="12333" name="Option Button 45" hidden="1">
              <a:extLst>
                <a:ext uri="{63B3BB69-23CF-44E3-9099-C40C66FF867C}">
                  <a14:compatExt spid="_x0000_s12333"/>
                </a:ext>
                <a:ext uri="{FF2B5EF4-FFF2-40B4-BE49-F238E27FC236}">
                  <a16:creationId xmlns:a16="http://schemas.microsoft.com/office/drawing/2014/main" id="{00000000-0008-0000-0700-00002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17</xdr:row>
          <xdr:rowOff>25400</xdr:rowOff>
        </xdr:from>
        <xdr:to>
          <xdr:col>4</xdr:col>
          <xdr:colOff>406400</xdr:colOff>
          <xdr:row>17</xdr:row>
          <xdr:rowOff>368300</xdr:rowOff>
        </xdr:to>
        <xdr:sp macro="" textlink="">
          <xdr:nvSpPr>
            <xdr:cNvPr id="12334" name="Option Button 46" hidden="1">
              <a:extLst>
                <a:ext uri="{63B3BB69-23CF-44E3-9099-C40C66FF867C}">
                  <a14:compatExt spid="_x0000_s12334"/>
                </a:ext>
                <a:ext uri="{FF2B5EF4-FFF2-40B4-BE49-F238E27FC236}">
                  <a16:creationId xmlns:a16="http://schemas.microsoft.com/office/drawing/2014/main" id="{00000000-0008-0000-0700-00002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17</xdr:row>
          <xdr:rowOff>25400</xdr:rowOff>
        </xdr:from>
        <xdr:to>
          <xdr:col>5</xdr:col>
          <xdr:colOff>406400</xdr:colOff>
          <xdr:row>17</xdr:row>
          <xdr:rowOff>368300</xdr:rowOff>
        </xdr:to>
        <xdr:sp macro="" textlink="">
          <xdr:nvSpPr>
            <xdr:cNvPr id="12335" name="Option Button 47" hidden="1">
              <a:extLst>
                <a:ext uri="{63B3BB69-23CF-44E3-9099-C40C66FF867C}">
                  <a14:compatExt spid="_x0000_s12335"/>
                </a:ext>
                <a:ext uri="{FF2B5EF4-FFF2-40B4-BE49-F238E27FC236}">
                  <a16:creationId xmlns:a16="http://schemas.microsoft.com/office/drawing/2014/main" id="{00000000-0008-0000-0700-00002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127000</xdr:rowOff>
        </xdr:from>
        <xdr:to>
          <xdr:col>3</xdr:col>
          <xdr:colOff>0</xdr:colOff>
          <xdr:row>18</xdr:row>
          <xdr:rowOff>647700</xdr:rowOff>
        </xdr:to>
        <xdr:sp macro="" textlink="">
          <xdr:nvSpPr>
            <xdr:cNvPr id="12336" name="Option Button 48" hidden="1">
              <a:extLst>
                <a:ext uri="{63B3BB69-23CF-44E3-9099-C40C66FF867C}">
                  <a14:compatExt spid="_x0000_s12336"/>
                </a:ext>
                <a:ext uri="{FF2B5EF4-FFF2-40B4-BE49-F238E27FC236}">
                  <a16:creationId xmlns:a16="http://schemas.microsoft.com/office/drawing/2014/main" id="{00000000-0008-0000-0700-00003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18</xdr:row>
          <xdr:rowOff>101600</xdr:rowOff>
        </xdr:from>
        <xdr:to>
          <xdr:col>3</xdr:col>
          <xdr:colOff>330200</xdr:colOff>
          <xdr:row>18</xdr:row>
          <xdr:rowOff>673100</xdr:rowOff>
        </xdr:to>
        <xdr:sp macro="" textlink="">
          <xdr:nvSpPr>
            <xdr:cNvPr id="12337" name="Option Button 49" hidden="1">
              <a:extLst>
                <a:ext uri="{63B3BB69-23CF-44E3-9099-C40C66FF867C}">
                  <a14:compatExt spid="_x0000_s12337"/>
                </a:ext>
                <a:ext uri="{FF2B5EF4-FFF2-40B4-BE49-F238E27FC236}">
                  <a16:creationId xmlns:a16="http://schemas.microsoft.com/office/drawing/2014/main" id="{00000000-0008-0000-0700-00003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18</xdr:row>
          <xdr:rowOff>101600</xdr:rowOff>
        </xdr:from>
        <xdr:to>
          <xdr:col>4</xdr:col>
          <xdr:colOff>368300</xdr:colOff>
          <xdr:row>18</xdr:row>
          <xdr:rowOff>673100</xdr:rowOff>
        </xdr:to>
        <xdr:sp macro="" textlink="">
          <xdr:nvSpPr>
            <xdr:cNvPr id="12338" name="Option Button 50" hidden="1">
              <a:extLst>
                <a:ext uri="{63B3BB69-23CF-44E3-9099-C40C66FF867C}">
                  <a14:compatExt spid="_x0000_s12338"/>
                </a:ext>
                <a:ext uri="{FF2B5EF4-FFF2-40B4-BE49-F238E27FC236}">
                  <a16:creationId xmlns:a16="http://schemas.microsoft.com/office/drawing/2014/main" id="{00000000-0008-0000-0700-00003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18</xdr:row>
          <xdr:rowOff>127000</xdr:rowOff>
        </xdr:from>
        <xdr:to>
          <xdr:col>5</xdr:col>
          <xdr:colOff>342900</xdr:colOff>
          <xdr:row>18</xdr:row>
          <xdr:rowOff>660400</xdr:rowOff>
        </xdr:to>
        <xdr:sp macro="" textlink="">
          <xdr:nvSpPr>
            <xdr:cNvPr id="12339" name="Option Button 51" hidden="1">
              <a:extLst>
                <a:ext uri="{63B3BB69-23CF-44E3-9099-C40C66FF867C}">
                  <a14:compatExt spid="_x0000_s12339"/>
                </a:ext>
                <a:ext uri="{FF2B5EF4-FFF2-40B4-BE49-F238E27FC236}">
                  <a16:creationId xmlns:a16="http://schemas.microsoft.com/office/drawing/2014/main" id="{00000000-0008-0000-0700-00003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101600</xdr:rowOff>
        </xdr:from>
        <xdr:to>
          <xdr:col>3</xdr:col>
          <xdr:colOff>0</xdr:colOff>
          <xdr:row>27</xdr:row>
          <xdr:rowOff>660400</xdr:rowOff>
        </xdr:to>
        <xdr:sp macro="" textlink="">
          <xdr:nvSpPr>
            <xdr:cNvPr id="12348" name="Option Button 60" hidden="1">
              <a:extLst>
                <a:ext uri="{63B3BB69-23CF-44E3-9099-C40C66FF867C}">
                  <a14:compatExt spid="_x0000_s12348"/>
                </a:ext>
                <a:ext uri="{FF2B5EF4-FFF2-40B4-BE49-F238E27FC236}">
                  <a16:creationId xmlns:a16="http://schemas.microsoft.com/office/drawing/2014/main" id="{00000000-0008-0000-0700-00003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27</xdr:row>
          <xdr:rowOff>101600</xdr:rowOff>
        </xdr:from>
        <xdr:to>
          <xdr:col>3</xdr:col>
          <xdr:colOff>368300</xdr:colOff>
          <xdr:row>27</xdr:row>
          <xdr:rowOff>660400</xdr:rowOff>
        </xdr:to>
        <xdr:sp macro="" textlink="">
          <xdr:nvSpPr>
            <xdr:cNvPr id="12349" name="Option Button 61" hidden="1">
              <a:extLst>
                <a:ext uri="{63B3BB69-23CF-44E3-9099-C40C66FF867C}">
                  <a14:compatExt spid="_x0000_s12349"/>
                </a:ext>
                <a:ext uri="{FF2B5EF4-FFF2-40B4-BE49-F238E27FC236}">
                  <a16:creationId xmlns:a16="http://schemas.microsoft.com/office/drawing/2014/main" id="{00000000-0008-0000-0700-00003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27</xdr:row>
          <xdr:rowOff>101600</xdr:rowOff>
        </xdr:from>
        <xdr:to>
          <xdr:col>4</xdr:col>
          <xdr:colOff>368300</xdr:colOff>
          <xdr:row>27</xdr:row>
          <xdr:rowOff>660400</xdr:rowOff>
        </xdr:to>
        <xdr:sp macro="" textlink="">
          <xdr:nvSpPr>
            <xdr:cNvPr id="12350" name="Option Button 62" hidden="1">
              <a:extLst>
                <a:ext uri="{63B3BB69-23CF-44E3-9099-C40C66FF867C}">
                  <a14:compatExt spid="_x0000_s12350"/>
                </a:ext>
                <a:ext uri="{FF2B5EF4-FFF2-40B4-BE49-F238E27FC236}">
                  <a16:creationId xmlns:a16="http://schemas.microsoft.com/office/drawing/2014/main" id="{00000000-0008-0000-0700-00003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27</xdr:row>
          <xdr:rowOff>88900</xdr:rowOff>
        </xdr:from>
        <xdr:to>
          <xdr:col>5</xdr:col>
          <xdr:colOff>368300</xdr:colOff>
          <xdr:row>27</xdr:row>
          <xdr:rowOff>673100</xdr:rowOff>
        </xdr:to>
        <xdr:sp macro="" textlink="">
          <xdr:nvSpPr>
            <xdr:cNvPr id="12351" name="Option Button 63" hidden="1">
              <a:extLst>
                <a:ext uri="{63B3BB69-23CF-44E3-9099-C40C66FF867C}">
                  <a14:compatExt spid="_x0000_s12351"/>
                </a:ext>
                <a:ext uri="{FF2B5EF4-FFF2-40B4-BE49-F238E27FC236}">
                  <a16:creationId xmlns:a16="http://schemas.microsoft.com/office/drawing/2014/main" id="{00000000-0008-0000-0700-00003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88900</xdr:rowOff>
        </xdr:from>
        <xdr:to>
          <xdr:col>3</xdr:col>
          <xdr:colOff>0</xdr:colOff>
          <xdr:row>28</xdr:row>
          <xdr:rowOff>660400</xdr:rowOff>
        </xdr:to>
        <xdr:sp macro="" textlink="">
          <xdr:nvSpPr>
            <xdr:cNvPr id="12352" name="Option Button 64" hidden="1">
              <a:extLst>
                <a:ext uri="{63B3BB69-23CF-44E3-9099-C40C66FF867C}">
                  <a14:compatExt spid="_x0000_s12352"/>
                </a:ext>
                <a:ext uri="{FF2B5EF4-FFF2-40B4-BE49-F238E27FC236}">
                  <a16:creationId xmlns:a16="http://schemas.microsoft.com/office/drawing/2014/main" id="{00000000-0008-0000-0700-00004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28</xdr:row>
          <xdr:rowOff>127000</xdr:rowOff>
        </xdr:from>
        <xdr:to>
          <xdr:col>3</xdr:col>
          <xdr:colOff>368300</xdr:colOff>
          <xdr:row>28</xdr:row>
          <xdr:rowOff>622300</xdr:rowOff>
        </xdr:to>
        <xdr:sp macro="" textlink="">
          <xdr:nvSpPr>
            <xdr:cNvPr id="12353" name="Option Button 65" hidden="1">
              <a:extLst>
                <a:ext uri="{63B3BB69-23CF-44E3-9099-C40C66FF867C}">
                  <a14:compatExt spid="_x0000_s12353"/>
                </a:ext>
                <a:ext uri="{FF2B5EF4-FFF2-40B4-BE49-F238E27FC236}">
                  <a16:creationId xmlns:a16="http://schemas.microsoft.com/office/drawing/2014/main" id="{00000000-0008-0000-0700-00004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28</xdr:row>
          <xdr:rowOff>114300</xdr:rowOff>
        </xdr:from>
        <xdr:to>
          <xdr:col>4</xdr:col>
          <xdr:colOff>368300</xdr:colOff>
          <xdr:row>28</xdr:row>
          <xdr:rowOff>635000</xdr:rowOff>
        </xdr:to>
        <xdr:sp macro="" textlink="">
          <xdr:nvSpPr>
            <xdr:cNvPr id="12354" name="Option Button 66" hidden="1">
              <a:extLst>
                <a:ext uri="{63B3BB69-23CF-44E3-9099-C40C66FF867C}">
                  <a14:compatExt spid="_x0000_s12354"/>
                </a:ext>
                <a:ext uri="{FF2B5EF4-FFF2-40B4-BE49-F238E27FC236}">
                  <a16:creationId xmlns:a16="http://schemas.microsoft.com/office/drawing/2014/main" id="{00000000-0008-0000-0700-00004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28</xdr:row>
          <xdr:rowOff>127000</xdr:rowOff>
        </xdr:from>
        <xdr:to>
          <xdr:col>5</xdr:col>
          <xdr:colOff>368300</xdr:colOff>
          <xdr:row>28</xdr:row>
          <xdr:rowOff>622300</xdr:rowOff>
        </xdr:to>
        <xdr:sp macro="" textlink="">
          <xdr:nvSpPr>
            <xdr:cNvPr id="12355" name="Option Button 67" hidden="1">
              <a:extLst>
                <a:ext uri="{63B3BB69-23CF-44E3-9099-C40C66FF867C}">
                  <a14:compatExt spid="_x0000_s12355"/>
                </a:ext>
                <a:ext uri="{FF2B5EF4-FFF2-40B4-BE49-F238E27FC236}">
                  <a16:creationId xmlns:a16="http://schemas.microsoft.com/office/drawing/2014/main" id="{00000000-0008-0000-0700-00004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6</xdr:row>
          <xdr:rowOff>177800</xdr:rowOff>
        </xdr:from>
        <xdr:to>
          <xdr:col>6</xdr:col>
          <xdr:colOff>723900</xdr:colOff>
          <xdr:row>6</xdr:row>
          <xdr:rowOff>457200</xdr:rowOff>
        </xdr:to>
        <xdr:sp macro="" textlink="">
          <xdr:nvSpPr>
            <xdr:cNvPr id="12364" name="Option Button 76" hidden="1">
              <a:extLst>
                <a:ext uri="{63B3BB69-23CF-44E3-9099-C40C66FF867C}">
                  <a14:compatExt spid="_x0000_s12364"/>
                </a:ext>
                <a:ext uri="{FF2B5EF4-FFF2-40B4-BE49-F238E27FC236}">
                  <a16:creationId xmlns:a16="http://schemas.microsoft.com/office/drawing/2014/main" id="{00000000-0008-0000-0700-00004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8</xdr:row>
          <xdr:rowOff>152400</xdr:rowOff>
        </xdr:from>
        <xdr:to>
          <xdr:col>7</xdr:col>
          <xdr:colOff>0</xdr:colOff>
          <xdr:row>8</xdr:row>
          <xdr:rowOff>546100</xdr:rowOff>
        </xdr:to>
        <xdr:sp macro="" textlink="">
          <xdr:nvSpPr>
            <xdr:cNvPr id="12366" name="Option Button 78" hidden="1">
              <a:extLst>
                <a:ext uri="{63B3BB69-23CF-44E3-9099-C40C66FF867C}">
                  <a14:compatExt spid="_x0000_s12366"/>
                </a:ext>
                <a:ext uri="{FF2B5EF4-FFF2-40B4-BE49-F238E27FC236}">
                  <a16:creationId xmlns:a16="http://schemas.microsoft.com/office/drawing/2014/main" id="{00000000-0008-0000-0700-00004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9</xdr:row>
          <xdr:rowOff>114300</xdr:rowOff>
        </xdr:from>
        <xdr:to>
          <xdr:col>7</xdr:col>
          <xdr:colOff>12700</xdr:colOff>
          <xdr:row>9</xdr:row>
          <xdr:rowOff>508000</xdr:rowOff>
        </xdr:to>
        <xdr:sp macro="" textlink="">
          <xdr:nvSpPr>
            <xdr:cNvPr id="12367" name="Option Button 79" hidden="1">
              <a:extLst>
                <a:ext uri="{63B3BB69-23CF-44E3-9099-C40C66FF867C}">
                  <a14:compatExt spid="_x0000_s12367"/>
                </a:ext>
                <a:ext uri="{FF2B5EF4-FFF2-40B4-BE49-F238E27FC236}">
                  <a16:creationId xmlns:a16="http://schemas.microsoft.com/office/drawing/2014/main" id="{00000000-0008-0000-0700-00004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15</xdr:row>
          <xdr:rowOff>63500</xdr:rowOff>
        </xdr:from>
        <xdr:to>
          <xdr:col>6</xdr:col>
          <xdr:colOff>863600</xdr:colOff>
          <xdr:row>15</xdr:row>
          <xdr:rowOff>520700</xdr:rowOff>
        </xdr:to>
        <xdr:sp macro="" textlink="">
          <xdr:nvSpPr>
            <xdr:cNvPr id="12368" name="Option Button 80" hidden="1">
              <a:extLst>
                <a:ext uri="{63B3BB69-23CF-44E3-9099-C40C66FF867C}">
                  <a14:compatExt spid="_x0000_s12368"/>
                </a:ext>
                <a:ext uri="{FF2B5EF4-FFF2-40B4-BE49-F238E27FC236}">
                  <a16:creationId xmlns:a16="http://schemas.microsoft.com/office/drawing/2014/main" id="{00000000-0008-0000-0700-00005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16</xdr:row>
          <xdr:rowOff>63500</xdr:rowOff>
        </xdr:from>
        <xdr:to>
          <xdr:col>6</xdr:col>
          <xdr:colOff>838200</xdr:colOff>
          <xdr:row>16</xdr:row>
          <xdr:rowOff>520700</xdr:rowOff>
        </xdr:to>
        <xdr:sp macro="" textlink="">
          <xdr:nvSpPr>
            <xdr:cNvPr id="12369" name="Option Button 81" hidden="1">
              <a:extLst>
                <a:ext uri="{63B3BB69-23CF-44E3-9099-C40C66FF867C}">
                  <a14:compatExt spid="_x0000_s12369"/>
                </a:ext>
                <a:ext uri="{FF2B5EF4-FFF2-40B4-BE49-F238E27FC236}">
                  <a16:creationId xmlns:a16="http://schemas.microsoft.com/office/drawing/2014/main" id="{00000000-0008-0000-0700-00005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18</xdr:row>
          <xdr:rowOff>101600</xdr:rowOff>
        </xdr:from>
        <xdr:to>
          <xdr:col>6</xdr:col>
          <xdr:colOff>812800</xdr:colOff>
          <xdr:row>18</xdr:row>
          <xdr:rowOff>673100</xdr:rowOff>
        </xdr:to>
        <xdr:sp macro="" textlink="">
          <xdr:nvSpPr>
            <xdr:cNvPr id="12371" name="Option Button 83" hidden="1">
              <a:extLst>
                <a:ext uri="{63B3BB69-23CF-44E3-9099-C40C66FF867C}">
                  <a14:compatExt spid="_x0000_s12371"/>
                </a:ext>
                <a:ext uri="{FF2B5EF4-FFF2-40B4-BE49-F238E27FC236}">
                  <a16:creationId xmlns:a16="http://schemas.microsoft.com/office/drawing/2014/main" id="{00000000-0008-0000-0700-00005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7</xdr:row>
          <xdr:rowOff>114300</xdr:rowOff>
        </xdr:from>
        <xdr:to>
          <xdr:col>6</xdr:col>
          <xdr:colOff>876300</xdr:colOff>
          <xdr:row>7</xdr:row>
          <xdr:rowOff>368300</xdr:rowOff>
        </xdr:to>
        <xdr:sp macro="" textlink="">
          <xdr:nvSpPr>
            <xdr:cNvPr id="12372" name="Option Button 84" hidden="1">
              <a:extLst>
                <a:ext uri="{63B3BB69-23CF-44E3-9099-C40C66FF867C}">
                  <a14:compatExt spid="_x0000_s12372"/>
                </a:ext>
                <a:ext uri="{FF2B5EF4-FFF2-40B4-BE49-F238E27FC236}">
                  <a16:creationId xmlns:a16="http://schemas.microsoft.com/office/drawing/2014/main" id="{00000000-0008-0000-0700-00005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17</xdr:row>
          <xdr:rowOff>38100</xdr:rowOff>
        </xdr:from>
        <xdr:to>
          <xdr:col>6</xdr:col>
          <xdr:colOff>762000</xdr:colOff>
          <xdr:row>17</xdr:row>
          <xdr:rowOff>355600</xdr:rowOff>
        </xdr:to>
        <xdr:sp macro="" textlink="">
          <xdr:nvSpPr>
            <xdr:cNvPr id="12377" name="Option Button 89" hidden="1">
              <a:extLst>
                <a:ext uri="{63B3BB69-23CF-44E3-9099-C40C66FF867C}">
                  <a14:compatExt spid="_x0000_s12377"/>
                </a:ext>
                <a:ext uri="{FF2B5EF4-FFF2-40B4-BE49-F238E27FC236}">
                  <a16:creationId xmlns:a16="http://schemas.microsoft.com/office/drawing/2014/main" id="{00000000-0008-0000-0700-00005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27</xdr:row>
          <xdr:rowOff>101600</xdr:rowOff>
        </xdr:from>
        <xdr:to>
          <xdr:col>6</xdr:col>
          <xdr:colOff>901700</xdr:colOff>
          <xdr:row>27</xdr:row>
          <xdr:rowOff>660400</xdr:rowOff>
        </xdr:to>
        <xdr:sp macro="" textlink="">
          <xdr:nvSpPr>
            <xdr:cNvPr id="12378" name="Option Button 90" hidden="1">
              <a:extLst>
                <a:ext uri="{63B3BB69-23CF-44E3-9099-C40C66FF867C}">
                  <a14:compatExt spid="_x0000_s12378"/>
                </a:ext>
                <a:ext uri="{FF2B5EF4-FFF2-40B4-BE49-F238E27FC236}">
                  <a16:creationId xmlns:a16="http://schemas.microsoft.com/office/drawing/2014/main" id="{00000000-0008-0000-0700-00005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28</xdr:row>
          <xdr:rowOff>127000</xdr:rowOff>
        </xdr:from>
        <xdr:to>
          <xdr:col>7</xdr:col>
          <xdr:colOff>50800</xdr:colOff>
          <xdr:row>28</xdr:row>
          <xdr:rowOff>622300</xdr:rowOff>
        </xdr:to>
        <xdr:sp macro="" textlink="">
          <xdr:nvSpPr>
            <xdr:cNvPr id="12379" name="Option Button 91" hidden="1">
              <a:extLst>
                <a:ext uri="{63B3BB69-23CF-44E3-9099-C40C66FF867C}">
                  <a14:compatExt spid="_x0000_s12379"/>
                </a:ext>
                <a:ext uri="{FF2B5EF4-FFF2-40B4-BE49-F238E27FC236}">
                  <a16:creationId xmlns:a16="http://schemas.microsoft.com/office/drawing/2014/main" id="{00000000-0008-0000-0700-00005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63500</xdr:rowOff>
        </xdr:from>
        <xdr:to>
          <xdr:col>7</xdr:col>
          <xdr:colOff>38100</xdr:colOff>
          <xdr:row>29</xdr:row>
          <xdr:rowOff>685800</xdr:rowOff>
        </xdr:to>
        <xdr:sp macro="" textlink="">
          <xdr:nvSpPr>
            <xdr:cNvPr id="12380" name="Group Box 92" hidden="1">
              <a:extLst>
                <a:ext uri="{63B3BB69-23CF-44E3-9099-C40C66FF867C}">
                  <a14:compatExt spid="_x0000_s12380"/>
                </a:ext>
                <a:ext uri="{FF2B5EF4-FFF2-40B4-BE49-F238E27FC236}">
                  <a16:creationId xmlns:a16="http://schemas.microsoft.com/office/drawing/2014/main" id="{00000000-0008-0000-0700-00005C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88900</xdr:rowOff>
        </xdr:from>
        <xdr:to>
          <xdr:col>2</xdr:col>
          <xdr:colOff>381000</xdr:colOff>
          <xdr:row>29</xdr:row>
          <xdr:rowOff>660400</xdr:rowOff>
        </xdr:to>
        <xdr:sp macro="" textlink="">
          <xdr:nvSpPr>
            <xdr:cNvPr id="12381" name="Option Button 93" hidden="1">
              <a:extLst>
                <a:ext uri="{63B3BB69-23CF-44E3-9099-C40C66FF867C}">
                  <a14:compatExt spid="_x0000_s12381"/>
                </a:ext>
                <a:ext uri="{FF2B5EF4-FFF2-40B4-BE49-F238E27FC236}">
                  <a16:creationId xmlns:a16="http://schemas.microsoft.com/office/drawing/2014/main" id="{00000000-0008-0000-0700-00005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29</xdr:row>
          <xdr:rowOff>88900</xdr:rowOff>
        </xdr:from>
        <xdr:to>
          <xdr:col>3</xdr:col>
          <xdr:colOff>355600</xdr:colOff>
          <xdr:row>29</xdr:row>
          <xdr:rowOff>660400</xdr:rowOff>
        </xdr:to>
        <xdr:sp macro="" textlink="">
          <xdr:nvSpPr>
            <xdr:cNvPr id="12382" name="Option Button 94" hidden="1">
              <a:extLst>
                <a:ext uri="{63B3BB69-23CF-44E3-9099-C40C66FF867C}">
                  <a14:compatExt spid="_x0000_s12382"/>
                </a:ext>
                <a:ext uri="{FF2B5EF4-FFF2-40B4-BE49-F238E27FC236}">
                  <a16:creationId xmlns:a16="http://schemas.microsoft.com/office/drawing/2014/main" id="{00000000-0008-0000-0700-00005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29</xdr:row>
          <xdr:rowOff>101600</xdr:rowOff>
        </xdr:from>
        <xdr:to>
          <xdr:col>4</xdr:col>
          <xdr:colOff>368300</xdr:colOff>
          <xdr:row>29</xdr:row>
          <xdr:rowOff>647700</xdr:rowOff>
        </xdr:to>
        <xdr:sp macro="" textlink="">
          <xdr:nvSpPr>
            <xdr:cNvPr id="12383" name="Option Button 95" hidden="1">
              <a:extLst>
                <a:ext uri="{63B3BB69-23CF-44E3-9099-C40C66FF867C}">
                  <a14:compatExt spid="_x0000_s12383"/>
                </a:ext>
                <a:ext uri="{FF2B5EF4-FFF2-40B4-BE49-F238E27FC236}">
                  <a16:creationId xmlns:a16="http://schemas.microsoft.com/office/drawing/2014/main" id="{00000000-0008-0000-0700-00005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29</xdr:row>
          <xdr:rowOff>88900</xdr:rowOff>
        </xdr:from>
        <xdr:to>
          <xdr:col>5</xdr:col>
          <xdr:colOff>406400</xdr:colOff>
          <xdr:row>29</xdr:row>
          <xdr:rowOff>660400</xdr:rowOff>
        </xdr:to>
        <xdr:sp macro="" textlink="">
          <xdr:nvSpPr>
            <xdr:cNvPr id="12384" name="Option Button 96" hidden="1">
              <a:extLst>
                <a:ext uri="{63B3BB69-23CF-44E3-9099-C40C66FF867C}">
                  <a14:compatExt spid="_x0000_s12384"/>
                </a:ext>
                <a:ext uri="{FF2B5EF4-FFF2-40B4-BE49-F238E27FC236}">
                  <a16:creationId xmlns:a16="http://schemas.microsoft.com/office/drawing/2014/main" id="{00000000-0008-0000-0700-00006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29</xdr:row>
          <xdr:rowOff>101600</xdr:rowOff>
        </xdr:from>
        <xdr:to>
          <xdr:col>6</xdr:col>
          <xdr:colOff>901700</xdr:colOff>
          <xdr:row>29</xdr:row>
          <xdr:rowOff>647700</xdr:rowOff>
        </xdr:to>
        <xdr:sp macro="" textlink="">
          <xdr:nvSpPr>
            <xdr:cNvPr id="12385" name="Option Button 97" hidden="1">
              <a:extLst>
                <a:ext uri="{63B3BB69-23CF-44E3-9099-C40C66FF867C}">
                  <a14:compatExt spid="_x0000_s12385"/>
                </a:ext>
                <a:ext uri="{FF2B5EF4-FFF2-40B4-BE49-F238E27FC236}">
                  <a16:creationId xmlns:a16="http://schemas.microsoft.com/office/drawing/2014/main" id="{00000000-0008-0000-0700-00006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30</xdr:row>
          <xdr:rowOff>38100</xdr:rowOff>
        </xdr:from>
        <xdr:to>
          <xdr:col>7</xdr:col>
          <xdr:colOff>38100</xdr:colOff>
          <xdr:row>30</xdr:row>
          <xdr:rowOff>711200</xdr:rowOff>
        </xdr:to>
        <xdr:sp macro="" textlink="">
          <xdr:nvSpPr>
            <xdr:cNvPr id="12386" name="Group Box 98" hidden="1">
              <a:extLst>
                <a:ext uri="{63B3BB69-23CF-44E3-9099-C40C66FF867C}">
                  <a14:compatExt spid="_x0000_s12386"/>
                </a:ext>
                <a:ext uri="{FF2B5EF4-FFF2-40B4-BE49-F238E27FC236}">
                  <a16:creationId xmlns:a16="http://schemas.microsoft.com/office/drawing/2014/main" id="{00000000-0008-0000-0700-000062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88900</xdr:rowOff>
        </xdr:from>
        <xdr:to>
          <xdr:col>2</xdr:col>
          <xdr:colOff>381000</xdr:colOff>
          <xdr:row>30</xdr:row>
          <xdr:rowOff>660400</xdr:rowOff>
        </xdr:to>
        <xdr:sp macro="" textlink="">
          <xdr:nvSpPr>
            <xdr:cNvPr id="12387" name="Option Button 99" hidden="1">
              <a:extLst>
                <a:ext uri="{63B3BB69-23CF-44E3-9099-C40C66FF867C}">
                  <a14:compatExt spid="_x0000_s12387"/>
                </a:ext>
                <a:ext uri="{FF2B5EF4-FFF2-40B4-BE49-F238E27FC236}">
                  <a16:creationId xmlns:a16="http://schemas.microsoft.com/office/drawing/2014/main" id="{00000000-0008-0000-0700-00006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63500</xdr:colOff>
          <xdr:row>30</xdr:row>
          <xdr:rowOff>88900</xdr:rowOff>
        </xdr:from>
        <xdr:to>
          <xdr:col>3</xdr:col>
          <xdr:colOff>368300</xdr:colOff>
          <xdr:row>30</xdr:row>
          <xdr:rowOff>660400</xdr:rowOff>
        </xdr:to>
        <xdr:sp macro="" textlink="">
          <xdr:nvSpPr>
            <xdr:cNvPr id="12388" name="Option Button 100" hidden="1">
              <a:extLst>
                <a:ext uri="{63B3BB69-23CF-44E3-9099-C40C66FF867C}">
                  <a14:compatExt spid="_x0000_s12388"/>
                </a:ext>
                <a:ext uri="{FF2B5EF4-FFF2-40B4-BE49-F238E27FC236}">
                  <a16:creationId xmlns:a16="http://schemas.microsoft.com/office/drawing/2014/main" id="{00000000-0008-0000-0700-00006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30</xdr:row>
          <xdr:rowOff>88900</xdr:rowOff>
        </xdr:from>
        <xdr:to>
          <xdr:col>4</xdr:col>
          <xdr:colOff>457200</xdr:colOff>
          <xdr:row>30</xdr:row>
          <xdr:rowOff>660400</xdr:rowOff>
        </xdr:to>
        <xdr:sp macro="" textlink="">
          <xdr:nvSpPr>
            <xdr:cNvPr id="12389" name="Option Button 101" hidden="1">
              <a:extLst>
                <a:ext uri="{63B3BB69-23CF-44E3-9099-C40C66FF867C}">
                  <a14:compatExt spid="_x0000_s12389"/>
                </a:ext>
                <a:ext uri="{FF2B5EF4-FFF2-40B4-BE49-F238E27FC236}">
                  <a16:creationId xmlns:a16="http://schemas.microsoft.com/office/drawing/2014/main" id="{00000000-0008-0000-0700-00006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30</xdr:row>
          <xdr:rowOff>88900</xdr:rowOff>
        </xdr:from>
        <xdr:to>
          <xdr:col>5</xdr:col>
          <xdr:colOff>457200</xdr:colOff>
          <xdr:row>30</xdr:row>
          <xdr:rowOff>660400</xdr:rowOff>
        </xdr:to>
        <xdr:sp macro="" textlink="">
          <xdr:nvSpPr>
            <xdr:cNvPr id="12390" name="Option Button 102" hidden="1">
              <a:extLst>
                <a:ext uri="{63B3BB69-23CF-44E3-9099-C40C66FF867C}">
                  <a14:compatExt spid="_x0000_s12390"/>
                </a:ext>
                <a:ext uri="{FF2B5EF4-FFF2-40B4-BE49-F238E27FC236}">
                  <a16:creationId xmlns:a16="http://schemas.microsoft.com/office/drawing/2014/main" id="{00000000-0008-0000-0700-00006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30</xdr:row>
          <xdr:rowOff>76200</xdr:rowOff>
        </xdr:from>
        <xdr:to>
          <xdr:col>6</xdr:col>
          <xdr:colOff>838200</xdr:colOff>
          <xdr:row>30</xdr:row>
          <xdr:rowOff>673100</xdr:rowOff>
        </xdr:to>
        <xdr:sp macro="" textlink="">
          <xdr:nvSpPr>
            <xdr:cNvPr id="12391" name="Option Button 103" hidden="1">
              <a:extLst>
                <a:ext uri="{63B3BB69-23CF-44E3-9099-C40C66FF867C}">
                  <a14:compatExt spid="_x0000_s12391"/>
                </a:ext>
                <a:ext uri="{FF2B5EF4-FFF2-40B4-BE49-F238E27FC236}">
                  <a16:creationId xmlns:a16="http://schemas.microsoft.com/office/drawing/2014/main" id="{00000000-0008-0000-0700-00006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3</xdr:colOff>
      <xdr:row>5</xdr:row>
      <xdr:rowOff>23811</xdr:rowOff>
    </xdr:from>
    <xdr:to>
      <xdr:col>12</xdr:col>
      <xdr:colOff>5716</xdr:colOff>
      <xdr:row>32</xdr:row>
      <xdr:rowOff>14964</xdr:rowOff>
    </xdr:to>
    <xdr:grpSp>
      <xdr:nvGrpSpPr>
        <xdr:cNvPr id="7" name="Group 6">
          <a:extLst>
            <a:ext uri="{FF2B5EF4-FFF2-40B4-BE49-F238E27FC236}">
              <a16:creationId xmlns:a16="http://schemas.microsoft.com/office/drawing/2014/main" id="{00000000-0008-0000-0800-000007000000}"/>
            </a:ext>
          </a:extLst>
        </xdr:cNvPr>
        <xdr:cNvGrpSpPr/>
      </xdr:nvGrpSpPr>
      <xdr:grpSpPr>
        <a:xfrm>
          <a:off x="6426203" y="1382711"/>
          <a:ext cx="7219313" cy="6353853"/>
          <a:chOff x="3838576" y="1009650"/>
          <a:chExt cx="6757162" cy="6306228"/>
        </a:xfrm>
      </xdr:grpSpPr>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3838576" y="1009650"/>
          <a:ext cx="6757162" cy="6291262"/>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Straight Connector 3">
            <a:extLst>
              <a:ext uri="{FF2B5EF4-FFF2-40B4-BE49-F238E27FC236}">
                <a16:creationId xmlns:a16="http://schemas.microsoft.com/office/drawing/2014/main" id="{00000000-0008-0000-0800-000004000000}"/>
              </a:ext>
            </a:extLst>
          </xdr:cNvPr>
          <xdr:cNvCxnSpPr/>
        </xdr:nvCxnSpPr>
        <xdr:spPr>
          <a:xfrm>
            <a:off x="7191157" y="1389601"/>
            <a:ext cx="20068" cy="5926277"/>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9.xml><?xml version="1.0" encoding="utf-8"?>
<c:userShapes xmlns:c="http://schemas.openxmlformats.org/drawingml/2006/chart">
  <cdr:relSizeAnchor xmlns:cdr="http://schemas.openxmlformats.org/drawingml/2006/chartDrawing">
    <cdr:from>
      <cdr:x>0.09907</cdr:x>
      <cdr:y>0.00305</cdr:y>
    </cdr:from>
    <cdr:to>
      <cdr:x>0.1772</cdr:x>
      <cdr:y>0.04396</cdr:y>
    </cdr:to>
    <cdr:sp macro="" textlink="">
      <cdr:nvSpPr>
        <cdr:cNvPr id="6" name="TextBox 5">
          <a:extLst xmlns:a="http://schemas.openxmlformats.org/drawingml/2006/main">
            <a:ext uri="{FF2B5EF4-FFF2-40B4-BE49-F238E27FC236}">
              <a16:creationId xmlns:a16="http://schemas.microsoft.com/office/drawing/2014/main" id="{EE7CF11A-9963-4B4C-B80F-0ED7B8D408EB}"/>
            </a:ext>
          </a:extLst>
        </cdr:cNvPr>
        <cdr:cNvSpPr txBox="1"/>
      </cdr:nvSpPr>
      <cdr:spPr>
        <a:xfrm xmlns:a="http://schemas.openxmlformats.org/drawingml/2006/main">
          <a:off x="669408" y="18652"/>
          <a:ext cx="527937" cy="2502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b="1"/>
            <a:t>NP</a:t>
          </a:r>
        </a:p>
      </cdr:txBody>
    </cdr:sp>
  </cdr:relSizeAnchor>
  <cdr:relSizeAnchor xmlns:cdr="http://schemas.openxmlformats.org/drawingml/2006/chartDrawing">
    <cdr:from>
      <cdr:x>0.34947</cdr:x>
      <cdr:y>0.00305</cdr:y>
    </cdr:from>
    <cdr:to>
      <cdr:x>0.42759</cdr:x>
      <cdr:y>0.0548</cdr:y>
    </cdr:to>
    <cdr:sp macro="" textlink="">
      <cdr:nvSpPr>
        <cdr:cNvPr id="7" name="TextBox 6">
          <a:extLst xmlns:a="http://schemas.openxmlformats.org/drawingml/2006/main">
            <a:ext uri="{FF2B5EF4-FFF2-40B4-BE49-F238E27FC236}">
              <a16:creationId xmlns:a16="http://schemas.microsoft.com/office/drawing/2014/main" id="{041B93AE-E224-41A3-AB59-3BFCADEF8B9D}"/>
            </a:ext>
          </a:extLst>
        </cdr:cNvPr>
        <cdr:cNvSpPr txBox="1"/>
      </cdr:nvSpPr>
      <cdr:spPr>
        <a:xfrm xmlns:a="http://schemas.openxmlformats.org/drawingml/2006/main">
          <a:off x="2361401" y="18652"/>
          <a:ext cx="527870" cy="3165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b="1"/>
            <a:t>DEVELOPING</a:t>
          </a:r>
        </a:p>
      </cdr:txBody>
    </cdr:sp>
  </cdr:relSizeAnchor>
  <cdr:relSizeAnchor xmlns:cdr="http://schemas.openxmlformats.org/drawingml/2006/chartDrawing">
    <cdr:from>
      <cdr:x>0.49341</cdr:x>
      <cdr:y>0.00305</cdr:y>
    </cdr:from>
    <cdr:to>
      <cdr:x>0.57153</cdr:x>
      <cdr:y>0.04396</cdr:y>
    </cdr:to>
    <cdr:sp macro="" textlink="">
      <cdr:nvSpPr>
        <cdr:cNvPr id="8" name="TextBox 7">
          <a:extLst xmlns:a="http://schemas.openxmlformats.org/drawingml/2006/main">
            <a:ext uri="{FF2B5EF4-FFF2-40B4-BE49-F238E27FC236}">
              <a16:creationId xmlns:a16="http://schemas.microsoft.com/office/drawing/2014/main" id="{BF439ED3-5ADB-4B29-8EC8-BF6B045AD46E}"/>
            </a:ext>
          </a:extLst>
        </cdr:cNvPr>
        <cdr:cNvSpPr txBox="1"/>
      </cdr:nvSpPr>
      <cdr:spPr>
        <a:xfrm xmlns:a="http://schemas.openxmlformats.org/drawingml/2006/main">
          <a:off x="3334027" y="18652"/>
          <a:ext cx="527870" cy="2502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b="1"/>
            <a:t>BENCHMARK</a:t>
          </a:r>
        </a:p>
      </cdr:txBody>
    </cdr:sp>
  </cdr:relSizeAnchor>
  <cdr:relSizeAnchor xmlns:cdr="http://schemas.openxmlformats.org/drawingml/2006/chartDrawing">
    <cdr:from>
      <cdr:x>0.74043</cdr:x>
      <cdr:y>0.00305</cdr:y>
    </cdr:from>
    <cdr:to>
      <cdr:x>0.81855</cdr:x>
      <cdr:y>0.04035</cdr:y>
    </cdr:to>
    <cdr:sp macro="" textlink="">
      <cdr:nvSpPr>
        <cdr:cNvPr id="9" name="TextBox 8">
          <a:extLst xmlns:a="http://schemas.openxmlformats.org/drawingml/2006/main">
            <a:ext uri="{FF2B5EF4-FFF2-40B4-BE49-F238E27FC236}">
              <a16:creationId xmlns:a16="http://schemas.microsoft.com/office/drawing/2014/main" id="{45F8074C-9D32-48CB-AF2B-FFD7B7BFE425}"/>
            </a:ext>
          </a:extLst>
        </cdr:cNvPr>
        <cdr:cNvSpPr txBox="1"/>
      </cdr:nvSpPr>
      <cdr:spPr>
        <a:xfrm xmlns:a="http://schemas.openxmlformats.org/drawingml/2006/main">
          <a:off x="5003181" y="18652"/>
          <a:ext cx="527870" cy="2281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b="1"/>
            <a:t>EXEMPLARY</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98.xml"/><Relationship Id="rId21" Type="http://schemas.openxmlformats.org/officeDocument/2006/relationships/ctrlProp" Target="../ctrlProps/ctrlProp102.xml"/><Relationship Id="rId42" Type="http://schemas.openxmlformats.org/officeDocument/2006/relationships/ctrlProp" Target="../ctrlProps/ctrlProp123.xml"/><Relationship Id="rId47" Type="http://schemas.openxmlformats.org/officeDocument/2006/relationships/ctrlProp" Target="../ctrlProps/ctrlProp128.xml"/><Relationship Id="rId63" Type="http://schemas.openxmlformats.org/officeDocument/2006/relationships/ctrlProp" Target="../ctrlProps/ctrlProp144.xml"/><Relationship Id="rId68" Type="http://schemas.openxmlformats.org/officeDocument/2006/relationships/ctrlProp" Target="../ctrlProps/ctrlProp149.xml"/><Relationship Id="rId84" Type="http://schemas.openxmlformats.org/officeDocument/2006/relationships/ctrlProp" Target="../ctrlProps/ctrlProp165.xml"/><Relationship Id="rId89" Type="http://schemas.openxmlformats.org/officeDocument/2006/relationships/ctrlProp" Target="../ctrlProps/ctrlProp170.xml"/><Relationship Id="rId112" Type="http://schemas.openxmlformats.org/officeDocument/2006/relationships/ctrlProp" Target="../ctrlProps/ctrlProp193.xml"/><Relationship Id="rId16" Type="http://schemas.openxmlformats.org/officeDocument/2006/relationships/ctrlProp" Target="../ctrlProps/ctrlProp97.xml"/><Relationship Id="rId107" Type="http://schemas.openxmlformats.org/officeDocument/2006/relationships/ctrlProp" Target="../ctrlProps/ctrlProp188.xml"/><Relationship Id="rId11" Type="http://schemas.openxmlformats.org/officeDocument/2006/relationships/ctrlProp" Target="../ctrlProps/ctrlProp92.xml"/><Relationship Id="rId32" Type="http://schemas.openxmlformats.org/officeDocument/2006/relationships/ctrlProp" Target="../ctrlProps/ctrlProp113.xml"/><Relationship Id="rId37" Type="http://schemas.openxmlformats.org/officeDocument/2006/relationships/ctrlProp" Target="../ctrlProps/ctrlProp118.xml"/><Relationship Id="rId53" Type="http://schemas.openxmlformats.org/officeDocument/2006/relationships/ctrlProp" Target="../ctrlProps/ctrlProp134.xml"/><Relationship Id="rId58" Type="http://schemas.openxmlformats.org/officeDocument/2006/relationships/ctrlProp" Target="../ctrlProps/ctrlProp139.xml"/><Relationship Id="rId74" Type="http://schemas.openxmlformats.org/officeDocument/2006/relationships/ctrlProp" Target="../ctrlProps/ctrlProp155.xml"/><Relationship Id="rId79" Type="http://schemas.openxmlformats.org/officeDocument/2006/relationships/ctrlProp" Target="../ctrlProps/ctrlProp160.xml"/><Relationship Id="rId102" Type="http://schemas.openxmlformats.org/officeDocument/2006/relationships/ctrlProp" Target="../ctrlProps/ctrlProp183.xml"/><Relationship Id="rId123" Type="http://schemas.openxmlformats.org/officeDocument/2006/relationships/ctrlProp" Target="../ctrlProps/ctrlProp204.xml"/><Relationship Id="rId128" Type="http://schemas.openxmlformats.org/officeDocument/2006/relationships/ctrlProp" Target="../ctrlProps/ctrlProp209.xml"/><Relationship Id="rId5" Type="http://schemas.openxmlformats.org/officeDocument/2006/relationships/ctrlProp" Target="../ctrlProps/ctrlProp86.xml"/><Relationship Id="rId90" Type="http://schemas.openxmlformats.org/officeDocument/2006/relationships/ctrlProp" Target="../ctrlProps/ctrlProp171.xml"/><Relationship Id="rId95" Type="http://schemas.openxmlformats.org/officeDocument/2006/relationships/ctrlProp" Target="../ctrlProps/ctrlProp176.xml"/><Relationship Id="rId22" Type="http://schemas.openxmlformats.org/officeDocument/2006/relationships/ctrlProp" Target="../ctrlProps/ctrlProp103.xml"/><Relationship Id="rId27" Type="http://schemas.openxmlformats.org/officeDocument/2006/relationships/ctrlProp" Target="../ctrlProps/ctrlProp108.xml"/><Relationship Id="rId43" Type="http://schemas.openxmlformats.org/officeDocument/2006/relationships/ctrlProp" Target="../ctrlProps/ctrlProp124.xml"/><Relationship Id="rId48" Type="http://schemas.openxmlformats.org/officeDocument/2006/relationships/ctrlProp" Target="../ctrlProps/ctrlProp129.xml"/><Relationship Id="rId64" Type="http://schemas.openxmlformats.org/officeDocument/2006/relationships/ctrlProp" Target="../ctrlProps/ctrlProp145.xml"/><Relationship Id="rId69" Type="http://schemas.openxmlformats.org/officeDocument/2006/relationships/ctrlProp" Target="../ctrlProps/ctrlProp150.xml"/><Relationship Id="rId113" Type="http://schemas.openxmlformats.org/officeDocument/2006/relationships/ctrlProp" Target="../ctrlProps/ctrlProp194.xml"/><Relationship Id="rId118" Type="http://schemas.openxmlformats.org/officeDocument/2006/relationships/ctrlProp" Target="../ctrlProps/ctrlProp199.xml"/><Relationship Id="rId80" Type="http://schemas.openxmlformats.org/officeDocument/2006/relationships/ctrlProp" Target="../ctrlProps/ctrlProp161.xml"/><Relationship Id="rId85" Type="http://schemas.openxmlformats.org/officeDocument/2006/relationships/ctrlProp" Target="../ctrlProps/ctrlProp166.xml"/><Relationship Id="rId12" Type="http://schemas.openxmlformats.org/officeDocument/2006/relationships/ctrlProp" Target="../ctrlProps/ctrlProp93.xml"/><Relationship Id="rId17" Type="http://schemas.openxmlformats.org/officeDocument/2006/relationships/ctrlProp" Target="../ctrlProps/ctrlProp98.xml"/><Relationship Id="rId33" Type="http://schemas.openxmlformats.org/officeDocument/2006/relationships/ctrlProp" Target="../ctrlProps/ctrlProp114.xml"/><Relationship Id="rId38" Type="http://schemas.openxmlformats.org/officeDocument/2006/relationships/ctrlProp" Target="../ctrlProps/ctrlProp119.xml"/><Relationship Id="rId59" Type="http://schemas.openxmlformats.org/officeDocument/2006/relationships/ctrlProp" Target="../ctrlProps/ctrlProp140.xml"/><Relationship Id="rId103" Type="http://schemas.openxmlformats.org/officeDocument/2006/relationships/ctrlProp" Target="../ctrlProps/ctrlProp184.xml"/><Relationship Id="rId108" Type="http://schemas.openxmlformats.org/officeDocument/2006/relationships/ctrlProp" Target="../ctrlProps/ctrlProp189.xml"/><Relationship Id="rId124" Type="http://schemas.openxmlformats.org/officeDocument/2006/relationships/ctrlProp" Target="../ctrlProps/ctrlProp205.xml"/><Relationship Id="rId129" Type="http://schemas.openxmlformats.org/officeDocument/2006/relationships/ctrlProp" Target="../ctrlProps/ctrlProp210.xml"/><Relationship Id="rId54" Type="http://schemas.openxmlformats.org/officeDocument/2006/relationships/ctrlProp" Target="../ctrlProps/ctrlProp135.xml"/><Relationship Id="rId70" Type="http://schemas.openxmlformats.org/officeDocument/2006/relationships/ctrlProp" Target="../ctrlProps/ctrlProp151.xml"/><Relationship Id="rId75" Type="http://schemas.openxmlformats.org/officeDocument/2006/relationships/ctrlProp" Target="../ctrlProps/ctrlProp156.xml"/><Relationship Id="rId91" Type="http://schemas.openxmlformats.org/officeDocument/2006/relationships/ctrlProp" Target="../ctrlProps/ctrlProp172.xml"/><Relationship Id="rId96" Type="http://schemas.openxmlformats.org/officeDocument/2006/relationships/ctrlProp" Target="../ctrlProps/ctrlProp177.xml"/><Relationship Id="rId1" Type="http://schemas.openxmlformats.org/officeDocument/2006/relationships/printerSettings" Target="../printerSettings/printerSettings4.bin"/><Relationship Id="rId6" Type="http://schemas.openxmlformats.org/officeDocument/2006/relationships/ctrlProp" Target="../ctrlProps/ctrlProp87.xml"/><Relationship Id="rId23" Type="http://schemas.openxmlformats.org/officeDocument/2006/relationships/ctrlProp" Target="../ctrlProps/ctrlProp104.xml"/><Relationship Id="rId28" Type="http://schemas.openxmlformats.org/officeDocument/2006/relationships/ctrlProp" Target="../ctrlProps/ctrlProp109.xml"/><Relationship Id="rId49" Type="http://schemas.openxmlformats.org/officeDocument/2006/relationships/ctrlProp" Target="../ctrlProps/ctrlProp130.xml"/><Relationship Id="rId114" Type="http://schemas.openxmlformats.org/officeDocument/2006/relationships/ctrlProp" Target="../ctrlProps/ctrlProp195.xml"/><Relationship Id="rId119" Type="http://schemas.openxmlformats.org/officeDocument/2006/relationships/ctrlProp" Target="../ctrlProps/ctrlProp200.xml"/><Relationship Id="rId44" Type="http://schemas.openxmlformats.org/officeDocument/2006/relationships/ctrlProp" Target="../ctrlProps/ctrlProp125.xml"/><Relationship Id="rId60" Type="http://schemas.openxmlformats.org/officeDocument/2006/relationships/ctrlProp" Target="../ctrlProps/ctrlProp141.xml"/><Relationship Id="rId65" Type="http://schemas.openxmlformats.org/officeDocument/2006/relationships/ctrlProp" Target="../ctrlProps/ctrlProp146.xml"/><Relationship Id="rId81" Type="http://schemas.openxmlformats.org/officeDocument/2006/relationships/ctrlProp" Target="../ctrlProps/ctrlProp162.xml"/><Relationship Id="rId86" Type="http://schemas.openxmlformats.org/officeDocument/2006/relationships/ctrlProp" Target="../ctrlProps/ctrlProp167.xml"/><Relationship Id="rId13" Type="http://schemas.openxmlformats.org/officeDocument/2006/relationships/ctrlProp" Target="../ctrlProps/ctrlProp94.xml"/><Relationship Id="rId18" Type="http://schemas.openxmlformats.org/officeDocument/2006/relationships/ctrlProp" Target="../ctrlProps/ctrlProp99.xml"/><Relationship Id="rId39" Type="http://schemas.openxmlformats.org/officeDocument/2006/relationships/ctrlProp" Target="../ctrlProps/ctrlProp120.xml"/><Relationship Id="rId109" Type="http://schemas.openxmlformats.org/officeDocument/2006/relationships/ctrlProp" Target="../ctrlProps/ctrlProp190.xml"/><Relationship Id="rId34" Type="http://schemas.openxmlformats.org/officeDocument/2006/relationships/ctrlProp" Target="../ctrlProps/ctrlProp115.xml"/><Relationship Id="rId50" Type="http://schemas.openxmlformats.org/officeDocument/2006/relationships/ctrlProp" Target="../ctrlProps/ctrlProp131.xml"/><Relationship Id="rId55" Type="http://schemas.openxmlformats.org/officeDocument/2006/relationships/ctrlProp" Target="../ctrlProps/ctrlProp136.xml"/><Relationship Id="rId76" Type="http://schemas.openxmlformats.org/officeDocument/2006/relationships/ctrlProp" Target="../ctrlProps/ctrlProp157.xml"/><Relationship Id="rId97" Type="http://schemas.openxmlformats.org/officeDocument/2006/relationships/ctrlProp" Target="../ctrlProps/ctrlProp178.xml"/><Relationship Id="rId104" Type="http://schemas.openxmlformats.org/officeDocument/2006/relationships/ctrlProp" Target="../ctrlProps/ctrlProp185.xml"/><Relationship Id="rId120" Type="http://schemas.openxmlformats.org/officeDocument/2006/relationships/ctrlProp" Target="../ctrlProps/ctrlProp201.xml"/><Relationship Id="rId125" Type="http://schemas.openxmlformats.org/officeDocument/2006/relationships/ctrlProp" Target="../ctrlProps/ctrlProp206.xml"/><Relationship Id="rId7" Type="http://schemas.openxmlformats.org/officeDocument/2006/relationships/ctrlProp" Target="../ctrlProps/ctrlProp88.xml"/><Relationship Id="rId71" Type="http://schemas.openxmlformats.org/officeDocument/2006/relationships/ctrlProp" Target="../ctrlProps/ctrlProp152.xml"/><Relationship Id="rId92" Type="http://schemas.openxmlformats.org/officeDocument/2006/relationships/ctrlProp" Target="../ctrlProps/ctrlProp173.xml"/><Relationship Id="rId2" Type="http://schemas.openxmlformats.org/officeDocument/2006/relationships/drawing" Target="../drawings/drawing3.xml"/><Relationship Id="rId29" Type="http://schemas.openxmlformats.org/officeDocument/2006/relationships/ctrlProp" Target="../ctrlProps/ctrlProp110.xml"/><Relationship Id="rId24" Type="http://schemas.openxmlformats.org/officeDocument/2006/relationships/ctrlProp" Target="../ctrlProps/ctrlProp105.xml"/><Relationship Id="rId40" Type="http://schemas.openxmlformats.org/officeDocument/2006/relationships/ctrlProp" Target="../ctrlProps/ctrlProp121.xml"/><Relationship Id="rId45" Type="http://schemas.openxmlformats.org/officeDocument/2006/relationships/ctrlProp" Target="../ctrlProps/ctrlProp126.xml"/><Relationship Id="rId66" Type="http://schemas.openxmlformats.org/officeDocument/2006/relationships/ctrlProp" Target="../ctrlProps/ctrlProp147.xml"/><Relationship Id="rId87" Type="http://schemas.openxmlformats.org/officeDocument/2006/relationships/ctrlProp" Target="../ctrlProps/ctrlProp168.xml"/><Relationship Id="rId110" Type="http://schemas.openxmlformats.org/officeDocument/2006/relationships/ctrlProp" Target="../ctrlProps/ctrlProp191.xml"/><Relationship Id="rId115" Type="http://schemas.openxmlformats.org/officeDocument/2006/relationships/ctrlProp" Target="../ctrlProps/ctrlProp196.xml"/><Relationship Id="rId61" Type="http://schemas.openxmlformats.org/officeDocument/2006/relationships/ctrlProp" Target="../ctrlProps/ctrlProp142.xml"/><Relationship Id="rId82" Type="http://schemas.openxmlformats.org/officeDocument/2006/relationships/ctrlProp" Target="../ctrlProps/ctrlProp163.xml"/><Relationship Id="rId19" Type="http://schemas.openxmlformats.org/officeDocument/2006/relationships/ctrlProp" Target="../ctrlProps/ctrlProp100.xml"/><Relationship Id="rId14" Type="http://schemas.openxmlformats.org/officeDocument/2006/relationships/ctrlProp" Target="../ctrlProps/ctrlProp95.xml"/><Relationship Id="rId30" Type="http://schemas.openxmlformats.org/officeDocument/2006/relationships/ctrlProp" Target="../ctrlProps/ctrlProp111.xml"/><Relationship Id="rId35" Type="http://schemas.openxmlformats.org/officeDocument/2006/relationships/ctrlProp" Target="../ctrlProps/ctrlProp116.xml"/><Relationship Id="rId56" Type="http://schemas.openxmlformats.org/officeDocument/2006/relationships/ctrlProp" Target="../ctrlProps/ctrlProp137.xml"/><Relationship Id="rId77" Type="http://schemas.openxmlformats.org/officeDocument/2006/relationships/ctrlProp" Target="../ctrlProps/ctrlProp158.xml"/><Relationship Id="rId100" Type="http://schemas.openxmlformats.org/officeDocument/2006/relationships/ctrlProp" Target="../ctrlProps/ctrlProp181.xml"/><Relationship Id="rId105" Type="http://schemas.openxmlformats.org/officeDocument/2006/relationships/ctrlProp" Target="../ctrlProps/ctrlProp186.xml"/><Relationship Id="rId126" Type="http://schemas.openxmlformats.org/officeDocument/2006/relationships/ctrlProp" Target="../ctrlProps/ctrlProp207.xml"/><Relationship Id="rId8" Type="http://schemas.openxmlformats.org/officeDocument/2006/relationships/ctrlProp" Target="../ctrlProps/ctrlProp89.xml"/><Relationship Id="rId51" Type="http://schemas.openxmlformats.org/officeDocument/2006/relationships/ctrlProp" Target="../ctrlProps/ctrlProp132.xml"/><Relationship Id="rId72" Type="http://schemas.openxmlformats.org/officeDocument/2006/relationships/ctrlProp" Target="../ctrlProps/ctrlProp153.xml"/><Relationship Id="rId93" Type="http://schemas.openxmlformats.org/officeDocument/2006/relationships/ctrlProp" Target="../ctrlProps/ctrlProp174.xml"/><Relationship Id="rId98" Type="http://schemas.openxmlformats.org/officeDocument/2006/relationships/ctrlProp" Target="../ctrlProps/ctrlProp179.xml"/><Relationship Id="rId121" Type="http://schemas.openxmlformats.org/officeDocument/2006/relationships/ctrlProp" Target="../ctrlProps/ctrlProp202.xml"/><Relationship Id="rId3" Type="http://schemas.openxmlformats.org/officeDocument/2006/relationships/vmlDrawing" Target="../drawings/vmlDrawing2.vml"/><Relationship Id="rId25" Type="http://schemas.openxmlformats.org/officeDocument/2006/relationships/ctrlProp" Target="../ctrlProps/ctrlProp106.xml"/><Relationship Id="rId46" Type="http://schemas.openxmlformats.org/officeDocument/2006/relationships/ctrlProp" Target="../ctrlProps/ctrlProp127.xml"/><Relationship Id="rId67" Type="http://schemas.openxmlformats.org/officeDocument/2006/relationships/ctrlProp" Target="../ctrlProps/ctrlProp148.xml"/><Relationship Id="rId116" Type="http://schemas.openxmlformats.org/officeDocument/2006/relationships/ctrlProp" Target="../ctrlProps/ctrlProp197.xml"/><Relationship Id="rId20" Type="http://schemas.openxmlformats.org/officeDocument/2006/relationships/ctrlProp" Target="../ctrlProps/ctrlProp101.xml"/><Relationship Id="rId41" Type="http://schemas.openxmlformats.org/officeDocument/2006/relationships/ctrlProp" Target="../ctrlProps/ctrlProp122.xml"/><Relationship Id="rId62" Type="http://schemas.openxmlformats.org/officeDocument/2006/relationships/ctrlProp" Target="../ctrlProps/ctrlProp143.xml"/><Relationship Id="rId83" Type="http://schemas.openxmlformats.org/officeDocument/2006/relationships/ctrlProp" Target="../ctrlProps/ctrlProp164.xml"/><Relationship Id="rId88" Type="http://schemas.openxmlformats.org/officeDocument/2006/relationships/ctrlProp" Target="../ctrlProps/ctrlProp169.xml"/><Relationship Id="rId111" Type="http://schemas.openxmlformats.org/officeDocument/2006/relationships/ctrlProp" Target="../ctrlProps/ctrlProp192.xml"/><Relationship Id="rId15" Type="http://schemas.openxmlformats.org/officeDocument/2006/relationships/ctrlProp" Target="../ctrlProps/ctrlProp96.xml"/><Relationship Id="rId36" Type="http://schemas.openxmlformats.org/officeDocument/2006/relationships/ctrlProp" Target="../ctrlProps/ctrlProp117.xml"/><Relationship Id="rId57" Type="http://schemas.openxmlformats.org/officeDocument/2006/relationships/ctrlProp" Target="../ctrlProps/ctrlProp138.xml"/><Relationship Id="rId106" Type="http://schemas.openxmlformats.org/officeDocument/2006/relationships/ctrlProp" Target="../ctrlProps/ctrlProp187.xml"/><Relationship Id="rId127" Type="http://schemas.openxmlformats.org/officeDocument/2006/relationships/ctrlProp" Target="../ctrlProps/ctrlProp208.xml"/><Relationship Id="rId10" Type="http://schemas.openxmlformats.org/officeDocument/2006/relationships/ctrlProp" Target="../ctrlProps/ctrlProp91.xml"/><Relationship Id="rId31" Type="http://schemas.openxmlformats.org/officeDocument/2006/relationships/ctrlProp" Target="../ctrlProps/ctrlProp112.xml"/><Relationship Id="rId52" Type="http://schemas.openxmlformats.org/officeDocument/2006/relationships/ctrlProp" Target="../ctrlProps/ctrlProp133.xml"/><Relationship Id="rId73" Type="http://schemas.openxmlformats.org/officeDocument/2006/relationships/ctrlProp" Target="../ctrlProps/ctrlProp154.xml"/><Relationship Id="rId78" Type="http://schemas.openxmlformats.org/officeDocument/2006/relationships/ctrlProp" Target="../ctrlProps/ctrlProp159.xml"/><Relationship Id="rId94" Type="http://schemas.openxmlformats.org/officeDocument/2006/relationships/ctrlProp" Target="../ctrlProps/ctrlProp175.xml"/><Relationship Id="rId99" Type="http://schemas.openxmlformats.org/officeDocument/2006/relationships/ctrlProp" Target="../ctrlProps/ctrlProp180.xml"/><Relationship Id="rId101" Type="http://schemas.openxmlformats.org/officeDocument/2006/relationships/ctrlProp" Target="../ctrlProps/ctrlProp182.xml"/><Relationship Id="rId122" Type="http://schemas.openxmlformats.org/officeDocument/2006/relationships/ctrlProp" Target="../ctrlProps/ctrlProp203.xml"/><Relationship Id="rId4" Type="http://schemas.openxmlformats.org/officeDocument/2006/relationships/ctrlProp" Target="../ctrlProps/ctrlProp85.xml"/><Relationship Id="rId9" Type="http://schemas.openxmlformats.org/officeDocument/2006/relationships/ctrlProp" Target="../ctrlProps/ctrlProp90.xml"/><Relationship Id="rId26" Type="http://schemas.openxmlformats.org/officeDocument/2006/relationships/ctrlProp" Target="../ctrlProps/ctrlProp107.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3.xml"/><Relationship Id="rId117" Type="http://schemas.openxmlformats.org/officeDocument/2006/relationships/ctrlProp" Target="../ctrlProps/ctrlProp324.xml"/><Relationship Id="rId21" Type="http://schemas.openxmlformats.org/officeDocument/2006/relationships/ctrlProp" Target="../ctrlProps/ctrlProp228.xml"/><Relationship Id="rId42" Type="http://schemas.openxmlformats.org/officeDocument/2006/relationships/ctrlProp" Target="../ctrlProps/ctrlProp249.xml"/><Relationship Id="rId47" Type="http://schemas.openxmlformats.org/officeDocument/2006/relationships/ctrlProp" Target="../ctrlProps/ctrlProp254.xml"/><Relationship Id="rId63" Type="http://schemas.openxmlformats.org/officeDocument/2006/relationships/ctrlProp" Target="../ctrlProps/ctrlProp270.xml"/><Relationship Id="rId68" Type="http://schemas.openxmlformats.org/officeDocument/2006/relationships/ctrlProp" Target="../ctrlProps/ctrlProp275.xml"/><Relationship Id="rId84" Type="http://schemas.openxmlformats.org/officeDocument/2006/relationships/ctrlProp" Target="../ctrlProps/ctrlProp291.xml"/><Relationship Id="rId89" Type="http://schemas.openxmlformats.org/officeDocument/2006/relationships/ctrlProp" Target="../ctrlProps/ctrlProp296.xml"/><Relationship Id="rId112" Type="http://schemas.openxmlformats.org/officeDocument/2006/relationships/ctrlProp" Target="../ctrlProps/ctrlProp319.xml"/><Relationship Id="rId16" Type="http://schemas.openxmlformats.org/officeDocument/2006/relationships/ctrlProp" Target="../ctrlProps/ctrlProp223.xml"/><Relationship Id="rId107" Type="http://schemas.openxmlformats.org/officeDocument/2006/relationships/ctrlProp" Target="../ctrlProps/ctrlProp314.xml"/><Relationship Id="rId11" Type="http://schemas.openxmlformats.org/officeDocument/2006/relationships/ctrlProp" Target="../ctrlProps/ctrlProp218.xml"/><Relationship Id="rId32" Type="http://schemas.openxmlformats.org/officeDocument/2006/relationships/ctrlProp" Target="../ctrlProps/ctrlProp239.xml"/><Relationship Id="rId37" Type="http://schemas.openxmlformats.org/officeDocument/2006/relationships/ctrlProp" Target="../ctrlProps/ctrlProp244.xml"/><Relationship Id="rId53" Type="http://schemas.openxmlformats.org/officeDocument/2006/relationships/ctrlProp" Target="../ctrlProps/ctrlProp260.xml"/><Relationship Id="rId58" Type="http://schemas.openxmlformats.org/officeDocument/2006/relationships/ctrlProp" Target="../ctrlProps/ctrlProp265.xml"/><Relationship Id="rId74" Type="http://schemas.openxmlformats.org/officeDocument/2006/relationships/ctrlProp" Target="../ctrlProps/ctrlProp281.xml"/><Relationship Id="rId79" Type="http://schemas.openxmlformats.org/officeDocument/2006/relationships/ctrlProp" Target="../ctrlProps/ctrlProp286.xml"/><Relationship Id="rId102" Type="http://schemas.openxmlformats.org/officeDocument/2006/relationships/ctrlProp" Target="../ctrlProps/ctrlProp309.xml"/><Relationship Id="rId5" Type="http://schemas.openxmlformats.org/officeDocument/2006/relationships/ctrlProp" Target="../ctrlProps/ctrlProp212.xml"/><Relationship Id="rId90" Type="http://schemas.openxmlformats.org/officeDocument/2006/relationships/ctrlProp" Target="../ctrlProps/ctrlProp297.xml"/><Relationship Id="rId95" Type="http://schemas.openxmlformats.org/officeDocument/2006/relationships/ctrlProp" Target="../ctrlProps/ctrlProp302.xml"/><Relationship Id="rId22" Type="http://schemas.openxmlformats.org/officeDocument/2006/relationships/ctrlProp" Target="../ctrlProps/ctrlProp229.xml"/><Relationship Id="rId27" Type="http://schemas.openxmlformats.org/officeDocument/2006/relationships/ctrlProp" Target="../ctrlProps/ctrlProp234.xml"/><Relationship Id="rId43" Type="http://schemas.openxmlformats.org/officeDocument/2006/relationships/ctrlProp" Target="../ctrlProps/ctrlProp250.xml"/><Relationship Id="rId48" Type="http://schemas.openxmlformats.org/officeDocument/2006/relationships/ctrlProp" Target="../ctrlProps/ctrlProp255.xml"/><Relationship Id="rId64" Type="http://schemas.openxmlformats.org/officeDocument/2006/relationships/ctrlProp" Target="../ctrlProps/ctrlProp271.xml"/><Relationship Id="rId69" Type="http://schemas.openxmlformats.org/officeDocument/2006/relationships/ctrlProp" Target="../ctrlProps/ctrlProp276.xml"/><Relationship Id="rId113" Type="http://schemas.openxmlformats.org/officeDocument/2006/relationships/ctrlProp" Target="../ctrlProps/ctrlProp320.xml"/><Relationship Id="rId80" Type="http://schemas.openxmlformats.org/officeDocument/2006/relationships/ctrlProp" Target="../ctrlProps/ctrlProp287.xml"/><Relationship Id="rId85" Type="http://schemas.openxmlformats.org/officeDocument/2006/relationships/ctrlProp" Target="../ctrlProps/ctrlProp292.xml"/><Relationship Id="rId12" Type="http://schemas.openxmlformats.org/officeDocument/2006/relationships/ctrlProp" Target="../ctrlProps/ctrlProp219.xml"/><Relationship Id="rId17" Type="http://schemas.openxmlformats.org/officeDocument/2006/relationships/ctrlProp" Target="../ctrlProps/ctrlProp224.xml"/><Relationship Id="rId33" Type="http://schemas.openxmlformats.org/officeDocument/2006/relationships/ctrlProp" Target="../ctrlProps/ctrlProp240.xml"/><Relationship Id="rId38" Type="http://schemas.openxmlformats.org/officeDocument/2006/relationships/ctrlProp" Target="../ctrlProps/ctrlProp245.xml"/><Relationship Id="rId59" Type="http://schemas.openxmlformats.org/officeDocument/2006/relationships/ctrlProp" Target="../ctrlProps/ctrlProp266.xml"/><Relationship Id="rId103" Type="http://schemas.openxmlformats.org/officeDocument/2006/relationships/ctrlProp" Target="../ctrlProps/ctrlProp310.xml"/><Relationship Id="rId108" Type="http://schemas.openxmlformats.org/officeDocument/2006/relationships/ctrlProp" Target="../ctrlProps/ctrlProp315.xml"/><Relationship Id="rId54" Type="http://schemas.openxmlformats.org/officeDocument/2006/relationships/ctrlProp" Target="../ctrlProps/ctrlProp261.xml"/><Relationship Id="rId70" Type="http://schemas.openxmlformats.org/officeDocument/2006/relationships/ctrlProp" Target="../ctrlProps/ctrlProp277.xml"/><Relationship Id="rId75" Type="http://schemas.openxmlformats.org/officeDocument/2006/relationships/ctrlProp" Target="../ctrlProps/ctrlProp282.xml"/><Relationship Id="rId91" Type="http://schemas.openxmlformats.org/officeDocument/2006/relationships/ctrlProp" Target="../ctrlProps/ctrlProp298.xml"/><Relationship Id="rId96" Type="http://schemas.openxmlformats.org/officeDocument/2006/relationships/ctrlProp" Target="../ctrlProps/ctrlProp303.xml"/><Relationship Id="rId1" Type="http://schemas.openxmlformats.org/officeDocument/2006/relationships/printerSettings" Target="../printerSettings/printerSettings5.bin"/><Relationship Id="rId6" Type="http://schemas.openxmlformats.org/officeDocument/2006/relationships/ctrlProp" Target="../ctrlProps/ctrlProp213.xml"/><Relationship Id="rId23" Type="http://schemas.openxmlformats.org/officeDocument/2006/relationships/ctrlProp" Target="../ctrlProps/ctrlProp230.xml"/><Relationship Id="rId28" Type="http://schemas.openxmlformats.org/officeDocument/2006/relationships/ctrlProp" Target="../ctrlProps/ctrlProp235.xml"/><Relationship Id="rId49" Type="http://schemas.openxmlformats.org/officeDocument/2006/relationships/ctrlProp" Target="../ctrlProps/ctrlProp256.xml"/><Relationship Id="rId114" Type="http://schemas.openxmlformats.org/officeDocument/2006/relationships/ctrlProp" Target="../ctrlProps/ctrlProp321.xml"/><Relationship Id="rId10" Type="http://schemas.openxmlformats.org/officeDocument/2006/relationships/ctrlProp" Target="../ctrlProps/ctrlProp217.xml"/><Relationship Id="rId31" Type="http://schemas.openxmlformats.org/officeDocument/2006/relationships/ctrlProp" Target="../ctrlProps/ctrlProp238.xml"/><Relationship Id="rId44" Type="http://schemas.openxmlformats.org/officeDocument/2006/relationships/ctrlProp" Target="../ctrlProps/ctrlProp251.xml"/><Relationship Id="rId52" Type="http://schemas.openxmlformats.org/officeDocument/2006/relationships/ctrlProp" Target="../ctrlProps/ctrlProp259.xml"/><Relationship Id="rId60" Type="http://schemas.openxmlformats.org/officeDocument/2006/relationships/ctrlProp" Target="../ctrlProps/ctrlProp267.xml"/><Relationship Id="rId65" Type="http://schemas.openxmlformats.org/officeDocument/2006/relationships/ctrlProp" Target="../ctrlProps/ctrlProp272.xml"/><Relationship Id="rId73" Type="http://schemas.openxmlformats.org/officeDocument/2006/relationships/ctrlProp" Target="../ctrlProps/ctrlProp280.xml"/><Relationship Id="rId78" Type="http://schemas.openxmlformats.org/officeDocument/2006/relationships/ctrlProp" Target="../ctrlProps/ctrlProp285.xml"/><Relationship Id="rId81" Type="http://schemas.openxmlformats.org/officeDocument/2006/relationships/ctrlProp" Target="../ctrlProps/ctrlProp288.xml"/><Relationship Id="rId86" Type="http://schemas.openxmlformats.org/officeDocument/2006/relationships/ctrlProp" Target="../ctrlProps/ctrlProp293.xml"/><Relationship Id="rId94" Type="http://schemas.openxmlformats.org/officeDocument/2006/relationships/ctrlProp" Target="../ctrlProps/ctrlProp301.xml"/><Relationship Id="rId99" Type="http://schemas.openxmlformats.org/officeDocument/2006/relationships/ctrlProp" Target="../ctrlProps/ctrlProp306.xml"/><Relationship Id="rId101" Type="http://schemas.openxmlformats.org/officeDocument/2006/relationships/ctrlProp" Target="../ctrlProps/ctrlProp308.xml"/><Relationship Id="rId4" Type="http://schemas.openxmlformats.org/officeDocument/2006/relationships/ctrlProp" Target="../ctrlProps/ctrlProp211.xml"/><Relationship Id="rId9" Type="http://schemas.openxmlformats.org/officeDocument/2006/relationships/ctrlProp" Target="../ctrlProps/ctrlProp216.xml"/><Relationship Id="rId13" Type="http://schemas.openxmlformats.org/officeDocument/2006/relationships/ctrlProp" Target="../ctrlProps/ctrlProp220.xml"/><Relationship Id="rId18" Type="http://schemas.openxmlformats.org/officeDocument/2006/relationships/ctrlProp" Target="../ctrlProps/ctrlProp225.xml"/><Relationship Id="rId39" Type="http://schemas.openxmlformats.org/officeDocument/2006/relationships/ctrlProp" Target="../ctrlProps/ctrlProp246.xml"/><Relationship Id="rId109" Type="http://schemas.openxmlformats.org/officeDocument/2006/relationships/ctrlProp" Target="../ctrlProps/ctrlProp316.xml"/><Relationship Id="rId34" Type="http://schemas.openxmlformats.org/officeDocument/2006/relationships/ctrlProp" Target="../ctrlProps/ctrlProp241.xml"/><Relationship Id="rId50" Type="http://schemas.openxmlformats.org/officeDocument/2006/relationships/ctrlProp" Target="../ctrlProps/ctrlProp257.xml"/><Relationship Id="rId55" Type="http://schemas.openxmlformats.org/officeDocument/2006/relationships/ctrlProp" Target="../ctrlProps/ctrlProp262.xml"/><Relationship Id="rId76" Type="http://schemas.openxmlformats.org/officeDocument/2006/relationships/ctrlProp" Target="../ctrlProps/ctrlProp283.xml"/><Relationship Id="rId97" Type="http://schemas.openxmlformats.org/officeDocument/2006/relationships/ctrlProp" Target="../ctrlProps/ctrlProp304.xml"/><Relationship Id="rId104" Type="http://schemas.openxmlformats.org/officeDocument/2006/relationships/ctrlProp" Target="../ctrlProps/ctrlProp311.xml"/><Relationship Id="rId7" Type="http://schemas.openxmlformats.org/officeDocument/2006/relationships/ctrlProp" Target="../ctrlProps/ctrlProp214.xml"/><Relationship Id="rId71" Type="http://schemas.openxmlformats.org/officeDocument/2006/relationships/ctrlProp" Target="../ctrlProps/ctrlProp278.xml"/><Relationship Id="rId92" Type="http://schemas.openxmlformats.org/officeDocument/2006/relationships/ctrlProp" Target="../ctrlProps/ctrlProp299.xml"/><Relationship Id="rId2" Type="http://schemas.openxmlformats.org/officeDocument/2006/relationships/drawing" Target="../drawings/drawing4.xml"/><Relationship Id="rId29" Type="http://schemas.openxmlformats.org/officeDocument/2006/relationships/ctrlProp" Target="../ctrlProps/ctrlProp236.xml"/><Relationship Id="rId24" Type="http://schemas.openxmlformats.org/officeDocument/2006/relationships/ctrlProp" Target="../ctrlProps/ctrlProp231.xml"/><Relationship Id="rId40" Type="http://schemas.openxmlformats.org/officeDocument/2006/relationships/ctrlProp" Target="../ctrlProps/ctrlProp247.xml"/><Relationship Id="rId45" Type="http://schemas.openxmlformats.org/officeDocument/2006/relationships/ctrlProp" Target="../ctrlProps/ctrlProp252.xml"/><Relationship Id="rId66" Type="http://schemas.openxmlformats.org/officeDocument/2006/relationships/ctrlProp" Target="../ctrlProps/ctrlProp273.xml"/><Relationship Id="rId87" Type="http://schemas.openxmlformats.org/officeDocument/2006/relationships/ctrlProp" Target="../ctrlProps/ctrlProp294.xml"/><Relationship Id="rId110" Type="http://schemas.openxmlformats.org/officeDocument/2006/relationships/ctrlProp" Target="../ctrlProps/ctrlProp317.xml"/><Relationship Id="rId115" Type="http://schemas.openxmlformats.org/officeDocument/2006/relationships/ctrlProp" Target="../ctrlProps/ctrlProp322.xml"/><Relationship Id="rId61" Type="http://schemas.openxmlformats.org/officeDocument/2006/relationships/ctrlProp" Target="../ctrlProps/ctrlProp268.xml"/><Relationship Id="rId82" Type="http://schemas.openxmlformats.org/officeDocument/2006/relationships/ctrlProp" Target="../ctrlProps/ctrlProp289.xml"/><Relationship Id="rId19" Type="http://schemas.openxmlformats.org/officeDocument/2006/relationships/ctrlProp" Target="../ctrlProps/ctrlProp226.xml"/><Relationship Id="rId14" Type="http://schemas.openxmlformats.org/officeDocument/2006/relationships/ctrlProp" Target="../ctrlProps/ctrlProp221.xml"/><Relationship Id="rId30" Type="http://schemas.openxmlformats.org/officeDocument/2006/relationships/ctrlProp" Target="../ctrlProps/ctrlProp237.xml"/><Relationship Id="rId35" Type="http://schemas.openxmlformats.org/officeDocument/2006/relationships/ctrlProp" Target="../ctrlProps/ctrlProp242.xml"/><Relationship Id="rId56" Type="http://schemas.openxmlformats.org/officeDocument/2006/relationships/ctrlProp" Target="../ctrlProps/ctrlProp263.xml"/><Relationship Id="rId77" Type="http://schemas.openxmlformats.org/officeDocument/2006/relationships/ctrlProp" Target="../ctrlProps/ctrlProp284.xml"/><Relationship Id="rId100" Type="http://schemas.openxmlformats.org/officeDocument/2006/relationships/ctrlProp" Target="../ctrlProps/ctrlProp307.xml"/><Relationship Id="rId105" Type="http://schemas.openxmlformats.org/officeDocument/2006/relationships/ctrlProp" Target="../ctrlProps/ctrlProp312.xml"/><Relationship Id="rId8" Type="http://schemas.openxmlformats.org/officeDocument/2006/relationships/ctrlProp" Target="../ctrlProps/ctrlProp215.xml"/><Relationship Id="rId51" Type="http://schemas.openxmlformats.org/officeDocument/2006/relationships/ctrlProp" Target="../ctrlProps/ctrlProp258.xml"/><Relationship Id="rId72" Type="http://schemas.openxmlformats.org/officeDocument/2006/relationships/ctrlProp" Target="../ctrlProps/ctrlProp279.xml"/><Relationship Id="rId93" Type="http://schemas.openxmlformats.org/officeDocument/2006/relationships/ctrlProp" Target="../ctrlProps/ctrlProp300.xml"/><Relationship Id="rId98" Type="http://schemas.openxmlformats.org/officeDocument/2006/relationships/ctrlProp" Target="../ctrlProps/ctrlProp305.xml"/><Relationship Id="rId3" Type="http://schemas.openxmlformats.org/officeDocument/2006/relationships/vmlDrawing" Target="../drawings/vmlDrawing3.vml"/><Relationship Id="rId25" Type="http://schemas.openxmlformats.org/officeDocument/2006/relationships/ctrlProp" Target="../ctrlProps/ctrlProp232.xml"/><Relationship Id="rId46" Type="http://schemas.openxmlformats.org/officeDocument/2006/relationships/ctrlProp" Target="../ctrlProps/ctrlProp253.xml"/><Relationship Id="rId67" Type="http://schemas.openxmlformats.org/officeDocument/2006/relationships/ctrlProp" Target="../ctrlProps/ctrlProp274.xml"/><Relationship Id="rId116" Type="http://schemas.openxmlformats.org/officeDocument/2006/relationships/ctrlProp" Target="../ctrlProps/ctrlProp323.xml"/><Relationship Id="rId20" Type="http://schemas.openxmlformats.org/officeDocument/2006/relationships/ctrlProp" Target="../ctrlProps/ctrlProp227.xml"/><Relationship Id="rId41" Type="http://schemas.openxmlformats.org/officeDocument/2006/relationships/ctrlProp" Target="../ctrlProps/ctrlProp248.xml"/><Relationship Id="rId62" Type="http://schemas.openxmlformats.org/officeDocument/2006/relationships/ctrlProp" Target="../ctrlProps/ctrlProp269.xml"/><Relationship Id="rId83" Type="http://schemas.openxmlformats.org/officeDocument/2006/relationships/ctrlProp" Target="../ctrlProps/ctrlProp290.xml"/><Relationship Id="rId88" Type="http://schemas.openxmlformats.org/officeDocument/2006/relationships/ctrlProp" Target="../ctrlProps/ctrlProp295.xml"/><Relationship Id="rId111" Type="http://schemas.openxmlformats.org/officeDocument/2006/relationships/ctrlProp" Target="../ctrlProps/ctrlProp318.xml"/><Relationship Id="rId15" Type="http://schemas.openxmlformats.org/officeDocument/2006/relationships/ctrlProp" Target="../ctrlProps/ctrlProp222.xml"/><Relationship Id="rId36" Type="http://schemas.openxmlformats.org/officeDocument/2006/relationships/ctrlProp" Target="../ctrlProps/ctrlProp243.xml"/><Relationship Id="rId57" Type="http://schemas.openxmlformats.org/officeDocument/2006/relationships/ctrlProp" Target="../ctrlProps/ctrlProp264.xml"/><Relationship Id="rId106" Type="http://schemas.openxmlformats.org/officeDocument/2006/relationships/ctrlProp" Target="../ctrlProps/ctrlProp313.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347.xml"/><Relationship Id="rId21" Type="http://schemas.openxmlformats.org/officeDocument/2006/relationships/ctrlProp" Target="../ctrlProps/ctrlProp342.xml"/><Relationship Id="rId42" Type="http://schemas.openxmlformats.org/officeDocument/2006/relationships/ctrlProp" Target="../ctrlProps/ctrlProp363.xml"/><Relationship Id="rId47" Type="http://schemas.openxmlformats.org/officeDocument/2006/relationships/ctrlProp" Target="../ctrlProps/ctrlProp368.xml"/><Relationship Id="rId63" Type="http://schemas.openxmlformats.org/officeDocument/2006/relationships/ctrlProp" Target="../ctrlProps/ctrlProp384.xml"/><Relationship Id="rId68" Type="http://schemas.openxmlformats.org/officeDocument/2006/relationships/ctrlProp" Target="../ctrlProps/ctrlProp389.xml"/><Relationship Id="rId2" Type="http://schemas.openxmlformats.org/officeDocument/2006/relationships/drawing" Target="../drawings/drawing5.xml"/><Relationship Id="rId16" Type="http://schemas.openxmlformats.org/officeDocument/2006/relationships/ctrlProp" Target="../ctrlProps/ctrlProp337.xml"/><Relationship Id="rId29" Type="http://schemas.openxmlformats.org/officeDocument/2006/relationships/ctrlProp" Target="../ctrlProps/ctrlProp350.xml"/><Relationship Id="rId11" Type="http://schemas.openxmlformats.org/officeDocument/2006/relationships/ctrlProp" Target="../ctrlProps/ctrlProp332.xml"/><Relationship Id="rId24" Type="http://schemas.openxmlformats.org/officeDocument/2006/relationships/ctrlProp" Target="../ctrlProps/ctrlProp345.xml"/><Relationship Id="rId32" Type="http://schemas.openxmlformats.org/officeDocument/2006/relationships/ctrlProp" Target="../ctrlProps/ctrlProp353.xml"/><Relationship Id="rId37" Type="http://schemas.openxmlformats.org/officeDocument/2006/relationships/ctrlProp" Target="../ctrlProps/ctrlProp358.xml"/><Relationship Id="rId40" Type="http://schemas.openxmlformats.org/officeDocument/2006/relationships/ctrlProp" Target="../ctrlProps/ctrlProp361.xml"/><Relationship Id="rId45" Type="http://schemas.openxmlformats.org/officeDocument/2006/relationships/ctrlProp" Target="../ctrlProps/ctrlProp366.xml"/><Relationship Id="rId53" Type="http://schemas.openxmlformats.org/officeDocument/2006/relationships/ctrlProp" Target="../ctrlProps/ctrlProp374.xml"/><Relationship Id="rId58" Type="http://schemas.openxmlformats.org/officeDocument/2006/relationships/ctrlProp" Target="../ctrlProps/ctrlProp379.xml"/><Relationship Id="rId66" Type="http://schemas.openxmlformats.org/officeDocument/2006/relationships/ctrlProp" Target="../ctrlProps/ctrlProp387.xml"/><Relationship Id="rId74" Type="http://schemas.openxmlformats.org/officeDocument/2006/relationships/ctrlProp" Target="../ctrlProps/ctrlProp395.xml"/><Relationship Id="rId5" Type="http://schemas.openxmlformats.org/officeDocument/2006/relationships/ctrlProp" Target="../ctrlProps/ctrlProp326.xml"/><Relationship Id="rId61" Type="http://schemas.openxmlformats.org/officeDocument/2006/relationships/ctrlProp" Target="../ctrlProps/ctrlProp382.xml"/><Relationship Id="rId19" Type="http://schemas.openxmlformats.org/officeDocument/2006/relationships/ctrlProp" Target="../ctrlProps/ctrlProp340.xml"/><Relationship Id="rId14" Type="http://schemas.openxmlformats.org/officeDocument/2006/relationships/ctrlProp" Target="../ctrlProps/ctrlProp335.xml"/><Relationship Id="rId22" Type="http://schemas.openxmlformats.org/officeDocument/2006/relationships/ctrlProp" Target="../ctrlProps/ctrlProp343.xml"/><Relationship Id="rId27" Type="http://schemas.openxmlformats.org/officeDocument/2006/relationships/ctrlProp" Target="../ctrlProps/ctrlProp348.xml"/><Relationship Id="rId30" Type="http://schemas.openxmlformats.org/officeDocument/2006/relationships/ctrlProp" Target="../ctrlProps/ctrlProp351.xml"/><Relationship Id="rId35" Type="http://schemas.openxmlformats.org/officeDocument/2006/relationships/ctrlProp" Target="../ctrlProps/ctrlProp356.xml"/><Relationship Id="rId43" Type="http://schemas.openxmlformats.org/officeDocument/2006/relationships/ctrlProp" Target="../ctrlProps/ctrlProp364.xml"/><Relationship Id="rId48" Type="http://schemas.openxmlformats.org/officeDocument/2006/relationships/ctrlProp" Target="../ctrlProps/ctrlProp369.xml"/><Relationship Id="rId56" Type="http://schemas.openxmlformats.org/officeDocument/2006/relationships/ctrlProp" Target="../ctrlProps/ctrlProp377.xml"/><Relationship Id="rId64" Type="http://schemas.openxmlformats.org/officeDocument/2006/relationships/ctrlProp" Target="../ctrlProps/ctrlProp385.xml"/><Relationship Id="rId69" Type="http://schemas.openxmlformats.org/officeDocument/2006/relationships/ctrlProp" Target="../ctrlProps/ctrlProp390.xml"/><Relationship Id="rId8" Type="http://schemas.openxmlformats.org/officeDocument/2006/relationships/ctrlProp" Target="../ctrlProps/ctrlProp329.xml"/><Relationship Id="rId51" Type="http://schemas.openxmlformats.org/officeDocument/2006/relationships/ctrlProp" Target="../ctrlProps/ctrlProp372.xml"/><Relationship Id="rId72" Type="http://schemas.openxmlformats.org/officeDocument/2006/relationships/ctrlProp" Target="../ctrlProps/ctrlProp393.xml"/><Relationship Id="rId3" Type="http://schemas.openxmlformats.org/officeDocument/2006/relationships/vmlDrawing" Target="../drawings/vmlDrawing4.vml"/><Relationship Id="rId12" Type="http://schemas.openxmlformats.org/officeDocument/2006/relationships/ctrlProp" Target="../ctrlProps/ctrlProp333.xml"/><Relationship Id="rId17" Type="http://schemas.openxmlformats.org/officeDocument/2006/relationships/ctrlProp" Target="../ctrlProps/ctrlProp338.xml"/><Relationship Id="rId25" Type="http://schemas.openxmlformats.org/officeDocument/2006/relationships/ctrlProp" Target="../ctrlProps/ctrlProp346.xml"/><Relationship Id="rId33" Type="http://schemas.openxmlformats.org/officeDocument/2006/relationships/ctrlProp" Target="../ctrlProps/ctrlProp354.xml"/><Relationship Id="rId38" Type="http://schemas.openxmlformats.org/officeDocument/2006/relationships/ctrlProp" Target="../ctrlProps/ctrlProp359.xml"/><Relationship Id="rId46" Type="http://schemas.openxmlformats.org/officeDocument/2006/relationships/ctrlProp" Target="../ctrlProps/ctrlProp367.xml"/><Relationship Id="rId59" Type="http://schemas.openxmlformats.org/officeDocument/2006/relationships/ctrlProp" Target="../ctrlProps/ctrlProp380.xml"/><Relationship Id="rId67" Type="http://schemas.openxmlformats.org/officeDocument/2006/relationships/ctrlProp" Target="../ctrlProps/ctrlProp388.xml"/><Relationship Id="rId20" Type="http://schemas.openxmlformats.org/officeDocument/2006/relationships/ctrlProp" Target="../ctrlProps/ctrlProp341.xml"/><Relationship Id="rId41" Type="http://schemas.openxmlformats.org/officeDocument/2006/relationships/ctrlProp" Target="../ctrlProps/ctrlProp362.xml"/><Relationship Id="rId54" Type="http://schemas.openxmlformats.org/officeDocument/2006/relationships/ctrlProp" Target="../ctrlProps/ctrlProp375.xml"/><Relationship Id="rId62" Type="http://schemas.openxmlformats.org/officeDocument/2006/relationships/ctrlProp" Target="../ctrlProps/ctrlProp383.xml"/><Relationship Id="rId70" Type="http://schemas.openxmlformats.org/officeDocument/2006/relationships/ctrlProp" Target="../ctrlProps/ctrlProp391.xml"/><Relationship Id="rId75" Type="http://schemas.openxmlformats.org/officeDocument/2006/relationships/ctrlProp" Target="../ctrlProps/ctrlProp396.xml"/><Relationship Id="rId1" Type="http://schemas.openxmlformats.org/officeDocument/2006/relationships/printerSettings" Target="../printerSettings/printerSettings6.bin"/><Relationship Id="rId6" Type="http://schemas.openxmlformats.org/officeDocument/2006/relationships/ctrlProp" Target="../ctrlProps/ctrlProp327.xml"/><Relationship Id="rId15" Type="http://schemas.openxmlformats.org/officeDocument/2006/relationships/ctrlProp" Target="../ctrlProps/ctrlProp336.xml"/><Relationship Id="rId23" Type="http://schemas.openxmlformats.org/officeDocument/2006/relationships/ctrlProp" Target="../ctrlProps/ctrlProp344.xml"/><Relationship Id="rId28" Type="http://schemas.openxmlformats.org/officeDocument/2006/relationships/ctrlProp" Target="../ctrlProps/ctrlProp349.xml"/><Relationship Id="rId36" Type="http://schemas.openxmlformats.org/officeDocument/2006/relationships/ctrlProp" Target="../ctrlProps/ctrlProp357.xml"/><Relationship Id="rId49" Type="http://schemas.openxmlformats.org/officeDocument/2006/relationships/ctrlProp" Target="../ctrlProps/ctrlProp370.xml"/><Relationship Id="rId57" Type="http://schemas.openxmlformats.org/officeDocument/2006/relationships/ctrlProp" Target="../ctrlProps/ctrlProp378.xml"/><Relationship Id="rId10" Type="http://schemas.openxmlformats.org/officeDocument/2006/relationships/ctrlProp" Target="../ctrlProps/ctrlProp331.xml"/><Relationship Id="rId31" Type="http://schemas.openxmlformats.org/officeDocument/2006/relationships/ctrlProp" Target="../ctrlProps/ctrlProp352.xml"/><Relationship Id="rId44" Type="http://schemas.openxmlformats.org/officeDocument/2006/relationships/ctrlProp" Target="../ctrlProps/ctrlProp365.xml"/><Relationship Id="rId52" Type="http://schemas.openxmlformats.org/officeDocument/2006/relationships/ctrlProp" Target="../ctrlProps/ctrlProp373.xml"/><Relationship Id="rId60" Type="http://schemas.openxmlformats.org/officeDocument/2006/relationships/ctrlProp" Target="../ctrlProps/ctrlProp381.xml"/><Relationship Id="rId65" Type="http://schemas.openxmlformats.org/officeDocument/2006/relationships/ctrlProp" Target="../ctrlProps/ctrlProp386.xml"/><Relationship Id="rId73" Type="http://schemas.openxmlformats.org/officeDocument/2006/relationships/ctrlProp" Target="../ctrlProps/ctrlProp394.xml"/><Relationship Id="rId4" Type="http://schemas.openxmlformats.org/officeDocument/2006/relationships/ctrlProp" Target="../ctrlProps/ctrlProp325.xml"/><Relationship Id="rId9" Type="http://schemas.openxmlformats.org/officeDocument/2006/relationships/ctrlProp" Target="../ctrlProps/ctrlProp330.xml"/><Relationship Id="rId13" Type="http://schemas.openxmlformats.org/officeDocument/2006/relationships/ctrlProp" Target="../ctrlProps/ctrlProp334.xml"/><Relationship Id="rId18" Type="http://schemas.openxmlformats.org/officeDocument/2006/relationships/ctrlProp" Target="../ctrlProps/ctrlProp339.xml"/><Relationship Id="rId39" Type="http://schemas.openxmlformats.org/officeDocument/2006/relationships/ctrlProp" Target="../ctrlProps/ctrlProp360.xml"/><Relationship Id="rId34" Type="http://schemas.openxmlformats.org/officeDocument/2006/relationships/ctrlProp" Target="../ctrlProps/ctrlProp355.xml"/><Relationship Id="rId50" Type="http://schemas.openxmlformats.org/officeDocument/2006/relationships/ctrlProp" Target="../ctrlProps/ctrlProp371.xml"/><Relationship Id="rId55" Type="http://schemas.openxmlformats.org/officeDocument/2006/relationships/ctrlProp" Target="../ctrlProps/ctrlProp376.xml"/><Relationship Id="rId7" Type="http://schemas.openxmlformats.org/officeDocument/2006/relationships/ctrlProp" Target="../ctrlProps/ctrlProp328.xml"/><Relationship Id="rId71" Type="http://schemas.openxmlformats.org/officeDocument/2006/relationships/ctrlProp" Target="../ctrlProps/ctrlProp392.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419.xml"/><Relationship Id="rId21" Type="http://schemas.openxmlformats.org/officeDocument/2006/relationships/ctrlProp" Target="../ctrlProps/ctrlProp414.xml"/><Relationship Id="rId42" Type="http://schemas.openxmlformats.org/officeDocument/2006/relationships/ctrlProp" Target="../ctrlProps/ctrlProp435.xml"/><Relationship Id="rId47" Type="http://schemas.openxmlformats.org/officeDocument/2006/relationships/ctrlProp" Target="../ctrlProps/ctrlProp440.xml"/><Relationship Id="rId63" Type="http://schemas.openxmlformats.org/officeDocument/2006/relationships/ctrlProp" Target="../ctrlProps/ctrlProp456.xml"/><Relationship Id="rId68" Type="http://schemas.openxmlformats.org/officeDocument/2006/relationships/ctrlProp" Target="../ctrlProps/ctrlProp461.xml"/><Relationship Id="rId7" Type="http://schemas.openxmlformats.org/officeDocument/2006/relationships/ctrlProp" Target="../ctrlProps/ctrlProp400.xml"/><Relationship Id="rId2" Type="http://schemas.openxmlformats.org/officeDocument/2006/relationships/drawing" Target="../drawings/drawing6.xml"/><Relationship Id="rId16" Type="http://schemas.openxmlformats.org/officeDocument/2006/relationships/ctrlProp" Target="../ctrlProps/ctrlProp409.xml"/><Relationship Id="rId29" Type="http://schemas.openxmlformats.org/officeDocument/2006/relationships/ctrlProp" Target="../ctrlProps/ctrlProp422.xml"/><Relationship Id="rId11" Type="http://schemas.openxmlformats.org/officeDocument/2006/relationships/ctrlProp" Target="../ctrlProps/ctrlProp404.xml"/><Relationship Id="rId24" Type="http://schemas.openxmlformats.org/officeDocument/2006/relationships/ctrlProp" Target="../ctrlProps/ctrlProp417.xml"/><Relationship Id="rId32" Type="http://schemas.openxmlformats.org/officeDocument/2006/relationships/ctrlProp" Target="../ctrlProps/ctrlProp425.xml"/><Relationship Id="rId37" Type="http://schemas.openxmlformats.org/officeDocument/2006/relationships/ctrlProp" Target="../ctrlProps/ctrlProp430.xml"/><Relationship Id="rId40" Type="http://schemas.openxmlformats.org/officeDocument/2006/relationships/ctrlProp" Target="../ctrlProps/ctrlProp433.xml"/><Relationship Id="rId45" Type="http://schemas.openxmlformats.org/officeDocument/2006/relationships/ctrlProp" Target="../ctrlProps/ctrlProp438.xml"/><Relationship Id="rId53" Type="http://schemas.openxmlformats.org/officeDocument/2006/relationships/ctrlProp" Target="../ctrlProps/ctrlProp446.xml"/><Relationship Id="rId58" Type="http://schemas.openxmlformats.org/officeDocument/2006/relationships/ctrlProp" Target="../ctrlProps/ctrlProp451.xml"/><Relationship Id="rId66" Type="http://schemas.openxmlformats.org/officeDocument/2006/relationships/ctrlProp" Target="../ctrlProps/ctrlProp459.xml"/><Relationship Id="rId5" Type="http://schemas.openxmlformats.org/officeDocument/2006/relationships/ctrlProp" Target="../ctrlProps/ctrlProp398.xml"/><Relationship Id="rId61" Type="http://schemas.openxmlformats.org/officeDocument/2006/relationships/ctrlProp" Target="../ctrlProps/ctrlProp454.xml"/><Relationship Id="rId19" Type="http://schemas.openxmlformats.org/officeDocument/2006/relationships/ctrlProp" Target="../ctrlProps/ctrlProp412.xml"/><Relationship Id="rId14" Type="http://schemas.openxmlformats.org/officeDocument/2006/relationships/ctrlProp" Target="../ctrlProps/ctrlProp407.xml"/><Relationship Id="rId22" Type="http://schemas.openxmlformats.org/officeDocument/2006/relationships/ctrlProp" Target="../ctrlProps/ctrlProp415.xml"/><Relationship Id="rId27" Type="http://schemas.openxmlformats.org/officeDocument/2006/relationships/ctrlProp" Target="../ctrlProps/ctrlProp420.xml"/><Relationship Id="rId30" Type="http://schemas.openxmlformats.org/officeDocument/2006/relationships/ctrlProp" Target="../ctrlProps/ctrlProp423.xml"/><Relationship Id="rId35" Type="http://schemas.openxmlformats.org/officeDocument/2006/relationships/ctrlProp" Target="../ctrlProps/ctrlProp428.xml"/><Relationship Id="rId43" Type="http://schemas.openxmlformats.org/officeDocument/2006/relationships/ctrlProp" Target="../ctrlProps/ctrlProp436.xml"/><Relationship Id="rId48" Type="http://schemas.openxmlformats.org/officeDocument/2006/relationships/ctrlProp" Target="../ctrlProps/ctrlProp441.xml"/><Relationship Id="rId56" Type="http://schemas.openxmlformats.org/officeDocument/2006/relationships/ctrlProp" Target="../ctrlProps/ctrlProp449.xml"/><Relationship Id="rId64" Type="http://schemas.openxmlformats.org/officeDocument/2006/relationships/ctrlProp" Target="../ctrlProps/ctrlProp457.xml"/><Relationship Id="rId69" Type="http://schemas.openxmlformats.org/officeDocument/2006/relationships/ctrlProp" Target="../ctrlProps/ctrlProp462.xml"/><Relationship Id="rId8" Type="http://schemas.openxmlformats.org/officeDocument/2006/relationships/ctrlProp" Target="../ctrlProps/ctrlProp401.xml"/><Relationship Id="rId51" Type="http://schemas.openxmlformats.org/officeDocument/2006/relationships/ctrlProp" Target="../ctrlProps/ctrlProp444.xml"/><Relationship Id="rId3" Type="http://schemas.openxmlformats.org/officeDocument/2006/relationships/vmlDrawing" Target="../drawings/vmlDrawing5.vml"/><Relationship Id="rId12" Type="http://schemas.openxmlformats.org/officeDocument/2006/relationships/ctrlProp" Target="../ctrlProps/ctrlProp405.xml"/><Relationship Id="rId17" Type="http://schemas.openxmlformats.org/officeDocument/2006/relationships/ctrlProp" Target="../ctrlProps/ctrlProp410.xml"/><Relationship Id="rId25" Type="http://schemas.openxmlformats.org/officeDocument/2006/relationships/ctrlProp" Target="../ctrlProps/ctrlProp418.xml"/><Relationship Id="rId33" Type="http://schemas.openxmlformats.org/officeDocument/2006/relationships/ctrlProp" Target="../ctrlProps/ctrlProp426.xml"/><Relationship Id="rId38" Type="http://schemas.openxmlformats.org/officeDocument/2006/relationships/ctrlProp" Target="../ctrlProps/ctrlProp431.xml"/><Relationship Id="rId46" Type="http://schemas.openxmlformats.org/officeDocument/2006/relationships/ctrlProp" Target="../ctrlProps/ctrlProp439.xml"/><Relationship Id="rId59" Type="http://schemas.openxmlformats.org/officeDocument/2006/relationships/ctrlProp" Target="../ctrlProps/ctrlProp452.xml"/><Relationship Id="rId67" Type="http://schemas.openxmlformats.org/officeDocument/2006/relationships/ctrlProp" Target="../ctrlProps/ctrlProp460.xml"/><Relationship Id="rId20" Type="http://schemas.openxmlformats.org/officeDocument/2006/relationships/ctrlProp" Target="../ctrlProps/ctrlProp413.xml"/><Relationship Id="rId41" Type="http://schemas.openxmlformats.org/officeDocument/2006/relationships/ctrlProp" Target="../ctrlProps/ctrlProp434.xml"/><Relationship Id="rId54" Type="http://schemas.openxmlformats.org/officeDocument/2006/relationships/ctrlProp" Target="../ctrlProps/ctrlProp447.xml"/><Relationship Id="rId62" Type="http://schemas.openxmlformats.org/officeDocument/2006/relationships/ctrlProp" Target="../ctrlProps/ctrlProp455.xml"/><Relationship Id="rId1" Type="http://schemas.openxmlformats.org/officeDocument/2006/relationships/printerSettings" Target="../printerSettings/printerSettings7.bin"/><Relationship Id="rId6" Type="http://schemas.openxmlformats.org/officeDocument/2006/relationships/ctrlProp" Target="../ctrlProps/ctrlProp399.xml"/><Relationship Id="rId15" Type="http://schemas.openxmlformats.org/officeDocument/2006/relationships/ctrlProp" Target="../ctrlProps/ctrlProp408.xml"/><Relationship Id="rId23" Type="http://schemas.openxmlformats.org/officeDocument/2006/relationships/ctrlProp" Target="../ctrlProps/ctrlProp416.xml"/><Relationship Id="rId28" Type="http://schemas.openxmlformats.org/officeDocument/2006/relationships/ctrlProp" Target="../ctrlProps/ctrlProp421.xml"/><Relationship Id="rId36" Type="http://schemas.openxmlformats.org/officeDocument/2006/relationships/ctrlProp" Target="../ctrlProps/ctrlProp429.xml"/><Relationship Id="rId49" Type="http://schemas.openxmlformats.org/officeDocument/2006/relationships/ctrlProp" Target="../ctrlProps/ctrlProp442.xml"/><Relationship Id="rId57" Type="http://schemas.openxmlformats.org/officeDocument/2006/relationships/ctrlProp" Target="../ctrlProps/ctrlProp450.xml"/><Relationship Id="rId10" Type="http://schemas.openxmlformats.org/officeDocument/2006/relationships/ctrlProp" Target="../ctrlProps/ctrlProp403.xml"/><Relationship Id="rId31" Type="http://schemas.openxmlformats.org/officeDocument/2006/relationships/ctrlProp" Target="../ctrlProps/ctrlProp424.xml"/><Relationship Id="rId44" Type="http://schemas.openxmlformats.org/officeDocument/2006/relationships/ctrlProp" Target="../ctrlProps/ctrlProp437.xml"/><Relationship Id="rId52" Type="http://schemas.openxmlformats.org/officeDocument/2006/relationships/ctrlProp" Target="../ctrlProps/ctrlProp445.xml"/><Relationship Id="rId60" Type="http://schemas.openxmlformats.org/officeDocument/2006/relationships/ctrlProp" Target="../ctrlProps/ctrlProp453.xml"/><Relationship Id="rId65" Type="http://schemas.openxmlformats.org/officeDocument/2006/relationships/ctrlProp" Target="../ctrlProps/ctrlProp458.xml"/><Relationship Id="rId4" Type="http://schemas.openxmlformats.org/officeDocument/2006/relationships/ctrlProp" Target="../ctrlProps/ctrlProp397.xml"/><Relationship Id="rId9" Type="http://schemas.openxmlformats.org/officeDocument/2006/relationships/ctrlProp" Target="../ctrlProps/ctrlProp402.xml"/><Relationship Id="rId13" Type="http://schemas.openxmlformats.org/officeDocument/2006/relationships/ctrlProp" Target="../ctrlProps/ctrlProp406.xml"/><Relationship Id="rId18" Type="http://schemas.openxmlformats.org/officeDocument/2006/relationships/ctrlProp" Target="../ctrlProps/ctrlProp411.xml"/><Relationship Id="rId39" Type="http://schemas.openxmlformats.org/officeDocument/2006/relationships/ctrlProp" Target="../ctrlProps/ctrlProp432.xml"/><Relationship Id="rId34" Type="http://schemas.openxmlformats.org/officeDocument/2006/relationships/ctrlProp" Target="../ctrlProps/ctrlProp427.xml"/><Relationship Id="rId50" Type="http://schemas.openxmlformats.org/officeDocument/2006/relationships/ctrlProp" Target="../ctrlProps/ctrlProp443.xml"/><Relationship Id="rId55" Type="http://schemas.openxmlformats.org/officeDocument/2006/relationships/ctrlProp" Target="../ctrlProps/ctrlProp448.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485.xml"/><Relationship Id="rId21" Type="http://schemas.openxmlformats.org/officeDocument/2006/relationships/ctrlProp" Target="../ctrlProps/ctrlProp480.xml"/><Relationship Id="rId42" Type="http://schemas.openxmlformats.org/officeDocument/2006/relationships/ctrlProp" Target="../ctrlProps/ctrlProp501.xml"/><Relationship Id="rId47" Type="http://schemas.openxmlformats.org/officeDocument/2006/relationships/ctrlProp" Target="../ctrlProps/ctrlProp506.xml"/><Relationship Id="rId63" Type="http://schemas.openxmlformats.org/officeDocument/2006/relationships/ctrlProp" Target="../ctrlProps/ctrlProp522.xml"/><Relationship Id="rId68" Type="http://schemas.openxmlformats.org/officeDocument/2006/relationships/ctrlProp" Target="../ctrlProps/ctrlProp527.xml"/><Relationship Id="rId2" Type="http://schemas.openxmlformats.org/officeDocument/2006/relationships/drawing" Target="../drawings/drawing7.xml"/><Relationship Id="rId16" Type="http://schemas.openxmlformats.org/officeDocument/2006/relationships/ctrlProp" Target="../ctrlProps/ctrlProp475.xml"/><Relationship Id="rId29" Type="http://schemas.openxmlformats.org/officeDocument/2006/relationships/ctrlProp" Target="../ctrlProps/ctrlProp488.xml"/><Relationship Id="rId11" Type="http://schemas.openxmlformats.org/officeDocument/2006/relationships/ctrlProp" Target="../ctrlProps/ctrlProp470.xml"/><Relationship Id="rId24" Type="http://schemas.openxmlformats.org/officeDocument/2006/relationships/ctrlProp" Target="../ctrlProps/ctrlProp483.xml"/><Relationship Id="rId32" Type="http://schemas.openxmlformats.org/officeDocument/2006/relationships/ctrlProp" Target="../ctrlProps/ctrlProp491.xml"/><Relationship Id="rId37" Type="http://schemas.openxmlformats.org/officeDocument/2006/relationships/ctrlProp" Target="../ctrlProps/ctrlProp496.xml"/><Relationship Id="rId40" Type="http://schemas.openxmlformats.org/officeDocument/2006/relationships/ctrlProp" Target="../ctrlProps/ctrlProp499.xml"/><Relationship Id="rId45" Type="http://schemas.openxmlformats.org/officeDocument/2006/relationships/ctrlProp" Target="../ctrlProps/ctrlProp504.xml"/><Relationship Id="rId53" Type="http://schemas.openxmlformats.org/officeDocument/2006/relationships/ctrlProp" Target="../ctrlProps/ctrlProp512.xml"/><Relationship Id="rId58" Type="http://schemas.openxmlformats.org/officeDocument/2006/relationships/ctrlProp" Target="../ctrlProps/ctrlProp517.xml"/><Relationship Id="rId66" Type="http://schemas.openxmlformats.org/officeDocument/2006/relationships/ctrlProp" Target="../ctrlProps/ctrlProp525.xml"/><Relationship Id="rId74" Type="http://schemas.openxmlformats.org/officeDocument/2006/relationships/ctrlProp" Target="../ctrlProps/ctrlProp533.xml"/><Relationship Id="rId5" Type="http://schemas.openxmlformats.org/officeDocument/2006/relationships/ctrlProp" Target="../ctrlProps/ctrlProp464.xml"/><Relationship Id="rId61" Type="http://schemas.openxmlformats.org/officeDocument/2006/relationships/ctrlProp" Target="../ctrlProps/ctrlProp520.xml"/><Relationship Id="rId19" Type="http://schemas.openxmlformats.org/officeDocument/2006/relationships/ctrlProp" Target="../ctrlProps/ctrlProp478.xml"/><Relationship Id="rId14" Type="http://schemas.openxmlformats.org/officeDocument/2006/relationships/ctrlProp" Target="../ctrlProps/ctrlProp473.xml"/><Relationship Id="rId22" Type="http://schemas.openxmlformats.org/officeDocument/2006/relationships/ctrlProp" Target="../ctrlProps/ctrlProp481.xml"/><Relationship Id="rId27" Type="http://schemas.openxmlformats.org/officeDocument/2006/relationships/ctrlProp" Target="../ctrlProps/ctrlProp486.xml"/><Relationship Id="rId30" Type="http://schemas.openxmlformats.org/officeDocument/2006/relationships/ctrlProp" Target="../ctrlProps/ctrlProp489.xml"/><Relationship Id="rId35" Type="http://schemas.openxmlformats.org/officeDocument/2006/relationships/ctrlProp" Target="../ctrlProps/ctrlProp494.xml"/><Relationship Id="rId43" Type="http://schemas.openxmlformats.org/officeDocument/2006/relationships/ctrlProp" Target="../ctrlProps/ctrlProp502.xml"/><Relationship Id="rId48" Type="http://schemas.openxmlformats.org/officeDocument/2006/relationships/ctrlProp" Target="../ctrlProps/ctrlProp507.xml"/><Relationship Id="rId56" Type="http://schemas.openxmlformats.org/officeDocument/2006/relationships/ctrlProp" Target="../ctrlProps/ctrlProp515.xml"/><Relationship Id="rId64" Type="http://schemas.openxmlformats.org/officeDocument/2006/relationships/ctrlProp" Target="../ctrlProps/ctrlProp523.xml"/><Relationship Id="rId69" Type="http://schemas.openxmlformats.org/officeDocument/2006/relationships/ctrlProp" Target="../ctrlProps/ctrlProp528.xml"/><Relationship Id="rId8" Type="http://schemas.openxmlformats.org/officeDocument/2006/relationships/ctrlProp" Target="../ctrlProps/ctrlProp467.xml"/><Relationship Id="rId51" Type="http://schemas.openxmlformats.org/officeDocument/2006/relationships/ctrlProp" Target="../ctrlProps/ctrlProp510.xml"/><Relationship Id="rId72" Type="http://schemas.openxmlformats.org/officeDocument/2006/relationships/ctrlProp" Target="../ctrlProps/ctrlProp531.xml"/><Relationship Id="rId3" Type="http://schemas.openxmlformats.org/officeDocument/2006/relationships/vmlDrawing" Target="../drawings/vmlDrawing6.vml"/><Relationship Id="rId12" Type="http://schemas.openxmlformats.org/officeDocument/2006/relationships/ctrlProp" Target="../ctrlProps/ctrlProp471.xml"/><Relationship Id="rId17" Type="http://schemas.openxmlformats.org/officeDocument/2006/relationships/ctrlProp" Target="../ctrlProps/ctrlProp476.xml"/><Relationship Id="rId25" Type="http://schemas.openxmlformats.org/officeDocument/2006/relationships/ctrlProp" Target="../ctrlProps/ctrlProp484.xml"/><Relationship Id="rId33" Type="http://schemas.openxmlformats.org/officeDocument/2006/relationships/ctrlProp" Target="../ctrlProps/ctrlProp492.xml"/><Relationship Id="rId38" Type="http://schemas.openxmlformats.org/officeDocument/2006/relationships/ctrlProp" Target="../ctrlProps/ctrlProp497.xml"/><Relationship Id="rId46" Type="http://schemas.openxmlformats.org/officeDocument/2006/relationships/ctrlProp" Target="../ctrlProps/ctrlProp505.xml"/><Relationship Id="rId59" Type="http://schemas.openxmlformats.org/officeDocument/2006/relationships/ctrlProp" Target="../ctrlProps/ctrlProp518.xml"/><Relationship Id="rId67" Type="http://schemas.openxmlformats.org/officeDocument/2006/relationships/ctrlProp" Target="../ctrlProps/ctrlProp526.xml"/><Relationship Id="rId20" Type="http://schemas.openxmlformats.org/officeDocument/2006/relationships/ctrlProp" Target="../ctrlProps/ctrlProp479.xml"/><Relationship Id="rId41" Type="http://schemas.openxmlformats.org/officeDocument/2006/relationships/ctrlProp" Target="../ctrlProps/ctrlProp500.xml"/><Relationship Id="rId54" Type="http://schemas.openxmlformats.org/officeDocument/2006/relationships/ctrlProp" Target="../ctrlProps/ctrlProp513.xml"/><Relationship Id="rId62" Type="http://schemas.openxmlformats.org/officeDocument/2006/relationships/ctrlProp" Target="../ctrlProps/ctrlProp521.xml"/><Relationship Id="rId70" Type="http://schemas.openxmlformats.org/officeDocument/2006/relationships/ctrlProp" Target="../ctrlProps/ctrlProp529.xml"/><Relationship Id="rId75" Type="http://schemas.openxmlformats.org/officeDocument/2006/relationships/ctrlProp" Target="../ctrlProps/ctrlProp534.xml"/><Relationship Id="rId1" Type="http://schemas.openxmlformats.org/officeDocument/2006/relationships/printerSettings" Target="../printerSettings/printerSettings8.bin"/><Relationship Id="rId6" Type="http://schemas.openxmlformats.org/officeDocument/2006/relationships/ctrlProp" Target="../ctrlProps/ctrlProp465.xml"/><Relationship Id="rId15" Type="http://schemas.openxmlformats.org/officeDocument/2006/relationships/ctrlProp" Target="../ctrlProps/ctrlProp474.xml"/><Relationship Id="rId23" Type="http://schemas.openxmlformats.org/officeDocument/2006/relationships/ctrlProp" Target="../ctrlProps/ctrlProp482.xml"/><Relationship Id="rId28" Type="http://schemas.openxmlformats.org/officeDocument/2006/relationships/ctrlProp" Target="../ctrlProps/ctrlProp487.xml"/><Relationship Id="rId36" Type="http://schemas.openxmlformats.org/officeDocument/2006/relationships/ctrlProp" Target="../ctrlProps/ctrlProp495.xml"/><Relationship Id="rId49" Type="http://schemas.openxmlformats.org/officeDocument/2006/relationships/ctrlProp" Target="../ctrlProps/ctrlProp508.xml"/><Relationship Id="rId57" Type="http://schemas.openxmlformats.org/officeDocument/2006/relationships/ctrlProp" Target="../ctrlProps/ctrlProp516.xml"/><Relationship Id="rId10" Type="http://schemas.openxmlformats.org/officeDocument/2006/relationships/ctrlProp" Target="../ctrlProps/ctrlProp469.xml"/><Relationship Id="rId31" Type="http://schemas.openxmlformats.org/officeDocument/2006/relationships/ctrlProp" Target="../ctrlProps/ctrlProp490.xml"/><Relationship Id="rId44" Type="http://schemas.openxmlformats.org/officeDocument/2006/relationships/ctrlProp" Target="../ctrlProps/ctrlProp503.xml"/><Relationship Id="rId52" Type="http://schemas.openxmlformats.org/officeDocument/2006/relationships/ctrlProp" Target="../ctrlProps/ctrlProp511.xml"/><Relationship Id="rId60" Type="http://schemas.openxmlformats.org/officeDocument/2006/relationships/ctrlProp" Target="../ctrlProps/ctrlProp519.xml"/><Relationship Id="rId65" Type="http://schemas.openxmlformats.org/officeDocument/2006/relationships/ctrlProp" Target="../ctrlProps/ctrlProp524.xml"/><Relationship Id="rId73" Type="http://schemas.openxmlformats.org/officeDocument/2006/relationships/ctrlProp" Target="../ctrlProps/ctrlProp532.xml"/><Relationship Id="rId4" Type="http://schemas.openxmlformats.org/officeDocument/2006/relationships/ctrlProp" Target="../ctrlProps/ctrlProp463.xml"/><Relationship Id="rId9" Type="http://schemas.openxmlformats.org/officeDocument/2006/relationships/ctrlProp" Target="../ctrlProps/ctrlProp468.xml"/><Relationship Id="rId13" Type="http://schemas.openxmlformats.org/officeDocument/2006/relationships/ctrlProp" Target="../ctrlProps/ctrlProp472.xml"/><Relationship Id="rId18" Type="http://schemas.openxmlformats.org/officeDocument/2006/relationships/ctrlProp" Target="../ctrlProps/ctrlProp477.xml"/><Relationship Id="rId39" Type="http://schemas.openxmlformats.org/officeDocument/2006/relationships/ctrlProp" Target="../ctrlProps/ctrlProp498.xml"/><Relationship Id="rId34" Type="http://schemas.openxmlformats.org/officeDocument/2006/relationships/ctrlProp" Target="../ctrlProps/ctrlProp493.xml"/><Relationship Id="rId50" Type="http://schemas.openxmlformats.org/officeDocument/2006/relationships/ctrlProp" Target="../ctrlProps/ctrlProp509.xml"/><Relationship Id="rId55" Type="http://schemas.openxmlformats.org/officeDocument/2006/relationships/ctrlProp" Target="../ctrlProps/ctrlProp514.xml"/><Relationship Id="rId7" Type="http://schemas.openxmlformats.org/officeDocument/2006/relationships/ctrlProp" Target="../ctrlProps/ctrlProp466.xml"/><Relationship Id="rId71" Type="http://schemas.openxmlformats.org/officeDocument/2006/relationships/ctrlProp" Target="../ctrlProps/ctrlProp530.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634DB-109A-4855-833C-51FB0B670BC1}">
  <sheetPr codeName="Sheet3">
    <pageSetUpPr fitToPage="1"/>
  </sheetPr>
  <dimension ref="B2:T22"/>
  <sheetViews>
    <sheetView tabSelected="1" workbookViewId="0">
      <selection activeCell="C9" sqref="C9"/>
    </sheetView>
  </sheetViews>
  <sheetFormatPr baseColWidth="10" defaultColWidth="3" defaultRowHeight="15"/>
  <cols>
    <col min="1" max="1" width="6.83203125" style="3" customWidth="1"/>
    <col min="2" max="2" width="5" style="3" customWidth="1"/>
    <col min="3" max="3" width="87.6640625" style="3" customWidth="1"/>
    <col min="4" max="4" width="2.6640625" style="3" customWidth="1"/>
    <col min="5" max="5" width="5" style="3" customWidth="1"/>
    <col min="6" max="6" width="8.83203125" style="3" customWidth="1"/>
    <col min="7" max="7" width="72.33203125" style="3" customWidth="1"/>
    <col min="8" max="11" width="8.83203125" style="3" customWidth="1"/>
    <col min="12" max="16384" width="3" style="3"/>
  </cols>
  <sheetData>
    <row r="2" spans="2:20" ht="26">
      <c r="B2" s="46"/>
      <c r="C2" s="274" t="s">
        <v>719</v>
      </c>
      <c r="D2" s="46"/>
      <c r="E2" s="46"/>
    </row>
    <row r="3" spans="2:20">
      <c r="B3" s="46"/>
      <c r="C3" s="46"/>
      <c r="D3" s="46"/>
      <c r="E3" s="46"/>
    </row>
    <row r="4" spans="2:20" ht="52">
      <c r="B4" s="46"/>
      <c r="C4" s="47" t="s">
        <v>720</v>
      </c>
      <c r="D4" s="47"/>
      <c r="E4" s="47"/>
      <c r="F4" s="45"/>
    </row>
    <row r="5" spans="2:20" ht="8" customHeight="1">
      <c r="B5" s="46"/>
      <c r="C5" s="47"/>
      <c r="D5" s="47"/>
      <c r="E5" s="47"/>
      <c r="F5" s="45"/>
      <c r="L5" s="275"/>
      <c r="M5" s="275"/>
      <c r="N5" s="275"/>
      <c r="O5" s="275"/>
      <c r="P5" s="275"/>
      <c r="Q5" s="275"/>
      <c r="R5" s="275"/>
      <c r="S5" s="276"/>
    </row>
    <row r="6" spans="2:20" ht="20" customHeight="1">
      <c r="B6" s="46"/>
      <c r="C6" s="48" t="s">
        <v>164</v>
      </c>
      <c r="D6" s="46"/>
      <c r="E6" s="46"/>
      <c r="G6" s="46"/>
      <c r="H6" s="46"/>
      <c r="I6" s="46"/>
      <c r="J6" s="46"/>
      <c r="K6" s="46"/>
      <c r="L6" s="46"/>
      <c r="M6" s="46"/>
      <c r="N6" s="46"/>
      <c r="O6" s="46"/>
      <c r="P6" s="51"/>
      <c r="Q6" s="51"/>
      <c r="R6" s="46"/>
      <c r="S6" s="46"/>
    </row>
    <row r="7" spans="2:20" ht="16" customHeight="1">
      <c r="B7" s="46"/>
      <c r="C7" s="46"/>
      <c r="D7" s="46"/>
      <c r="E7" s="46"/>
      <c r="G7" s="51"/>
      <c r="H7" s="277"/>
      <c r="I7" s="277"/>
      <c r="J7" s="277"/>
      <c r="K7" s="277"/>
      <c r="L7" s="277"/>
      <c r="M7" s="277"/>
      <c r="N7" s="277"/>
      <c r="O7" s="277"/>
      <c r="P7" s="277"/>
      <c r="Q7" s="277"/>
      <c r="R7" s="277"/>
      <c r="S7" s="277"/>
    </row>
    <row r="8" spans="2:20" ht="17" customHeight="1">
      <c r="B8" s="46"/>
      <c r="C8" s="49"/>
      <c r="D8" s="46"/>
      <c r="E8" s="46"/>
      <c r="G8" s="278" t="s">
        <v>688</v>
      </c>
      <c r="H8" s="278"/>
      <c r="I8" s="278"/>
      <c r="J8" s="278"/>
      <c r="K8" s="278"/>
      <c r="L8" s="277"/>
      <c r="M8" s="277"/>
      <c r="N8" s="277"/>
      <c r="O8" s="277"/>
      <c r="P8" s="277"/>
      <c r="Q8" s="277"/>
      <c r="R8" s="277"/>
      <c r="S8" s="277"/>
    </row>
    <row r="9" spans="2:20" ht="140" customHeight="1" thickBot="1">
      <c r="B9" s="46"/>
      <c r="C9" s="279" t="s">
        <v>866</v>
      </c>
      <c r="D9" s="46"/>
      <c r="E9" s="46"/>
      <c r="H9" s="277"/>
      <c r="I9" s="46"/>
      <c r="J9" s="277"/>
      <c r="K9" s="277"/>
      <c r="L9" s="277"/>
      <c r="M9" s="277"/>
      <c r="N9" s="277"/>
      <c r="O9" s="277"/>
      <c r="P9" s="277"/>
      <c r="Q9" s="277"/>
      <c r="R9" s="277"/>
      <c r="S9" s="277"/>
    </row>
    <row r="10" spans="2:20" ht="25" customHeight="1">
      <c r="B10" s="46"/>
      <c r="C10" s="280" t="s">
        <v>167</v>
      </c>
      <c r="D10" s="46"/>
      <c r="E10" s="46"/>
      <c r="F10" s="526" t="s">
        <v>689</v>
      </c>
      <c r="G10" s="526"/>
      <c r="H10" s="277"/>
      <c r="I10" s="277"/>
      <c r="J10" s="277"/>
      <c r="K10" s="277"/>
      <c r="L10" s="277"/>
      <c r="M10" s="277"/>
      <c r="N10" s="277"/>
      <c r="O10" s="277"/>
      <c r="P10" s="277"/>
      <c r="Q10" s="277"/>
      <c r="R10" s="277"/>
      <c r="S10" s="277"/>
    </row>
    <row r="11" spans="2:20" ht="25" customHeight="1">
      <c r="B11" s="46"/>
      <c r="C11" s="281"/>
      <c r="D11" s="46"/>
      <c r="E11" s="46"/>
      <c r="F11" s="526"/>
      <c r="G11" s="526"/>
      <c r="H11" s="46"/>
      <c r="I11" s="277"/>
      <c r="J11" s="46"/>
      <c r="P11" s="50"/>
      <c r="Q11" s="50"/>
    </row>
    <row r="12" spans="2:20" ht="25" customHeight="1">
      <c r="B12" s="46"/>
      <c r="C12" s="282" t="s">
        <v>690</v>
      </c>
      <c r="D12" s="46"/>
      <c r="E12" s="46"/>
      <c r="F12" s="526"/>
      <c r="G12" s="526"/>
      <c r="H12" s="46"/>
      <c r="I12" s="277"/>
      <c r="J12" s="46"/>
      <c r="P12" s="50"/>
      <c r="Q12" s="50"/>
    </row>
    <row r="13" spans="2:20" ht="25" customHeight="1">
      <c r="B13" s="283"/>
      <c r="C13" s="284" t="s">
        <v>691</v>
      </c>
      <c r="D13" s="46"/>
      <c r="E13" s="46"/>
      <c r="F13" s="526"/>
      <c r="G13" s="526"/>
      <c r="H13" s="46"/>
      <c r="I13" s="46"/>
      <c r="J13" s="46"/>
      <c r="P13" s="50"/>
      <c r="Q13" s="50"/>
    </row>
    <row r="14" spans="2:20" ht="25" customHeight="1">
      <c r="B14" s="46"/>
      <c r="C14" s="282" t="s">
        <v>692</v>
      </c>
      <c r="D14" s="46"/>
      <c r="E14" s="46"/>
      <c r="F14" s="526"/>
      <c r="G14" s="526"/>
      <c r="H14" s="46"/>
      <c r="I14" s="46"/>
      <c r="J14" s="46"/>
    </row>
    <row r="15" spans="2:20" ht="25" customHeight="1">
      <c r="B15" s="46"/>
      <c r="C15" s="282" t="s">
        <v>693</v>
      </c>
      <c r="D15" s="46"/>
      <c r="E15" s="46"/>
      <c r="F15" s="526"/>
      <c r="G15" s="526"/>
      <c r="H15" s="285"/>
      <c r="I15" s="46"/>
      <c r="J15" s="285"/>
      <c r="K15" s="286"/>
      <c r="L15" s="286"/>
      <c r="M15" s="286"/>
      <c r="N15" s="286"/>
      <c r="O15" s="286"/>
      <c r="P15" s="286"/>
      <c r="Q15" s="286"/>
      <c r="R15" s="286"/>
      <c r="S15" s="286"/>
      <c r="T15" s="286"/>
    </row>
    <row r="16" spans="2:20" ht="25" customHeight="1">
      <c r="C16" s="282" t="s">
        <v>694</v>
      </c>
      <c r="F16" s="526"/>
      <c r="G16" s="526"/>
      <c r="H16" s="285"/>
      <c r="I16" s="285"/>
      <c r="J16" s="285"/>
      <c r="K16" s="286"/>
      <c r="L16" s="286"/>
      <c r="M16" s="286"/>
      <c r="N16" s="286"/>
      <c r="O16" s="286"/>
      <c r="P16" s="286"/>
      <c r="Q16" s="286"/>
      <c r="R16" s="286"/>
      <c r="S16" s="286"/>
      <c r="T16" s="286"/>
    </row>
    <row r="17" spans="3:20" ht="25" customHeight="1">
      <c r="C17" s="282" t="s">
        <v>695</v>
      </c>
      <c r="F17" s="526"/>
      <c r="G17" s="526"/>
      <c r="H17" s="285"/>
      <c r="I17" s="285"/>
      <c r="J17" s="285"/>
      <c r="K17" s="286"/>
      <c r="L17" s="286"/>
      <c r="M17" s="286"/>
      <c r="N17" s="286"/>
      <c r="O17" s="286"/>
      <c r="P17" s="286"/>
      <c r="Q17" s="286"/>
      <c r="R17" s="286"/>
      <c r="S17" s="286"/>
      <c r="T17" s="286"/>
    </row>
    <row r="18" spans="3:20" ht="25" customHeight="1">
      <c r="C18" s="282" t="s">
        <v>696</v>
      </c>
      <c r="F18" s="526"/>
      <c r="G18" s="526"/>
      <c r="H18" s="46"/>
      <c r="I18" s="277"/>
      <c r="J18" s="46"/>
    </row>
    <row r="19" spans="3:20" ht="25" customHeight="1">
      <c r="C19" s="282" t="s">
        <v>697</v>
      </c>
      <c r="F19" s="526"/>
      <c r="G19" s="526"/>
      <c r="H19" s="46"/>
      <c r="I19" s="46"/>
      <c r="J19" s="46"/>
    </row>
    <row r="20" spans="3:20" ht="25" customHeight="1">
      <c r="C20" s="282" t="s">
        <v>698</v>
      </c>
      <c r="H20" s="46"/>
      <c r="I20" s="46"/>
      <c r="J20" s="46"/>
    </row>
    <row r="21" spans="3:20" ht="25" customHeight="1">
      <c r="C21" s="282" t="s">
        <v>699</v>
      </c>
      <c r="F21" s="527" t="s">
        <v>700</v>
      </c>
      <c r="G21" s="527"/>
      <c r="H21" s="527"/>
    </row>
    <row r="22" spans="3:20" ht="25" customHeight="1" thickBot="1">
      <c r="C22" s="287" t="s">
        <v>701</v>
      </c>
      <c r="F22" s="527"/>
      <c r="G22" s="527"/>
      <c r="H22" s="527"/>
    </row>
  </sheetData>
  <sheetProtection sheet="1" objects="1" scenarios="1" selectLockedCells="1" selectUnlockedCells="1"/>
  <mergeCells count="2">
    <mergeCell ref="F10:G19"/>
    <mergeCell ref="F21:H22"/>
  </mergeCells>
  <pageMargins left="0.25" right="0.25" top="0.75" bottom="0.75" header="0.3" footer="0.3"/>
  <pageSetup paperSize="9" scale="63" fitToHeight="0"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pageSetUpPr fitToPage="1"/>
  </sheetPr>
  <dimension ref="A1:N241"/>
  <sheetViews>
    <sheetView workbookViewId="0">
      <selection sqref="A1:XFD1048576"/>
    </sheetView>
  </sheetViews>
  <sheetFormatPr baseColWidth="10" defaultColWidth="8.83203125" defaultRowHeight="15"/>
  <cols>
    <col min="1" max="1" width="6.6640625" style="2" customWidth="1"/>
    <col min="2" max="2" width="62.83203125" style="2" customWidth="1"/>
    <col min="3" max="3" width="15.6640625" style="2" customWidth="1"/>
    <col min="4" max="5" width="2.5" style="2" customWidth="1"/>
    <col min="6" max="6" width="2.83203125" style="2" customWidth="1"/>
    <col min="7" max="7" width="108.1640625" style="270" customWidth="1"/>
    <col min="8" max="8" width="0.1640625" style="239" customWidth="1"/>
    <col min="9" max="9" width="85.83203125" style="2" customWidth="1"/>
    <col min="10" max="10" width="11" style="2" customWidth="1"/>
    <col min="11" max="11" width="10.1640625" style="2" customWidth="1"/>
    <col min="12" max="13" width="8.83203125" style="2"/>
    <col min="14" max="14" width="9.5" style="2" bestFit="1" customWidth="1"/>
    <col min="15" max="16384" width="8.83203125" style="2"/>
  </cols>
  <sheetData>
    <row r="1" spans="1:14" s="4" customFormat="1" ht="19">
      <c r="A1" s="19"/>
      <c r="B1" s="61" t="s">
        <v>711</v>
      </c>
      <c r="C1" s="61" t="s">
        <v>722</v>
      </c>
      <c r="D1" s="62"/>
      <c r="E1" s="62"/>
      <c r="F1" s="63"/>
      <c r="G1" s="64" t="s">
        <v>16</v>
      </c>
      <c r="H1" s="5" t="s">
        <v>625</v>
      </c>
      <c r="I1" s="5" t="s">
        <v>0</v>
      </c>
      <c r="J1" s="5" t="s">
        <v>256</v>
      </c>
      <c r="K1" s="5" t="s">
        <v>17</v>
      </c>
      <c r="L1" s="7" t="s">
        <v>18</v>
      </c>
      <c r="M1" s="7" t="s">
        <v>650</v>
      </c>
      <c r="N1" s="7"/>
    </row>
    <row r="2" spans="1:14" s="4" customFormat="1" ht="19">
      <c r="A2" s="55" t="s">
        <v>347</v>
      </c>
      <c r="B2" s="486"/>
      <c r="C2" s="55" t="s">
        <v>723</v>
      </c>
      <c r="D2" s="23"/>
      <c r="E2" s="23"/>
      <c r="F2" s="5"/>
      <c r="G2" s="54"/>
      <c r="H2" s="237"/>
      <c r="I2" s="5"/>
      <c r="J2" s="5"/>
      <c r="K2" s="5"/>
    </row>
    <row r="3" spans="1:14" ht="24">
      <c r="A3" s="65" t="str">
        <f>CONCATENATE(Raw!A1,": ",Raw!B1)</f>
        <v>Standard 1: Institutional Commitment</v>
      </c>
      <c r="B3" s="66"/>
      <c r="C3" s="384">
        <f>Overview!L8</f>
        <v>0</v>
      </c>
      <c r="D3" s="66"/>
      <c r="E3" s="66"/>
      <c r="F3" s="67"/>
      <c r="G3" s="624" t="str">
        <f>Raw!A2</f>
        <v>There is a strong institutional commitment to STEM teacher education, supported by policy, rewards, and financial resources.</v>
      </c>
      <c r="H3" s="237"/>
      <c r="I3" s="348"/>
      <c r="J3" s="1"/>
      <c r="K3" s="1"/>
      <c r="L3" s="224"/>
    </row>
    <row r="4" spans="1:14">
      <c r="A4" s="369"/>
      <c r="B4" s="358"/>
      <c r="C4" s="358"/>
      <c r="D4" s="358"/>
      <c r="E4" s="358"/>
      <c r="F4" s="359"/>
      <c r="G4" s="625"/>
      <c r="H4" s="237"/>
      <c r="I4" s="348"/>
      <c r="J4" s="1"/>
      <c r="K4" s="1"/>
      <c r="L4" s="224"/>
    </row>
    <row r="5" spans="1:14" ht="19">
      <c r="A5" s="58" t="str">
        <f>Raw!A3</f>
        <v>Component 1A: Institutional Climate and Support</v>
      </c>
      <c r="B5" s="59"/>
      <c r="C5" s="383">
        <f>Overview!L9</f>
        <v>0</v>
      </c>
      <c r="D5" s="59"/>
      <c r="E5" s="59"/>
      <c r="F5" s="60"/>
      <c r="G5" s="417" t="str">
        <f>Raw!A4</f>
        <v>There is a strong institutional commitment to science, technology, engineering, and math (STEM) teacher education, with physics teacher preparation as an explicit component.</v>
      </c>
      <c r="H5" s="237"/>
      <c r="I5" s="382" t="s">
        <v>651</v>
      </c>
      <c r="J5" s="1"/>
      <c r="K5" s="1"/>
    </row>
    <row r="6" spans="1:14" ht="16">
      <c r="A6" s="390" t="str">
        <f>Raw!C5</f>
        <v>1A-1</v>
      </c>
      <c r="B6" s="391" t="str">
        <f>Raw!E5</f>
        <v>University-level support for STEM education</v>
      </c>
      <c r="C6" s="221" t="str">
        <f t="shared" ref="C6:C11" si="0">INDEX($H$1:$M$1,1,H6+1)</f>
        <v>unanswered</v>
      </c>
      <c r="D6" s="8">
        <f t="shared" ref="D6:F11" si="1">$H6</f>
        <v>0</v>
      </c>
      <c r="E6" s="8">
        <f t="shared" si="1"/>
        <v>0</v>
      </c>
      <c r="F6" s="8">
        <f t="shared" si="1"/>
        <v>0</v>
      </c>
      <c r="G6" s="263" t="str">
        <f>IF(H6&lt;&gt;0,INDEX(Raw!$F$5:$J$10,1,H6),"-")</f>
        <v>-</v>
      </c>
      <c r="H6" s="238">
        <f>'1-Institution'!I7</f>
        <v>0</v>
      </c>
      <c r="I6" s="615"/>
      <c r="N6" s="4"/>
    </row>
    <row r="7" spans="1:14" ht="16">
      <c r="A7" s="390" t="str">
        <f>Raw!C6</f>
        <v>1A-2</v>
      </c>
      <c r="B7" s="391" t="str">
        <f>Raw!E6</f>
        <v>Institutional mission of teacher education</v>
      </c>
      <c r="C7" s="6" t="str">
        <f t="shared" si="0"/>
        <v>unanswered</v>
      </c>
      <c r="D7" s="8">
        <f t="shared" si="1"/>
        <v>0</v>
      </c>
      <c r="E7" s="8">
        <f t="shared" si="1"/>
        <v>0</v>
      </c>
      <c r="F7" s="8">
        <f t="shared" si="1"/>
        <v>0</v>
      </c>
      <c r="G7" s="263" t="str">
        <f>IF(H7&lt;&gt;0,INDEX(Raw!$F$5:$J$10,2,H7),"-")</f>
        <v>-</v>
      </c>
      <c r="H7" s="238">
        <f>'1-Institution'!I8</f>
        <v>0</v>
      </c>
      <c r="I7" s="615"/>
    </row>
    <row r="8" spans="1:14" ht="16">
      <c r="A8" s="390" t="str">
        <f>Raw!C7</f>
        <v>1A-3</v>
      </c>
      <c r="B8" s="391" t="str">
        <f>Raw!E7</f>
        <v>Administrative recognition for physics teacher education (PTE) program</v>
      </c>
      <c r="C8" s="6" t="str">
        <f t="shared" si="0"/>
        <v>unanswered</v>
      </c>
      <c r="D8" s="8">
        <f t="shared" si="1"/>
        <v>0</v>
      </c>
      <c r="E8" s="8">
        <f t="shared" si="1"/>
        <v>0</v>
      </c>
      <c r="F8" s="8">
        <f t="shared" si="1"/>
        <v>0</v>
      </c>
      <c r="G8" s="263" t="str">
        <f>IF(H8&lt;&gt;0,INDEX(Raw!$F$5:$J$10,3,H8),"-")</f>
        <v>-</v>
      </c>
      <c r="H8" s="238">
        <f>'1-Institution'!I9</f>
        <v>0</v>
      </c>
      <c r="I8" s="615"/>
    </row>
    <row r="9" spans="1:14" ht="16">
      <c r="A9" s="392" t="str">
        <f>Raw!C8</f>
        <v>1A-4</v>
      </c>
      <c r="B9" s="393" t="str">
        <f>Raw!E8</f>
        <v>University-level support for teacher education</v>
      </c>
      <c r="C9" s="6" t="str">
        <f t="shared" si="0"/>
        <v>unanswered</v>
      </c>
      <c r="D9" s="8">
        <f t="shared" si="1"/>
        <v>0</v>
      </c>
      <c r="E9" s="8">
        <f t="shared" si="1"/>
        <v>0</v>
      </c>
      <c r="F9" s="8">
        <f t="shared" si="1"/>
        <v>0</v>
      </c>
      <c r="G9" s="263" t="str">
        <f>IF(H9&lt;&gt;0,INDEX(Raw!$F$5:$J$10,4,H9),"-")</f>
        <v>-</v>
      </c>
      <c r="H9" s="238">
        <f>'1-Institution'!I10</f>
        <v>0</v>
      </c>
      <c r="I9" s="615"/>
    </row>
    <row r="10" spans="1:14" ht="16">
      <c r="A10" s="392" t="str">
        <f>Raw!C9</f>
        <v>1A-5</v>
      </c>
      <c r="B10" s="393" t="str">
        <f>Raw!E9</f>
        <v>Arts &amp; Sciences (A&amp;S)–level support for teacher education</v>
      </c>
      <c r="C10" s="6" t="str">
        <f t="shared" si="0"/>
        <v>unanswered</v>
      </c>
      <c r="D10" s="8">
        <f t="shared" si="1"/>
        <v>0</v>
      </c>
      <c r="E10" s="8">
        <f t="shared" si="1"/>
        <v>0</v>
      </c>
      <c r="F10" s="8">
        <f t="shared" si="1"/>
        <v>0</v>
      </c>
      <c r="G10" s="263" t="str">
        <f>IF(H10&lt;&gt;0,INDEX(Raw!$F$5:$J$10,5,H10),"-")</f>
        <v>-</v>
      </c>
      <c r="H10" s="238">
        <f>'1-Institution'!I11</f>
        <v>0</v>
      </c>
      <c r="I10" s="615"/>
    </row>
    <row r="11" spans="1:14" ht="16">
      <c r="A11" s="394" t="str">
        <f>Raw!C10</f>
        <v>1A-6</v>
      </c>
      <c r="B11" s="395" t="str">
        <f>Raw!E10</f>
        <v>School of Education (SoE)–level support for physics teacher education</v>
      </c>
      <c r="C11" s="56" t="str">
        <f t="shared" si="0"/>
        <v>unanswered</v>
      </c>
      <c r="D11" s="8">
        <f t="shared" si="1"/>
        <v>0</v>
      </c>
      <c r="E11" s="8">
        <f t="shared" si="1"/>
        <v>0</v>
      </c>
      <c r="F11" s="8">
        <f t="shared" si="1"/>
        <v>0</v>
      </c>
      <c r="G11" s="264" t="str">
        <f>IF(H11&lt;&gt;0,INDEX(Raw!$F$5:$J$10,6,H11),"-")</f>
        <v>-</v>
      </c>
      <c r="H11" s="238">
        <f>'1-Institution'!I12</f>
        <v>0</v>
      </c>
      <c r="I11" s="616"/>
    </row>
    <row r="12" spans="1:14" ht="19">
      <c r="A12" s="58" t="str">
        <f>Raw!A11</f>
        <v>Component 1B: Reward Structure</v>
      </c>
      <c r="B12" s="59"/>
      <c r="C12" s="383">
        <f>Overview!L10</f>
        <v>0</v>
      </c>
      <c r="D12" s="59"/>
      <c r="E12" s="59"/>
      <c r="F12" s="60"/>
      <c r="G12" s="417" t="str">
        <f>Raw!A12</f>
        <v>The institution encourages, supports, and rewards leadership in physics teacher preparation.</v>
      </c>
      <c r="I12" s="381" t="s">
        <v>651</v>
      </c>
    </row>
    <row r="13" spans="1:14" ht="16">
      <c r="A13" s="396" t="str">
        <f>Raw!C13</f>
        <v>1B-1</v>
      </c>
      <c r="B13" s="397" t="str">
        <f>Raw!E13</f>
        <v>Promotion and tenure in physics</v>
      </c>
      <c r="C13" s="221" t="str">
        <f>INDEX($H$1:$M$1,1,H13+1)</f>
        <v>unanswered</v>
      </c>
      <c r="D13" s="8">
        <f t="shared" ref="D13:F15" si="2">$H13</f>
        <v>0</v>
      </c>
      <c r="E13" s="8">
        <f t="shared" si="2"/>
        <v>0</v>
      </c>
      <c r="F13" s="8">
        <f t="shared" si="2"/>
        <v>0</v>
      </c>
      <c r="G13" s="263" t="str">
        <f>IF(H13&lt;&gt;0,INDEX(Raw!$F$13:$J$15,1,H13),"-")</f>
        <v>-</v>
      </c>
      <c r="H13" s="238">
        <f>'1-Institution'!I21</f>
        <v>0</v>
      </c>
      <c r="I13" s="615"/>
    </row>
    <row r="14" spans="1:14" ht="16">
      <c r="A14" s="396" t="str">
        <f>Raw!C14</f>
        <v>1B-2</v>
      </c>
      <c r="B14" s="397" t="str">
        <f>Raw!E14</f>
        <v>Time for PTE program leaders to engage</v>
      </c>
      <c r="C14" s="6" t="str">
        <f>INDEX($H$1:$M$1,1,H14+1)</f>
        <v>unanswered</v>
      </c>
      <c r="D14" s="8">
        <f t="shared" si="2"/>
        <v>0</v>
      </c>
      <c r="E14" s="8">
        <f t="shared" si="2"/>
        <v>0</v>
      </c>
      <c r="F14" s="8">
        <f t="shared" si="2"/>
        <v>0</v>
      </c>
      <c r="G14" s="263" t="str">
        <f>IF(H14&lt;&gt;0,INDEX(Raw!$F$13:$J$15,2,H14),"-")</f>
        <v>-</v>
      </c>
      <c r="H14" s="238">
        <f>'1-Institution'!I22</f>
        <v>0</v>
      </c>
      <c r="I14" s="615"/>
    </row>
    <row r="15" spans="1:14" ht="16">
      <c r="A15" s="398" t="str">
        <f>Raw!C15</f>
        <v>1B-3</v>
      </c>
      <c r="B15" s="399" t="str">
        <f>Raw!E15</f>
        <v>Recognition for PTE program team</v>
      </c>
      <c r="C15" s="56" t="str">
        <f>INDEX($H$1:$M$1,1,H15+1)</f>
        <v>unanswered</v>
      </c>
      <c r="D15" s="8">
        <f t="shared" si="2"/>
        <v>0</v>
      </c>
      <c r="E15" s="8">
        <f t="shared" si="2"/>
        <v>0</v>
      </c>
      <c r="F15" s="8">
        <f t="shared" si="2"/>
        <v>0</v>
      </c>
      <c r="G15" s="264" t="str">
        <f>IF(H15&lt;&gt;0,INDEX(Raw!$F$13:$J$15,3,H15),"-")</f>
        <v>-</v>
      </c>
      <c r="H15" s="238">
        <f>'1-Institution'!I23</f>
        <v>0</v>
      </c>
      <c r="I15" s="616"/>
    </row>
    <row r="16" spans="1:14" ht="19">
      <c r="A16" s="58" t="str">
        <f>Raw!A16</f>
        <v xml:space="preserve">Component 1C: Resources </v>
      </c>
      <c r="B16" s="59"/>
      <c r="C16" s="383">
        <f>Overview!L11</f>
        <v>0</v>
      </c>
      <c r="D16" s="59"/>
      <c r="E16" s="59"/>
      <c r="F16" s="60"/>
      <c r="G16" s="417" t="str">
        <f>Raw!A17</f>
        <v>The program and leadership team have sufficient resources to run.</v>
      </c>
      <c r="I16" s="381" t="s">
        <v>651</v>
      </c>
    </row>
    <row r="17" spans="1:11" ht="16">
      <c r="A17" s="400" t="str">
        <f>Raw!C18</f>
        <v>1C-1</v>
      </c>
      <c r="B17" s="401" t="str">
        <f>Raw!E18</f>
        <v>Engaged staff</v>
      </c>
      <c r="C17" s="221" t="str">
        <f>INDEX($H$1:$M$1,1,H17+1)</f>
        <v>unanswered</v>
      </c>
      <c r="D17" s="8">
        <f t="shared" ref="D17:F21" si="3">$H17</f>
        <v>0</v>
      </c>
      <c r="E17" s="8">
        <f t="shared" si="3"/>
        <v>0</v>
      </c>
      <c r="F17" s="8">
        <f t="shared" si="3"/>
        <v>0</v>
      </c>
      <c r="G17" s="263" t="str">
        <f>IF(H17&lt;&gt;0,INDEX(Raw!$F$18:$J$22,1,H17),"-")</f>
        <v>-</v>
      </c>
      <c r="H17" s="238">
        <f>'1-Institution'!I33</f>
        <v>0</v>
      </c>
      <c r="I17" s="615"/>
    </row>
    <row r="18" spans="1:11" ht="16">
      <c r="A18" s="400" t="str">
        <f>Raw!C19</f>
        <v>1C-2</v>
      </c>
      <c r="B18" s="401" t="str">
        <f>Raw!E19</f>
        <v>Institutional funding</v>
      </c>
      <c r="C18" s="6" t="str">
        <f>INDEX($H$1:$M$1,1,H18+1)</f>
        <v>unanswered</v>
      </c>
      <c r="D18" s="8">
        <f t="shared" si="3"/>
        <v>0</v>
      </c>
      <c r="E18" s="8">
        <f t="shared" si="3"/>
        <v>0</v>
      </c>
      <c r="F18" s="8">
        <f t="shared" si="3"/>
        <v>0</v>
      </c>
      <c r="G18" s="263" t="str">
        <f>IF(H18&lt;&gt;0,INDEX(Raw!$F$18:$J$22,2,H18),"-")</f>
        <v>-</v>
      </c>
      <c r="H18" s="238">
        <f>'1-Institution'!I34</f>
        <v>0</v>
      </c>
      <c r="I18" s="615"/>
    </row>
    <row r="19" spans="1:11" ht="16">
      <c r="A19" s="400" t="str">
        <f>Raw!C20</f>
        <v>1C-3</v>
      </c>
      <c r="B19" s="401" t="str">
        <f>Raw!E20</f>
        <v>External funding</v>
      </c>
      <c r="C19" s="6" t="str">
        <f>INDEX($H$1:$M$1,1,H19+1)</f>
        <v>unanswered</v>
      </c>
      <c r="D19" s="8">
        <f t="shared" si="3"/>
        <v>0</v>
      </c>
      <c r="E19" s="8">
        <f t="shared" si="3"/>
        <v>0</v>
      </c>
      <c r="F19" s="8">
        <f t="shared" si="3"/>
        <v>0</v>
      </c>
      <c r="G19" s="263" t="str">
        <f>IF(H19&lt;&gt;0,INDEX(Raw!$F$18:$J$22,3,H19),"-")</f>
        <v>-</v>
      </c>
      <c r="H19" s="238">
        <f>'1-Institution'!I35</f>
        <v>0</v>
      </c>
      <c r="I19" s="615"/>
    </row>
    <row r="20" spans="1:11" ht="16">
      <c r="A20" s="398" t="str">
        <f>Raw!C21</f>
        <v>1C-4</v>
      </c>
      <c r="B20" s="399" t="str">
        <f>Raw!E21</f>
        <v>Stability of program operational funding</v>
      </c>
      <c r="C20" s="56" t="str">
        <f>INDEX($H$1:$M$1,1,H20+1)</f>
        <v>unanswered</v>
      </c>
      <c r="D20" s="8">
        <f t="shared" si="3"/>
        <v>0</v>
      </c>
      <c r="E20" s="8">
        <f t="shared" si="3"/>
        <v>0</v>
      </c>
      <c r="F20" s="8">
        <f t="shared" si="3"/>
        <v>0</v>
      </c>
      <c r="G20" s="264" t="str">
        <f>IF(H20&lt;&gt;0,INDEX(Raw!$F$18:$J$22,4,H20),"-")</f>
        <v>-</v>
      </c>
      <c r="H20" s="238">
        <f>'1-Institution'!I36</f>
        <v>0</v>
      </c>
      <c r="I20" s="615"/>
    </row>
    <row r="21" spans="1:11" ht="16">
      <c r="A21" s="398" t="str">
        <f>Raw!C22</f>
        <v>1C-5</v>
      </c>
      <c r="B21" s="399" t="str">
        <f>Raw!E22</f>
        <v>Program space</v>
      </c>
      <c r="C21" s="56" t="str">
        <f>INDEX($H$1:$M$1,1,H21+1)</f>
        <v>unanswered</v>
      </c>
      <c r="D21" s="8">
        <f t="shared" si="3"/>
        <v>0</v>
      </c>
      <c r="E21" s="8">
        <f t="shared" si="3"/>
        <v>0</v>
      </c>
      <c r="F21" s="8">
        <f t="shared" si="3"/>
        <v>0</v>
      </c>
      <c r="G21" s="264" t="str">
        <f>IF(H21&lt;&gt;0,INDEX(Raw!$F$18:$J$22,5,H21),"-")</f>
        <v>-</v>
      </c>
      <c r="H21" s="238">
        <f>'1-Institution'!I37</f>
        <v>0</v>
      </c>
      <c r="I21" s="616"/>
    </row>
    <row r="22" spans="1:11" ht="24">
      <c r="A22" s="360" t="str">
        <f>CONCATENATE(Raw!A23,": ",Raw!B23)</f>
        <v>Standard 2: Leadership and Collaboration</v>
      </c>
      <c r="B22" s="361"/>
      <c r="C22" s="384">
        <f>Overview!L12</f>
        <v>0</v>
      </c>
      <c r="D22" s="361"/>
      <c r="E22" s="361"/>
      <c r="F22" s="362"/>
      <c r="G22" s="626" t="str">
        <f>Raw!A24</f>
        <v>The program has an effective leadership team, including effective collaboration between physics and education.</v>
      </c>
      <c r="H22" s="237"/>
      <c r="I22" s="349"/>
      <c r="J22" s="1"/>
      <c r="K22" s="1"/>
    </row>
    <row r="23" spans="1:11">
      <c r="A23" s="368"/>
      <c r="B23" s="363"/>
      <c r="C23" s="363"/>
      <c r="D23" s="363"/>
      <c r="E23" s="363"/>
      <c r="F23" s="364"/>
      <c r="G23" s="627"/>
      <c r="H23" s="237"/>
      <c r="I23" s="349"/>
      <c r="J23" s="1"/>
      <c r="K23" s="1"/>
    </row>
    <row r="24" spans="1:11" ht="19">
      <c r="A24" s="424" t="str">
        <f>Raw!A25</f>
        <v>Component 2A: Program Team Members</v>
      </c>
      <c r="B24" s="68"/>
      <c r="C24" s="383">
        <f>Overview!L13</f>
        <v>0</v>
      </c>
      <c r="D24" s="69"/>
      <c r="E24" s="69"/>
      <c r="F24" s="70"/>
      <c r="G24" s="425" t="s">
        <v>724</v>
      </c>
      <c r="I24" s="382" t="s">
        <v>651</v>
      </c>
    </row>
    <row r="25" spans="1:11" ht="16">
      <c r="A25" s="402" t="str">
        <f>Raw!C27</f>
        <v>2A-1</v>
      </c>
      <c r="B25" s="403" t="str">
        <f>Raw!E27</f>
        <v>PTE program leaders</v>
      </c>
      <c r="C25" s="221" t="str">
        <f>INDEX($H$1:$M$1,1,H25+1)</f>
        <v>unanswered</v>
      </c>
      <c r="D25" s="8">
        <f t="shared" ref="D25:F28" si="4">$H25</f>
        <v>0</v>
      </c>
      <c r="E25" s="8">
        <f t="shared" si="4"/>
        <v>0</v>
      </c>
      <c r="F25" s="8">
        <f t="shared" si="4"/>
        <v>0</v>
      </c>
      <c r="G25" s="263" t="str">
        <f>IF(H25&lt;&gt;0,INDEX(Raw!$F$27:$J$30,1,H25),"-")</f>
        <v>-</v>
      </c>
      <c r="H25" s="238">
        <f>'2-Leadership'!I7</f>
        <v>0</v>
      </c>
      <c r="I25" s="616"/>
    </row>
    <row r="26" spans="1:11" ht="16">
      <c r="A26" s="402" t="str">
        <f>Raw!C28</f>
        <v>2A-2</v>
      </c>
      <c r="B26" s="403" t="str">
        <f>Raw!E28</f>
        <v>PTE program team</v>
      </c>
      <c r="C26" s="6" t="str">
        <f>INDEX($H$1:$M$1,1,H26+1)</f>
        <v>unanswered</v>
      </c>
      <c r="D26" s="8">
        <f t="shared" si="4"/>
        <v>0</v>
      </c>
      <c r="E26" s="8">
        <f t="shared" si="4"/>
        <v>0</v>
      </c>
      <c r="F26" s="8">
        <f t="shared" si="4"/>
        <v>0</v>
      </c>
      <c r="G26" s="263" t="str">
        <f>IF(H26&lt;&gt;0,INDEX(Raw!$F$27:$J$30,2,H26),"-")</f>
        <v>-</v>
      </c>
      <c r="H26" s="238">
        <f>'2-Leadership'!I8</f>
        <v>0</v>
      </c>
      <c r="I26" s="619"/>
    </row>
    <row r="27" spans="1:11" ht="16">
      <c r="A27" s="402" t="str">
        <f>Raw!C29</f>
        <v>2A-3</v>
      </c>
      <c r="B27" s="403" t="str">
        <f>Raw!E29</f>
        <v xml:space="preserve">Teacher in Residence (TIR) </v>
      </c>
      <c r="C27" s="6" t="str">
        <f>INDEX($H$1:$M$1,1,H27+1)</f>
        <v>unanswered</v>
      </c>
      <c r="D27" s="8">
        <f t="shared" si="4"/>
        <v>0</v>
      </c>
      <c r="E27" s="8">
        <f t="shared" si="4"/>
        <v>0</v>
      </c>
      <c r="F27" s="8">
        <f t="shared" si="4"/>
        <v>0</v>
      </c>
      <c r="G27" s="263" t="str">
        <f>IF(H27&lt;&gt;0,INDEX(Raw!$F$27:$J$30,3,H27),"-")</f>
        <v>-</v>
      </c>
      <c r="H27" s="238">
        <f>'2-Leadership'!I9</f>
        <v>0</v>
      </c>
      <c r="I27" s="619"/>
    </row>
    <row r="28" spans="1:11" ht="16">
      <c r="A28" s="398" t="str">
        <f>Raw!C30</f>
        <v>2A-4</v>
      </c>
      <c r="B28" s="399" t="str">
        <f>Raw!E30</f>
        <v xml:space="preserve">Teacher Advisory Group (TAG) </v>
      </c>
      <c r="C28" s="56" t="str">
        <f>INDEX($H$1:$M$1,1,H28+1)</f>
        <v>unanswered</v>
      </c>
      <c r="D28" s="8">
        <f t="shared" si="4"/>
        <v>0</v>
      </c>
      <c r="E28" s="8">
        <f t="shared" si="4"/>
        <v>0</v>
      </c>
      <c r="F28" s="8">
        <f t="shared" si="4"/>
        <v>0</v>
      </c>
      <c r="G28" s="264" t="str">
        <f>IF(H28&lt;&gt;0,INDEX(Raw!$F$27:$J$30,4,H28),"-")</f>
        <v>-</v>
      </c>
      <c r="H28" s="238">
        <f>'2-Leadership'!I10</f>
        <v>0</v>
      </c>
      <c r="I28" s="619"/>
    </row>
    <row r="29" spans="1:11" ht="19">
      <c r="A29" s="424" t="str">
        <f>Raw!A31</f>
        <v>Component 2B: Program Team Attributes</v>
      </c>
      <c r="B29" s="68"/>
      <c r="C29" s="383">
        <f>Overview!L14</f>
        <v>0</v>
      </c>
      <c r="D29" s="69"/>
      <c r="E29" s="69"/>
      <c r="F29" s="70"/>
      <c r="G29" s="426" t="s">
        <v>725</v>
      </c>
      <c r="I29" s="381" t="s">
        <v>651</v>
      </c>
    </row>
    <row r="30" spans="1:11" ht="16">
      <c r="A30" s="402" t="str">
        <f>Raw!C33</f>
        <v>2B-1</v>
      </c>
      <c r="B30" s="403" t="str">
        <f>Raw!E33</f>
        <v>Common vision among the PTE program team</v>
      </c>
      <c r="C30" s="221" t="str">
        <f t="shared" ref="C30:C38" si="5">INDEX($H$1:$M$1,1,H30+1)</f>
        <v>unanswered</v>
      </c>
      <c r="D30" s="8">
        <f t="shared" ref="D30:F38" si="6">$H30</f>
        <v>0</v>
      </c>
      <c r="E30" s="8">
        <f t="shared" si="6"/>
        <v>0</v>
      </c>
      <c r="F30" s="8">
        <f t="shared" si="6"/>
        <v>0</v>
      </c>
      <c r="G30" s="263" t="str">
        <f>IF(H30&lt;&gt;0,INDEX(Raw!$F$33:$J$41,1,H30),"-")</f>
        <v>-</v>
      </c>
      <c r="H30" s="238">
        <f>'2-Leadership'!I19</f>
        <v>0</v>
      </c>
      <c r="I30" s="615"/>
    </row>
    <row r="31" spans="1:11" ht="16">
      <c r="A31" s="402" t="str">
        <f>Raw!C34</f>
        <v>2B-2</v>
      </c>
      <c r="B31" s="403" t="str">
        <f>Raw!E34</f>
        <v>Positional power</v>
      </c>
      <c r="C31" s="6" t="str">
        <f t="shared" si="5"/>
        <v>unanswered</v>
      </c>
      <c r="D31" s="8">
        <f t="shared" si="6"/>
        <v>0</v>
      </c>
      <c r="E31" s="8">
        <f t="shared" si="6"/>
        <v>0</v>
      </c>
      <c r="F31" s="8">
        <f t="shared" si="6"/>
        <v>0</v>
      </c>
      <c r="G31" s="263" t="str">
        <f>IF(H31&lt;&gt;0,INDEX(Raw!$F$33:$J$41,2,H31),"-")</f>
        <v>-</v>
      </c>
      <c r="H31" s="238">
        <f>'2-Leadership'!I20</f>
        <v>0</v>
      </c>
      <c r="I31" s="615"/>
    </row>
    <row r="32" spans="1:11" ht="16">
      <c r="A32" s="402" t="str">
        <f>Raw!C35</f>
        <v>2B-3</v>
      </c>
      <c r="B32" s="403" t="str">
        <f>Raw!E35</f>
        <v>Disciplinary expertise</v>
      </c>
      <c r="C32" s="6" t="str">
        <f t="shared" si="5"/>
        <v>unanswered</v>
      </c>
      <c r="D32" s="8">
        <f t="shared" si="6"/>
        <v>0</v>
      </c>
      <c r="E32" s="8">
        <f t="shared" si="6"/>
        <v>0</v>
      </c>
      <c r="F32" s="8">
        <f t="shared" si="6"/>
        <v>0</v>
      </c>
      <c r="G32" s="263" t="str">
        <f>IF(H32&lt;&gt;0,INDEX(Raw!$F$33:$J$41,3,H32),"-")</f>
        <v>-</v>
      </c>
      <c r="H32" s="238">
        <f>'2-Leadership'!I21</f>
        <v>0</v>
      </c>
      <c r="I32" s="615"/>
    </row>
    <row r="33" spans="1:11" ht="16">
      <c r="A33" s="402" t="str">
        <f>Raw!C36</f>
        <v>2B-4</v>
      </c>
      <c r="B33" s="403" t="str">
        <f>Raw!E36</f>
        <v>Personal motivation to improve PTE</v>
      </c>
      <c r="C33" s="6" t="str">
        <f t="shared" si="5"/>
        <v>unanswered</v>
      </c>
      <c r="D33" s="8">
        <f t="shared" si="6"/>
        <v>0</v>
      </c>
      <c r="E33" s="8">
        <f t="shared" si="6"/>
        <v>0</v>
      </c>
      <c r="F33" s="8">
        <f t="shared" si="6"/>
        <v>0</v>
      </c>
      <c r="G33" s="263" t="str">
        <f>IF(H33&lt;&gt;0,INDEX(Raw!$F$33:$J$41,4,H33),"-")</f>
        <v>-</v>
      </c>
      <c r="H33" s="238">
        <f>'2-Leadership'!I22</f>
        <v>0</v>
      </c>
      <c r="I33" s="615"/>
    </row>
    <row r="34" spans="1:11" ht="16">
      <c r="A34" s="402" t="str">
        <f>Raw!C37</f>
        <v>2B-5</v>
      </c>
      <c r="B34" s="403" t="str">
        <f>Raw!E37</f>
        <v>Integration of Teacher in Residence (TIR)</v>
      </c>
      <c r="C34" s="6" t="str">
        <f t="shared" si="5"/>
        <v>unanswered</v>
      </c>
      <c r="D34" s="8">
        <f t="shared" si="6"/>
        <v>0</v>
      </c>
      <c r="E34" s="8">
        <f t="shared" si="6"/>
        <v>0</v>
      </c>
      <c r="F34" s="8">
        <f t="shared" si="6"/>
        <v>0</v>
      </c>
      <c r="G34" s="263" t="str">
        <f>IF(H34&lt;&gt;0,INDEX(Raw!$F$33:$J$41,5,H34),"-")</f>
        <v>-</v>
      </c>
      <c r="H34" s="238">
        <f>'2-Leadership'!I23</f>
        <v>0</v>
      </c>
      <c r="I34" s="615"/>
    </row>
    <row r="35" spans="1:11" ht="16">
      <c r="A35" s="402" t="str">
        <f>Raw!C38</f>
        <v>2B-6</v>
      </c>
      <c r="B35" s="403" t="str">
        <f>Raw!E38</f>
        <v>Connections to K–12 teachers</v>
      </c>
      <c r="C35" s="6" t="str">
        <f t="shared" si="5"/>
        <v>unanswered</v>
      </c>
      <c r="D35" s="8">
        <f t="shared" si="6"/>
        <v>0</v>
      </c>
      <c r="E35" s="8">
        <f t="shared" si="6"/>
        <v>0</v>
      </c>
      <c r="F35" s="8">
        <f t="shared" si="6"/>
        <v>0</v>
      </c>
      <c r="G35" s="263" t="str">
        <f>IF(H35&lt;&gt;0,INDEX(Raw!$F$33:$J$41,6,H35),"-")</f>
        <v>-</v>
      </c>
      <c r="H35" s="238">
        <f>'2-Leadership'!I24</f>
        <v>0</v>
      </c>
      <c r="I35" s="615"/>
    </row>
    <row r="36" spans="1:11" ht="16">
      <c r="A36" s="402" t="str">
        <f>Raw!C39</f>
        <v>2B-7</v>
      </c>
      <c r="B36" s="403" t="str">
        <f>Raw!E39</f>
        <v>Physics Education Research (PER) expertise</v>
      </c>
      <c r="C36" s="6" t="str">
        <f t="shared" si="5"/>
        <v>unanswered</v>
      </c>
      <c r="D36" s="8">
        <f t="shared" si="6"/>
        <v>0</v>
      </c>
      <c r="E36" s="8">
        <f t="shared" si="6"/>
        <v>0</v>
      </c>
      <c r="F36" s="8">
        <f t="shared" si="6"/>
        <v>0</v>
      </c>
      <c r="G36" s="263" t="str">
        <f>IF(H36&lt;&gt;0,INDEX(Raw!$F$33:$J$41,7,H36),"-")</f>
        <v>-</v>
      </c>
      <c r="H36" s="238">
        <f>'2-Leadership'!I25</f>
        <v>0</v>
      </c>
      <c r="I36" s="615"/>
    </row>
    <row r="37" spans="1:11" ht="16">
      <c r="A37" s="402" t="str">
        <f>Raw!C40</f>
        <v>2B-8</v>
      </c>
      <c r="B37" s="403" t="str">
        <f>Raw!E40</f>
        <v>Professional engagement in PTE</v>
      </c>
      <c r="C37" s="6" t="str">
        <f t="shared" si="5"/>
        <v>unanswered</v>
      </c>
      <c r="D37" s="8">
        <f t="shared" si="6"/>
        <v>0</v>
      </c>
      <c r="E37" s="8">
        <f t="shared" si="6"/>
        <v>0</v>
      </c>
      <c r="F37" s="8">
        <f t="shared" si="6"/>
        <v>0</v>
      </c>
      <c r="G37" s="263" t="str">
        <f>IF(H37&lt;&gt;0,INDEX(Raw!$F$33:$J$41,8,H37),"-")</f>
        <v>-</v>
      </c>
      <c r="H37" s="238">
        <f>'2-Leadership'!I26</f>
        <v>0</v>
      </c>
      <c r="I37" s="615"/>
    </row>
    <row r="38" spans="1:11" ht="16">
      <c r="A38" s="398" t="str">
        <f>Raw!C41</f>
        <v>2B-9</v>
      </c>
      <c r="B38" s="399" t="str">
        <f>Raw!E41</f>
        <v>Reputation of PTE program team for leading change</v>
      </c>
      <c r="C38" s="56" t="str">
        <f t="shared" si="5"/>
        <v>unanswered</v>
      </c>
      <c r="D38" s="8">
        <f t="shared" si="6"/>
        <v>0</v>
      </c>
      <c r="E38" s="8">
        <f t="shared" si="6"/>
        <v>0</v>
      </c>
      <c r="F38" s="8">
        <f t="shared" si="6"/>
        <v>0</v>
      </c>
      <c r="G38" s="264" t="str">
        <f>IF(H38&lt;&gt;0,INDEX(Raw!$F$33:$J$41,9,H38),"-")</f>
        <v>-</v>
      </c>
      <c r="H38" s="238">
        <f>'2-Leadership'!I27</f>
        <v>0</v>
      </c>
      <c r="I38" s="616"/>
    </row>
    <row r="39" spans="1:11" ht="19">
      <c r="A39" s="424" t="str">
        <f>Raw!A42</f>
        <v>Component 2C: Program Collaboration</v>
      </c>
      <c r="B39" s="68"/>
      <c r="C39" s="383">
        <f>Overview!L15</f>
        <v>0</v>
      </c>
      <c r="D39" s="69"/>
      <c r="E39" s="69"/>
      <c r="F39" s="70"/>
      <c r="G39" s="426" t="str">
        <f>Raw!A43</f>
        <v xml:space="preserve">The program includes effective collaboration between the academic unit housing the physics teacher education program (such as physics) and other academic units that control teacher certification (such as education). </v>
      </c>
      <c r="I39" s="382" t="s">
        <v>651</v>
      </c>
    </row>
    <row r="40" spans="1:11" ht="16">
      <c r="A40" s="402" t="str">
        <f>Raw!C44</f>
        <v>2C-1</v>
      </c>
      <c r="B40" s="403" t="str">
        <f>Raw!E44</f>
        <v>Communication across units on PTE program elements</v>
      </c>
      <c r="C40" s="221" t="str">
        <f t="shared" ref="C40:C47" si="7">INDEX($H$1:$M$1,1,H40+1)</f>
        <v>unanswered</v>
      </c>
      <c r="D40" s="8">
        <f t="shared" ref="D40:F47" si="8">$H40</f>
        <v>0</v>
      </c>
      <c r="E40" s="8">
        <f t="shared" si="8"/>
        <v>0</v>
      </c>
      <c r="F40" s="8">
        <f t="shared" si="8"/>
        <v>0</v>
      </c>
      <c r="G40" s="263" t="str">
        <f>IF(H40&lt;&gt;0,INDEX(Raw!$F$44:$J$51,1,H40),"-")</f>
        <v>-</v>
      </c>
      <c r="H40" s="238">
        <f>'2-Leadership'!I33</f>
        <v>0</v>
      </c>
      <c r="I40" s="617"/>
    </row>
    <row r="41" spans="1:11" ht="16">
      <c r="A41" s="402" t="str">
        <f>Raw!C45</f>
        <v>2C-2</v>
      </c>
      <c r="B41" s="403" t="str">
        <f>Raw!E45</f>
        <v>Negotiated roles between units</v>
      </c>
      <c r="C41" s="6" t="str">
        <f t="shared" si="7"/>
        <v>unanswered</v>
      </c>
      <c r="D41" s="8">
        <f t="shared" si="8"/>
        <v>0</v>
      </c>
      <c r="E41" s="8">
        <f t="shared" si="8"/>
        <v>0</v>
      </c>
      <c r="F41" s="8">
        <f t="shared" si="8"/>
        <v>0</v>
      </c>
      <c r="G41" s="263" t="str">
        <f>IF(H41&lt;&gt;0,INDEX(Raw!$F$44:$J$51,2,H41),"-")</f>
        <v>-</v>
      </c>
      <c r="H41" s="238">
        <f>'2-Leadership'!I34</f>
        <v>0</v>
      </c>
      <c r="I41" s="617"/>
    </row>
    <row r="42" spans="1:11" ht="16">
      <c r="A42" s="402" t="str">
        <f>Raw!C46</f>
        <v>2C-3</v>
      </c>
      <c r="B42" s="403" t="str">
        <f>Raw!E46</f>
        <v>Boundary crossers</v>
      </c>
      <c r="C42" s="6" t="str">
        <f t="shared" si="7"/>
        <v>unanswered</v>
      </c>
      <c r="D42" s="8">
        <f t="shared" si="8"/>
        <v>0</v>
      </c>
      <c r="E42" s="8">
        <f t="shared" si="8"/>
        <v>0</v>
      </c>
      <c r="F42" s="8">
        <f t="shared" si="8"/>
        <v>0</v>
      </c>
      <c r="G42" s="263" t="str">
        <f>IF(H42&lt;&gt;0,INDEX(Raw!$F$44:$J$51,3,H42),"-")</f>
        <v>-</v>
      </c>
      <c r="H42" s="238">
        <f>'2-Leadership'!I35</f>
        <v>0</v>
      </c>
      <c r="I42" s="617"/>
    </row>
    <row r="43" spans="1:11" ht="16">
      <c r="A43" s="402" t="str">
        <f>Raw!C47</f>
        <v>2C-4</v>
      </c>
      <c r="B43" s="403" t="str">
        <f>Raw!E47</f>
        <v>Collaboration with PTE mentor on student teacher placement</v>
      </c>
      <c r="C43" s="6" t="str">
        <f t="shared" si="7"/>
        <v>unanswered</v>
      </c>
      <c r="D43" s="8">
        <f t="shared" si="8"/>
        <v>0</v>
      </c>
      <c r="E43" s="8">
        <f t="shared" si="8"/>
        <v>0</v>
      </c>
      <c r="F43" s="8">
        <f t="shared" si="8"/>
        <v>0</v>
      </c>
      <c r="G43" s="263" t="str">
        <f>IF(H43&lt;&gt;0,INDEX(Raw!$F$44:$J$51,4,H43),"-")</f>
        <v>-</v>
      </c>
      <c r="H43" s="238">
        <f>'2-Leadership'!I36</f>
        <v>0</v>
      </c>
      <c r="I43" s="617"/>
    </row>
    <row r="44" spans="1:11" ht="16">
      <c r="A44" s="402" t="str">
        <f>Raw!C48</f>
        <v>2C-5</v>
      </c>
      <c r="B44" s="403" t="str">
        <f>Raw!E48</f>
        <v>University supervisor collaboration with PTE team</v>
      </c>
      <c r="C44" s="6" t="str">
        <f t="shared" si="7"/>
        <v>unanswered</v>
      </c>
      <c r="D44" s="8">
        <f t="shared" si="8"/>
        <v>0</v>
      </c>
      <c r="E44" s="8">
        <f t="shared" si="8"/>
        <v>0</v>
      </c>
      <c r="F44" s="8">
        <f t="shared" si="8"/>
        <v>0</v>
      </c>
      <c r="G44" s="263" t="str">
        <f>IF(H44&lt;&gt;0,INDEX(Raw!$F$44:$J$51,5,H44),"-")</f>
        <v>-</v>
      </c>
      <c r="H44" s="238">
        <f>'2-Leadership'!I37</f>
        <v>0</v>
      </c>
      <c r="I44" s="617"/>
    </row>
    <row r="45" spans="1:11" ht="16">
      <c r="A45" s="396" t="str">
        <f>Raw!C49</f>
        <v>2C-6</v>
      </c>
      <c r="B45" s="397" t="str">
        <f>Raw!E49</f>
        <v>Departmental representation</v>
      </c>
      <c r="C45" s="6" t="str">
        <f t="shared" si="7"/>
        <v>unanswered</v>
      </c>
      <c r="D45" s="8">
        <f t="shared" si="8"/>
        <v>0</v>
      </c>
      <c r="E45" s="8">
        <f t="shared" si="8"/>
        <v>0</v>
      </c>
      <c r="F45" s="8">
        <f t="shared" si="8"/>
        <v>0</v>
      </c>
      <c r="G45" s="263" t="str">
        <f>IF(H45&lt;&gt;0,INDEX(Raw!$F$44:$J$51,6,H45),"-")</f>
        <v>-</v>
      </c>
      <c r="H45" s="238">
        <f>'2-Leadership'!I38</f>
        <v>0</v>
      </c>
      <c r="I45" s="617"/>
    </row>
    <row r="46" spans="1:11" ht="16">
      <c r="A46" s="396" t="str">
        <f>Raw!C50</f>
        <v>2C-7</v>
      </c>
      <c r="B46" s="397" t="str">
        <f>Raw!E50</f>
        <v>Collaboration on licensure pathway for physics students</v>
      </c>
      <c r="C46" s="6" t="str">
        <f t="shared" si="7"/>
        <v>unanswered</v>
      </c>
      <c r="D46" s="8">
        <f t="shared" si="8"/>
        <v>0</v>
      </c>
      <c r="E46" s="8">
        <f t="shared" si="8"/>
        <v>0</v>
      </c>
      <c r="F46" s="8">
        <f t="shared" si="8"/>
        <v>0</v>
      </c>
      <c r="G46" s="263" t="str">
        <f>IF(H46&lt;&gt;0,INDEX(Raw!$F$44:$J$51,7,H46),"-")</f>
        <v>-</v>
      </c>
      <c r="H46" s="238">
        <f>'2-Leadership'!I39</f>
        <v>0</v>
      </c>
      <c r="I46" s="617"/>
    </row>
    <row r="47" spans="1:11" ht="16">
      <c r="A47" s="398" t="str">
        <f>Raw!C51</f>
        <v>2C-8</v>
      </c>
      <c r="B47" s="399" t="str">
        <f>Raw!E51</f>
        <v>Collaboration on advising for physics teacher candidates</v>
      </c>
      <c r="C47" s="56" t="str">
        <f t="shared" si="7"/>
        <v>unanswered</v>
      </c>
      <c r="D47" s="8">
        <f t="shared" si="8"/>
        <v>0</v>
      </c>
      <c r="E47" s="8">
        <f t="shared" si="8"/>
        <v>0</v>
      </c>
      <c r="F47" s="8">
        <f t="shared" si="8"/>
        <v>0</v>
      </c>
      <c r="G47" s="264" t="str">
        <f>IF(H47&lt;&gt;0,INDEX(Raw!$F$44:$J$51,8,H47),"-")</f>
        <v>-</v>
      </c>
      <c r="H47" s="238">
        <f>'2-Leadership'!I40</f>
        <v>0</v>
      </c>
      <c r="I47" s="618"/>
    </row>
    <row r="48" spans="1:11" ht="24">
      <c r="A48" s="71" t="str">
        <f>CONCATENATE(Raw!A52,": ",Raw!B52)</f>
        <v>Standard 3: Recruitment</v>
      </c>
      <c r="B48" s="72"/>
      <c r="C48" s="384">
        <f>Overview!L16</f>
        <v>0</v>
      </c>
      <c r="D48" s="72"/>
      <c r="E48" s="72"/>
      <c r="F48" s="73"/>
      <c r="G48" s="628" t="str">
        <f>Raw!A53</f>
        <v>The program recruits many physics teacher candidates by taking advantage of local opportunities and offering attractive options for participation.</v>
      </c>
      <c r="H48" s="237"/>
      <c r="I48" s="350"/>
      <c r="J48" s="1"/>
      <c r="K48" s="1"/>
    </row>
    <row r="49" spans="1:11">
      <c r="A49" s="367"/>
      <c r="B49" s="365"/>
      <c r="C49" s="365"/>
      <c r="D49" s="365"/>
      <c r="E49" s="365"/>
      <c r="F49" s="366"/>
      <c r="G49" s="629"/>
      <c r="H49" s="237"/>
      <c r="I49" s="350"/>
      <c r="J49" s="1"/>
      <c r="K49" s="1"/>
    </row>
    <row r="50" spans="1:11" ht="19">
      <c r="A50" s="415" t="str">
        <f>Raw!A54</f>
        <v>Component 3A: Recruitment Opportunities</v>
      </c>
      <c r="B50" s="414"/>
      <c r="C50" s="383">
        <f>Overview!L17</f>
        <v>0</v>
      </c>
      <c r="D50" s="75"/>
      <c r="E50" s="75"/>
      <c r="F50" s="76"/>
      <c r="G50" s="418" t="str">
        <f>Raw!A55</f>
        <v>The program has access to a pool of potential teacher candidates and mechanisms to attract them to the profession.</v>
      </c>
      <c r="I50" s="382" t="s">
        <v>651</v>
      </c>
    </row>
    <row r="51" spans="1:11" ht="16">
      <c r="A51" s="404" t="str">
        <f>Raw!C56</f>
        <v>3A-1</v>
      </c>
      <c r="B51" s="405" t="str">
        <f>Raw!E56</f>
        <v>Physics majors</v>
      </c>
      <c r="C51" s="221" t="str">
        <f>INDEX($H$1:$M$1,1,H51+1)</f>
        <v>unanswered</v>
      </c>
      <c r="D51" s="8">
        <f t="shared" ref="D51:F55" si="9">$H51</f>
        <v>0</v>
      </c>
      <c r="E51" s="8">
        <f t="shared" si="9"/>
        <v>0</v>
      </c>
      <c r="F51" s="8">
        <f t="shared" si="9"/>
        <v>0</v>
      </c>
      <c r="G51" s="31" t="str">
        <f>IF(H51&lt;&gt;0,INDEX(Raw!$F$56:$J$60,1,H51),"-")</f>
        <v>-</v>
      </c>
      <c r="H51" s="238">
        <f>'3-Recruitment'!I7</f>
        <v>0</v>
      </c>
      <c r="I51" s="618"/>
    </row>
    <row r="52" spans="1:11" ht="16">
      <c r="A52" s="404" t="str">
        <f>Raw!C57</f>
        <v>3A-2</v>
      </c>
      <c r="B52" s="405" t="str">
        <f>Raw!E57</f>
        <v>Physics-aligned majors</v>
      </c>
      <c r="C52" s="6" t="str">
        <f>INDEX($H$1:$M$1,1,H52+1)</f>
        <v>unanswered</v>
      </c>
      <c r="D52" s="8">
        <f t="shared" si="9"/>
        <v>0</v>
      </c>
      <c r="E52" s="8">
        <f t="shared" si="9"/>
        <v>0</v>
      </c>
      <c r="F52" s="8">
        <f t="shared" si="9"/>
        <v>0</v>
      </c>
      <c r="G52" s="263" t="str">
        <f>IF(H52&lt;&gt;0,INDEX(Raw!$F$56:$J$60,2,H52),"-")</f>
        <v>-</v>
      </c>
      <c r="H52" s="238">
        <f>'3-Recruitment'!I8</f>
        <v>0</v>
      </c>
      <c r="I52" s="620"/>
    </row>
    <row r="53" spans="1:11" ht="16">
      <c r="A53" s="404" t="str">
        <f>Raw!C58</f>
        <v>3A-3</v>
      </c>
      <c r="B53" s="405" t="str">
        <f>Raw!E58</f>
        <v>Physics teaching advisor</v>
      </c>
      <c r="C53" s="6" t="str">
        <f>INDEX($H$1:$M$1,1,H53+1)</f>
        <v>unanswered</v>
      </c>
      <c r="D53" s="8">
        <f t="shared" si="9"/>
        <v>0</v>
      </c>
      <c r="E53" s="8">
        <f t="shared" si="9"/>
        <v>0</v>
      </c>
      <c r="F53" s="8">
        <f t="shared" si="9"/>
        <v>0</v>
      </c>
      <c r="G53" s="263" t="str">
        <f>IF(H53&lt;&gt;0,INDEX(Raw!$F$56:$J$60,3,H53),"-")</f>
        <v>-</v>
      </c>
      <c r="H53" s="238">
        <f>'3-Recruitment'!I9</f>
        <v>0</v>
      </c>
      <c r="I53" s="620"/>
    </row>
    <row r="54" spans="1:11" ht="16">
      <c r="A54" s="398" t="str">
        <f>Raw!C59</f>
        <v>3A-4</v>
      </c>
      <c r="B54" s="397" t="str">
        <f>Raw!E59</f>
        <v xml:space="preserve">Recruitment network </v>
      </c>
      <c r="C54" s="220" t="str">
        <f>INDEX($H$1:$M$1,1,H54+1)</f>
        <v>unanswered</v>
      </c>
      <c r="D54" s="8">
        <f t="shared" si="9"/>
        <v>0</v>
      </c>
      <c r="E54" s="8">
        <f t="shared" si="9"/>
        <v>0</v>
      </c>
      <c r="F54" s="8">
        <f t="shared" si="9"/>
        <v>0</v>
      </c>
      <c r="G54" s="265" t="str">
        <f>IF(H54&lt;&gt;0,INDEX(Raw!$F$56:$J$60,4,H54),"-")</f>
        <v>-</v>
      </c>
      <c r="H54" s="238">
        <f>'3-Recruitment'!I10</f>
        <v>0</v>
      </c>
      <c r="I54" s="620"/>
    </row>
    <row r="55" spans="1:11" ht="16">
      <c r="A55" s="406" t="str">
        <f>Raw!C60</f>
        <v>3A-5</v>
      </c>
      <c r="B55" s="407" t="str">
        <f>Raw!E60</f>
        <v>Program identity and reputation</v>
      </c>
      <c r="C55" s="379" t="str">
        <f>INDEX($H$1:$M$1,1,H55+1)</f>
        <v>unanswered</v>
      </c>
      <c r="D55" s="8">
        <f t="shared" si="9"/>
        <v>0</v>
      </c>
      <c r="E55" s="8">
        <f t="shared" si="9"/>
        <v>0</v>
      </c>
      <c r="F55" s="8">
        <f t="shared" si="9"/>
        <v>0</v>
      </c>
      <c r="G55" s="266" t="str">
        <f>IF(H55&lt;&gt;0,INDEX(Raw!$F$56:$J$60,5,H55),"-")</f>
        <v>-</v>
      </c>
      <c r="H55" s="238">
        <f>'3-Recruitment'!I11</f>
        <v>0</v>
      </c>
      <c r="I55" s="620"/>
    </row>
    <row r="56" spans="1:11" ht="19">
      <c r="A56" s="415" t="str">
        <f>Raw!A61</f>
        <v xml:space="preserve">Component 3B: Recruitment Activities </v>
      </c>
      <c r="B56" s="223"/>
      <c r="C56" s="383">
        <f>Overview!L18</f>
        <v>0</v>
      </c>
      <c r="D56" s="222"/>
      <c r="E56" s="222"/>
      <c r="F56" s="222"/>
      <c r="G56" s="419" t="str">
        <f>Raw!A62</f>
        <v>The program actively recruits physics teacher candidates.</v>
      </c>
      <c r="H56" s="238">
        <f>'3-Recruitment'!I19</f>
        <v>0</v>
      </c>
      <c r="I56" s="381" t="s">
        <v>651</v>
      </c>
    </row>
    <row r="57" spans="1:11" ht="16">
      <c r="A57" s="404" t="str">
        <f>Raw!C63</f>
        <v>3B-1</v>
      </c>
      <c r="B57" s="405" t="str">
        <f>Raw!E63</f>
        <v>Physics teaching ambassador</v>
      </c>
      <c r="C57" s="221" t="str">
        <f>INDEX($H$1:$M$1,1,H57+1)</f>
        <v>unanswered</v>
      </c>
      <c r="D57" s="8">
        <f t="shared" ref="D57:F61" si="10">$H57</f>
        <v>0</v>
      </c>
      <c r="E57" s="8">
        <f t="shared" si="10"/>
        <v>0</v>
      </c>
      <c r="F57" s="8">
        <f t="shared" si="10"/>
        <v>0</v>
      </c>
      <c r="G57" s="263" t="str">
        <f>IF(H57&lt;&gt;0,INDEX(Raw!$F$63:$J$67,1,H57),"-")</f>
        <v>-</v>
      </c>
      <c r="H57" s="238">
        <f>'3-Recruitment'!I19</f>
        <v>0</v>
      </c>
      <c r="I57" s="618"/>
    </row>
    <row r="58" spans="1:11" ht="16">
      <c r="A58" s="404" t="str">
        <f>Raw!C64</f>
        <v>3B-2</v>
      </c>
      <c r="B58" s="405" t="str">
        <f>Raw!E64</f>
        <v>Accurate information about career benefits of teaching</v>
      </c>
      <c r="C58" s="6" t="str">
        <f>INDEX($H$1:$M$1,1,H58+1)</f>
        <v>unanswered</v>
      </c>
      <c r="D58" s="8">
        <f t="shared" si="10"/>
        <v>0</v>
      </c>
      <c r="E58" s="8">
        <f t="shared" si="10"/>
        <v>0</v>
      </c>
      <c r="F58" s="8">
        <f t="shared" si="10"/>
        <v>0</v>
      </c>
      <c r="G58" s="263" t="str">
        <f>IF(H58&lt;&gt;0,INDEX(Raw!$F$63:$J$67,2,H58),"-")</f>
        <v>-</v>
      </c>
      <c r="H58" s="238">
        <f>'3-Recruitment'!I20</f>
        <v>0</v>
      </c>
      <c r="I58" s="620"/>
    </row>
    <row r="59" spans="1:11" ht="16">
      <c r="A59" s="396" t="str">
        <f>Raw!C65</f>
        <v>3B-3</v>
      </c>
      <c r="B59" s="397" t="str">
        <f>Raw!E65</f>
        <v>Program promotion</v>
      </c>
      <c r="C59" s="6" t="str">
        <f>INDEX($H$1:$M$1,1,H59+1)</f>
        <v>unanswered</v>
      </c>
      <c r="D59" s="8">
        <f t="shared" si="10"/>
        <v>0</v>
      </c>
      <c r="E59" s="8">
        <f t="shared" si="10"/>
        <v>0</v>
      </c>
      <c r="F59" s="8">
        <f t="shared" si="10"/>
        <v>0</v>
      </c>
      <c r="G59" s="263" t="str">
        <f>IF(H59&lt;&gt;0,INDEX(Raw!$F$63:$J$67,3,H59),"-")</f>
        <v>-</v>
      </c>
      <c r="H59" s="238">
        <f>'3-Recruitment'!I21</f>
        <v>0</v>
      </c>
      <c r="I59" s="620"/>
    </row>
    <row r="60" spans="1:11" ht="16">
      <c r="A60" s="398" t="str">
        <f>Raw!C66</f>
        <v>3B-4</v>
      </c>
      <c r="B60" s="399" t="str">
        <f>Raw!E66</f>
        <v>Physics faculty discuss teaching as a career option</v>
      </c>
      <c r="C60" s="56" t="str">
        <f>INDEX($H$1:$M$1,1,H60+1)</f>
        <v>unanswered</v>
      </c>
      <c r="D60" s="8">
        <f t="shared" si="10"/>
        <v>0</v>
      </c>
      <c r="E60" s="8">
        <f t="shared" si="10"/>
        <v>0</v>
      </c>
      <c r="F60" s="8">
        <f t="shared" si="10"/>
        <v>0</v>
      </c>
      <c r="G60" s="264" t="str">
        <f>IF(H60&lt;&gt;0,INDEX(Raw!$F$63:$J$67,4,H60),"-")</f>
        <v>-</v>
      </c>
      <c r="H60" s="238">
        <f>'3-Recruitment'!I22</f>
        <v>0</v>
      </c>
      <c r="I60" s="620"/>
    </row>
    <row r="61" spans="1:11" ht="16">
      <c r="A61" s="398" t="str">
        <f>Raw!C67</f>
        <v>3B-5</v>
      </c>
      <c r="B61" s="399" t="str">
        <f>Raw!E67</f>
        <v>Physics department exposes students to diverse career options</v>
      </c>
      <c r="C61" s="56" t="str">
        <f>INDEX($H$1:$M$1,1,H61+1)</f>
        <v>unanswered</v>
      </c>
      <c r="D61" s="8">
        <f t="shared" si="10"/>
        <v>0</v>
      </c>
      <c r="E61" s="8">
        <f t="shared" si="10"/>
        <v>0</v>
      </c>
      <c r="F61" s="8">
        <f t="shared" si="10"/>
        <v>0</v>
      </c>
      <c r="G61" s="264" t="str">
        <f>IF(H61&lt;&gt;0,INDEX(Raw!$F$63:$J$67,5,H61),"-")</f>
        <v>-</v>
      </c>
      <c r="H61" s="238">
        <f>'3-Recruitment'!I23</f>
        <v>0</v>
      </c>
      <c r="I61" s="620"/>
    </row>
    <row r="62" spans="1:11" ht="19">
      <c r="A62" s="415" t="s">
        <v>731</v>
      </c>
      <c r="B62" s="74"/>
      <c r="C62" s="383">
        <f>Overview!L19</f>
        <v>0</v>
      </c>
      <c r="D62" s="75"/>
      <c r="E62" s="75"/>
      <c r="F62" s="76"/>
      <c r="G62" s="418" t="s">
        <v>726</v>
      </c>
      <c r="I62" s="381" t="s">
        <v>651</v>
      </c>
    </row>
    <row r="63" spans="1:11" ht="16">
      <c r="A63" s="404" t="str">
        <f>Raw!C70</f>
        <v>3C-1</v>
      </c>
      <c r="B63" s="405" t="str">
        <f>Raw!E70</f>
        <v>Attractiveness of early teaching experiences</v>
      </c>
      <c r="C63" s="221" t="str">
        <f>INDEX($H$1:$M$1,1,H63+1)</f>
        <v>unanswered</v>
      </c>
      <c r="D63" s="8">
        <f t="shared" ref="D63:F67" si="11">$H63</f>
        <v>0</v>
      </c>
      <c r="E63" s="8">
        <f t="shared" si="11"/>
        <v>0</v>
      </c>
      <c r="F63" s="8">
        <f t="shared" si="11"/>
        <v>0</v>
      </c>
      <c r="G63" s="263" t="str">
        <f>IF(H63&lt;&gt;0,INDEX(Raw!$F$70:$J$74,1,H63),"-")</f>
        <v>-</v>
      </c>
      <c r="H63" s="238">
        <f>'3-Recruitment'!I30</f>
        <v>0</v>
      </c>
      <c r="I63" s="617"/>
    </row>
    <row r="64" spans="1:11" ht="16">
      <c r="A64" s="404" t="str">
        <f>Raw!C71</f>
        <v>3C-2</v>
      </c>
      <c r="B64" s="405" t="str">
        <f>Raw!E71</f>
        <v>Exposure to intellectual challenge of teaching</v>
      </c>
      <c r="C64" s="6" t="str">
        <f>INDEX($H$1:$M$1,1,H64+1)</f>
        <v>unanswered</v>
      </c>
      <c r="D64" s="8">
        <f t="shared" si="11"/>
        <v>0</v>
      </c>
      <c r="E64" s="8">
        <f t="shared" si="11"/>
        <v>0</v>
      </c>
      <c r="F64" s="8">
        <f t="shared" si="11"/>
        <v>0</v>
      </c>
      <c r="G64" s="263" t="str">
        <f>IF(H64&lt;&gt;0,INDEX(Raw!$F$70:$J$74,2,H64),"-")</f>
        <v>-</v>
      </c>
      <c r="H64" s="238">
        <f>'3-Recruitment'!I31</f>
        <v>0</v>
      </c>
      <c r="I64" s="617"/>
    </row>
    <row r="65" spans="1:11" ht="16">
      <c r="A65" s="396" t="str">
        <f>Raw!C72</f>
        <v>3C-3</v>
      </c>
      <c r="B65" s="397" t="str">
        <f>Raw!E72</f>
        <v>Availability of early teaching experiences</v>
      </c>
      <c r="C65" s="6" t="str">
        <f>INDEX($H$1:$M$1,1,H65+1)</f>
        <v>unanswered</v>
      </c>
      <c r="D65" s="8">
        <f t="shared" si="11"/>
        <v>0</v>
      </c>
      <c r="E65" s="8">
        <f t="shared" si="11"/>
        <v>0</v>
      </c>
      <c r="F65" s="8">
        <f t="shared" si="11"/>
        <v>0</v>
      </c>
      <c r="G65" s="263" t="str">
        <f>IF(H65&lt;&gt;0,INDEX(Raw!$F$70:$J$74,3,H65),"-")</f>
        <v>-</v>
      </c>
      <c r="H65" s="238">
        <f>'3-Recruitment'!I32</f>
        <v>0</v>
      </c>
      <c r="I65" s="617"/>
    </row>
    <row r="66" spans="1:11" ht="16">
      <c r="A66" s="396" t="str">
        <f>Raw!C73</f>
        <v>3C-4</v>
      </c>
      <c r="B66" s="397" t="str">
        <f>Raw!E73</f>
        <v>Recruitment within early teaching experiences</v>
      </c>
      <c r="C66" s="6" t="str">
        <f>INDEX($H$1:$M$1,1,H66+1)</f>
        <v>unanswered</v>
      </c>
      <c r="D66" s="8">
        <f t="shared" si="11"/>
        <v>0</v>
      </c>
      <c r="E66" s="8">
        <f t="shared" si="11"/>
        <v>0</v>
      </c>
      <c r="F66" s="8">
        <f t="shared" si="11"/>
        <v>0</v>
      </c>
      <c r="G66" s="263" t="str">
        <f>IF(H66&lt;&gt;0,INDEX(Raw!$F$70:$J$74,4,H66),"-")</f>
        <v>-</v>
      </c>
      <c r="H66" s="238">
        <f>'3-Recruitment'!I33</f>
        <v>0</v>
      </c>
      <c r="I66" s="617"/>
    </row>
    <row r="67" spans="1:11" ht="16">
      <c r="A67" s="398" t="str">
        <f>Raw!C74</f>
        <v>3C-5</v>
      </c>
      <c r="B67" s="399" t="str">
        <f>Raw!E74</f>
        <v>Exposure to K–12 teaching environments</v>
      </c>
      <c r="C67" s="56" t="str">
        <f>INDEX($H$1:$M$1,1,H67+1)</f>
        <v>unanswered</v>
      </c>
      <c r="D67" s="8">
        <f t="shared" si="11"/>
        <v>0</v>
      </c>
      <c r="E67" s="8">
        <f t="shared" si="11"/>
        <v>0</v>
      </c>
      <c r="F67" s="8">
        <f t="shared" si="11"/>
        <v>0</v>
      </c>
      <c r="G67" s="264" t="str">
        <f>IF(H67&lt;&gt;0,INDEX(Raw!$F$70:$J$74,5,H67),"-")</f>
        <v>-</v>
      </c>
      <c r="H67" s="238">
        <f>'3-Recruitment'!I34</f>
        <v>0</v>
      </c>
      <c r="I67" s="618"/>
    </row>
    <row r="68" spans="1:11" ht="19">
      <c r="A68" s="415" t="str">
        <f>Raw!A75</f>
        <v>Component 3D: Streamlined and Accessible Program Options</v>
      </c>
      <c r="B68" s="74"/>
      <c r="C68" s="383">
        <f>Overview!L20</f>
        <v>0</v>
      </c>
      <c r="D68" s="75"/>
      <c r="E68" s="75"/>
      <c r="F68" s="76"/>
      <c r="G68" s="418" t="str">
        <f>Raw!A76</f>
        <v>The teacher education program provides a variety of options for physics and related majors to complete the program without unduly extending their undergraduate career or taking on financial burdens.</v>
      </c>
      <c r="I68" s="381" t="s">
        <v>651</v>
      </c>
    </row>
    <row r="69" spans="1:11" ht="16">
      <c r="A69" s="404" t="str">
        <f>Raw!C77</f>
        <v>3D-1</v>
      </c>
      <c r="B69" s="405" t="str">
        <f>Raw!E77</f>
        <v>Undergraduate licensure pathway</v>
      </c>
      <c r="C69" s="221" t="str">
        <f>INDEX($H$1:$M$1,1,H69+1)</f>
        <v>unanswered</v>
      </c>
      <c r="D69" s="8">
        <f t="shared" ref="D69:F72" si="12">$H69</f>
        <v>0</v>
      </c>
      <c r="E69" s="8">
        <f t="shared" si="12"/>
        <v>0</v>
      </c>
      <c r="F69" s="8">
        <f t="shared" si="12"/>
        <v>0</v>
      </c>
      <c r="G69" s="263" t="str">
        <f>IF(H69&lt;&gt;0,INDEX(Raw!$F$77:$J$80,1,H69),"-")</f>
        <v>-</v>
      </c>
      <c r="H69" s="238">
        <f>'3-Recruitment'!I40</f>
        <v>0</v>
      </c>
      <c r="I69" s="617"/>
    </row>
    <row r="70" spans="1:11" ht="16">
      <c r="A70" s="396" t="str">
        <f>Raw!C78</f>
        <v>3D-2</v>
      </c>
      <c r="B70" s="397" t="str">
        <f>Raw!E78</f>
        <v>Post-baccalaureate licensure pathway</v>
      </c>
      <c r="C70" s="6" t="str">
        <f>INDEX($H$1:$M$1,1,H70+1)</f>
        <v>unanswered</v>
      </c>
      <c r="D70" s="8">
        <f t="shared" si="12"/>
        <v>0</v>
      </c>
      <c r="E70" s="8">
        <f t="shared" si="12"/>
        <v>0</v>
      </c>
      <c r="F70" s="8">
        <f t="shared" si="12"/>
        <v>0</v>
      </c>
      <c r="G70" s="263" t="str">
        <f>IF(H70&lt;&gt;0,INDEX(Raw!$F$77:$J$80,2,H70),"-")</f>
        <v>-</v>
      </c>
      <c r="H70" s="238">
        <f>'3-Recruitment'!I41</f>
        <v>0</v>
      </c>
      <c r="I70" s="617"/>
    </row>
    <row r="71" spans="1:11" ht="16">
      <c r="A71" s="396" t="str">
        <f>Raw!C79</f>
        <v>3D-3</v>
      </c>
      <c r="B71" s="397" t="str">
        <f>Raw!E79</f>
        <v>Time to certification for physics teacher candidates</v>
      </c>
      <c r="C71" s="6" t="str">
        <f>INDEX($H$1:$M$1,1,H71+1)</f>
        <v>unanswered</v>
      </c>
      <c r="D71" s="8">
        <f t="shared" si="12"/>
        <v>0</v>
      </c>
      <c r="E71" s="8">
        <f t="shared" si="12"/>
        <v>0</v>
      </c>
      <c r="F71" s="8">
        <f t="shared" si="12"/>
        <v>0</v>
      </c>
      <c r="G71" s="263" t="str">
        <f>IF(H71&lt;&gt;0,INDEX(Raw!$F$77:$J$80,3,H71),"-")</f>
        <v>-</v>
      </c>
      <c r="H71" s="238">
        <f>'3-Recruitment'!I42</f>
        <v>0</v>
      </c>
      <c r="I71" s="617"/>
    </row>
    <row r="72" spans="1:11" ht="16">
      <c r="A72" s="398" t="str">
        <f>Raw!C80</f>
        <v>3D-4</v>
      </c>
      <c r="B72" s="399" t="str">
        <f>Raw!E80</f>
        <v>Financial support for physics teacher candidates</v>
      </c>
      <c r="C72" s="56" t="str">
        <f>INDEX($H$1:$M$1,1,H72+1)</f>
        <v>unanswered</v>
      </c>
      <c r="D72" s="8">
        <f t="shared" si="12"/>
        <v>0</v>
      </c>
      <c r="E72" s="8">
        <f t="shared" si="12"/>
        <v>0</v>
      </c>
      <c r="F72" s="8">
        <f t="shared" si="12"/>
        <v>0</v>
      </c>
      <c r="G72" s="264" t="str">
        <f>IF(H72&lt;&gt;0,INDEX(Raw!$F$77:$J$80,4,H72),"-")</f>
        <v>-</v>
      </c>
      <c r="H72" s="238">
        <f>'3-Recruitment'!I43</f>
        <v>0</v>
      </c>
      <c r="I72" s="618"/>
    </row>
    <row r="73" spans="1:11" ht="32" customHeight="1">
      <c r="A73" s="77" t="str">
        <f>CONCATENATE(Raw!A81,": ",Raw!B81)</f>
        <v>Standard 4: Knowledge and Skills for Teaching Physics</v>
      </c>
      <c r="B73" s="78"/>
      <c r="C73" s="384">
        <f>Overview!L21</f>
        <v>0</v>
      </c>
      <c r="D73" s="78"/>
      <c r="E73" s="78"/>
      <c r="F73" s="79"/>
      <c r="G73" s="630" t="str">
        <f>Raw!A82</f>
        <v xml:space="preserve">The program ensures that teacher candidates are well prepared to teach physics effectively through rigorous and experiential preparation in physics content and pedagogy. </v>
      </c>
      <c r="H73" s="237"/>
      <c r="I73" s="352"/>
      <c r="J73" s="1"/>
      <c r="K73" s="1"/>
    </row>
    <row r="74" spans="1:11">
      <c r="A74" s="372"/>
      <c r="B74" s="370"/>
      <c r="C74" s="380"/>
      <c r="D74" s="370"/>
      <c r="E74" s="370"/>
      <c r="F74" s="371"/>
      <c r="G74" s="631"/>
      <c r="H74" s="237"/>
      <c r="I74" s="352"/>
      <c r="J74" s="1"/>
      <c r="K74" s="1"/>
    </row>
    <row r="75" spans="1:11" ht="19">
      <c r="A75" s="423" t="str">
        <f>Raw!A83</f>
        <v>Component 4A: Physics Content Knowledge</v>
      </c>
      <c r="B75" s="80"/>
      <c r="C75" s="383">
        <f>Overview!L22</f>
        <v>0</v>
      </c>
      <c r="D75" s="81"/>
      <c r="E75" s="81"/>
      <c r="F75" s="82"/>
      <c r="G75" s="421" t="str">
        <f>Raw!A84</f>
        <v>The program ensures that physics teacher candidates have strong physics content knowledge.[i]</v>
      </c>
      <c r="I75" s="382" t="s">
        <v>651</v>
      </c>
    </row>
    <row r="76" spans="1:11" ht="16">
      <c r="A76" s="408" t="str">
        <f>Raw!C85</f>
        <v>4A-1</v>
      </c>
      <c r="B76" s="409" t="str">
        <f>Raw!E85</f>
        <v>Physics degree for physics teacher candidates</v>
      </c>
      <c r="C76" s="221" t="str">
        <f>INDEX($H$1:$M$1,1,H76+1)</f>
        <v>unanswered</v>
      </c>
      <c r="D76" s="8">
        <f t="shared" ref="D76:F78" si="13">$H76</f>
        <v>0</v>
      </c>
      <c r="E76" s="8">
        <f t="shared" si="13"/>
        <v>0</v>
      </c>
      <c r="F76" s="8">
        <f t="shared" si="13"/>
        <v>0</v>
      </c>
      <c r="G76" s="263" t="str">
        <f>IF(H76&lt;&gt;0,INDEX(Raw!$F$85:$J$87,1,H76),"-")</f>
        <v>-</v>
      </c>
      <c r="H76" s="238">
        <f>'4-Knowledge &amp; Skills'!I7</f>
        <v>0</v>
      </c>
      <c r="I76" s="617"/>
    </row>
    <row r="77" spans="1:11" ht="16">
      <c r="A77" s="396" t="str">
        <f>Raw!C86</f>
        <v>4A-2</v>
      </c>
      <c r="B77" s="397" t="str">
        <f>Raw!E86</f>
        <v>Introductory physics course pedagogy</v>
      </c>
      <c r="C77" s="6" t="str">
        <f>INDEX($H$1:$M$1,1,H77+1)</f>
        <v>unanswered</v>
      </c>
      <c r="D77" s="8">
        <f t="shared" si="13"/>
        <v>0</v>
      </c>
      <c r="E77" s="8">
        <f t="shared" si="13"/>
        <v>0</v>
      </c>
      <c r="F77" s="8">
        <f t="shared" si="13"/>
        <v>0</v>
      </c>
      <c r="G77" s="263" t="str">
        <f>IF(H77&lt;&gt;0,INDEX(Raw!$F$85:$J$87,2,H77),"-")</f>
        <v>-</v>
      </c>
      <c r="H77" s="238">
        <f>'4-Knowledge &amp; Skills'!I8</f>
        <v>0</v>
      </c>
      <c r="I77" s="617"/>
    </row>
    <row r="78" spans="1:11" ht="16">
      <c r="A78" s="398" t="str">
        <f>Raw!C87</f>
        <v>4A-3</v>
      </c>
      <c r="B78" s="399" t="str">
        <f>Raw!E87</f>
        <v>Student research for teacher candidates</v>
      </c>
      <c r="C78" s="56" t="str">
        <f>INDEX($H$1:$M$1,1,H78+1)</f>
        <v>unanswered</v>
      </c>
      <c r="D78" s="8">
        <f t="shared" si="13"/>
        <v>0</v>
      </c>
      <c r="E78" s="8">
        <f t="shared" si="13"/>
        <v>0</v>
      </c>
      <c r="F78" s="8">
        <f t="shared" si="13"/>
        <v>0</v>
      </c>
      <c r="G78" s="264" t="str">
        <f>IF(H78&lt;&gt;0,INDEX(Raw!$F$85:$J$87,3,H78),"-")</f>
        <v>-</v>
      </c>
      <c r="H78" s="238">
        <f>'4-Knowledge &amp; Skills'!I9</f>
        <v>0</v>
      </c>
      <c r="I78" s="618"/>
    </row>
    <row r="79" spans="1:11" ht="19">
      <c r="A79" s="423" t="str">
        <f>Raw!A88</f>
        <v>Component 4B: Pedagogy Courses and Curriculum</v>
      </c>
      <c r="B79" s="80"/>
      <c r="C79" s="383">
        <f>Overview!L23</f>
        <v>0</v>
      </c>
      <c r="D79" s="81"/>
      <c r="E79" s="81"/>
      <c r="F79" s="82"/>
      <c r="G79" s="421" t="str">
        <f>Raw!A89</f>
        <v>The program ensures that physics teacher candidates have strong knowledge of physics pedagogy.</v>
      </c>
      <c r="H79" s="238"/>
      <c r="I79" s="381" t="s">
        <v>651</v>
      </c>
    </row>
    <row r="80" spans="1:11" ht="16">
      <c r="A80" s="396" t="str">
        <f>Raw!C90</f>
        <v>4B-1</v>
      </c>
      <c r="B80" s="397" t="str">
        <f>Raw!E90</f>
        <v>Physics pedagogy credits</v>
      </c>
      <c r="C80" s="221" t="str">
        <f>INDEX($H$1:$M$1,1,H80+1)</f>
        <v>unanswered</v>
      </c>
      <c r="D80" s="8">
        <f t="shared" ref="D80:F84" si="14">$H80</f>
        <v>0</v>
      </c>
      <c r="E80" s="8">
        <f t="shared" si="14"/>
        <v>0</v>
      </c>
      <c r="F80" s="8">
        <f t="shared" si="14"/>
        <v>0</v>
      </c>
      <c r="G80" s="263" t="str">
        <f>IF(H80&lt;&gt;0,INDEX(Raw!$F$90:$J$94,1,H80),"-")</f>
        <v>-</v>
      </c>
      <c r="H80" s="238">
        <f>'4-Knowledge &amp; Skills'!I17</f>
        <v>0</v>
      </c>
      <c r="I80" s="617"/>
    </row>
    <row r="81" spans="1:11" ht="16">
      <c r="A81" s="396" t="str">
        <f>Raw!C91</f>
        <v>4B-2</v>
      </c>
      <c r="B81" s="397" t="str">
        <f>Raw!E91</f>
        <v>Scientific practices credits</v>
      </c>
      <c r="C81" s="6" t="str">
        <f>INDEX($H$1:$M$1,1,H81+1)</f>
        <v>unanswered</v>
      </c>
      <c r="D81" s="8">
        <f t="shared" si="14"/>
        <v>0</v>
      </c>
      <c r="E81" s="8">
        <f t="shared" si="14"/>
        <v>0</v>
      </c>
      <c r="F81" s="8">
        <f t="shared" si="14"/>
        <v>0</v>
      </c>
      <c r="G81" s="263" t="str">
        <f>IF(H81&lt;&gt;0,INDEX(Raw!$F$90:$J$94,2,H81),"-")</f>
        <v>-</v>
      </c>
      <c r="H81" s="238">
        <f>'4-Knowledge &amp; Skills'!I18</f>
        <v>0</v>
      </c>
      <c r="I81" s="617"/>
    </row>
    <row r="82" spans="1:11" ht="16">
      <c r="A82" s="396" t="str">
        <f>Raw!C92</f>
        <v>4B-3</v>
      </c>
      <c r="B82" s="397" t="str">
        <f>Raw!E92</f>
        <v>Disciplinary context of certification coursework</v>
      </c>
      <c r="C82" s="6" t="str">
        <f>INDEX($H$1:$M$1,1,H82+1)</f>
        <v>unanswered</v>
      </c>
      <c r="D82" s="8">
        <f t="shared" si="14"/>
        <v>0</v>
      </c>
      <c r="E82" s="8">
        <f t="shared" si="14"/>
        <v>0</v>
      </c>
      <c r="F82" s="8">
        <f t="shared" si="14"/>
        <v>0</v>
      </c>
      <c r="G82" s="263" t="str">
        <f>IF(H82&lt;&gt;0,INDEX(Raw!$F$90:$J$94,3,H82),"-")</f>
        <v>-</v>
      </c>
      <c r="H82" s="238">
        <f>'4-Knowledge &amp; Skills'!I19</f>
        <v>0</v>
      </c>
      <c r="I82" s="617"/>
    </row>
    <row r="83" spans="1:11" ht="16">
      <c r="A83" s="396" t="str">
        <f>Raw!C93</f>
        <v>4B-4</v>
      </c>
      <c r="B83" s="397" t="str">
        <f>Raw!E93</f>
        <v>Physics microteaching experiences</v>
      </c>
      <c r="C83" s="6" t="str">
        <f>INDEX($H$1:$M$1,1,H83+1)</f>
        <v>unanswered</v>
      </c>
      <c r="D83" s="8">
        <f t="shared" si="14"/>
        <v>0</v>
      </c>
      <c r="E83" s="8">
        <f t="shared" si="14"/>
        <v>0</v>
      </c>
      <c r="F83" s="8">
        <f t="shared" si="14"/>
        <v>0</v>
      </c>
      <c r="G83" s="263" t="str">
        <f>IF(H83&lt;&gt;0,INDEX(Raw!$F$90:$J$94,4,H83),"-")</f>
        <v>-</v>
      </c>
      <c r="H83" s="238">
        <f>'4-Knowledge &amp; Skills'!I20</f>
        <v>0</v>
      </c>
      <c r="I83" s="617"/>
    </row>
    <row r="84" spans="1:11" ht="16">
      <c r="A84" s="396" t="str">
        <f>Raw!C94</f>
        <v>4B-5</v>
      </c>
      <c r="B84" s="397" t="str">
        <f>Raw!E94</f>
        <v>Teaching/Learning Assistant (TA/LA) participation</v>
      </c>
      <c r="C84" s="6" t="str">
        <f>INDEX($H$1:$M$1,1,H84+1)</f>
        <v>unanswered</v>
      </c>
      <c r="D84" s="8">
        <f t="shared" si="14"/>
        <v>0</v>
      </c>
      <c r="E84" s="8">
        <f t="shared" si="14"/>
        <v>0</v>
      </c>
      <c r="F84" s="8">
        <f t="shared" si="14"/>
        <v>0</v>
      </c>
      <c r="G84" s="263" t="str">
        <f>IF(H84&lt;&gt;0,INDEX(Raw!$F$90:$J$94,5,H84),"-")</f>
        <v>-</v>
      </c>
      <c r="H84" s="238">
        <f>'4-Knowledge &amp; Skills'!I21</f>
        <v>0</v>
      </c>
      <c r="I84" s="618"/>
    </row>
    <row r="85" spans="1:11" ht="19">
      <c r="A85" s="423" t="str">
        <f>Raw!A95</f>
        <v xml:space="preserve">Component 4C: Practical K–12 School Experiences </v>
      </c>
      <c r="B85" s="422"/>
      <c r="C85" s="383">
        <f>Overview!L24</f>
        <v>0</v>
      </c>
      <c r="D85" s="81"/>
      <c r="E85" s="81"/>
      <c r="F85" s="82"/>
      <c r="G85" s="421" t="str">
        <f>Raw!A96</f>
        <v>The program provides physics teacher candidates with high-quality, practical teaching experiences in the discipline (i.e. “clinical experiences”) to put education coursework into practice in a K­–12 school setting. Such practical experiences may include practicum, observation, field experiences,[i] and student teaching.[ii]</v>
      </c>
      <c r="I85" s="381" t="s">
        <v>651</v>
      </c>
    </row>
    <row r="86" spans="1:11" ht="16">
      <c r="A86" s="408" t="str">
        <f>Raw!C97</f>
        <v>4C-1</v>
      </c>
      <c r="B86" s="409" t="str">
        <f>Raw!E97</f>
        <v>Number of cooperating physics teachers</v>
      </c>
      <c r="C86" s="221" t="str">
        <f>INDEX($H$1:$M$1,1,H86+1)</f>
        <v>unanswered</v>
      </c>
      <c r="D86" s="8">
        <f t="shared" ref="D86:F89" si="15">$H86</f>
        <v>0</v>
      </c>
      <c r="E86" s="8">
        <f t="shared" si="15"/>
        <v>0</v>
      </c>
      <c r="F86" s="8">
        <f t="shared" si="15"/>
        <v>0</v>
      </c>
      <c r="G86" s="263" t="str">
        <f>IF(H86&lt;&gt;0,INDEX(Raw!$F$97:$J$100,1,H86),"-")</f>
        <v>-</v>
      </c>
      <c r="H86" s="238">
        <f>'4-Knowledge &amp; Skills'!I31</f>
        <v>0</v>
      </c>
      <c r="I86" s="617"/>
    </row>
    <row r="87" spans="1:11" ht="16">
      <c r="A87" s="408" t="str">
        <f>Raw!C98</f>
        <v>4C-2</v>
      </c>
      <c r="B87" s="409" t="str">
        <f>Raw!E98</f>
        <v>Quality of cooperating physics teachers</v>
      </c>
      <c r="C87" s="6" t="str">
        <f>INDEX($H$1:$M$1,1,H87+1)</f>
        <v>unanswered</v>
      </c>
      <c r="D87" s="8">
        <f t="shared" si="15"/>
        <v>0</v>
      </c>
      <c r="E87" s="8">
        <f t="shared" si="15"/>
        <v>0</v>
      </c>
      <c r="F87" s="8">
        <f t="shared" si="15"/>
        <v>0</v>
      </c>
      <c r="G87" s="263" t="str">
        <f>IF(H87&lt;&gt;0,INDEX(Raw!$F$97:$J$100,2,H87),"-")</f>
        <v>-</v>
      </c>
      <c r="H87" s="238">
        <f>'4-Knowledge &amp; Skills'!I32</f>
        <v>0</v>
      </c>
      <c r="I87" s="617"/>
    </row>
    <row r="88" spans="1:11" ht="16">
      <c r="A88" s="408" t="str">
        <f>Raw!C99</f>
        <v>4C-3</v>
      </c>
      <c r="B88" s="409" t="str">
        <f>Raw!E99</f>
        <v>Field experiences in physics</v>
      </c>
      <c r="C88" s="6" t="str">
        <f>INDEX($H$1:$M$1,1,H88+1)</f>
        <v>unanswered</v>
      </c>
      <c r="D88" s="8">
        <f t="shared" si="15"/>
        <v>0</v>
      </c>
      <c r="E88" s="8">
        <f t="shared" si="15"/>
        <v>0</v>
      </c>
      <c r="F88" s="8">
        <f t="shared" si="15"/>
        <v>0</v>
      </c>
      <c r="G88" s="263" t="str">
        <f>IF(H88&lt;&gt;0,INDEX(Raw!$F$97:$J$100,3,H88),"-")</f>
        <v>-</v>
      </c>
      <c r="H88" s="238">
        <f>'4-Knowledge &amp; Skills'!I33</f>
        <v>0</v>
      </c>
      <c r="I88" s="617"/>
    </row>
    <row r="89" spans="1:11" ht="16">
      <c r="A89" s="408" t="str">
        <f>Raw!C100</f>
        <v>4C-4</v>
      </c>
      <c r="B89" s="409" t="str">
        <f>Raw!E100</f>
        <v>Quality of university supervisor for student teaching</v>
      </c>
      <c r="C89" s="56" t="str">
        <f>INDEX($H$1:$M$1,1,H89+1)</f>
        <v>unanswered</v>
      </c>
      <c r="D89" s="8">
        <f t="shared" si="15"/>
        <v>0</v>
      </c>
      <c r="E89" s="8">
        <f t="shared" si="15"/>
        <v>0</v>
      </c>
      <c r="F89" s="8">
        <f t="shared" si="15"/>
        <v>0</v>
      </c>
      <c r="G89" s="264" t="str">
        <f>IF(H89&lt;&gt;0,INDEX(Raw!$F$97:$J$100,4,H89),"-")</f>
        <v>-</v>
      </c>
      <c r="H89" s="238">
        <f>'4-Knowledge &amp; Skills'!I34</f>
        <v>0</v>
      </c>
      <c r="I89" s="618"/>
    </row>
    <row r="90" spans="1:11" ht="24">
      <c r="A90" s="83" t="s">
        <v>727</v>
      </c>
      <c r="B90" s="84"/>
      <c r="C90" s="384">
        <f>Overview!L25</f>
        <v>0</v>
      </c>
      <c r="D90" s="84"/>
      <c r="E90" s="84"/>
      <c r="F90" s="85"/>
      <c r="G90" s="632" t="str">
        <f>Raw!A102</f>
        <v>The program provides mentoring and induction to support progress toward degree, certification, and retention in the profession, supported by strong student community.</v>
      </c>
      <c r="H90" s="237"/>
      <c r="I90" s="353"/>
      <c r="J90" s="1"/>
      <c r="K90" s="1"/>
    </row>
    <row r="91" spans="1:11" ht="24">
      <c r="A91" s="375"/>
      <c r="B91" s="427" t="s">
        <v>728</v>
      </c>
      <c r="C91" s="373"/>
      <c r="D91" s="373"/>
      <c r="E91" s="373"/>
      <c r="F91" s="374"/>
      <c r="G91" s="633"/>
      <c r="H91" s="237"/>
      <c r="I91" s="353"/>
      <c r="J91" s="1"/>
      <c r="K91" s="1"/>
    </row>
    <row r="92" spans="1:11" ht="19">
      <c r="A92" s="86" t="s">
        <v>729</v>
      </c>
      <c r="B92" s="87"/>
      <c r="C92" s="383">
        <f>Overview!L26</f>
        <v>0</v>
      </c>
      <c r="D92" s="88"/>
      <c r="E92" s="88"/>
      <c r="F92" s="89"/>
      <c r="G92" s="420" t="str">
        <f>Raw!A104</f>
        <v>The physics program structures and its student community help teacher candidates persist and thrive in their progress toward a physics degree.</v>
      </c>
      <c r="I92" s="382" t="s">
        <v>651</v>
      </c>
    </row>
    <row r="93" spans="1:11" ht="16">
      <c r="A93" s="410" t="str">
        <f>Raw!C105</f>
        <v>5A-1</v>
      </c>
      <c r="B93" s="411" t="str">
        <f>Raw!E105</f>
        <v>Student community in physics</v>
      </c>
      <c r="C93" s="221" t="str">
        <f>INDEX($H$1:$M$1,1,H93+1)</f>
        <v>unanswered</v>
      </c>
      <c r="D93" s="8">
        <f t="shared" ref="D93:F94" si="16">$H93</f>
        <v>0</v>
      </c>
      <c r="E93" s="8">
        <f t="shared" si="16"/>
        <v>0</v>
      </c>
      <c r="F93" s="8">
        <f t="shared" si="16"/>
        <v>0</v>
      </c>
      <c r="G93" s="263" t="str">
        <f>IF(H93&lt;&gt;0,INDEX(Raw!$F$105:$J$106,1,H93),"-")</f>
        <v>-</v>
      </c>
      <c r="H93" s="238">
        <f>'5-Mentoring'!I7</f>
        <v>0</v>
      </c>
      <c r="I93" s="617"/>
    </row>
    <row r="94" spans="1:11" ht="16">
      <c r="A94" s="398" t="str">
        <f>Raw!C106</f>
        <v>5A-2</v>
      </c>
      <c r="B94" s="399" t="str">
        <f>Raw!E106</f>
        <v>Student advising and career mentoring in physics</v>
      </c>
      <c r="C94" s="56" t="str">
        <f>INDEX($H$1:$M$1,1,H94+1)</f>
        <v>unanswered</v>
      </c>
      <c r="D94" s="8">
        <f t="shared" si="16"/>
        <v>0</v>
      </c>
      <c r="E94" s="8">
        <f t="shared" si="16"/>
        <v>0</v>
      </c>
      <c r="F94" s="8">
        <f t="shared" si="16"/>
        <v>0</v>
      </c>
      <c r="G94" s="264" t="str">
        <f>IF(H94&lt;&gt;0,INDEX(Raw!$F$105:$J$106,2,H94),"-")</f>
        <v>-</v>
      </c>
      <c r="H94" s="238">
        <f>'5-Mentoring'!I8</f>
        <v>0</v>
      </c>
      <c r="I94" s="618"/>
    </row>
    <row r="95" spans="1:11" ht="19">
      <c r="A95" s="86" t="s">
        <v>730</v>
      </c>
      <c r="B95" s="87"/>
      <c r="C95" s="383">
        <f>Overview!L27</f>
        <v>0</v>
      </c>
      <c r="D95" s="88"/>
      <c r="E95" s="88"/>
      <c r="F95" s="89"/>
      <c r="G95" s="420" t="str">
        <f>Raw!A108</f>
        <v>The program and teacher community help teacher candidates persist and thrive in their progress toward becoming physics teachers.</v>
      </c>
      <c r="I95" s="381" t="s">
        <v>651</v>
      </c>
    </row>
    <row r="96" spans="1:11" ht="16">
      <c r="A96" s="410" t="str">
        <f>Raw!C109</f>
        <v>5B-1</v>
      </c>
      <c r="B96" s="411" t="str">
        <f>Raw!E109</f>
        <v>Academic advising of physics teacher candidates</v>
      </c>
      <c r="C96" s="221" t="str">
        <f>INDEX($H$1:$M$1,1,H96+1)</f>
        <v>unanswered</v>
      </c>
      <c r="D96" s="8">
        <f t="shared" ref="D96:F100" si="17">$H96</f>
        <v>0</v>
      </c>
      <c r="E96" s="8">
        <f t="shared" si="17"/>
        <v>0</v>
      </c>
      <c r="F96" s="8">
        <f t="shared" si="17"/>
        <v>0</v>
      </c>
      <c r="G96" s="263" t="str">
        <f>IF(H96&lt;&gt;0,INDEX(Raw!$F$109:$J$113,1,H96),"-")</f>
        <v>-</v>
      </c>
      <c r="H96" s="238">
        <f>'5-Mentoring'!I14</f>
        <v>0</v>
      </c>
      <c r="I96" s="617"/>
    </row>
    <row r="97" spans="1:11" ht="16">
      <c r="A97" s="410" t="str">
        <f>Raw!C110</f>
        <v>5B-2</v>
      </c>
      <c r="B97" s="411" t="str">
        <f>Raw!E110</f>
        <v>PTE mentor for physics teacher candidates</v>
      </c>
      <c r="C97" s="6" t="str">
        <f>INDEX($H$1:$M$1,1,H97+1)</f>
        <v>unanswered</v>
      </c>
      <c r="D97" s="8">
        <f t="shared" si="17"/>
        <v>0</v>
      </c>
      <c r="E97" s="8">
        <f t="shared" si="17"/>
        <v>0</v>
      </c>
      <c r="F97" s="8">
        <f t="shared" si="17"/>
        <v>0</v>
      </c>
      <c r="G97" s="263" t="str">
        <f>IF(H97&lt;&gt;0,INDEX(Raw!$F$109:$J$113,2,H97),"-")</f>
        <v>-</v>
      </c>
      <c r="H97" s="238">
        <f>'5-Mentoring'!I15</f>
        <v>0</v>
      </c>
      <c r="I97" s="617"/>
    </row>
    <row r="98" spans="1:11" ht="16">
      <c r="A98" s="396" t="str">
        <f>Raw!C111</f>
        <v>5B-3</v>
      </c>
      <c r="B98" s="397" t="str">
        <f>Raw!E111</f>
        <v xml:space="preserve">Coordinated mentoring </v>
      </c>
      <c r="C98" s="6" t="str">
        <f>INDEX($H$1:$M$1,1,H98+1)</f>
        <v>unanswered</v>
      </c>
      <c r="D98" s="8">
        <f t="shared" si="17"/>
        <v>0</v>
      </c>
      <c r="E98" s="8">
        <f t="shared" si="17"/>
        <v>0</v>
      </c>
      <c r="F98" s="8">
        <f t="shared" si="17"/>
        <v>0</v>
      </c>
      <c r="G98" s="263" t="str">
        <f>IF(H98&lt;&gt;0,INDEX(Raw!$F$109:$J$113,3,H98),"-")</f>
        <v>-</v>
      </c>
      <c r="H98" s="238">
        <f>'5-Mentoring'!I16</f>
        <v>0</v>
      </c>
      <c r="I98" s="617"/>
    </row>
    <row r="99" spans="1:11" ht="16">
      <c r="A99" s="398" t="str">
        <f>Raw!C112</f>
        <v>5B-4</v>
      </c>
      <c r="B99" s="399" t="str">
        <f>Raw!E112</f>
        <v>Community of physics/STEM teacher candidates</v>
      </c>
      <c r="C99" s="56" t="str">
        <f>INDEX($H$1:$M$1,1,H99+1)</f>
        <v>unanswered</v>
      </c>
      <c r="D99" s="8">
        <f t="shared" si="17"/>
        <v>0</v>
      </c>
      <c r="E99" s="8">
        <f t="shared" si="17"/>
        <v>0</v>
      </c>
      <c r="F99" s="8">
        <f t="shared" si="17"/>
        <v>0</v>
      </c>
      <c r="G99" s="264" t="str">
        <f>IF(H99&lt;&gt;0,INDEX(Raw!$F$109:$J$113,4,H99),"-")</f>
        <v>-</v>
      </c>
      <c r="H99" s="238">
        <f>'5-Mentoring'!I17</f>
        <v>0</v>
      </c>
      <c r="I99" s="617"/>
    </row>
    <row r="100" spans="1:11" ht="16">
      <c r="A100" s="398" t="str">
        <f>Raw!C113</f>
        <v>5B-5</v>
      </c>
      <c r="B100" s="399" t="str">
        <f>Raw!E113</f>
        <v xml:space="preserve">Community with in-service teachers </v>
      </c>
      <c r="C100" s="56" t="str">
        <f>INDEX($H$1:$M$1,1,H100+1)</f>
        <v>unanswered</v>
      </c>
      <c r="D100" s="8">
        <f t="shared" si="17"/>
        <v>0</v>
      </c>
      <c r="E100" s="8">
        <f t="shared" si="17"/>
        <v>0</v>
      </c>
      <c r="F100" s="8">
        <f t="shared" si="17"/>
        <v>0</v>
      </c>
      <c r="G100" s="264" t="str">
        <f>IF(H100&lt;&gt;0,INDEX(Raw!$F$109:$J$113,5,H100),"-")</f>
        <v>-</v>
      </c>
      <c r="H100" s="238">
        <f>'5-Mentoring'!I18</f>
        <v>0</v>
      </c>
      <c r="I100" s="618"/>
    </row>
    <row r="101" spans="1:11" ht="19">
      <c r="A101" s="86" t="str">
        <f>Raw!A114</f>
        <v>Component 5C: In-service Mentoring and Professional Community</v>
      </c>
      <c r="B101" s="87"/>
      <c r="C101" s="383">
        <f>Overview!L28</f>
        <v>0</v>
      </c>
      <c r="D101" s="88"/>
      <c r="E101" s="88"/>
      <c r="F101" s="89"/>
      <c r="G101" s="420" t="str">
        <f>Raw!A115</f>
        <v>The program monitors and supports teacher graduates, giving them access to a professional community that helps to retain them in the profession and to develop their physics teaching expertise.</v>
      </c>
      <c r="I101" s="381" t="s">
        <v>651</v>
      </c>
    </row>
    <row r="102" spans="1:11" ht="16">
      <c r="A102" s="396" t="str">
        <f>Raw!C116</f>
        <v>5C-1</v>
      </c>
      <c r="B102" s="397" t="str">
        <f>Raw!E116</f>
        <v>Alumni community</v>
      </c>
      <c r="C102" s="221" t="str">
        <f>INDEX($H$1:$M$1,1,H102+1)</f>
        <v>unanswered</v>
      </c>
      <c r="D102" s="8">
        <f t="shared" ref="D102:F105" si="18">$H102</f>
        <v>0</v>
      </c>
      <c r="E102" s="8">
        <f t="shared" si="18"/>
        <v>0</v>
      </c>
      <c r="F102" s="8">
        <f t="shared" si="18"/>
        <v>0</v>
      </c>
      <c r="G102" s="263" t="str">
        <f>IF(H102&lt;&gt;0,INDEX(Raw!$F$116:$J$119,1,H102),"-")</f>
        <v>-</v>
      </c>
      <c r="H102" s="238">
        <f>'5-Mentoring'!I25</f>
        <v>0</v>
      </c>
      <c r="I102" s="617"/>
    </row>
    <row r="103" spans="1:11" ht="16">
      <c r="A103" s="396" t="str">
        <f>Raw!C117</f>
        <v>5C-2</v>
      </c>
      <c r="B103" s="397" t="str">
        <f>Raw!E117</f>
        <v>Local physics teachers group</v>
      </c>
      <c r="C103" s="6" t="str">
        <f>INDEX($H$1:$M$1,1,H103+1)</f>
        <v>unanswered</v>
      </c>
      <c r="D103" s="8">
        <f t="shared" si="18"/>
        <v>0</v>
      </c>
      <c r="E103" s="8">
        <f t="shared" si="18"/>
        <v>0</v>
      </c>
      <c r="F103" s="8">
        <f t="shared" si="18"/>
        <v>0</v>
      </c>
      <c r="G103" s="263" t="str">
        <f>IF(H103&lt;&gt;0,INDEX(Raw!$F$116:$J$119,2,H103),"-")</f>
        <v>-</v>
      </c>
      <c r="H103" s="238">
        <f>'5-Mentoring'!I26</f>
        <v>0</v>
      </c>
      <c r="I103" s="617"/>
    </row>
    <row r="104" spans="1:11" ht="16">
      <c r="A104" s="398" t="str">
        <f>Raw!C118</f>
        <v>5C-3</v>
      </c>
      <c r="B104" s="399" t="str">
        <f>Raw!E118</f>
        <v>PTE mentor for beginning teachers</v>
      </c>
      <c r="C104" s="56" t="str">
        <f>INDEX($H$1:$M$1,1,H104+1)</f>
        <v>unanswered</v>
      </c>
      <c r="D104" s="8">
        <f t="shared" si="18"/>
        <v>0</v>
      </c>
      <c r="E104" s="8">
        <f t="shared" si="18"/>
        <v>0</v>
      </c>
      <c r="F104" s="8">
        <f t="shared" si="18"/>
        <v>0</v>
      </c>
      <c r="G104" s="264" t="str">
        <f>IF(H104&lt;&gt;0,INDEX(Raw!$F$116:$J$119,3,H104),"-")</f>
        <v>-</v>
      </c>
      <c r="H104" s="238">
        <f>'5-Mentoring'!I27</f>
        <v>0</v>
      </c>
      <c r="I104" s="617"/>
    </row>
    <row r="105" spans="1:11" ht="16">
      <c r="A105" s="406" t="str">
        <f>Raw!C119</f>
        <v>5C-4</v>
      </c>
      <c r="B105" s="407" t="str">
        <f>Raw!E119</f>
        <v>Professional development for in-service teachers</v>
      </c>
      <c r="C105" s="56" t="str">
        <f>INDEX($H$1:$M$1,1,H105+1)</f>
        <v>unanswered</v>
      </c>
      <c r="D105" s="8">
        <f t="shared" si="18"/>
        <v>0</v>
      </c>
      <c r="E105" s="8">
        <f t="shared" si="18"/>
        <v>0</v>
      </c>
      <c r="F105" s="8">
        <f t="shared" si="18"/>
        <v>0</v>
      </c>
      <c r="G105" s="267" t="str">
        <f>IF(H105&lt;&gt;0,INDEX(Raw!$F$116:$J$119,4,H105),"-")</f>
        <v>-</v>
      </c>
      <c r="H105" s="238">
        <f>'5-Mentoring'!I28</f>
        <v>0</v>
      </c>
      <c r="I105" s="618"/>
    </row>
    <row r="106" spans="1:11" ht="24">
      <c r="A106" s="90" t="str">
        <f>CONCATENATE(Raw!A120,": ",Raw!B120)</f>
        <v>Standard 6: Program Assessment</v>
      </c>
      <c r="B106" s="91"/>
      <c r="C106" s="384">
        <f>Overview!L29</f>
        <v>0</v>
      </c>
      <c r="D106" s="91"/>
      <c r="E106" s="91"/>
      <c r="F106" s="92"/>
      <c r="G106" s="622" t="str">
        <f>Raw!A121</f>
        <v>The program assesses multiple outcomes, using them for program improvement and to advocate for funding and resources.</v>
      </c>
      <c r="H106" s="237"/>
      <c r="I106" s="351"/>
      <c r="J106" s="1"/>
      <c r="K106" s="1"/>
    </row>
    <row r="107" spans="1:11">
      <c r="A107" s="378"/>
      <c r="B107" s="376"/>
      <c r="C107" s="376"/>
      <c r="D107" s="376"/>
      <c r="E107" s="376"/>
      <c r="F107" s="377"/>
      <c r="G107" s="623"/>
      <c r="H107" s="237"/>
      <c r="I107" s="351"/>
      <c r="J107" s="1"/>
      <c r="K107" s="1"/>
    </row>
    <row r="108" spans="1:11" ht="19">
      <c r="A108" s="430" t="str">
        <f>Raw!A122</f>
        <v>Component 6A: Program Outcomes</v>
      </c>
      <c r="B108" s="428"/>
      <c r="C108" s="383">
        <f>Overview!L30</f>
        <v>0</v>
      </c>
      <c r="D108" s="94"/>
      <c r="E108" s="94"/>
      <c r="F108" s="95"/>
      <c r="G108" s="429" t="str">
        <f>Raw!A123</f>
        <v>The program is successful at recruiting, graduating, placing, and retaining physics teacher candidates.</v>
      </c>
      <c r="I108" s="382" t="s">
        <v>651</v>
      </c>
    </row>
    <row r="109" spans="1:11" ht="16">
      <c r="A109" s="412" t="str">
        <f>Raw!C124</f>
        <v>6A-1</v>
      </c>
      <c r="B109" s="413" t="str">
        <f>Raw!E124</f>
        <v>Annual graduation from PTE program</v>
      </c>
      <c r="C109" s="6" t="str">
        <f>INDEX($H$1:$M$1,1,H109+1)</f>
        <v>unanswered</v>
      </c>
      <c r="D109" s="8">
        <f t="shared" ref="D109:F112" si="19">$H109</f>
        <v>0</v>
      </c>
      <c r="E109" s="8">
        <f t="shared" si="19"/>
        <v>0</v>
      </c>
      <c r="F109" s="8">
        <f t="shared" si="19"/>
        <v>0</v>
      </c>
      <c r="G109" s="263" t="str">
        <f>IF(H109&lt;&gt;0,INDEX(Raw!$F$124:$J$127,1,H109),"-")</f>
        <v>-</v>
      </c>
      <c r="H109" s="238">
        <f>'6-Assessment'!I7</f>
        <v>0</v>
      </c>
      <c r="I109" s="617"/>
    </row>
    <row r="110" spans="1:11" ht="16">
      <c r="A110" s="412" t="str">
        <f>Raw!C125</f>
        <v>6A-2</v>
      </c>
      <c r="B110" s="413" t="str">
        <f>Raw!E125</f>
        <v>Annual recruitment in PTE program</v>
      </c>
      <c r="C110" s="6" t="str">
        <f>INDEX($H$1:$M$1,1,H110+1)</f>
        <v>unanswered</v>
      </c>
      <c r="D110" s="8">
        <f t="shared" si="19"/>
        <v>0</v>
      </c>
      <c r="E110" s="8">
        <f t="shared" si="19"/>
        <v>0</v>
      </c>
      <c r="F110" s="8">
        <f t="shared" si="19"/>
        <v>0</v>
      </c>
      <c r="G110" s="263" t="str">
        <f>IF(H110&lt;&gt;0,INDEX(Raw!$F$124:$J$127,2,H110),"-")</f>
        <v>-</v>
      </c>
      <c r="H110" s="238">
        <f>'6-Assessment'!I8</f>
        <v>0</v>
      </c>
      <c r="I110" s="617"/>
    </row>
    <row r="111" spans="1:11" ht="16">
      <c r="A111" s="396" t="str">
        <f>Raw!C126</f>
        <v>6A-3</v>
      </c>
      <c r="B111" s="397" t="str">
        <f>Raw!E126</f>
        <v>Diversity of physics teacher candidates</v>
      </c>
      <c r="C111" s="6" t="str">
        <f>INDEX($H$1:$M$1,1,H111+1)</f>
        <v>unanswered</v>
      </c>
      <c r="D111" s="8">
        <f t="shared" si="19"/>
        <v>0</v>
      </c>
      <c r="E111" s="8">
        <f t="shared" si="19"/>
        <v>0</v>
      </c>
      <c r="F111" s="8">
        <f t="shared" si="19"/>
        <v>0</v>
      </c>
      <c r="G111" s="263" t="str">
        <f>IF(H111&lt;&gt;0,INDEX(Raw!$F$124:$J$127,3,H111),"-")</f>
        <v>-</v>
      </c>
      <c r="H111" s="238">
        <f>'6-Assessment'!I9</f>
        <v>0</v>
      </c>
      <c r="I111" s="617"/>
    </row>
    <row r="112" spans="1:11" ht="16">
      <c r="A112" s="398" t="str">
        <f>Raw!C127</f>
        <v>6A-4</v>
      </c>
      <c r="B112" s="399" t="str">
        <f>Raw!E127</f>
        <v>Career persistence</v>
      </c>
      <c r="C112" s="56" t="str">
        <f>INDEX($H$1:$M$1,1,H112+1)</f>
        <v>unanswered</v>
      </c>
      <c r="D112" s="8">
        <f t="shared" si="19"/>
        <v>0</v>
      </c>
      <c r="E112" s="8">
        <f t="shared" si="19"/>
        <v>0</v>
      </c>
      <c r="F112" s="8">
        <f t="shared" si="19"/>
        <v>0</v>
      </c>
      <c r="G112" s="264" t="str">
        <f>IF(H112&lt;&gt;0,INDEX(Raw!$F$124:$J$127,4,H112),"-")</f>
        <v>-</v>
      </c>
      <c r="H112" s="238">
        <f>'6-Assessment'!I10</f>
        <v>0</v>
      </c>
      <c r="I112" s="618"/>
    </row>
    <row r="113" spans="1:9" ht="19">
      <c r="A113" s="430" t="str">
        <f>Raw!A128</f>
        <v>Component 6B: Program Evaluation and Improvement</v>
      </c>
      <c r="B113" s="416"/>
      <c r="C113" s="383">
        <f>Overview!L31</f>
        <v>0</v>
      </c>
      <c r="D113" s="94"/>
      <c r="E113" s="94"/>
      <c r="F113" s="95"/>
      <c r="G113" s="429" t="str">
        <f>Raw!A129</f>
        <v>The program systematically collects and analyzes student- and program-level data to make informed decisions about program development and improvement.</v>
      </c>
      <c r="I113" s="381" t="s">
        <v>651</v>
      </c>
    </row>
    <row r="114" spans="1:9" ht="16">
      <c r="A114" s="412" t="str">
        <f>Raw!C130</f>
        <v>6B-1</v>
      </c>
      <c r="B114" s="413" t="str">
        <f>Raw!E130</f>
        <v>Tracking program metrics</v>
      </c>
      <c r="C114" s="6" t="str">
        <f>INDEX($H$1:$M$1,1,H114+1)</f>
        <v>unanswered</v>
      </c>
      <c r="D114" s="8">
        <f t="shared" ref="D114:F117" si="20">$H114</f>
        <v>0</v>
      </c>
      <c r="E114" s="8">
        <f t="shared" si="20"/>
        <v>0</v>
      </c>
      <c r="F114" s="8">
        <f t="shared" si="20"/>
        <v>0</v>
      </c>
      <c r="G114" s="263" t="str">
        <f>IF(H114&lt;&gt;0,INDEX(Raw!$F$130:$J$133,1,H114),"-")</f>
        <v>-</v>
      </c>
      <c r="H114" s="238">
        <f>'6-Assessment'!I16</f>
        <v>0</v>
      </c>
      <c r="I114" s="617"/>
    </row>
    <row r="115" spans="1:9" ht="16">
      <c r="A115" s="412" t="str">
        <f>Raw!C131</f>
        <v>6B-2</v>
      </c>
      <c r="B115" s="413" t="str">
        <f>Raw!E131</f>
        <v>Feedback from stakeholders</v>
      </c>
      <c r="C115" s="6" t="str">
        <f>INDEX($H$1:$M$1,1,H115+1)</f>
        <v>unanswered</v>
      </c>
      <c r="D115" s="8">
        <f t="shared" si="20"/>
        <v>0</v>
      </c>
      <c r="E115" s="8">
        <f t="shared" si="20"/>
        <v>0</v>
      </c>
      <c r="F115" s="8">
        <f t="shared" si="20"/>
        <v>0</v>
      </c>
      <c r="G115" s="263" t="str">
        <f>IF(H115&lt;&gt;0,INDEX(Raw!$F$130:$J$133,2,H115),"-")</f>
        <v>-</v>
      </c>
      <c r="H115" s="238">
        <f>'6-Assessment'!I17</f>
        <v>0</v>
      </c>
      <c r="I115" s="617"/>
    </row>
    <row r="116" spans="1:9" ht="16">
      <c r="A116" s="396" t="str">
        <f>Raw!C132</f>
        <v>6B-3</v>
      </c>
      <c r="B116" s="397" t="str">
        <f>Raw!E132</f>
        <v>Assessing learning outcomes for physics teacher candidates</v>
      </c>
      <c r="C116" s="6" t="str">
        <f>INDEX($H$1:$M$1,1,H116+1)</f>
        <v>unanswered</v>
      </c>
      <c r="D116" s="8">
        <f t="shared" si="20"/>
        <v>0</v>
      </c>
      <c r="E116" s="8">
        <f t="shared" si="20"/>
        <v>0</v>
      </c>
      <c r="F116" s="8">
        <f t="shared" si="20"/>
        <v>0</v>
      </c>
      <c r="G116" s="263" t="str">
        <f>IF(H116&lt;&gt;0,INDEX(Raw!$F$130:$J$133,3,H116),"-")</f>
        <v>-</v>
      </c>
      <c r="H116" s="238">
        <f>'6-Assessment'!I18</f>
        <v>0</v>
      </c>
      <c r="I116" s="617"/>
    </row>
    <row r="117" spans="1:9" ht="16">
      <c r="A117" s="398" t="str">
        <f>Raw!C133</f>
        <v>6B-4</v>
      </c>
      <c r="B117" s="399" t="str">
        <f>Raw!E133</f>
        <v>Program improvement from feedback and program data</v>
      </c>
      <c r="C117" s="56" t="str">
        <f>INDEX($H$1:$M$1,1,H117+1)</f>
        <v>unanswered</v>
      </c>
      <c r="D117" s="8">
        <f t="shared" si="20"/>
        <v>0</v>
      </c>
      <c r="E117" s="8">
        <f t="shared" si="20"/>
        <v>0</v>
      </c>
      <c r="F117" s="8">
        <f t="shared" si="20"/>
        <v>0</v>
      </c>
      <c r="G117" s="264" t="str">
        <f>IF(H117&lt;&gt;0,INDEX(Raw!$F$130:$J$133,4,H117),"-")</f>
        <v>-</v>
      </c>
      <c r="H117" s="238">
        <f>'6-Assessment'!I19</f>
        <v>0</v>
      </c>
      <c r="I117" s="618"/>
    </row>
    <row r="118" spans="1:9" ht="19">
      <c r="A118" s="430" t="str">
        <f>Raw!A134</f>
        <v>Component 6C: Communication to Stakeholders</v>
      </c>
      <c r="B118" s="93"/>
      <c r="C118" s="383">
        <f>Overview!L32</f>
        <v>0</v>
      </c>
      <c r="D118" s="94"/>
      <c r="E118" s="94"/>
      <c r="F118" s="95"/>
      <c r="G118" s="429" t="str">
        <f>Raw!A135</f>
        <v>The program communicates its successes to key stakeholders to build support for the program.</v>
      </c>
      <c r="I118" s="381" t="s">
        <v>651</v>
      </c>
    </row>
    <row r="119" spans="1:9" ht="16">
      <c r="A119" s="412" t="str">
        <f>Raw!C136</f>
        <v>6C-1</v>
      </c>
      <c r="B119" s="413" t="str">
        <f>Raw!E136</f>
        <v>Communication within the university</v>
      </c>
      <c r="C119" s="6" t="str">
        <f>INDEX($H$1:$M$1,1,H119+1)</f>
        <v>unanswered</v>
      </c>
      <c r="D119" s="8">
        <f t="shared" ref="D119:F122" si="21">$H119</f>
        <v>0</v>
      </c>
      <c r="E119" s="8">
        <f t="shared" si="21"/>
        <v>0</v>
      </c>
      <c r="F119" s="8">
        <f t="shared" si="21"/>
        <v>0</v>
      </c>
      <c r="G119" s="263" t="str">
        <f>IF(H119&lt;&gt;0,INDEX(Raw!$F$136:$J$139,1,H119),"-")</f>
        <v>-</v>
      </c>
      <c r="H119" s="238">
        <f>'6-Assessment'!I28</f>
        <v>0</v>
      </c>
      <c r="I119" s="621"/>
    </row>
    <row r="120" spans="1:9" ht="16">
      <c r="A120" s="412" t="str">
        <f>Raw!C137</f>
        <v>6C-2</v>
      </c>
      <c r="B120" s="413" t="str">
        <f>Raw!E137</f>
        <v>Communication with university administrators</v>
      </c>
      <c r="C120" s="6" t="str">
        <f>INDEX($H$1:$M$1,1,H120+1)</f>
        <v>unanswered</v>
      </c>
      <c r="D120" s="8">
        <f t="shared" si="21"/>
        <v>0</v>
      </c>
      <c r="E120" s="8">
        <f t="shared" si="21"/>
        <v>0</v>
      </c>
      <c r="F120" s="8">
        <f t="shared" si="21"/>
        <v>0</v>
      </c>
      <c r="G120" s="263" t="str">
        <f>IF(H120&lt;&gt;0,INDEX(Raw!$F$136:$J$139,2,H120),"-")</f>
        <v>-</v>
      </c>
      <c r="H120" s="238">
        <f>'6-Assessment'!I29</f>
        <v>0</v>
      </c>
      <c r="I120" s="617"/>
    </row>
    <row r="121" spans="1:9" ht="16">
      <c r="A121" s="396" t="str">
        <f>Raw!C138</f>
        <v>6C-3</v>
      </c>
      <c r="B121" s="397" t="str">
        <f>Raw!E138</f>
        <v>Publicity and advocacy</v>
      </c>
      <c r="C121" s="6" t="str">
        <f>INDEX($H$1:$M$1,1,H121+1)</f>
        <v>unanswered</v>
      </c>
      <c r="D121" s="8">
        <f t="shared" si="21"/>
        <v>0</v>
      </c>
      <c r="E121" s="8">
        <f t="shared" si="21"/>
        <v>0</v>
      </c>
      <c r="F121" s="8">
        <f t="shared" si="21"/>
        <v>0</v>
      </c>
      <c r="G121" s="263" t="str">
        <f>IF(H121&lt;&gt;0,INDEX(Raw!$F$136:$J$139,3,H121),"-")</f>
        <v>-</v>
      </c>
      <c r="H121" s="238">
        <f>'6-Assessment'!I30</f>
        <v>0</v>
      </c>
      <c r="I121" s="617"/>
    </row>
    <row r="122" spans="1:9" ht="16">
      <c r="A122" s="396" t="str">
        <f>Raw!C139</f>
        <v>6C-4</v>
      </c>
      <c r="B122" s="397" t="str">
        <f>Raw!E139</f>
        <v>Scholarly work</v>
      </c>
      <c r="C122" s="6" t="str">
        <f>INDEX($H$1:$M$1,1,H122+1)</f>
        <v>unanswered</v>
      </c>
      <c r="D122" s="8">
        <f t="shared" si="21"/>
        <v>0</v>
      </c>
      <c r="E122" s="8">
        <f t="shared" si="21"/>
        <v>0</v>
      </c>
      <c r="F122" s="8">
        <f t="shared" si="21"/>
        <v>0</v>
      </c>
      <c r="G122" s="263" t="str">
        <f>IF(H122&lt;&gt;0,INDEX(Raw!$F$136:$J$139,4,H122),"-")</f>
        <v>-</v>
      </c>
      <c r="H122" s="238">
        <f>'6-Assessment'!I31</f>
        <v>0</v>
      </c>
      <c r="I122" s="618"/>
    </row>
    <row r="123" spans="1:9">
      <c r="A123" s="56"/>
      <c r="B123" s="96"/>
      <c r="C123" s="56"/>
      <c r="D123" s="57"/>
      <c r="E123" s="57"/>
      <c r="F123" s="97"/>
      <c r="G123" s="268"/>
      <c r="H123" s="237"/>
    </row>
    <row r="124" spans="1:9">
      <c r="A124" s="485"/>
      <c r="B124" s="4"/>
      <c r="C124" s="485"/>
      <c r="D124" s="12"/>
      <c r="E124" s="12"/>
      <c r="F124" s="98"/>
      <c r="G124" s="269"/>
    </row>
    <row r="125" spans="1:9">
      <c r="A125" s="485"/>
      <c r="B125" s="4"/>
      <c r="C125" s="485"/>
      <c r="D125" s="12"/>
      <c r="E125" s="12"/>
      <c r="F125" s="98"/>
      <c r="G125" s="269"/>
    </row>
    <row r="126" spans="1:9">
      <c r="A126" s="485"/>
      <c r="B126" s="4"/>
      <c r="C126" s="485"/>
      <c r="D126" s="12"/>
      <c r="E126" s="12"/>
      <c r="F126" s="98"/>
      <c r="G126" s="269"/>
    </row>
    <row r="127" spans="1:9">
      <c r="A127" s="485"/>
      <c r="B127" s="4"/>
      <c r="C127" s="485"/>
      <c r="D127" s="12"/>
      <c r="E127" s="12"/>
      <c r="F127" s="98"/>
      <c r="G127" s="269"/>
    </row>
    <row r="128" spans="1:9">
      <c r="A128" s="485"/>
      <c r="B128" s="4"/>
      <c r="C128" s="485"/>
      <c r="D128" s="12"/>
      <c r="E128" s="12"/>
      <c r="F128" s="98"/>
      <c r="G128" s="269"/>
    </row>
    <row r="129" spans="1:7">
      <c r="A129" s="485"/>
      <c r="B129" s="4"/>
      <c r="C129" s="485"/>
      <c r="D129" s="12"/>
      <c r="E129" s="12"/>
      <c r="F129" s="98"/>
      <c r="G129" s="269"/>
    </row>
    <row r="130" spans="1:7">
      <c r="A130" s="485"/>
      <c r="B130" s="4"/>
      <c r="C130" s="485"/>
      <c r="D130" s="12"/>
      <c r="E130" s="12"/>
      <c r="F130" s="98"/>
      <c r="G130" s="269"/>
    </row>
    <row r="131" spans="1:7">
      <c r="A131" s="485"/>
      <c r="B131" s="4"/>
      <c r="C131" s="485"/>
      <c r="D131" s="12"/>
      <c r="E131" s="12"/>
      <c r="F131" s="98"/>
      <c r="G131" s="269"/>
    </row>
    <row r="132" spans="1:7">
      <c r="A132" s="485"/>
      <c r="B132" s="4"/>
      <c r="C132" s="485"/>
      <c r="D132" s="12"/>
      <c r="E132" s="12"/>
      <c r="F132" s="98"/>
      <c r="G132" s="269"/>
    </row>
    <row r="133" spans="1:7">
      <c r="A133" s="485"/>
      <c r="B133" s="4"/>
      <c r="C133" s="485"/>
      <c r="D133" s="12"/>
      <c r="E133" s="12"/>
      <c r="F133" s="98"/>
      <c r="G133" s="269"/>
    </row>
    <row r="134" spans="1:7">
      <c r="A134" s="485"/>
      <c r="B134" s="4"/>
      <c r="C134" s="485"/>
      <c r="D134" s="12"/>
      <c r="E134" s="12"/>
      <c r="F134" s="98"/>
      <c r="G134" s="269"/>
    </row>
    <row r="135" spans="1:7">
      <c r="A135" s="485"/>
      <c r="B135" s="4"/>
      <c r="C135" s="485"/>
      <c r="D135" s="12"/>
      <c r="E135" s="12"/>
      <c r="F135" s="98"/>
      <c r="G135" s="269"/>
    </row>
    <row r="136" spans="1:7">
      <c r="A136" s="485"/>
      <c r="B136" s="4"/>
      <c r="C136" s="485"/>
      <c r="D136" s="12"/>
      <c r="E136" s="12"/>
      <c r="F136" s="98"/>
      <c r="G136" s="269"/>
    </row>
    <row r="137" spans="1:7">
      <c r="A137" s="485"/>
      <c r="B137" s="4"/>
      <c r="C137" s="485"/>
      <c r="D137" s="12"/>
      <c r="E137" s="12"/>
      <c r="F137" s="98"/>
      <c r="G137" s="269"/>
    </row>
    <row r="138" spans="1:7">
      <c r="A138" s="485"/>
      <c r="B138" s="4"/>
      <c r="C138" s="485"/>
      <c r="D138" s="12"/>
      <c r="E138" s="12"/>
      <c r="F138" s="98"/>
      <c r="G138" s="269"/>
    </row>
    <row r="139" spans="1:7">
      <c r="A139" s="485"/>
      <c r="B139" s="4"/>
      <c r="C139" s="485"/>
      <c r="D139" s="12"/>
      <c r="E139" s="12"/>
      <c r="F139" s="98"/>
      <c r="G139" s="269"/>
    </row>
    <row r="140" spans="1:7">
      <c r="A140" s="485"/>
      <c r="B140" s="4"/>
      <c r="C140" s="485"/>
      <c r="D140" s="12"/>
      <c r="E140" s="12"/>
      <c r="F140" s="98"/>
      <c r="G140" s="269"/>
    </row>
    <row r="141" spans="1:7">
      <c r="A141" s="485"/>
      <c r="B141" s="4"/>
      <c r="C141" s="485"/>
      <c r="D141" s="12"/>
      <c r="E141" s="12"/>
      <c r="F141" s="98"/>
      <c r="G141" s="269"/>
    </row>
    <row r="142" spans="1:7">
      <c r="A142" s="485"/>
      <c r="B142" s="4"/>
      <c r="C142" s="485"/>
      <c r="D142" s="12"/>
      <c r="E142" s="12"/>
      <c r="F142" s="98"/>
      <c r="G142" s="269"/>
    </row>
    <row r="143" spans="1:7">
      <c r="A143" s="485"/>
      <c r="B143" s="4"/>
      <c r="C143" s="485"/>
      <c r="D143" s="12"/>
      <c r="E143" s="12"/>
      <c r="F143" s="98"/>
      <c r="G143" s="269"/>
    </row>
    <row r="144" spans="1:7">
      <c r="A144" s="485"/>
      <c r="B144" s="4"/>
      <c r="C144" s="485"/>
      <c r="D144" s="12"/>
      <c r="E144" s="12"/>
      <c r="F144" s="98"/>
      <c r="G144" s="269"/>
    </row>
    <row r="145" spans="1:7">
      <c r="A145" s="485"/>
      <c r="B145" s="4"/>
      <c r="C145" s="485"/>
      <c r="D145" s="12"/>
      <c r="E145" s="12"/>
      <c r="F145" s="98"/>
      <c r="G145" s="269"/>
    </row>
    <row r="146" spans="1:7">
      <c r="A146" s="485"/>
      <c r="B146" s="4"/>
      <c r="C146" s="485"/>
      <c r="D146" s="12"/>
      <c r="E146" s="12"/>
      <c r="F146" s="98"/>
      <c r="G146" s="269"/>
    </row>
    <row r="147" spans="1:7">
      <c r="A147" s="485"/>
      <c r="B147" s="4"/>
      <c r="C147" s="485"/>
      <c r="D147" s="12"/>
      <c r="E147" s="12"/>
      <c r="F147" s="98"/>
      <c r="G147" s="269"/>
    </row>
    <row r="148" spans="1:7">
      <c r="A148" s="485"/>
      <c r="B148" s="4"/>
      <c r="C148" s="485"/>
      <c r="D148" s="12"/>
      <c r="E148" s="12"/>
      <c r="F148" s="98"/>
      <c r="G148" s="269"/>
    </row>
    <row r="149" spans="1:7">
      <c r="A149" s="485"/>
      <c r="B149" s="4"/>
      <c r="C149" s="485"/>
      <c r="D149" s="12"/>
      <c r="E149" s="12"/>
      <c r="F149" s="98"/>
      <c r="G149" s="269"/>
    </row>
    <row r="150" spans="1:7">
      <c r="A150" s="485"/>
      <c r="B150" s="4"/>
      <c r="C150" s="485"/>
      <c r="D150" s="12"/>
      <c r="E150" s="12"/>
      <c r="F150" s="98"/>
      <c r="G150" s="269"/>
    </row>
    <row r="151" spans="1:7">
      <c r="A151" s="485"/>
      <c r="B151" s="4"/>
      <c r="C151" s="485"/>
      <c r="D151" s="12"/>
      <c r="E151" s="12"/>
      <c r="F151" s="98"/>
      <c r="G151" s="269"/>
    </row>
    <row r="152" spans="1:7">
      <c r="A152" s="485"/>
      <c r="B152" s="4"/>
      <c r="C152" s="485"/>
      <c r="D152" s="12"/>
      <c r="E152" s="12"/>
      <c r="F152" s="98"/>
      <c r="G152" s="269"/>
    </row>
    <row r="153" spans="1:7">
      <c r="A153" s="485"/>
      <c r="B153" s="4"/>
      <c r="C153" s="485"/>
      <c r="D153" s="12"/>
      <c r="E153" s="12"/>
      <c r="F153" s="98"/>
      <c r="G153" s="269"/>
    </row>
    <row r="154" spans="1:7">
      <c r="A154" s="485"/>
      <c r="B154" s="4"/>
      <c r="C154" s="485"/>
      <c r="D154" s="12"/>
      <c r="E154" s="12"/>
      <c r="F154" s="98"/>
      <c r="G154" s="269"/>
    </row>
    <row r="155" spans="1:7">
      <c r="A155" s="485"/>
      <c r="B155" s="4"/>
      <c r="C155" s="485"/>
      <c r="D155" s="12"/>
      <c r="E155" s="12"/>
      <c r="F155" s="98"/>
      <c r="G155" s="269"/>
    </row>
    <row r="156" spans="1:7">
      <c r="A156" s="485"/>
      <c r="B156" s="4"/>
      <c r="C156" s="485"/>
      <c r="D156" s="12"/>
      <c r="E156" s="12"/>
      <c r="F156" s="98"/>
      <c r="G156" s="269"/>
    </row>
    <row r="157" spans="1:7">
      <c r="A157" s="485"/>
      <c r="B157" s="4"/>
      <c r="C157" s="485"/>
      <c r="D157" s="12"/>
      <c r="E157" s="12"/>
      <c r="F157" s="98"/>
      <c r="G157" s="269"/>
    </row>
    <row r="158" spans="1:7">
      <c r="A158" s="485"/>
      <c r="B158" s="4"/>
      <c r="C158" s="485"/>
      <c r="D158" s="12"/>
      <c r="E158" s="12"/>
      <c r="F158" s="98"/>
      <c r="G158" s="269"/>
    </row>
    <row r="159" spans="1:7">
      <c r="A159" s="485"/>
      <c r="B159" s="4"/>
      <c r="C159" s="485"/>
      <c r="D159" s="12"/>
      <c r="E159" s="12"/>
      <c r="F159" s="98"/>
      <c r="G159" s="269"/>
    </row>
    <row r="160" spans="1:7">
      <c r="A160" s="485"/>
      <c r="B160" s="4"/>
      <c r="C160" s="485"/>
      <c r="D160" s="12"/>
      <c r="E160" s="12"/>
      <c r="F160" s="98"/>
      <c r="G160" s="269"/>
    </row>
    <row r="161" spans="1:7">
      <c r="A161" s="485"/>
      <c r="B161" s="4"/>
      <c r="C161" s="485"/>
      <c r="D161" s="12"/>
      <c r="E161" s="12"/>
      <c r="F161" s="98"/>
      <c r="G161" s="269"/>
    </row>
    <row r="162" spans="1:7">
      <c r="A162" s="485"/>
      <c r="B162" s="4"/>
      <c r="C162" s="485"/>
      <c r="D162" s="12"/>
      <c r="E162" s="12"/>
      <c r="F162" s="98"/>
      <c r="G162" s="269"/>
    </row>
    <row r="163" spans="1:7">
      <c r="A163" s="485"/>
      <c r="B163" s="4"/>
      <c r="C163" s="485"/>
      <c r="D163" s="12"/>
      <c r="E163" s="12"/>
      <c r="F163" s="98"/>
      <c r="G163" s="269"/>
    </row>
    <row r="164" spans="1:7">
      <c r="A164" s="485"/>
      <c r="B164" s="4"/>
      <c r="C164" s="485"/>
      <c r="D164" s="12"/>
      <c r="E164" s="12"/>
      <c r="F164" s="98"/>
      <c r="G164" s="269"/>
    </row>
    <row r="165" spans="1:7">
      <c r="A165" s="485"/>
      <c r="B165" s="4"/>
      <c r="C165" s="485"/>
      <c r="D165" s="12"/>
      <c r="E165" s="12"/>
      <c r="F165" s="98"/>
      <c r="G165" s="269"/>
    </row>
    <row r="166" spans="1:7">
      <c r="A166" s="485"/>
      <c r="B166" s="4"/>
      <c r="C166" s="485"/>
      <c r="D166" s="12"/>
      <c r="E166" s="12"/>
      <c r="F166" s="98"/>
      <c r="G166" s="269"/>
    </row>
    <row r="167" spans="1:7">
      <c r="A167" s="485"/>
      <c r="B167" s="4"/>
      <c r="C167" s="485"/>
      <c r="D167" s="12"/>
      <c r="E167" s="12"/>
      <c r="F167" s="98"/>
      <c r="G167" s="269"/>
    </row>
    <row r="168" spans="1:7">
      <c r="A168" s="485"/>
      <c r="B168" s="4"/>
      <c r="C168" s="485"/>
      <c r="D168" s="12"/>
      <c r="E168" s="12"/>
      <c r="F168" s="98"/>
      <c r="G168" s="269"/>
    </row>
    <row r="169" spans="1:7">
      <c r="A169" s="485"/>
      <c r="B169" s="4"/>
      <c r="C169" s="485"/>
      <c r="D169" s="12"/>
      <c r="E169" s="12"/>
      <c r="F169" s="98"/>
      <c r="G169" s="269"/>
    </row>
    <row r="170" spans="1:7">
      <c r="A170" s="485"/>
      <c r="B170" s="4"/>
      <c r="C170" s="485"/>
      <c r="D170" s="12"/>
      <c r="E170" s="12"/>
      <c r="F170" s="98"/>
      <c r="G170" s="269"/>
    </row>
    <row r="171" spans="1:7">
      <c r="A171" s="485"/>
      <c r="B171" s="4"/>
      <c r="C171" s="485"/>
      <c r="D171" s="12"/>
      <c r="E171" s="12"/>
      <c r="F171" s="98"/>
      <c r="G171" s="269"/>
    </row>
    <row r="172" spans="1:7">
      <c r="A172" s="485"/>
      <c r="B172" s="4"/>
      <c r="C172" s="485"/>
      <c r="D172" s="12"/>
      <c r="E172" s="12"/>
      <c r="F172" s="98"/>
      <c r="G172" s="269"/>
    </row>
    <row r="173" spans="1:7">
      <c r="A173" s="485"/>
      <c r="B173" s="4"/>
      <c r="C173" s="485"/>
      <c r="D173" s="12"/>
      <c r="E173" s="12"/>
      <c r="F173" s="98"/>
      <c r="G173" s="269"/>
    </row>
    <row r="174" spans="1:7">
      <c r="A174" s="485"/>
      <c r="B174" s="4"/>
      <c r="C174" s="485"/>
      <c r="D174" s="12"/>
      <c r="E174" s="12"/>
      <c r="F174" s="98"/>
      <c r="G174" s="269"/>
    </row>
    <row r="175" spans="1:7">
      <c r="A175" s="485"/>
      <c r="B175" s="4"/>
      <c r="C175" s="485"/>
      <c r="D175" s="12"/>
      <c r="E175" s="12"/>
      <c r="F175" s="98"/>
      <c r="G175" s="269"/>
    </row>
    <row r="176" spans="1:7">
      <c r="A176" s="485"/>
      <c r="B176" s="4"/>
      <c r="C176" s="485"/>
      <c r="D176" s="12"/>
      <c r="E176" s="12"/>
      <c r="F176" s="98"/>
      <c r="G176" s="269"/>
    </row>
    <row r="177" spans="1:7">
      <c r="A177" s="485"/>
      <c r="B177" s="4"/>
      <c r="C177" s="485"/>
      <c r="D177" s="12"/>
      <c r="E177" s="12"/>
      <c r="F177" s="98"/>
      <c r="G177" s="269"/>
    </row>
    <row r="178" spans="1:7">
      <c r="A178" s="485"/>
      <c r="B178" s="4"/>
      <c r="C178" s="485"/>
      <c r="D178" s="12"/>
      <c r="E178" s="12"/>
      <c r="F178" s="98"/>
      <c r="G178" s="269"/>
    </row>
    <row r="179" spans="1:7">
      <c r="A179" s="485"/>
      <c r="B179" s="4"/>
      <c r="C179" s="485"/>
      <c r="D179" s="12"/>
      <c r="E179" s="12"/>
      <c r="F179" s="98"/>
      <c r="G179" s="269"/>
    </row>
    <row r="180" spans="1:7">
      <c r="A180" s="485"/>
      <c r="B180" s="4"/>
      <c r="C180" s="485"/>
      <c r="D180" s="12"/>
      <c r="E180" s="12"/>
      <c r="F180" s="98"/>
      <c r="G180" s="269"/>
    </row>
    <row r="181" spans="1:7">
      <c r="A181" s="485"/>
      <c r="B181" s="4"/>
      <c r="C181" s="485"/>
      <c r="D181" s="12"/>
      <c r="E181" s="12"/>
      <c r="F181" s="98"/>
      <c r="G181" s="269"/>
    </row>
    <row r="182" spans="1:7">
      <c r="A182" s="485"/>
      <c r="B182" s="4"/>
      <c r="C182" s="485"/>
      <c r="D182" s="12"/>
      <c r="E182" s="12"/>
      <c r="F182" s="98"/>
      <c r="G182" s="269"/>
    </row>
    <row r="183" spans="1:7">
      <c r="A183" s="485"/>
      <c r="B183" s="4"/>
      <c r="C183" s="485"/>
      <c r="D183" s="12"/>
      <c r="E183" s="12"/>
      <c r="F183" s="98"/>
      <c r="G183" s="269"/>
    </row>
    <row r="184" spans="1:7">
      <c r="A184" s="485"/>
      <c r="B184" s="4"/>
      <c r="C184" s="485"/>
      <c r="D184" s="12"/>
      <c r="E184" s="12"/>
      <c r="F184" s="98"/>
      <c r="G184" s="269"/>
    </row>
    <row r="185" spans="1:7">
      <c r="A185" s="485"/>
      <c r="B185" s="4"/>
      <c r="C185" s="485"/>
      <c r="D185" s="12"/>
      <c r="E185" s="12"/>
      <c r="F185" s="98"/>
      <c r="G185" s="269"/>
    </row>
    <row r="186" spans="1:7">
      <c r="A186" s="485"/>
      <c r="B186" s="4"/>
      <c r="C186" s="485"/>
      <c r="D186" s="12"/>
      <c r="E186" s="12"/>
      <c r="F186" s="98"/>
      <c r="G186" s="269"/>
    </row>
    <row r="187" spans="1:7">
      <c r="A187" s="485"/>
      <c r="B187" s="4"/>
      <c r="C187" s="485"/>
      <c r="D187" s="12"/>
      <c r="E187" s="12"/>
      <c r="F187" s="98"/>
      <c r="G187" s="269"/>
    </row>
    <row r="188" spans="1:7">
      <c r="A188" s="485"/>
      <c r="B188" s="4"/>
      <c r="C188" s="485"/>
      <c r="D188" s="12"/>
      <c r="E188" s="12"/>
      <c r="F188" s="98"/>
      <c r="G188" s="269"/>
    </row>
    <row r="189" spans="1:7">
      <c r="A189" s="485"/>
      <c r="B189" s="4"/>
      <c r="C189" s="485"/>
      <c r="D189" s="12"/>
      <c r="E189" s="12"/>
      <c r="F189" s="98"/>
      <c r="G189" s="269"/>
    </row>
    <row r="190" spans="1:7">
      <c r="A190" s="485"/>
      <c r="B190" s="4"/>
      <c r="C190" s="485"/>
      <c r="D190" s="12"/>
      <c r="E190" s="12"/>
      <c r="F190" s="98"/>
      <c r="G190" s="269"/>
    </row>
    <row r="191" spans="1:7">
      <c r="A191" s="485"/>
      <c r="B191" s="4"/>
      <c r="C191" s="485"/>
      <c r="D191" s="12"/>
      <c r="E191" s="12"/>
      <c r="F191" s="98"/>
      <c r="G191" s="269"/>
    </row>
    <row r="192" spans="1:7">
      <c r="A192" s="485"/>
      <c r="B192" s="4"/>
      <c r="C192" s="485"/>
      <c r="D192" s="12"/>
      <c r="E192" s="12"/>
      <c r="F192" s="98"/>
      <c r="G192" s="269"/>
    </row>
    <row r="193" spans="1:7">
      <c r="A193" s="485"/>
      <c r="B193" s="4"/>
      <c r="C193" s="485"/>
      <c r="D193" s="12"/>
      <c r="E193" s="12"/>
      <c r="F193" s="98"/>
      <c r="G193" s="269"/>
    </row>
    <row r="194" spans="1:7">
      <c r="A194" s="485"/>
      <c r="B194" s="4"/>
      <c r="C194" s="485"/>
      <c r="D194" s="12"/>
      <c r="E194" s="12"/>
      <c r="F194" s="98"/>
      <c r="G194" s="269"/>
    </row>
    <row r="195" spans="1:7">
      <c r="A195" s="485"/>
      <c r="B195" s="4"/>
      <c r="C195" s="485"/>
      <c r="D195" s="12"/>
      <c r="E195" s="12"/>
      <c r="F195" s="98"/>
      <c r="G195" s="269"/>
    </row>
    <row r="196" spans="1:7">
      <c r="A196" s="485"/>
      <c r="B196" s="4"/>
      <c r="C196" s="485"/>
      <c r="D196" s="12"/>
      <c r="E196" s="12"/>
      <c r="F196" s="98"/>
      <c r="G196" s="269"/>
    </row>
    <row r="197" spans="1:7">
      <c r="A197" s="485"/>
      <c r="B197" s="4"/>
      <c r="C197" s="485"/>
      <c r="D197" s="12"/>
      <c r="E197" s="12"/>
      <c r="F197" s="98"/>
      <c r="G197" s="269"/>
    </row>
    <row r="198" spans="1:7">
      <c r="A198" s="485"/>
      <c r="B198" s="4"/>
      <c r="C198" s="485"/>
      <c r="D198" s="12"/>
      <c r="E198" s="12"/>
      <c r="F198" s="98"/>
      <c r="G198" s="269"/>
    </row>
    <row r="199" spans="1:7">
      <c r="A199" s="485"/>
      <c r="B199" s="4"/>
      <c r="C199" s="485"/>
      <c r="D199" s="12"/>
      <c r="E199" s="12"/>
      <c r="F199" s="98"/>
      <c r="G199" s="269"/>
    </row>
    <row r="200" spans="1:7">
      <c r="A200" s="485"/>
      <c r="B200" s="4"/>
      <c r="C200" s="485"/>
      <c r="D200" s="12"/>
      <c r="E200" s="12"/>
      <c r="F200" s="98"/>
      <c r="G200" s="269"/>
    </row>
    <row r="201" spans="1:7">
      <c r="A201" s="485"/>
      <c r="B201" s="4"/>
      <c r="C201" s="485"/>
      <c r="D201" s="12"/>
      <c r="E201" s="12"/>
      <c r="F201" s="98"/>
      <c r="G201" s="269"/>
    </row>
    <row r="202" spans="1:7">
      <c r="A202" s="485"/>
      <c r="B202" s="4"/>
      <c r="C202" s="485"/>
      <c r="D202" s="12"/>
      <c r="E202" s="12"/>
      <c r="F202" s="98"/>
      <c r="G202" s="269"/>
    </row>
    <row r="203" spans="1:7">
      <c r="A203" s="485"/>
      <c r="B203" s="4"/>
      <c r="C203" s="485"/>
      <c r="D203" s="12"/>
      <c r="E203" s="12"/>
      <c r="F203" s="98"/>
      <c r="G203" s="269"/>
    </row>
    <row r="204" spans="1:7">
      <c r="A204" s="485"/>
      <c r="B204" s="4"/>
      <c r="C204" s="485"/>
      <c r="D204" s="12"/>
      <c r="E204" s="12"/>
      <c r="F204" s="98"/>
      <c r="G204" s="269"/>
    </row>
    <row r="205" spans="1:7">
      <c r="A205" s="485"/>
      <c r="B205" s="4"/>
      <c r="C205" s="485"/>
      <c r="D205" s="12"/>
      <c r="E205" s="12"/>
      <c r="F205" s="98"/>
      <c r="G205" s="269"/>
    </row>
    <row r="206" spans="1:7">
      <c r="A206" s="485"/>
      <c r="B206" s="4"/>
      <c r="C206" s="485"/>
      <c r="D206" s="12"/>
      <c r="E206" s="12"/>
      <c r="F206" s="98"/>
      <c r="G206" s="269"/>
    </row>
    <row r="207" spans="1:7">
      <c r="A207" s="485"/>
      <c r="B207" s="4"/>
      <c r="C207" s="485"/>
      <c r="D207" s="12"/>
      <c r="E207" s="12"/>
      <c r="F207" s="98"/>
      <c r="G207" s="269"/>
    </row>
    <row r="208" spans="1:7">
      <c r="A208" s="485"/>
      <c r="B208" s="4"/>
      <c r="C208" s="485"/>
      <c r="D208" s="12"/>
      <c r="E208" s="12"/>
      <c r="F208" s="98"/>
      <c r="G208" s="269"/>
    </row>
    <row r="209" spans="1:7">
      <c r="A209" s="485"/>
      <c r="B209" s="4"/>
      <c r="C209" s="485"/>
      <c r="D209" s="12"/>
      <c r="E209" s="12"/>
      <c r="F209" s="98"/>
      <c r="G209" s="269"/>
    </row>
    <row r="210" spans="1:7">
      <c r="A210" s="485"/>
      <c r="B210" s="4"/>
      <c r="C210" s="485"/>
      <c r="D210" s="12"/>
      <c r="E210" s="12"/>
      <c r="F210" s="98"/>
      <c r="G210" s="269"/>
    </row>
    <row r="211" spans="1:7">
      <c r="A211" s="485"/>
      <c r="B211" s="4"/>
      <c r="C211" s="485"/>
      <c r="D211" s="12"/>
      <c r="E211" s="12"/>
      <c r="F211" s="98"/>
      <c r="G211" s="269"/>
    </row>
    <row r="212" spans="1:7">
      <c r="A212" s="485"/>
      <c r="B212" s="4"/>
      <c r="C212" s="485"/>
      <c r="D212" s="12"/>
      <c r="E212" s="12"/>
      <c r="F212" s="98"/>
      <c r="G212" s="269"/>
    </row>
    <row r="213" spans="1:7">
      <c r="A213" s="485"/>
      <c r="B213" s="4"/>
      <c r="C213" s="485"/>
      <c r="D213" s="12"/>
      <c r="E213" s="12"/>
      <c r="F213" s="98"/>
      <c r="G213" s="269"/>
    </row>
    <row r="214" spans="1:7">
      <c r="A214" s="485"/>
      <c r="B214" s="4"/>
      <c r="C214" s="485"/>
      <c r="D214" s="12"/>
      <c r="E214" s="12"/>
      <c r="F214" s="98"/>
      <c r="G214" s="269"/>
    </row>
    <row r="215" spans="1:7">
      <c r="A215" s="485"/>
      <c r="B215" s="4"/>
      <c r="C215" s="485"/>
      <c r="D215" s="12"/>
      <c r="E215" s="12"/>
      <c r="F215" s="98"/>
      <c r="G215" s="269"/>
    </row>
    <row r="216" spans="1:7">
      <c r="A216" s="485"/>
      <c r="B216" s="4"/>
      <c r="C216" s="485"/>
      <c r="D216" s="12"/>
      <c r="E216" s="12"/>
      <c r="F216" s="98"/>
      <c r="G216" s="269"/>
    </row>
    <row r="217" spans="1:7">
      <c r="A217" s="485"/>
      <c r="B217" s="4"/>
      <c r="C217" s="485"/>
      <c r="D217" s="12"/>
      <c r="E217" s="12"/>
      <c r="F217" s="98"/>
      <c r="G217" s="269"/>
    </row>
    <row r="218" spans="1:7">
      <c r="A218" s="485"/>
      <c r="B218" s="4"/>
      <c r="C218" s="485"/>
      <c r="D218" s="12"/>
      <c r="E218" s="12"/>
      <c r="F218" s="98"/>
      <c r="G218" s="269"/>
    </row>
    <row r="219" spans="1:7">
      <c r="A219" s="485"/>
      <c r="B219" s="4"/>
      <c r="C219" s="485"/>
      <c r="D219" s="12"/>
      <c r="E219" s="12"/>
      <c r="F219" s="98"/>
      <c r="G219" s="269"/>
    </row>
    <row r="220" spans="1:7">
      <c r="A220" s="485"/>
      <c r="B220" s="4"/>
      <c r="C220" s="485"/>
      <c r="D220" s="12"/>
      <c r="E220" s="12"/>
      <c r="F220" s="98"/>
      <c r="G220" s="269"/>
    </row>
    <row r="221" spans="1:7">
      <c r="A221" s="485"/>
      <c r="B221" s="4"/>
      <c r="C221" s="485"/>
      <c r="D221" s="12"/>
      <c r="E221" s="12"/>
      <c r="F221" s="98"/>
      <c r="G221" s="269"/>
    </row>
    <row r="222" spans="1:7">
      <c r="A222" s="485"/>
      <c r="B222" s="4"/>
      <c r="C222" s="485"/>
      <c r="D222" s="12"/>
      <c r="E222" s="12"/>
      <c r="F222" s="98"/>
      <c r="G222" s="269"/>
    </row>
    <row r="223" spans="1:7">
      <c r="A223" s="485"/>
      <c r="B223" s="4"/>
      <c r="C223" s="485"/>
      <c r="D223" s="12"/>
      <c r="E223" s="12"/>
      <c r="F223" s="98"/>
      <c r="G223" s="269"/>
    </row>
    <row r="224" spans="1:7">
      <c r="A224" s="485"/>
      <c r="B224" s="4"/>
      <c r="C224" s="485"/>
      <c r="D224" s="12"/>
      <c r="E224" s="12"/>
      <c r="F224" s="98"/>
      <c r="G224" s="269"/>
    </row>
    <row r="225" spans="1:7">
      <c r="A225" s="485"/>
      <c r="B225" s="4"/>
      <c r="C225" s="485"/>
      <c r="D225" s="12"/>
      <c r="E225" s="12"/>
      <c r="F225" s="98"/>
      <c r="G225" s="269"/>
    </row>
    <row r="226" spans="1:7">
      <c r="A226" s="485"/>
      <c r="B226" s="4"/>
      <c r="C226" s="485"/>
      <c r="D226" s="12"/>
      <c r="E226" s="12"/>
      <c r="F226" s="98"/>
      <c r="G226" s="269"/>
    </row>
    <row r="227" spans="1:7">
      <c r="A227" s="485"/>
      <c r="B227" s="4"/>
      <c r="C227" s="485"/>
      <c r="D227" s="12"/>
      <c r="E227" s="12"/>
      <c r="F227" s="98"/>
      <c r="G227" s="269"/>
    </row>
    <row r="228" spans="1:7">
      <c r="A228" s="485"/>
      <c r="B228" s="4"/>
      <c r="C228" s="485"/>
      <c r="D228" s="12"/>
      <c r="E228" s="12"/>
      <c r="F228" s="98"/>
      <c r="G228" s="269"/>
    </row>
    <row r="229" spans="1:7">
      <c r="A229" s="485"/>
      <c r="B229" s="4"/>
      <c r="C229" s="485"/>
      <c r="D229" s="12"/>
      <c r="E229" s="12"/>
      <c r="F229" s="98"/>
      <c r="G229" s="269"/>
    </row>
    <row r="230" spans="1:7">
      <c r="A230" s="485"/>
      <c r="B230" s="4"/>
      <c r="C230" s="485"/>
      <c r="D230" s="12"/>
      <c r="E230" s="12"/>
      <c r="F230" s="98"/>
      <c r="G230" s="269"/>
    </row>
    <row r="231" spans="1:7">
      <c r="A231" s="485"/>
      <c r="B231" s="4"/>
      <c r="C231" s="485"/>
      <c r="D231" s="12"/>
      <c r="E231" s="12"/>
      <c r="F231" s="98"/>
      <c r="G231" s="269"/>
    </row>
    <row r="232" spans="1:7">
      <c r="A232" s="485"/>
      <c r="B232" s="4"/>
      <c r="C232" s="485"/>
      <c r="D232" s="12"/>
      <c r="E232" s="12"/>
      <c r="F232" s="98"/>
      <c r="G232" s="269"/>
    </row>
    <row r="233" spans="1:7">
      <c r="A233" s="485"/>
      <c r="B233" s="4"/>
      <c r="C233" s="485"/>
      <c r="D233" s="12"/>
      <c r="E233" s="12"/>
      <c r="F233" s="98"/>
      <c r="G233" s="269"/>
    </row>
    <row r="234" spans="1:7">
      <c r="A234" s="485"/>
      <c r="B234" s="4"/>
      <c r="C234" s="485"/>
      <c r="D234" s="12"/>
      <c r="E234" s="12"/>
      <c r="F234" s="98"/>
      <c r="G234" s="269"/>
    </row>
    <row r="235" spans="1:7">
      <c r="A235" s="485"/>
      <c r="B235" s="4"/>
      <c r="C235" s="485"/>
      <c r="D235" s="12"/>
      <c r="E235" s="12"/>
      <c r="F235" s="98"/>
      <c r="G235" s="269"/>
    </row>
    <row r="236" spans="1:7">
      <c r="A236" s="485"/>
      <c r="B236" s="4"/>
      <c r="C236" s="485"/>
      <c r="D236" s="12"/>
      <c r="E236" s="12"/>
      <c r="F236" s="98"/>
      <c r="G236" s="269"/>
    </row>
    <row r="237" spans="1:7">
      <c r="A237" s="485"/>
      <c r="B237" s="4"/>
      <c r="C237" s="485"/>
      <c r="D237" s="12"/>
      <c r="E237" s="12"/>
      <c r="F237" s="98"/>
      <c r="G237" s="269"/>
    </row>
    <row r="238" spans="1:7">
      <c r="A238" s="485"/>
      <c r="B238" s="4"/>
      <c r="C238" s="485"/>
      <c r="D238" s="12"/>
      <c r="E238" s="12"/>
      <c r="F238" s="98"/>
      <c r="G238" s="269"/>
    </row>
    <row r="239" spans="1:7">
      <c r="A239" s="485"/>
      <c r="B239" s="4"/>
      <c r="C239" s="485"/>
      <c r="D239" s="12"/>
      <c r="E239" s="12"/>
      <c r="F239" s="98"/>
      <c r="G239" s="269"/>
    </row>
    <row r="240" spans="1:7">
      <c r="A240" s="485"/>
      <c r="B240" s="4"/>
      <c r="C240" s="485"/>
      <c r="D240" s="12"/>
      <c r="E240" s="12"/>
      <c r="F240" s="98"/>
      <c r="G240" s="269"/>
    </row>
    <row r="241" spans="1:7">
      <c r="A241" s="485"/>
      <c r="B241" s="4"/>
      <c r="C241" s="485"/>
      <c r="D241" s="12"/>
      <c r="E241" s="12"/>
      <c r="F241" s="98"/>
      <c r="G241" s="269"/>
    </row>
  </sheetData>
  <sheetProtection sheet="1" selectLockedCells="1" selectUnlockedCells="1"/>
  <mergeCells count="25">
    <mergeCell ref="G106:G107"/>
    <mergeCell ref="G3:G4"/>
    <mergeCell ref="G22:G23"/>
    <mergeCell ref="G48:G49"/>
    <mergeCell ref="G73:G74"/>
    <mergeCell ref="G90:G91"/>
    <mergeCell ref="I119:I122"/>
    <mergeCell ref="I57:I61"/>
    <mergeCell ref="I63:I67"/>
    <mergeCell ref="I69:I72"/>
    <mergeCell ref="I76:I78"/>
    <mergeCell ref="I80:I84"/>
    <mergeCell ref="I86:I89"/>
    <mergeCell ref="I93:I94"/>
    <mergeCell ref="I96:I100"/>
    <mergeCell ref="I102:I105"/>
    <mergeCell ref="I109:I112"/>
    <mergeCell ref="I114:I117"/>
    <mergeCell ref="I30:I38"/>
    <mergeCell ref="I40:I47"/>
    <mergeCell ref="I25:I28"/>
    <mergeCell ref="I51:I55"/>
    <mergeCell ref="I6:I11"/>
    <mergeCell ref="I13:I15"/>
    <mergeCell ref="I17:I21"/>
  </mergeCells>
  <conditionalFormatting sqref="C3">
    <cfRule type="expression" dxfId="672" priority="101" stopIfTrue="1">
      <formula>C3&lt;0.25</formula>
    </cfRule>
    <cfRule type="expression" dxfId="671" priority="102" stopIfTrue="1">
      <formula>C3&lt;0.5</formula>
    </cfRule>
    <cfRule type="expression" dxfId="670" priority="103" stopIfTrue="1">
      <formula>C3&lt;0.75</formula>
    </cfRule>
    <cfRule type="expression" dxfId="669" priority="104">
      <formula>C3&gt;=0.75</formula>
    </cfRule>
  </conditionalFormatting>
  <conditionalFormatting sqref="C5">
    <cfRule type="expression" dxfId="668" priority="97" stopIfTrue="1">
      <formula>C5&lt;0.25</formula>
    </cfRule>
    <cfRule type="expression" dxfId="667" priority="98" stopIfTrue="1">
      <formula>C5&lt;0.5</formula>
    </cfRule>
    <cfRule type="expression" dxfId="666" priority="99" stopIfTrue="1">
      <formula>C5&lt;0.75</formula>
    </cfRule>
    <cfRule type="expression" dxfId="665" priority="100">
      <formula>C5&gt;=0.75</formula>
    </cfRule>
  </conditionalFormatting>
  <conditionalFormatting sqref="C12">
    <cfRule type="expression" dxfId="664" priority="93" stopIfTrue="1">
      <formula>C12&lt;0.25</formula>
    </cfRule>
    <cfRule type="expression" dxfId="663" priority="94" stopIfTrue="1">
      <formula>C12&lt;0.5</formula>
    </cfRule>
    <cfRule type="expression" dxfId="662" priority="95" stopIfTrue="1">
      <formula>C12&lt;0.75</formula>
    </cfRule>
    <cfRule type="expression" dxfId="661" priority="96">
      <formula>C12&gt;=0.75</formula>
    </cfRule>
  </conditionalFormatting>
  <conditionalFormatting sqref="C16">
    <cfRule type="expression" dxfId="660" priority="89" stopIfTrue="1">
      <formula>C16&lt;0.25</formula>
    </cfRule>
    <cfRule type="expression" dxfId="659" priority="90" stopIfTrue="1">
      <formula>C16&lt;0.5</formula>
    </cfRule>
    <cfRule type="expression" dxfId="658" priority="91" stopIfTrue="1">
      <formula>C16&lt;0.75</formula>
    </cfRule>
    <cfRule type="expression" dxfId="657" priority="92">
      <formula>C16&gt;=0.75</formula>
    </cfRule>
  </conditionalFormatting>
  <conditionalFormatting sqref="C22">
    <cfRule type="expression" dxfId="656" priority="85" stopIfTrue="1">
      <formula>C22&lt;0.25</formula>
    </cfRule>
    <cfRule type="expression" dxfId="655" priority="86" stopIfTrue="1">
      <formula>C22&lt;0.5</formula>
    </cfRule>
    <cfRule type="expression" dxfId="654" priority="87" stopIfTrue="1">
      <formula>C22&lt;0.75</formula>
    </cfRule>
    <cfRule type="expression" dxfId="653" priority="88">
      <formula>C22&gt;=0.75</formula>
    </cfRule>
  </conditionalFormatting>
  <conditionalFormatting sqref="C24">
    <cfRule type="expression" dxfId="652" priority="81" stopIfTrue="1">
      <formula>C24&lt;0.25</formula>
    </cfRule>
    <cfRule type="expression" dxfId="651" priority="82" stopIfTrue="1">
      <formula>C24&lt;0.5</formula>
    </cfRule>
    <cfRule type="expression" dxfId="650" priority="83" stopIfTrue="1">
      <formula>C24&lt;0.75</formula>
    </cfRule>
    <cfRule type="expression" dxfId="649" priority="84">
      <formula>C24&gt;=0.75</formula>
    </cfRule>
  </conditionalFormatting>
  <conditionalFormatting sqref="C29">
    <cfRule type="expression" dxfId="648" priority="77" stopIfTrue="1">
      <formula>C29&lt;0.25</formula>
    </cfRule>
    <cfRule type="expression" dxfId="647" priority="78" stopIfTrue="1">
      <formula>C29&lt;0.5</formula>
    </cfRule>
    <cfRule type="expression" dxfId="646" priority="79" stopIfTrue="1">
      <formula>C29&lt;0.75</formula>
    </cfRule>
    <cfRule type="expression" dxfId="645" priority="80">
      <formula>C29&gt;=0.75</formula>
    </cfRule>
  </conditionalFormatting>
  <conditionalFormatting sqref="C39">
    <cfRule type="expression" dxfId="644" priority="73" stopIfTrue="1">
      <formula>C39&lt;0.25</formula>
    </cfRule>
    <cfRule type="expression" dxfId="643" priority="74" stopIfTrue="1">
      <formula>C39&lt;0.5</formula>
    </cfRule>
    <cfRule type="expression" dxfId="642" priority="75" stopIfTrue="1">
      <formula>C39&lt;0.75</formula>
    </cfRule>
    <cfRule type="expression" dxfId="641" priority="76">
      <formula>C39&gt;=0.75</formula>
    </cfRule>
  </conditionalFormatting>
  <conditionalFormatting sqref="C48">
    <cfRule type="expression" dxfId="640" priority="69" stopIfTrue="1">
      <formula>C48&lt;0.25</formula>
    </cfRule>
    <cfRule type="expression" dxfId="639" priority="70" stopIfTrue="1">
      <formula>C48&lt;0.5</formula>
    </cfRule>
    <cfRule type="expression" dxfId="638" priority="71" stopIfTrue="1">
      <formula>C48&lt;0.75</formula>
    </cfRule>
    <cfRule type="expression" dxfId="637" priority="72">
      <formula>C48&gt;=0.75</formula>
    </cfRule>
  </conditionalFormatting>
  <conditionalFormatting sqref="C50">
    <cfRule type="expression" dxfId="636" priority="65" stopIfTrue="1">
      <formula>C50&lt;0.25</formula>
    </cfRule>
    <cfRule type="expression" dxfId="635" priority="66" stopIfTrue="1">
      <formula>C50&lt;0.5</formula>
    </cfRule>
    <cfRule type="expression" dxfId="634" priority="67" stopIfTrue="1">
      <formula>C50&lt;0.75</formula>
    </cfRule>
    <cfRule type="expression" dxfId="633" priority="68">
      <formula>C50&gt;=0.75</formula>
    </cfRule>
  </conditionalFormatting>
  <conditionalFormatting sqref="C56">
    <cfRule type="expression" dxfId="632" priority="61" stopIfTrue="1">
      <formula>C56&lt;0.25</formula>
    </cfRule>
    <cfRule type="expression" dxfId="631" priority="62" stopIfTrue="1">
      <formula>C56&lt;0.5</formula>
    </cfRule>
    <cfRule type="expression" dxfId="630" priority="63" stopIfTrue="1">
      <formula>C56&lt;0.75</formula>
    </cfRule>
    <cfRule type="expression" dxfId="629" priority="64">
      <formula>C56&gt;=0.75</formula>
    </cfRule>
  </conditionalFormatting>
  <conditionalFormatting sqref="C62">
    <cfRule type="expression" dxfId="628" priority="57" stopIfTrue="1">
      <formula>C62&lt;0.25</formula>
    </cfRule>
    <cfRule type="expression" dxfId="627" priority="58" stopIfTrue="1">
      <formula>C62&lt;0.5</formula>
    </cfRule>
    <cfRule type="expression" dxfId="626" priority="59" stopIfTrue="1">
      <formula>C62&lt;0.75</formula>
    </cfRule>
    <cfRule type="expression" dxfId="625" priority="60">
      <formula>C62&gt;=0.75</formula>
    </cfRule>
  </conditionalFormatting>
  <conditionalFormatting sqref="C68">
    <cfRule type="expression" dxfId="624" priority="53" stopIfTrue="1">
      <formula>C68&lt;0.25</formula>
    </cfRule>
    <cfRule type="expression" dxfId="623" priority="54" stopIfTrue="1">
      <formula>C68&lt;0.5</formula>
    </cfRule>
    <cfRule type="expression" dxfId="622" priority="55" stopIfTrue="1">
      <formula>C68&lt;0.75</formula>
    </cfRule>
    <cfRule type="expression" dxfId="621" priority="56">
      <formula>C68&gt;=0.75</formula>
    </cfRule>
  </conditionalFormatting>
  <conditionalFormatting sqref="C73">
    <cfRule type="expression" dxfId="620" priority="49" stopIfTrue="1">
      <formula>C73&lt;0.25</formula>
    </cfRule>
    <cfRule type="expression" dxfId="619" priority="50" stopIfTrue="1">
      <formula>C73&lt;0.5</formula>
    </cfRule>
    <cfRule type="expression" dxfId="618" priority="51" stopIfTrue="1">
      <formula>C73&lt;0.75</formula>
    </cfRule>
    <cfRule type="expression" dxfId="617" priority="52">
      <formula>C73&gt;=0.75</formula>
    </cfRule>
  </conditionalFormatting>
  <conditionalFormatting sqref="C75">
    <cfRule type="expression" dxfId="616" priority="45" stopIfTrue="1">
      <formula>C75&lt;0.25</formula>
    </cfRule>
    <cfRule type="expression" dxfId="615" priority="46" stopIfTrue="1">
      <formula>C75&lt;0.5</formula>
    </cfRule>
    <cfRule type="expression" dxfId="614" priority="47" stopIfTrue="1">
      <formula>C75&lt;0.75</formula>
    </cfRule>
    <cfRule type="expression" dxfId="613" priority="48">
      <formula>C75&gt;=0.75</formula>
    </cfRule>
  </conditionalFormatting>
  <conditionalFormatting sqref="C79">
    <cfRule type="expression" dxfId="612" priority="41" stopIfTrue="1">
      <formula>C79&lt;0.25</formula>
    </cfRule>
    <cfRule type="expression" dxfId="611" priority="42" stopIfTrue="1">
      <formula>C79&lt;0.5</formula>
    </cfRule>
    <cfRule type="expression" dxfId="610" priority="43" stopIfTrue="1">
      <formula>C79&lt;0.75</formula>
    </cfRule>
    <cfRule type="expression" dxfId="609" priority="44">
      <formula>C79&gt;=0.75</formula>
    </cfRule>
  </conditionalFormatting>
  <conditionalFormatting sqref="C85">
    <cfRule type="expression" dxfId="608" priority="37" stopIfTrue="1">
      <formula>C85&lt;0.25</formula>
    </cfRule>
    <cfRule type="expression" dxfId="607" priority="38" stopIfTrue="1">
      <formula>C85&lt;0.5</formula>
    </cfRule>
    <cfRule type="expression" dxfId="606" priority="39" stopIfTrue="1">
      <formula>C85&lt;0.75</formula>
    </cfRule>
    <cfRule type="expression" dxfId="605" priority="40">
      <formula>C85&gt;=0.75</formula>
    </cfRule>
  </conditionalFormatting>
  <conditionalFormatting sqref="C90">
    <cfRule type="expression" dxfId="604" priority="33" stopIfTrue="1">
      <formula>C90&lt;0.25</formula>
    </cfRule>
    <cfRule type="expression" dxfId="603" priority="34" stopIfTrue="1">
      <formula>C90&lt;0.5</formula>
    </cfRule>
    <cfRule type="expression" dxfId="602" priority="35" stopIfTrue="1">
      <formula>C90&lt;0.75</formula>
    </cfRule>
    <cfRule type="expression" dxfId="601" priority="36">
      <formula>C90&gt;=0.75</formula>
    </cfRule>
  </conditionalFormatting>
  <conditionalFormatting sqref="C95">
    <cfRule type="expression" dxfId="600" priority="25" stopIfTrue="1">
      <formula>C95&lt;0.25</formula>
    </cfRule>
    <cfRule type="expression" dxfId="599" priority="26" stopIfTrue="1">
      <formula>C95&lt;0.5</formula>
    </cfRule>
    <cfRule type="expression" dxfId="598" priority="27" stopIfTrue="1">
      <formula>C95&lt;0.75</formula>
    </cfRule>
    <cfRule type="expression" dxfId="597" priority="28">
      <formula>C95&gt;=0.75</formula>
    </cfRule>
  </conditionalFormatting>
  <conditionalFormatting sqref="C101">
    <cfRule type="expression" dxfId="596" priority="21" stopIfTrue="1">
      <formula>C101&lt;0.25</formula>
    </cfRule>
    <cfRule type="expression" dxfId="595" priority="22" stopIfTrue="1">
      <formula>C101&lt;0.5</formula>
    </cfRule>
    <cfRule type="expression" dxfId="594" priority="23" stopIfTrue="1">
      <formula>C101&lt;0.75</formula>
    </cfRule>
    <cfRule type="expression" dxfId="593" priority="24">
      <formula>C101&gt;=0.75</formula>
    </cfRule>
  </conditionalFormatting>
  <conditionalFormatting sqref="C92">
    <cfRule type="expression" dxfId="592" priority="17" stopIfTrue="1">
      <formula>C92&lt;0.25</formula>
    </cfRule>
    <cfRule type="expression" dxfId="591" priority="18" stopIfTrue="1">
      <formula>C92&lt;0.5</formula>
    </cfRule>
    <cfRule type="expression" dxfId="590" priority="19" stopIfTrue="1">
      <formula>C92&lt;0.75</formula>
    </cfRule>
    <cfRule type="expression" dxfId="589" priority="20">
      <formula>C92&gt;=0.75</formula>
    </cfRule>
  </conditionalFormatting>
  <conditionalFormatting sqref="C106">
    <cfRule type="expression" dxfId="588" priority="13" stopIfTrue="1">
      <formula>C106&lt;0.25</formula>
    </cfRule>
    <cfRule type="expression" dxfId="587" priority="14" stopIfTrue="1">
      <formula>C106&lt;0.5</formula>
    </cfRule>
    <cfRule type="expression" dxfId="586" priority="15" stopIfTrue="1">
      <formula>C106&lt;0.75</formula>
    </cfRule>
    <cfRule type="expression" dxfId="585" priority="16">
      <formula>C106&gt;=0.75</formula>
    </cfRule>
  </conditionalFormatting>
  <conditionalFormatting sqref="C108">
    <cfRule type="expression" dxfId="584" priority="9" stopIfTrue="1">
      <formula>C108&lt;0.25</formula>
    </cfRule>
    <cfRule type="expression" dxfId="583" priority="10" stopIfTrue="1">
      <formula>C108&lt;0.5</formula>
    </cfRule>
    <cfRule type="expression" dxfId="582" priority="11" stopIfTrue="1">
      <formula>C108&lt;0.75</formula>
    </cfRule>
    <cfRule type="expression" dxfId="581" priority="12">
      <formula>C108&gt;=0.75</formula>
    </cfRule>
  </conditionalFormatting>
  <conditionalFormatting sqref="C113">
    <cfRule type="expression" dxfId="580" priority="5" stopIfTrue="1">
      <formula>C113&lt;0.25</formula>
    </cfRule>
    <cfRule type="expression" dxfId="579" priority="6" stopIfTrue="1">
      <formula>C113&lt;0.5</formula>
    </cfRule>
    <cfRule type="expression" dxfId="578" priority="7" stopIfTrue="1">
      <formula>C113&lt;0.75</formula>
    </cfRule>
    <cfRule type="expression" dxfId="577" priority="8">
      <formula>C113&gt;=0.75</formula>
    </cfRule>
  </conditionalFormatting>
  <conditionalFormatting sqref="C118">
    <cfRule type="expression" dxfId="576" priority="1" stopIfTrue="1">
      <formula>C118&lt;0.25</formula>
    </cfRule>
    <cfRule type="expression" dxfId="575" priority="2" stopIfTrue="1">
      <formula>C118&lt;0.5</formula>
    </cfRule>
    <cfRule type="expression" dxfId="574" priority="3" stopIfTrue="1">
      <formula>C118&lt;0.75</formula>
    </cfRule>
    <cfRule type="expression" dxfId="573" priority="4">
      <formula>C118&gt;=0.75</formula>
    </cfRule>
  </conditionalFormatting>
  <pageMargins left="0.25" right="0.25" top="0.75" bottom="0.75" header="0.3" footer="0.3"/>
  <pageSetup scale="34" fitToHeight="0"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iconSet" priority="540" id="{4F2A46AE-0DDA-4703-BD4D-3707376195FC}">
            <x14:iconSet iconSet="3Stars" showValue="0" custom="1">
              <x14:cfvo type="percent">
                <xm:f>0</xm:f>
              </x14:cfvo>
              <x14:cfvo type="num" gte="0">
                <xm:f>1</xm:f>
              </x14:cfvo>
              <x14:cfvo type="num">
                <xm:f>5</xm:f>
              </x14:cfvo>
              <x14:cfIcon iconSet="3Stars" iconId="0"/>
              <x14:cfIcon iconSet="3Stars" iconId="2"/>
              <x14:cfIcon iconSet="NoIcons" iconId="0"/>
            </x14:iconSet>
          </x14:cfRule>
          <xm:sqref>D6</xm:sqref>
        </x14:conditionalFormatting>
        <x14:conditionalFormatting xmlns:xm="http://schemas.microsoft.com/office/excel/2006/main">
          <x14:cfRule type="iconSet" priority="539" id="{F3323B76-6F82-4AB4-8B89-701E141261A1}">
            <x14:iconSet iconSet="3Stars" showValue="0" custom="1">
              <x14:cfvo type="percent">
                <xm:f>0</xm:f>
              </x14:cfvo>
              <x14:cfvo type="num" gte="0">
                <xm:f>2</xm:f>
              </x14:cfvo>
              <x14:cfvo type="num">
                <xm:f>5</xm:f>
              </x14:cfvo>
              <x14:cfIcon iconSet="3Stars" iconId="0"/>
              <x14:cfIcon iconSet="3Stars" iconId="2"/>
              <x14:cfIcon iconSet="3Signs" iconId="1"/>
            </x14:iconSet>
          </x14:cfRule>
          <xm:sqref>E6</xm:sqref>
        </x14:conditionalFormatting>
        <x14:conditionalFormatting xmlns:xm="http://schemas.microsoft.com/office/excel/2006/main">
          <x14:cfRule type="iconSet" priority="538" id="{2E820F4A-2C2D-4532-AB57-424CD7B32400}">
            <x14:iconSet iconSet="3Stars" showValue="0" custom="1">
              <x14:cfvo type="percent">
                <xm:f>0</xm:f>
              </x14:cfvo>
              <x14:cfvo type="num" gte="0">
                <xm:f>3</xm:f>
              </x14:cfvo>
              <x14:cfvo type="num">
                <xm:f>5</xm:f>
              </x14:cfvo>
              <x14:cfIcon iconSet="3Stars" iconId="0"/>
              <x14:cfIcon iconSet="3Stars" iconId="2"/>
              <x14:cfIcon iconSet="NoIcons" iconId="0"/>
            </x14:iconSet>
          </x14:cfRule>
          <xm:sqref>F6</xm:sqref>
        </x14:conditionalFormatting>
        <x14:conditionalFormatting xmlns:xm="http://schemas.microsoft.com/office/excel/2006/main">
          <x14:cfRule type="iconSet" priority="368" id="{EC8E4721-66E9-4A0A-B0E0-451BF383E5AB}">
            <x14:iconSet iconSet="3Stars" showValue="0" custom="1">
              <x14:cfvo type="percent">
                <xm:f>0</xm:f>
              </x14:cfvo>
              <x14:cfvo type="num" gte="0">
                <xm:f>1</xm:f>
              </x14:cfvo>
              <x14:cfvo type="num">
                <xm:f>5</xm:f>
              </x14:cfvo>
              <x14:cfIcon iconSet="3Stars" iconId="0"/>
              <x14:cfIcon iconSet="3Stars" iconId="2"/>
              <x14:cfIcon iconSet="NoIcons" iconId="0"/>
            </x14:iconSet>
          </x14:cfRule>
          <xm:sqref>D7</xm:sqref>
        </x14:conditionalFormatting>
        <x14:conditionalFormatting xmlns:xm="http://schemas.microsoft.com/office/excel/2006/main">
          <x14:cfRule type="iconSet" priority="367" id="{8B44B666-3367-4CEE-B142-88AFAB78791D}">
            <x14:iconSet iconSet="3Stars" showValue="0" custom="1">
              <x14:cfvo type="percent">
                <xm:f>0</xm:f>
              </x14:cfvo>
              <x14:cfvo type="num" gte="0">
                <xm:f>2</xm:f>
              </x14:cfvo>
              <x14:cfvo type="num">
                <xm:f>5</xm:f>
              </x14:cfvo>
              <x14:cfIcon iconSet="3Stars" iconId="0"/>
              <x14:cfIcon iconSet="3Stars" iconId="2"/>
              <x14:cfIcon iconSet="3Signs" iconId="1"/>
            </x14:iconSet>
          </x14:cfRule>
          <xm:sqref>E7</xm:sqref>
        </x14:conditionalFormatting>
        <x14:conditionalFormatting xmlns:xm="http://schemas.microsoft.com/office/excel/2006/main">
          <x14:cfRule type="iconSet" priority="366" id="{E3A1C589-AD34-47C7-A85F-BDE7F63912C1}">
            <x14:iconSet iconSet="3Stars" showValue="0" custom="1">
              <x14:cfvo type="percent">
                <xm:f>0</xm:f>
              </x14:cfvo>
              <x14:cfvo type="num" gte="0">
                <xm:f>3</xm:f>
              </x14:cfvo>
              <x14:cfvo type="num">
                <xm:f>5</xm:f>
              </x14:cfvo>
              <x14:cfIcon iconSet="3Stars" iconId="0"/>
              <x14:cfIcon iconSet="3Stars" iconId="2"/>
              <x14:cfIcon iconSet="NoIcons" iconId="0"/>
            </x14:iconSet>
          </x14:cfRule>
          <xm:sqref>F7</xm:sqref>
        </x14:conditionalFormatting>
        <x14:conditionalFormatting xmlns:xm="http://schemas.microsoft.com/office/excel/2006/main">
          <x14:cfRule type="iconSet" priority="365" id="{3D8940C0-519D-417C-B604-EC76F36D455E}">
            <x14:iconSet iconSet="3Stars" showValue="0" custom="1">
              <x14:cfvo type="percent">
                <xm:f>0</xm:f>
              </x14:cfvo>
              <x14:cfvo type="num" gte="0">
                <xm:f>1</xm:f>
              </x14:cfvo>
              <x14:cfvo type="num">
                <xm:f>5</xm:f>
              </x14:cfvo>
              <x14:cfIcon iconSet="3Stars" iconId="0"/>
              <x14:cfIcon iconSet="3Stars" iconId="2"/>
              <x14:cfIcon iconSet="NoIcons" iconId="0"/>
            </x14:iconSet>
          </x14:cfRule>
          <xm:sqref>D8</xm:sqref>
        </x14:conditionalFormatting>
        <x14:conditionalFormatting xmlns:xm="http://schemas.microsoft.com/office/excel/2006/main">
          <x14:cfRule type="iconSet" priority="364" id="{8266BE8C-14D1-47F0-BCD4-D715D227163E}">
            <x14:iconSet iconSet="3Stars" showValue="0" custom="1">
              <x14:cfvo type="percent">
                <xm:f>0</xm:f>
              </x14:cfvo>
              <x14:cfvo type="num" gte="0">
                <xm:f>2</xm:f>
              </x14:cfvo>
              <x14:cfvo type="num">
                <xm:f>5</xm:f>
              </x14:cfvo>
              <x14:cfIcon iconSet="3Stars" iconId="0"/>
              <x14:cfIcon iconSet="3Stars" iconId="2"/>
              <x14:cfIcon iconSet="3Signs" iconId="1"/>
            </x14:iconSet>
          </x14:cfRule>
          <xm:sqref>E8</xm:sqref>
        </x14:conditionalFormatting>
        <x14:conditionalFormatting xmlns:xm="http://schemas.microsoft.com/office/excel/2006/main">
          <x14:cfRule type="iconSet" priority="363" id="{CAA6289A-0BF5-4ADE-A809-CFF8653FE51A}">
            <x14:iconSet iconSet="3Stars" showValue="0" custom="1">
              <x14:cfvo type="percent">
                <xm:f>0</xm:f>
              </x14:cfvo>
              <x14:cfvo type="num" gte="0">
                <xm:f>3</xm:f>
              </x14:cfvo>
              <x14:cfvo type="num">
                <xm:f>5</xm:f>
              </x14:cfvo>
              <x14:cfIcon iconSet="3Stars" iconId="0"/>
              <x14:cfIcon iconSet="3Stars" iconId="2"/>
              <x14:cfIcon iconSet="NoIcons" iconId="0"/>
            </x14:iconSet>
          </x14:cfRule>
          <xm:sqref>F8</xm:sqref>
        </x14:conditionalFormatting>
        <x14:conditionalFormatting xmlns:xm="http://schemas.microsoft.com/office/excel/2006/main">
          <x14:cfRule type="iconSet" priority="362" id="{945EC9F7-B158-4FA8-8BA0-55D8FE5E578B}">
            <x14:iconSet iconSet="3Stars" showValue="0" custom="1">
              <x14:cfvo type="percent">
                <xm:f>0</xm:f>
              </x14:cfvo>
              <x14:cfvo type="num" gte="0">
                <xm:f>1</xm:f>
              </x14:cfvo>
              <x14:cfvo type="num">
                <xm:f>5</xm:f>
              </x14:cfvo>
              <x14:cfIcon iconSet="3Stars" iconId="0"/>
              <x14:cfIcon iconSet="3Stars" iconId="2"/>
              <x14:cfIcon iconSet="NoIcons" iconId="0"/>
            </x14:iconSet>
          </x14:cfRule>
          <xm:sqref>D9</xm:sqref>
        </x14:conditionalFormatting>
        <x14:conditionalFormatting xmlns:xm="http://schemas.microsoft.com/office/excel/2006/main">
          <x14:cfRule type="iconSet" priority="361" id="{5DF10FCF-67E6-4D5F-8A9E-3DE4F878EF8D}">
            <x14:iconSet iconSet="3Stars" showValue="0" custom="1">
              <x14:cfvo type="percent">
                <xm:f>0</xm:f>
              </x14:cfvo>
              <x14:cfvo type="num" gte="0">
                <xm:f>2</xm:f>
              </x14:cfvo>
              <x14:cfvo type="num">
                <xm:f>5</xm:f>
              </x14:cfvo>
              <x14:cfIcon iconSet="3Stars" iconId="0"/>
              <x14:cfIcon iconSet="3Stars" iconId="2"/>
              <x14:cfIcon iconSet="3Signs" iconId="1"/>
            </x14:iconSet>
          </x14:cfRule>
          <xm:sqref>E9</xm:sqref>
        </x14:conditionalFormatting>
        <x14:conditionalFormatting xmlns:xm="http://schemas.microsoft.com/office/excel/2006/main">
          <x14:cfRule type="iconSet" priority="360" id="{FBFF4931-A9C1-4ED5-A88F-C1FDDDC3C0A5}">
            <x14:iconSet iconSet="3Stars" showValue="0" custom="1">
              <x14:cfvo type="percent">
                <xm:f>0</xm:f>
              </x14:cfvo>
              <x14:cfvo type="num" gte="0">
                <xm:f>3</xm:f>
              </x14:cfvo>
              <x14:cfvo type="num">
                <xm:f>5</xm:f>
              </x14:cfvo>
              <x14:cfIcon iconSet="3Stars" iconId="0"/>
              <x14:cfIcon iconSet="3Stars" iconId="2"/>
              <x14:cfIcon iconSet="NoIcons" iconId="0"/>
            </x14:iconSet>
          </x14:cfRule>
          <xm:sqref>F9</xm:sqref>
        </x14:conditionalFormatting>
        <x14:conditionalFormatting xmlns:xm="http://schemas.microsoft.com/office/excel/2006/main">
          <x14:cfRule type="iconSet" priority="359" id="{95CC783F-61C4-4D53-A060-581AE6D8FAC2}">
            <x14:iconSet iconSet="3Stars" showValue="0" custom="1">
              <x14:cfvo type="percent">
                <xm:f>0</xm:f>
              </x14:cfvo>
              <x14:cfvo type="num" gte="0">
                <xm:f>1</xm:f>
              </x14:cfvo>
              <x14:cfvo type="num">
                <xm:f>5</xm:f>
              </x14:cfvo>
              <x14:cfIcon iconSet="3Stars" iconId="0"/>
              <x14:cfIcon iconSet="3Stars" iconId="2"/>
              <x14:cfIcon iconSet="NoIcons" iconId="0"/>
            </x14:iconSet>
          </x14:cfRule>
          <xm:sqref>D10</xm:sqref>
        </x14:conditionalFormatting>
        <x14:conditionalFormatting xmlns:xm="http://schemas.microsoft.com/office/excel/2006/main">
          <x14:cfRule type="iconSet" priority="358" id="{09514DEC-81A6-4A66-9714-A7221DFABB6D}">
            <x14:iconSet iconSet="3Stars" showValue="0" custom="1">
              <x14:cfvo type="percent">
                <xm:f>0</xm:f>
              </x14:cfvo>
              <x14:cfvo type="num" gte="0">
                <xm:f>2</xm:f>
              </x14:cfvo>
              <x14:cfvo type="num">
                <xm:f>5</xm:f>
              </x14:cfvo>
              <x14:cfIcon iconSet="3Stars" iconId="0"/>
              <x14:cfIcon iconSet="3Stars" iconId="2"/>
              <x14:cfIcon iconSet="3Signs" iconId="1"/>
            </x14:iconSet>
          </x14:cfRule>
          <xm:sqref>E10</xm:sqref>
        </x14:conditionalFormatting>
        <x14:conditionalFormatting xmlns:xm="http://schemas.microsoft.com/office/excel/2006/main">
          <x14:cfRule type="iconSet" priority="357" id="{01050157-C661-42CD-8181-07DE0398A75C}">
            <x14:iconSet iconSet="3Stars" showValue="0" custom="1">
              <x14:cfvo type="percent">
                <xm:f>0</xm:f>
              </x14:cfvo>
              <x14:cfvo type="num" gte="0">
                <xm:f>3</xm:f>
              </x14:cfvo>
              <x14:cfvo type="num">
                <xm:f>5</xm:f>
              </x14:cfvo>
              <x14:cfIcon iconSet="3Stars" iconId="0"/>
              <x14:cfIcon iconSet="3Stars" iconId="2"/>
              <x14:cfIcon iconSet="NoIcons" iconId="0"/>
            </x14:iconSet>
          </x14:cfRule>
          <xm:sqref>F10</xm:sqref>
        </x14:conditionalFormatting>
        <x14:conditionalFormatting xmlns:xm="http://schemas.microsoft.com/office/excel/2006/main">
          <x14:cfRule type="iconSet" priority="356" id="{D6D49A17-FC62-4433-BE48-3191406F0164}">
            <x14:iconSet iconSet="3Stars" showValue="0" custom="1">
              <x14:cfvo type="percent">
                <xm:f>0</xm:f>
              </x14:cfvo>
              <x14:cfvo type="num" gte="0">
                <xm:f>1</xm:f>
              </x14:cfvo>
              <x14:cfvo type="num">
                <xm:f>5</xm:f>
              </x14:cfvo>
              <x14:cfIcon iconSet="3Stars" iconId="0"/>
              <x14:cfIcon iconSet="3Stars" iconId="2"/>
              <x14:cfIcon iconSet="NoIcons" iconId="0"/>
            </x14:iconSet>
          </x14:cfRule>
          <xm:sqref>D11</xm:sqref>
        </x14:conditionalFormatting>
        <x14:conditionalFormatting xmlns:xm="http://schemas.microsoft.com/office/excel/2006/main">
          <x14:cfRule type="iconSet" priority="355" id="{6F830BA9-55A5-4A6B-93AD-36C7B05589FC}">
            <x14:iconSet iconSet="3Stars" showValue="0" custom="1">
              <x14:cfvo type="percent">
                <xm:f>0</xm:f>
              </x14:cfvo>
              <x14:cfvo type="num" gte="0">
                <xm:f>2</xm:f>
              </x14:cfvo>
              <x14:cfvo type="num">
                <xm:f>5</xm:f>
              </x14:cfvo>
              <x14:cfIcon iconSet="3Stars" iconId="0"/>
              <x14:cfIcon iconSet="3Stars" iconId="2"/>
              <x14:cfIcon iconSet="3Signs" iconId="1"/>
            </x14:iconSet>
          </x14:cfRule>
          <xm:sqref>E11</xm:sqref>
        </x14:conditionalFormatting>
        <x14:conditionalFormatting xmlns:xm="http://schemas.microsoft.com/office/excel/2006/main">
          <x14:cfRule type="iconSet" priority="354" id="{4CD8F248-EE1D-4D08-9D5E-D2B86ACAE17A}">
            <x14:iconSet iconSet="3Stars" showValue="0" custom="1">
              <x14:cfvo type="percent">
                <xm:f>0</xm:f>
              </x14:cfvo>
              <x14:cfvo type="num" gte="0">
                <xm:f>3</xm:f>
              </x14:cfvo>
              <x14:cfvo type="num">
                <xm:f>5</xm:f>
              </x14:cfvo>
              <x14:cfIcon iconSet="3Stars" iconId="0"/>
              <x14:cfIcon iconSet="3Stars" iconId="2"/>
              <x14:cfIcon iconSet="NoIcons" iconId="0"/>
            </x14:iconSet>
          </x14:cfRule>
          <xm:sqref>F11</xm:sqref>
        </x14:conditionalFormatting>
        <x14:conditionalFormatting xmlns:xm="http://schemas.microsoft.com/office/excel/2006/main">
          <x14:cfRule type="iconSet" priority="353" id="{3498DD8B-46D6-4905-8BAA-3C388DE5E96C}">
            <x14:iconSet iconSet="3Stars" showValue="0" custom="1">
              <x14:cfvo type="percent">
                <xm:f>0</xm:f>
              </x14:cfvo>
              <x14:cfvo type="num" gte="0">
                <xm:f>1</xm:f>
              </x14:cfvo>
              <x14:cfvo type="num">
                <xm:f>5</xm:f>
              </x14:cfvo>
              <x14:cfIcon iconSet="3Stars" iconId="0"/>
              <x14:cfIcon iconSet="3Stars" iconId="2"/>
              <x14:cfIcon iconSet="NoIcons" iconId="0"/>
            </x14:iconSet>
          </x14:cfRule>
          <xm:sqref>D13</xm:sqref>
        </x14:conditionalFormatting>
        <x14:conditionalFormatting xmlns:xm="http://schemas.microsoft.com/office/excel/2006/main">
          <x14:cfRule type="iconSet" priority="352" id="{8B11F340-66E6-4E2A-9345-926FE38FE770}">
            <x14:iconSet iconSet="3Stars" showValue="0" custom="1">
              <x14:cfvo type="percent">
                <xm:f>0</xm:f>
              </x14:cfvo>
              <x14:cfvo type="num" gte="0">
                <xm:f>2</xm:f>
              </x14:cfvo>
              <x14:cfvo type="num">
                <xm:f>5</xm:f>
              </x14:cfvo>
              <x14:cfIcon iconSet="3Stars" iconId="0"/>
              <x14:cfIcon iconSet="3Stars" iconId="2"/>
              <x14:cfIcon iconSet="3Signs" iconId="1"/>
            </x14:iconSet>
          </x14:cfRule>
          <xm:sqref>E13</xm:sqref>
        </x14:conditionalFormatting>
        <x14:conditionalFormatting xmlns:xm="http://schemas.microsoft.com/office/excel/2006/main">
          <x14:cfRule type="iconSet" priority="351" id="{A138AF15-7A28-4F44-9A3B-BEF07F864D14}">
            <x14:iconSet iconSet="3Stars" showValue="0" custom="1">
              <x14:cfvo type="percent">
                <xm:f>0</xm:f>
              </x14:cfvo>
              <x14:cfvo type="num" gte="0">
                <xm:f>3</xm:f>
              </x14:cfvo>
              <x14:cfvo type="num">
                <xm:f>5</xm:f>
              </x14:cfvo>
              <x14:cfIcon iconSet="3Stars" iconId="0"/>
              <x14:cfIcon iconSet="3Stars" iconId="2"/>
              <x14:cfIcon iconSet="NoIcons" iconId="0"/>
            </x14:iconSet>
          </x14:cfRule>
          <xm:sqref>F13</xm:sqref>
        </x14:conditionalFormatting>
        <x14:conditionalFormatting xmlns:xm="http://schemas.microsoft.com/office/excel/2006/main">
          <x14:cfRule type="iconSet" priority="350" id="{D7139097-A802-430C-B209-3E2173CC1A9E}">
            <x14:iconSet iconSet="3Stars" showValue="0" custom="1">
              <x14:cfvo type="percent">
                <xm:f>0</xm:f>
              </x14:cfvo>
              <x14:cfvo type="num" gte="0">
                <xm:f>1</xm:f>
              </x14:cfvo>
              <x14:cfvo type="num">
                <xm:f>5</xm:f>
              </x14:cfvo>
              <x14:cfIcon iconSet="3Stars" iconId="0"/>
              <x14:cfIcon iconSet="3Stars" iconId="2"/>
              <x14:cfIcon iconSet="NoIcons" iconId="0"/>
            </x14:iconSet>
          </x14:cfRule>
          <xm:sqref>D14</xm:sqref>
        </x14:conditionalFormatting>
        <x14:conditionalFormatting xmlns:xm="http://schemas.microsoft.com/office/excel/2006/main">
          <x14:cfRule type="iconSet" priority="349" id="{01F20B8F-A73C-4692-897F-AABD2EBC2D8D}">
            <x14:iconSet iconSet="3Stars" showValue="0" custom="1">
              <x14:cfvo type="percent">
                <xm:f>0</xm:f>
              </x14:cfvo>
              <x14:cfvo type="num" gte="0">
                <xm:f>2</xm:f>
              </x14:cfvo>
              <x14:cfvo type="num">
                <xm:f>5</xm:f>
              </x14:cfvo>
              <x14:cfIcon iconSet="3Stars" iconId="0"/>
              <x14:cfIcon iconSet="3Stars" iconId="2"/>
              <x14:cfIcon iconSet="3Signs" iconId="1"/>
            </x14:iconSet>
          </x14:cfRule>
          <xm:sqref>E14</xm:sqref>
        </x14:conditionalFormatting>
        <x14:conditionalFormatting xmlns:xm="http://schemas.microsoft.com/office/excel/2006/main">
          <x14:cfRule type="iconSet" priority="348" id="{D010655D-C338-4BAA-B915-45186020227D}">
            <x14:iconSet iconSet="3Stars" showValue="0" custom="1">
              <x14:cfvo type="percent">
                <xm:f>0</xm:f>
              </x14:cfvo>
              <x14:cfvo type="num" gte="0">
                <xm:f>3</xm:f>
              </x14:cfvo>
              <x14:cfvo type="num">
                <xm:f>5</xm:f>
              </x14:cfvo>
              <x14:cfIcon iconSet="3Stars" iconId="0"/>
              <x14:cfIcon iconSet="3Stars" iconId="2"/>
              <x14:cfIcon iconSet="NoIcons" iconId="0"/>
            </x14:iconSet>
          </x14:cfRule>
          <xm:sqref>F14</xm:sqref>
        </x14:conditionalFormatting>
        <x14:conditionalFormatting xmlns:xm="http://schemas.microsoft.com/office/excel/2006/main">
          <x14:cfRule type="iconSet" priority="347" id="{89209957-84F6-4E22-8DC1-5E483BF67C8F}">
            <x14:iconSet iconSet="3Stars" showValue="0" custom="1">
              <x14:cfvo type="percent">
                <xm:f>0</xm:f>
              </x14:cfvo>
              <x14:cfvo type="num" gte="0">
                <xm:f>1</xm:f>
              </x14:cfvo>
              <x14:cfvo type="num">
                <xm:f>5</xm:f>
              </x14:cfvo>
              <x14:cfIcon iconSet="3Stars" iconId="0"/>
              <x14:cfIcon iconSet="3Stars" iconId="2"/>
              <x14:cfIcon iconSet="NoIcons" iconId="0"/>
            </x14:iconSet>
          </x14:cfRule>
          <xm:sqref>D15</xm:sqref>
        </x14:conditionalFormatting>
        <x14:conditionalFormatting xmlns:xm="http://schemas.microsoft.com/office/excel/2006/main">
          <x14:cfRule type="iconSet" priority="346" id="{065ECD7B-9C95-4990-B5B9-DDB25BCB2E22}">
            <x14:iconSet iconSet="3Stars" showValue="0" custom="1">
              <x14:cfvo type="percent">
                <xm:f>0</xm:f>
              </x14:cfvo>
              <x14:cfvo type="num" gte="0">
                <xm:f>2</xm:f>
              </x14:cfvo>
              <x14:cfvo type="num">
                <xm:f>5</xm:f>
              </x14:cfvo>
              <x14:cfIcon iconSet="3Stars" iconId="0"/>
              <x14:cfIcon iconSet="3Stars" iconId="2"/>
              <x14:cfIcon iconSet="3Signs" iconId="1"/>
            </x14:iconSet>
          </x14:cfRule>
          <xm:sqref>E15</xm:sqref>
        </x14:conditionalFormatting>
        <x14:conditionalFormatting xmlns:xm="http://schemas.microsoft.com/office/excel/2006/main">
          <x14:cfRule type="iconSet" priority="345" id="{5593DE74-E6FE-4183-8960-3272433E50B8}">
            <x14:iconSet iconSet="3Stars" showValue="0" custom="1">
              <x14:cfvo type="percent">
                <xm:f>0</xm:f>
              </x14:cfvo>
              <x14:cfvo type="num" gte="0">
                <xm:f>3</xm:f>
              </x14:cfvo>
              <x14:cfvo type="num">
                <xm:f>5</xm:f>
              </x14:cfvo>
              <x14:cfIcon iconSet="3Stars" iconId="0"/>
              <x14:cfIcon iconSet="3Stars" iconId="2"/>
              <x14:cfIcon iconSet="NoIcons" iconId="0"/>
            </x14:iconSet>
          </x14:cfRule>
          <xm:sqref>F15</xm:sqref>
        </x14:conditionalFormatting>
        <x14:conditionalFormatting xmlns:xm="http://schemas.microsoft.com/office/excel/2006/main">
          <x14:cfRule type="iconSet" priority="344" id="{608EE6C0-D69D-4688-B04F-DD093A50671A}">
            <x14:iconSet iconSet="3Stars" showValue="0" custom="1">
              <x14:cfvo type="percent">
                <xm:f>0</xm:f>
              </x14:cfvo>
              <x14:cfvo type="num" gte="0">
                <xm:f>1</xm:f>
              </x14:cfvo>
              <x14:cfvo type="num">
                <xm:f>5</xm:f>
              </x14:cfvo>
              <x14:cfIcon iconSet="3Stars" iconId="0"/>
              <x14:cfIcon iconSet="3Stars" iconId="2"/>
              <x14:cfIcon iconSet="NoIcons" iconId="0"/>
            </x14:iconSet>
          </x14:cfRule>
          <xm:sqref>D17</xm:sqref>
        </x14:conditionalFormatting>
        <x14:conditionalFormatting xmlns:xm="http://schemas.microsoft.com/office/excel/2006/main">
          <x14:cfRule type="iconSet" priority="343" id="{D885C064-7D49-492B-938C-4B9EB791B591}">
            <x14:iconSet iconSet="3Stars" showValue="0" custom="1">
              <x14:cfvo type="percent">
                <xm:f>0</xm:f>
              </x14:cfvo>
              <x14:cfvo type="num" gte="0">
                <xm:f>2</xm:f>
              </x14:cfvo>
              <x14:cfvo type="num">
                <xm:f>5</xm:f>
              </x14:cfvo>
              <x14:cfIcon iconSet="3Stars" iconId="0"/>
              <x14:cfIcon iconSet="3Stars" iconId="2"/>
              <x14:cfIcon iconSet="3Signs" iconId="1"/>
            </x14:iconSet>
          </x14:cfRule>
          <xm:sqref>E17</xm:sqref>
        </x14:conditionalFormatting>
        <x14:conditionalFormatting xmlns:xm="http://schemas.microsoft.com/office/excel/2006/main">
          <x14:cfRule type="iconSet" priority="342" id="{BAEBD9CC-8F29-4FA1-9365-7155C72D773A}">
            <x14:iconSet iconSet="3Stars" showValue="0" custom="1">
              <x14:cfvo type="percent">
                <xm:f>0</xm:f>
              </x14:cfvo>
              <x14:cfvo type="num" gte="0">
                <xm:f>3</xm:f>
              </x14:cfvo>
              <x14:cfvo type="num">
                <xm:f>5</xm:f>
              </x14:cfvo>
              <x14:cfIcon iconSet="3Stars" iconId="0"/>
              <x14:cfIcon iconSet="3Stars" iconId="2"/>
              <x14:cfIcon iconSet="NoIcons" iconId="0"/>
            </x14:iconSet>
          </x14:cfRule>
          <xm:sqref>F17</xm:sqref>
        </x14:conditionalFormatting>
        <x14:conditionalFormatting xmlns:xm="http://schemas.microsoft.com/office/excel/2006/main">
          <x14:cfRule type="iconSet" priority="341" id="{496573D4-96E0-47C8-A0C5-4F30F2919C91}">
            <x14:iconSet iconSet="3Stars" showValue="0" custom="1">
              <x14:cfvo type="percent">
                <xm:f>0</xm:f>
              </x14:cfvo>
              <x14:cfvo type="num" gte="0">
                <xm:f>1</xm:f>
              </x14:cfvo>
              <x14:cfvo type="num">
                <xm:f>5</xm:f>
              </x14:cfvo>
              <x14:cfIcon iconSet="3Stars" iconId="0"/>
              <x14:cfIcon iconSet="3Stars" iconId="2"/>
              <x14:cfIcon iconSet="NoIcons" iconId="0"/>
            </x14:iconSet>
          </x14:cfRule>
          <xm:sqref>D18</xm:sqref>
        </x14:conditionalFormatting>
        <x14:conditionalFormatting xmlns:xm="http://schemas.microsoft.com/office/excel/2006/main">
          <x14:cfRule type="iconSet" priority="340" id="{982A54B5-8ACF-40E4-95E6-05860C3F8883}">
            <x14:iconSet iconSet="3Stars" showValue="0" custom="1">
              <x14:cfvo type="percent">
                <xm:f>0</xm:f>
              </x14:cfvo>
              <x14:cfvo type="num" gte="0">
                <xm:f>2</xm:f>
              </x14:cfvo>
              <x14:cfvo type="num">
                <xm:f>5</xm:f>
              </x14:cfvo>
              <x14:cfIcon iconSet="3Stars" iconId="0"/>
              <x14:cfIcon iconSet="3Stars" iconId="2"/>
              <x14:cfIcon iconSet="3Signs" iconId="1"/>
            </x14:iconSet>
          </x14:cfRule>
          <xm:sqref>E18</xm:sqref>
        </x14:conditionalFormatting>
        <x14:conditionalFormatting xmlns:xm="http://schemas.microsoft.com/office/excel/2006/main">
          <x14:cfRule type="iconSet" priority="339" id="{433CC0DA-C7BA-4538-84C2-E73FA9378716}">
            <x14:iconSet iconSet="3Stars" showValue="0" custom="1">
              <x14:cfvo type="percent">
                <xm:f>0</xm:f>
              </x14:cfvo>
              <x14:cfvo type="num" gte="0">
                <xm:f>3</xm:f>
              </x14:cfvo>
              <x14:cfvo type="num">
                <xm:f>5</xm:f>
              </x14:cfvo>
              <x14:cfIcon iconSet="3Stars" iconId="0"/>
              <x14:cfIcon iconSet="3Stars" iconId="2"/>
              <x14:cfIcon iconSet="NoIcons" iconId="0"/>
            </x14:iconSet>
          </x14:cfRule>
          <xm:sqref>F18</xm:sqref>
        </x14:conditionalFormatting>
        <x14:conditionalFormatting xmlns:xm="http://schemas.microsoft.com/office/excel/2006/main">
          <x14:cfRule type="iconSet" priority="338" id="{7E02400A-57F4-4304-A9A0-B7D43881B705}">
            <x14:iconSet iconSet="3Stars" showValue="0" custom="1">
              <x14:cfvo type="percent">
                <xm:f>0</xm:f>
              </x14:cfvo>
              <x14:cfvo type="num" gte="0">
                <xm:f>1</xm:f>
              </x14:cfvo>
              <x14:cfvo type="num">
                <xm:f>5</xm:f>
              </x14:cfvo>
              <x14:cfIcon iconSet="3Stars" iconId="0"/>
              <x14:cfIcon iconSet="3Stars" iconId="2"/>
              <x14:cfIcon iconSet="NoIcons" iconId="0"/>
            </x14:iconSet>
          </x14:cfRule>
          <xm:sqref>D19</xm:sqref>
        </x14:conditionalFormatting>
        <x14:conditionalFormatting xmlns:xm="http://schemas.microsoft.com/office/excel/2006/main">
          <x14:cfRule type="iconSet" priority="337" id="{EB38928C-236B-4DB4-98E2-4104B09CC5E6}">
            <x14:iconSet iconSet="3Stars" showValue="0" custom="1">
              <x14:cfvo type="percent">
                <xm:f>0</xm:f>
              </x14:cfvo>
              <x14:cfvo type="num" gte="0">
                <xm:f>2</xm:f>
              </x14:cfvo>
              <x14:cfvo type="num">
                <xm:f>5</xm:f>
              </x14:cfvo>
              <x14:cfIcon iconSet="3Stars" iconId="0"/>
              <x14:cfIcon iconSet="3Stars" iconId="2"/>
              <x14:cfIcon iconSet="3Signs" iconId="1"/>
            </x14:iconSet>
          </x14:cfRule>
          <xm:sqref>E19</xm:sqref>
        </x14:conditionalFormatting>
        <x14:conditionalFormatting xmlns:xm="http://schemas.microsoft.com/office/excel/2006/main">
          <x14:cfRule type="iconSet" priority="336" id="{40B2671A-FD5D-49FE-B368-C7DA994B868E}">
            <x14:iconSet iconSet="3Stars" showValue="0" custom="1">
              <x14:cfvo type="percent">
                <xm:f>0</xm:f>
              </x14:cfvo>
              <x14:cfvo type="num" gte="0">
                <xm:f>3</xm:f>
              </x14:cfvo>
              <x14:cfvo type="num">
                <xm:f>5</xm:f>
              </x14:cfvo>
              <x14:cfIcon iconSet="3Stars" iconId="0"/>
              <x14:cfIcon iconSet="3Stars" iconId="2"/>
              <x14:cfIcon iconSet="NoIcons" iconId="0"/>
            </x14:iconSet>
          </x14:cfRule>
          <xm:sqref>F19</xm:sqref>
        </x14:conditionalFormatting>
        <x14:conditionalFormatting xmlns:xm="http://schemas.microsoft.com/office/excel/2006/main">
          <x14:cfRule type="iconSet" priority="335" id="{13552CCF-1E10-47CE-B0A8-8375D88A6086}">
            <x14:iconSet iconSet="3Stars" showValue="0" custom="1">
              <x14:cfvo type="percent">
                <xm:f>0</xm:f>
              </x14:cfvo>
              <x14:cfvo type="num" gte="0">
                <xm:f>1</xm:f>
              </x14:cfvo>
              <x14:cfvo type="num">
                <xm:f>5</xm:f>
              </x14:cfvo>
              <x14:cfIcon iconSet="3Stars" iconId="0"/>
              <x14:cfIcon iconSet="3Stars" iconId="2"/>
              <x14:cfIcon iconSet="NoIcons" iconId="0"/>
            </x14:iconSet>
          </x14:cfRule>
          <xm:sqref>D20</xm:sqref>
        </x14:conditionalFormatting>
        <x14:conditionalFormatting xmlns:xm="http://schemas.microsoft.com/office/excel/2006/main">
          <x14:cfRule type="iconSet" priority="334" id="{A033610B-1CAC-4A2E-A1DB-AB69CF289181}">
            <x14:iconSet iconSet="3Stars" showValue="0" custom="1">
              <x14:cfvo type="percent">
                <xm:f>0</xm:f>
              </x14:cfvo>
              <x14:cfvo type="num" gte="0">
                <xm:f>2</xm:f>
              </x14:cfvo>
              <x14:cfvo type="num">
                <xm:f>5</xm:f>
              </x14:cfvo>
              <x14:cfIcon iconSet="3Stars" iconId="0"/>
              <x14:cfIcon iconSet="3Stars" iconId="2"/>
              <x14:cfIcon iconSet="3Signs" iconId="1"/>
            </x14:iconSet>
          </x14:cfRule>
          <xm:sqref>E20</xm:sqref>
        </x14:conditionalFormatting>
        <x14:conditionalFormatting xmlns:xm="http://schemas.microsoft.com/office/excel/2006/main">
          <x14:cfRule type="iconSet" priority="333" id="{B8CC08F7-C0B8-492D-8A1D-B344E50304CB}">
            <x14:iconSet iconSet="3Stars" showValue="0" custom="1">
              <x14:cfvo type="percent">
                <xm:f>0</xm:f>
              </x14:cfvo>
              <x14:cfvo type="num" gte="0">
                <xm:f>3</xm:f>
              </x14:cfvo>
              <x14:cfvo type="num">
                <xm:f>5</xm:f>
              </x14:cfvo>
              <x14:cfIcon iconSet="3Stars" iconId="0"/>
              <x14:cfIcon iconSet="3Stars" iconId="2"/>
              <x14:cfIcon iconSet="NoIcons" iconId="0"/>
            </x14:iconSet>
          </x14:cfRule>
          <xm:sqref>F20</xm:sqref>
        </x14:conditionalFormatting>
        <x14:conditionalFormatting xmlns:xm="http://schemas.microsoft.com/office/excel/2006/main">
          <x14:cfRule type="iconSet" priority="332" id="{4465C073-8B3B-4909-8F0D-75EB6FF71B8C}">
            <x14:iconSet iconSet="3Stars" showValue="0" custom="1">
              <x14:cfvo type="percent">
                <xm:f>0</xm:f>
              </x14:cfvo>
              <x14:cfvo type="num" gte="0">
                <xm:f>1</xm:f>
              </x14:cfvo>
              <x14:cfvo type="num">
                <xm:f>5</xm:f>
              </x14:cfvo>
              <x14:cfIcon iconSet="3Stars" iconId="0"/>
              <x14:cfIcon iconSet="3Stars" iconId="2"/>
              <x14:cfIcon iconSet="NoIcons" iconId="0"/>
            </x14:iconSet>
          </x14:cfRule>
          <xm:sqref>D21</xm:sqref>
        </x14:conditionalFormatting>
        <x14:conditionalFormatting xmlns:xm="http://schemas.microsoft.com/office/excel/2006/main">
          <x14:cfRule type="iconSet" priority="331" id="{3A29957B-1CC4-41D6-833F-620649FE3348}">
            <x14:iconSet iconSet="3Stars" showValue="0" custom="1">
              <x14:cfvo type="percent">
                <xm:f>0</xm:f>
              </x14:cfvo>
              <x14:cfvo type="num" gte="0">
                <xm:f>2</xm:f>
              </x14:cfvo>
              <x14:cfvo type="num">
                <xm:f>5</xm:f>
              </x14:cfvo>
              <x14:cfIcon iconSet="3Stars" iconId="0"/>
              <x14:cfIcon iconSet="3Stars" iconId="2"/>
              <x14:cfIcon iconSet="3Signs" iconId="1"/>
            </x14:iconSet>
          </x14:cfRule>
          <xm:sqref>E21</xm:sqref>
        </x14:conditionalFormatting>
        <x14:conditionalFormatting xmlns:xm="http://schemas.microsoft.com/office/excel/2006/main">
          <x14:cfRule type="iconSet" priority="330" id="{31C47D57-733C-417E-8519-7DB9CFA80929}">
            <x14:iconSet iconSet="3Stars" showValue="0" custom="1">
              <x14:cfvo type="percent">
                <xm:f>0</xm:f>
              </x14:cfvo>
              <x14:cfvo type="num" gte="0">
                <xm:f>3</xm:f>
              </x14:cfvo>
              <x14:cfvo type="num">
                <xm:f>5</xm:f>
              </x14:cfvo>
              <x14:cfIcon iconSet="3Stars" iconId="0"/>
              <x14:cfIcon iconSet="3Stars" iconId="2"/>
              <x14:cfIcon iconSet="NoIcons" iconId="0"/>
            </x14:iconSet>
          </x14:cfRule>
          <xm:sqref>F21</xm:sqref>
        </x14:conditionalFormatting>
        <x14:conditionalFormatting xmlns:xm="http://schemas.microsoft.com/office/excel/2006/main">
          <x14:cfRule type="iconSet" priority="329" id="{7F5DD13A-54A1-4455-B272-9620781E8BBF}">
            <x14:iconSet iconSet="3Stars" showValue="0" custom="1">
              <x14:cfvo type="percent">
                <xm:f>0</xm:f>
              </x14:cfvo>
              <x14:cfvo type="num" gte="0">
                <xm:f>1</xm:f>
              </x14:cfvo>
              <x14:cfvo type="num">
                <xm:f>5</xm:f>
              </x14:cfvo>
              <x14:cfIcon iconSet="3Stars" iconId="0"/>
              <x14:cfIcon iconSet="3Stars" iconId="2"/>
              <x14:cfIcon iconSet="NoIcons" iconId="0"/>
            </x14:iconSet>
          </x14:cfRule>
          <xm:sqref>D25</xm:sqref>
        </x14:conditionalFormatting>
        <x14:conditionalFormatting xmlns:xm="http://schemas.microsoft.com/office/excel/2006/main">
          <x14:cfRule type="iconSet" priority="328" id="{27CF5179-CE0C-4DFE-B07A-E778AA8F6C54}">
            <x14:iconSet iconSet="3Stars" showValue="0" custom="1">
              <x14:cfvo type="percent">
                <xm:f>0</xm:f>
              </x14:cfvo>
              <x14:cfvo type="num" gte="0">
                <xm:f>2</xm:f>
              </x14:cfvo>
              <x14:cfvo type="num">
                <xm:f>5</xm:f>
              </x14:cfvo>
              <x14:cfIcon iconSet="3Stars" iconId="0"/>
              <x14:cfIcon iconSet="3Stars" iconId="2"/>
              <x14:cfIcon iconSet="3Signs" iconId="1"/>
            </x14:iconSet>
          </x14:cfRule>
          <xm:sqref>E25</xm:sqref>
        </x14:conditionalFormatting>
        <x14:conditionalFormatting xmlns:xm="http://schemas.microsoft.com/office/excel/2006/main">
          <x14:cfRule type="iconSet" priority="327" id="{341C65F8-8AC6-4C20-9721-36B72C1A1787}">
            <x14:iconSet iconSet="3Stars" showValue="0" custom="1">
              <x14:cfvo type="percent">
                <xm:f>0</xm:f>
              </x14:cfvo>
              <x14:cfvo type="num" gte="0">
                <xm:f>3</xm:f>
              </x14:cfvo>
              <x14:cfvo type="num">
                <xm:f>5</xm:f>
              </x14:cfvo>
              <x14:cfIcon iconSet="3Stars" iconId="0"/>
              <x14:cfIcon iconSet="3Stars" iconId="2"/>
              <x14:cfIcon iconSet="NoIcons" iconId="0"/>
            </x14:iconSet>
          </x14:cfRule>
          <xm:sqref>F25</xm:sqref>
        </x14:conditionalFormatting>
        <x14:conditionalFormatting xmlns:xm="http://schemas.microsoft.com/office/excel/2006/main">
          <x14:cfRule type="iconSet" priority="326" id="{69CB9670-77BF-4E77-A039-6C8A55D5D402}">
            <x14:iconSet iconSet="3Stars" showValue="0" custom="1">
              <x14:cfvo type="percent">
                <xm:f>0</xm:f>
              </x14:cfvo>
              <x14:cfvo type="num" gte="0">
                <xm:f>1</xm:f>
              </x14:cfvo>
              <x14:cfvo type="num">
                <xm:f>5</xm:f>
              </x14:cfvo>
              <x14:cfIcon iconSet="3Stars" iconId="0"/>
              <x14:cfIcon iconSet="3Stars" iconId="2"/>
              <x14:cfIcon iconSet="NoIcons" iconId="0"/>
            </x14:iconSet>
          </x14:cfRule>
          <xm:sqref>D26</xm:sqref>
        </x14:conditionalFormatting>
        <x14:conditionalFormatting xmlns:xm="http://schemas.microsoft.com/office/excel/2006/main">
          <x14:cfRule type="iconSet" priority="325" id="{D98D08A1-FB67-43CE-977D-270DAED590A4}">
            <x14:iconSet iconSet="3Stars" showValue="0" custom="1">
              <x14:cfvo type="percent">
                <xm:f>0</xm:f>
              </x14:cfvo>
              <x14:cfvo type="num" gte="0">
                <xm:f>2</xm:f>
              </x14:cfvo>
              <x14:cfvo type="num">
                <xm:f>5</xm:f>
              </x14:cfvo>
              <x14:cfIcon iconSet="3Stars" iconId="0"/>
              <x14:cfIcon iconSet="3Stars" iconId="2"/>
              <x14:cfIcon iconSet="3Signs" iconId="1"/>
            </x14:iconSet>
          </x14:cfRule>
          <xm:sqref>E26</xm:sqref>
        </x14:conditionalFormatting>
        <x14:conditionalFormatting xmlns:xm="http://schemas.microsoft.com/office/excel/2006/main">
          <x14:cfRule type="iconSet" priority="324" id="{F21C6DD2-3CA4-462A-BB32-EB44412574DC}">
            <x14:iconSet iconSet="3Stars" showValue="0" custom="1">
              <x14:cfvo type="percent">
                <xm:f>0</xm:f>
              </x14:cfvo>
              <x14:cfvo type="num" gte="0">
                <xm:f>3</xm:f>
              </x14:cfvo>
              <x14:cfvo type="num">
                <xm:f>5</xm:f>
              </x14:cfvo>
              <x14:cfIcon iconSet="3Stars" iconId="0"/>
              <x14:cfIcon iconSet="3Stars" iconId="2"/>
              <x14:cfIcon iconSet="NoIcons" iconId="0"/>
            </x14:iconSet>
          </x14:cfRule>
          <xm:sqref>F26</xm:sqref>
        </x14:conditionalFormatting>
        <x14:conditionalFormatting xmlns:xm="http://schemas.microsoft.com/office/excel/2006/main">
          <x14:cfRule type="iconSet" priority="323" id="{C314B174-8315-4C5E-BC9F-F7340B1EF60E}">
            <x14:iconSet iconSet="3Stars" showValue="0" custom="1">
              <x14:cfvo type="percent">
                <xm:f>0</xm:f>
              </x14:cfvo>
              <x14:cfvo type="num" gte="0">
                <xm:f>1</xm:f>
              </x14:cfvo>
              <x14:cfvo type="num">
                <xm:f>5</xm:f>
              </x14:cfvo>
              <x14:cfIcon iconSet="3Stars" iconId="0"/>
              <x14:cfIcon iconSet="3Stars" iconId="2"/>
              <x14:cfIcon iconSet="NoIcons" iconId="0"/>
            </x14:iconSet>
          </x14:cfRule>
          <xm:sqref>D27</xm:sqref>
        </x14:conditionalFormatting>
        <x14:conditionalFormatting xmlns:xm="http://schemas.microsoft.com/office/excel/2006/main">
          <x14:cfRule type="iconSet" priority="322" id="{D9485EDC-B411-448A-BC2C-66D9FD79A625}">
            <x14:iconSet iconSet="3Stars" showValue="0" custom="1">
              <x14:cfvo type="percent">
                <xm:f>0</xm:f>
              </x14:cfvo>
              <x14:cfvo type="num" gte="0">
                <xm:f>2</xm:f>
              </x14:cfvo>
              <x14:cfvo type="num">
                <xm:f>5</xm:f>
              </x14:cfvo>
              <x14:cfIcon iconSet="3Stars" iconId="0"/>
              <x14:cfIcon iconSet="3Stars" iconId="2"/>
              <x14:cfIcon iconSet="3Signs" iconId="1"/>
            </x14:iconSet>
          </x14:cfRule>
          <xm:sqref>E27</xm:sqref>
        </x14:conditionalFormatting>
        <x14:conditionalFormatting xmlns:xm="http://schemas.microsoft.com/office/excel/2006/main">
          <x14:cfRule type="iconSet" priority="321" id="{E0BD8CFF-7ACF-476E-A197-2DC335D2EA5B}">
            <x14:iconSet iconSet="3Stars" showValue="0" custom="1">
              <x14:cfvo type="percent">
                <xm:f>0</xm:f>
              </x14:cfvo>
              <x14:cfvo type="num" gte="0">
                <xm:f>3</xm:f>
              </x14:cfvo>
              <x14:cfvo type="num">
                <xm:f>5</xm:f>
              </x14:cfvo>
              <x14:cfIcon iconSet="3Stars" iconId="0"/>
              <x14:cfIcon iconSet="3Stars" iconId="2"/>
              <x14:cfIcon iconSet="NoIcons" iconId="0"/>
            </x14:iconSet>
          </x14:cfRule>
          <xm:sqref>F27</xm:sqref>
        </x14:conditionalFormatting>
        <x14:conditionalFormatting xmlns:xm="http://schemas.microsoft.com/office/excel/2006/main">
          <x14:cfRule type="iconSet" priority="320" id="{AD94A8E7-A641-4C09-87ED-D4F418735E72}">
            <x14:iconSet iconSet="3Stars" showValue="0" custom="1">
              <x14:cfvo type="percent">
                <xm:f>0</xm:f>
              </x14:cfvo>
              <x14:cfvo type="num" gte="0">
                <xm:f>1</xm:f>
              </x14:cfvo>
              <x14:cfvo type="num">
                <xm:f>5</xm:f>
              </x14:cfvo>
              <x14:cfIcon iconSet="3Stars" iconId="0"/>
              <x14:cfIcon iconSet="3Stars" iconId="2"/>
              <x14:cfIcon iconSet="NoIcons" iconId="0"/>
            </x14:iconSet>
          </x14:cfRule>
          <xm:sqref>D28</xm:sqref>
        </x14:conditionalFormatting>
        <x14:conditionalFormatting xmlns:xm="http://schemas.microsoft.com/office/excel/2006/main">
          <x14:cfRule type="iconSet" priority="319" id="{6C40DB88-5EC0-4B71-A56A-6A9904544778}">
            <x14:iconSet iconSet="3Stars" showValue="0" custom="1">
              <x14:cfvo type="percent">
                <xm:f>0</xm:f>
              </x14:cfvo>
              <x14:cfvo type="num" gte="0">
                <xm:f>2</xm:f>
              </x14:cfvo>
              <x14:cfvo type="num">
                <xm:f>5</xm:f>
              </x14:cfvo>
              <x14:cfIcon iconSet="3Stars" iconId="0"/>
              <x14:cfIcon iconSet="3Stars" iconId="2"/>
              <x14:cfIcon iconSet="3Signs" iconId="1"/>
            </x14:iconSet>
          </x14:cfRule>
          <xm:sqref>E28</xm:sqref>
        </x14:conditionalFormatting>
        <x14:conditionalFormatting xmlns:xm="http://schemas.microsoft.com/office/excel/2006/main">
          <x14:cfRule type="iconSet" priority="318" id="{47689061-4E5A-40C5-A8A9-4D7F924EA4BC}">
            <x14:iconSet iconSet="3Stars" showValue="0" custom="1">
              <x14:cfvo type="percent">
                <xm:f>0</xm:f>
              </x14:cfvo>
              <x14:cfvo type="num" gte="0">
                <xm:f>3</xm:f>
              </x14:cfvo>
              <x14:cfvo type="num">
                <xm:f>5</xm:f>
              </x14:cfvo>
              <x14:cfIcon iconSet="3Stars" iconId="0"/>
              <x14:cfIcon iconSet="3Stars" iconId="2"/>
              <x14:cfIcon iconSet="NoIcons" iconId="0"/>
            </x14:iconSet>
          </x14:cfRule>
          <xm:sqref>F28</xm:sqref>
        </x14:conditionalFormatting>
        <x14:conditionalFormatting xmlns:xm="http://schemas.microsoft.com/office/excel/2006/main">
          <x14:cfRule type="iconSet" priority="317" id="{03E2A5E5-5A28-4174-8483-D9C5DB886141}">
            <x14:iconSet iconSet="3Stars" showValue="0" custom="1">
              <x14:cfvo type="percent">
                <xm:f>0</xm:f>
              </x14:cfvo>
              <x14:cfvo type="num" gte="0">
                <xm:f>1</xm:f>
              </x14:cfvo>
              <x14:cfvo type="num">
                <xm:f>5</xm:f>
              </x14:cfvo>
              <x14:cfIcon iconSet="3Stars" iconId="0"/>
              <x14:cfIcon iconSet="3Stars" iconId="2"/>
              <x14:cfIcon iconSet="NoIcons" iconId="0"/>
            </x14:iconSet>
          </x14:cfRule>
          <xm:sqref>D30</xm:sqref>
        </x14:conditionalFormatting>
        <x14:conditionalFormatting xmlns:xm="http://schemas.microsoft.com/office/excel/2006/main">
          <x14:cfRule type="iconSet" priority="316" id="{D2A5E098-AE9F-492C-B1A3-771DD32CB7EF}">
            <x14:iconSet iconSet="3Stars" showValue="0" custom="1">
              <x14:cfvo type="percent">
                <xm:f>0</xm:f>
              </x14:cfvo>
              <x14:cfvo type="num" gte="0">
                <xm:f>2</xm:f>
              </x14:cfvo>
              <x14:cfvo type="num">
                <xm:f>5</xm:f>
              </x14:cfvo>
              <x14:cfIcon iconSet="3Stars" iconId="0"/>
              <x14:cfIcon iconSet="3Stars" iconId="2"/>
              <x14:cfIcon iconSet="3Signs" iconId="1"/>
            </x14:iconSet>
          </x14:cfRule>
          <xm:sqref>E30</xm:sqref>
        </x14:conditionalFormatting>
        <x14:conditionalFormatting xmlns:xm="http://schemas.microsoft.com/office/excel/2006/main">
          <x14:cfRule type="iconSet" priority="315" id="{B1D62261-B206-4E18-B11B-2E2AE9445EFD}">
            <x14:iconSet iconSet="3Stars" showValue="0" custom="1">
              <x14:cfvo type="percent">
                <xm:f>0</xm:f>
              </x14:cfvo>
              <x14:cfvo type="num" gte="0">
                <xm:f>3</xm:f>
              </x14:cfvo>
              <x14:cfvo type="num">
                <xm:f>5</xm:f>
              </x14:cfvo>
              <x14:cfIcon iconSet="3Stars" iconId="0"/>
              <x14:cfIcon iconSet="3Stars" iconId="2"/>
              <x14:cfIcon iconSet="NoIcons" iconId="0"/>
            </x14:iconSet>
          </x14:cfRule>
          <xm:sqref>F30</xm:sqref>
        </x14:conditionalFormatting>
        <x14:conditionalFormatting xmlns:xm="http://schemas.microsoft.com/office/excel/2006/main">
          <x14:cfRule type="iconSet" priority="314" id="{DF4E5D8B-2B32-4113-A349-72D74A68B1B4}">
            <x14:iconSet iconSet="3Stars" showValue="0" custom="1">
              <x14:cfvo type="percent">
                <xm:f>0</xm:f>
              </x14:cfvo>
              <x14:cfvo type="num" gte="0">
                <xm:f>1</xm:f>
              </x14:cfvo>
              <x14:cfvo type="num">
                <xm:f>5</xm:f>
              </x14:cfvo>
              <x14:cfIcon iconSet="3Stars" iconId="0"/>
              <x14:cfIcon iconSet="3Stars" iconId="2"/>
              <x14:cfIcon iconSet="NoIcons" iconId="0"/>
            </x14:iconSet>
          </x14:cfRule>
          <xm:sqref>D31</xm:sqref>
        </x14:conditionalFormatting>
        <x14:conditionalFormatting xmlns:xm="http://schemas.microsoft.com/office/excel/2006/main">
          <x14:cfRule type="iconSet" priority="313" id="{4DA93691-6B6D-4235-8A20-2F8990B76DDB}">
            <x14:iconSet iconSet="3Stars" showValue="0" custom="1">
              <x14:cfvo type="percent">
                <xm:f>0</xm:f>
              </x14:cfvo>
              <x14:cfvo type="num" gte="0">
                <xm:f>2</xm:f>
              </x14:cfvo>
              <x14:cfvo type="num">
                <xm:f>5</xm:f>
              </x14:cfvo>
              <x14:cfIcon iconSet="3Stars" iconId="0"/>
              <x14:cfIcon iconSet="3Stars" iconId="2"/>
              <x14:cfIcon iconSet="3Signs" iconId="1"/>
            </x14:iconSet>
          </x14:cfRule>
          <xm:sqref>E31</xm:sqref>
        </x14:conditionalFormatting>
        <x14:conditionalFormatting xmlns:xm="http://schemas.microsoft.com/office/excel/2006/main">
          <x14:cfRule type="iconSet" priority="312" id="{DDC7AA69-9D7F-45D2-81EB-7CA0A0164F2A}">
            <x14:iconSet iconSet="3Stars" showValue="0" custom="1">
              <x14:cfvo type="percent">
                <xm:f>0</xm:f>
              </x14:cfvo>
              <x14:cfvo type="num" gte="0">
                <xm:f>3</xm:f>
              </x14:cfvo>
              <x14:cfvo type="num">
                <xm:f>5</xm:f>
              </x14:cfvo>
              <x14:cfIcon iconSet="3Stars" iconId="0"/>
              <x14:cfIcon iconSet="3Stars" iconId="2"/>
              <x14:cfIcon iconSet="NoIcons" iconId="0"/>
            </x14:iconSet>
          </x14:cfRule>
          <xm:sqref>F31</xm:sqref>
        </x14:conditionalFormatting>
        <x14:conditionalFormatting xmlns:xm="http://schemas.microsoft.com/office/excel/2006/main">
          <x14:cfRule type="iconSet" priority="311" id="{F6D3793E-882C-4324-B213-91D60CFB997B}">
            <x14:iconSet iconSet="3Stars" showValue="0" custom="1">
              <x14:cfvo type="percent">
                <xm:f>0</xm:f>
              </x14:cfvo>
              <x14:cfvo type="num" gte="0">
                <xm:f>1</xm:f>
              </x14:cfvo>
              <x14:cfvo type="num">
                <xm:f>5</xm:f>
              </x14:cfvo>
              <x14:cfIcon iconSet="3Stars" iconId="0"/>
              <x14:cfIcon iconSet="3Stars" iconId="2"/>
              <x14:cfIcon iconSet="NoIcons" iconId="0"/>
            </x14:iconSet>
          </x14:cfRule>
          <xm:sqref>D32</xm:sqref>
        </x14:conditionalFormatting>
        <x14:conditionalFormatting xmlns:xm="http://schemas.microsoft.com/office/excel/2006/main">
          <x14:cfRule type="iconSet" priority="310" id="{8296D291-460F-4856-80AC-49EAC1177453}">
            <x14:iconSet iconSet="3Stars" showValue="0" custom="1">
              <x14:cfvo type="percent">
                <xm:f>0</xm:f>
              </x14:cfvo>
              <x14:cfvo type="num" gte="0">
                <xm:f>2</xm:f>
              </x14:cfvo>
              <x14:cfvo type="num">
                <xm:f>5</xm:f>
              </x14:cfvo>
              <x14:cfIcon iconSet="3Stars" iconId="0"/>
              <x14:cfIcon iconSet="3Stars" iconId="2"/>
              <x14:cfIcon iconSet="3Signs" iconId="1"/>
            </x14:iconSet>
          </x14:cfRule>
          <xm:sqref>E32</xm:sqref>
        </x14:conditionalFormatting>
        <x14:conditionalFormatting xmlns:xm="http://schemas.microsoft.com/office/excel/2006/main">
          <x14:cfRule type="iconSet" priority="309" id="{96C5B713-4F97-4297-A435-B6B3846784BA}">
            <x14:iconSet iconSet="3Stars" showValue="0" custom="1">
              <x14:cfvo type="percent">
                <xm:f>0</xm:f>
              </x14:cfvo>
              <x14:cfvo type="num" gte="0">
                <xm:f>3</xm:f>
              </x14:cfvo>
              <x14:cfvo type="num">
                <xm:f>5</xm:f>
              </x14:cfvo>
              <x14:cfIcon iconSet="3Stars" iconId="0"/>
              <x14:cfIcon iconSet="3Stars" iconId="2"/>
              <x14:cfIcon iconSet="NoIcons" iconId="0"/>
            </x14:iconSet>
          </x14:cfRule>
          <xm:sqref>F32</xm:sqref>
        </x14:conditionalFormatting>
        <x14:conditionalFormatting xmlns:xm="http://schemas.microsoft.com/office/excel/2006/main">
          <x14:cfRule type="iconSet" priority="308" id="{810AC4B2-6469-4D05-BEBC-04AC2AC22843}">
            <x14:iconSet iconSet="3Stars" showValue="0" custom="1">
              <x14:cfvo type="percent">
                <xm:f>0</xm:f>
              </x14:cfvo>
              <x14:cfvo type="num" gte="0">
                <xm:f>1</xm:f>
              </x14:cfvo>
              <x14:cfvo type="num">
                <xm:f>5</xm:f>
              </x14:cfvo>
              <x14:cfIcon iconSet="3Stars" iconId="0"/>
              <x14:cfIcon iconSet="3Stars" iconId="2"/>
              <x14:cfIcon iconSet="NoIcons" iconId="0"/>
            </x14:iconSet>
          </x14:cfRule>
          <xm:sqref>D33</xm:sqref>
        </x14:conditionalFormatting>
        <x14:conditionalFormatting xmlns:xm="http://schemas.microsoft.com/office/excel/2006/main">
          <x14:cfRule type="iconSet" priority="307" id="{97C43D44-3119-4BA0-9D66-A16C722C05B1}">
            <x14:iconSet iconSet="3Stars" showValue="0" custom="1">
              <x14:cfvo type="percent">
                <xm:f>0</xm:f>
              </x14:cfvo>
              <x14:cfvo type="num" gte="0">
                <xm:f>2</xm:f>
              </x14:cfvo>
              <x14:cfvo type="num">
                <xm:f>5</xm:f>
              </x14:cfvo>
              <x14:cfIcon iconSet="3Stars" iconId="0"/>
              <x14:cfIcon iconSet="3Stars" iconId="2"/>
              <x14:cfIcon iconSet="3Signs" iconId="1"/>
            </x14:iconSet>
          </x14:cfRule>
          <xm:sqref>E33</xm:sqref>
        </x14:conditionalFormatting>
        <x14:conditionalFormatting xmlns:xm="http://schemas.microsoft.com/office/excel/2006/main">
          <x14:cfRule type="iconSet" priority="306" id="{58EB0728-6BFB-4470-AC9C-7C6799130C9E}">
            <x14:iconSet iconSet="3Stars" showValue="0" custom="1">
              <x14:cfvo type="percent">
                <xm:f>0</xm:f>
              </x14:cfvo>
              <x14:cfvo type="num" gte="0">
                <xm:f>3</xm:f>
              </x14:cfvo>
              <x14:cfvo type="num">
                <xm:f>5</xm:f>
              </x14:cfvo>
              <x14:cfIcon iconSet="3Stars" iconId="0"/>
              <x14:cfIcon iconSet="3Stars" iconId="2"/>
              <x14:cfIcon iconSet="NoIcons" iconId="0"/>
            </x14:iconSet>
          </x14:cfRule>
          <xm:sqref>F33</xm:sqref>
        </x14:conditionalFormatting>
        <x14:conditionalFormatting xmlns:xm="http://schemas.microsoft.com/office/excel/2006/main">
          <x14:cfRule type="iconSet" priority="305" id="{261621CE-D5DA-4590-987D-E40A1A82FBB1}">
            <x14:iconSet iconSet="3Stars" showValue="0" custom="1">
              <x14:cfvo type="percent">
                <xm:f>0</xm:f>
              </x14:cfvo>
              <x14:cfvo type="num" gte="0">
                <xm:f>1</xm:f>
              </x14:cfvo>
              <x14:cfvo type="num">
                <xm:f>5</xm:f>
              </x14:cfvo>
              <x14:cfIcon iconSet="3Stars" iconId="0"/>
              <x14:cfIcon iconSet="3Stars" iconId="2"/>
              <x14:cfIcon iconSet="NoIcons" iconId="0"/>
            </x14:iconSet>
          </x14:cfRule>
          <xm:sqref>D34</xm:sqref>
        </x14:conditionalFormatting>
        <x14:conditionalFormatting xmlns:xm="http://schemas.microsoft.com/office/excel/2006/main">
          <x14:cfRule type="iconSet" priority="304" id="{F6C66469-0975-4D39-9766-6A39938A62DC}">
            <x14:iconSet iconSet="3Stars" showValue="0" custom="1">
              <x14:cfvo type="percent">
                <xm:f>0</xm:f>
              </x14:cfvo>
              <x14:cfvo type="num" gte="0">
                <xm:f>2</xm:f>
              </x14:cfvo>
              <x14:cfvo type="num">
                <xm:f>5</xm:f>
              </x14:cfvo>
              <x14:cfIcon iconSet="3Stars" iconId="0"/>
              <x14:cfIcon iconSet="3Stars" iconId="2"/>
              <x14:cfIcon iconSet="3Signs" iconId="1"/>
            </x14:iconSet>
          </x14:cfRule>
          <xm:sqref>E34</xm:sqref>
        </x14:conditionalFormatting>
        <x14:conditionalFormatting xmlns:xm="http://schemas.microsoft.com/office/excel/2006/main">
          <x14:cfRule type="iconSet" priority="303" id="{9344D12E-3529-4697-AC4C-29D8E17A478E}">
            <x14:iconSet iconSet="3Stars" showValue="0" custom="1">
              <x14:cfvo type="percent">
                <xm:f>0</xm:f>
              </x14:cfvo>
              <x14:cfvo type="num" gte="0">
                <xm:f>3</xm:f>
              </x14:cfvo>
              <x14:cfvo type="num">
                <xm:f>5</xm:f>
              </x14:cfvo>
              <x14:cfIcon iconSet="3Stars" iconId="0"/>
              <x14:cfIcon iconSet="3Stars" iconId="2"/>
              <x14:cfIcon iconSet="NoIcons" iconId="0"/>
            </x14:iconSet>
          </x14:cfRule>
          <xm:sqref>F34</xm:sqref>
        </x14:conditionalFormatting>
        <x14:conditionalFormatting xmlns:xm="http://schemas.microsoft.com/office/excel/2006/main">
          <x14:cfRule type="iconSet" priority="302" id="{E642BA5F-6DC1-4B9C-9C36-A627B5C30351}">
            <x14:iconSet iconSet="3Stars" showValue="0" custom="1">
              <x14:cfvo type="percent">
                <xm:f>0</xm:f>
              </x14:cfvo>
              <x14:cfvo type="num" gte="0">
                <xm:f>1</xm:f>
              </x14:cfvo>
              <x14:cfvo type="num">
                <xm:f>5</xm:f>
              </x14:cfvo>
              <x14:cfIcon iconSet="3Stars" iconId="0"/>
              <x14:cfIcon iconSet="3Stars" iconId="2"/>
              <x14:cfIcon iconSet="NoIcons" iconId="0"/>
            </x14:iconSet>
          </x14:cfRule>
          <xm:sqref>D35</xm:sqref>
        </x14:conditionalFormatting>
        <x14:conditionalFormatting xmlns:xm="http://schemas.microsoft.com/office/excel/2006/main">
          <x14:cfRule type="iconSet" priority="301" id="{B40C1B74-5BA8-4118-8672-BA9D3086E728}">
            <x14:iconSet iconSet="3Stars" showValue="0" custom="1">
              <x14:cfvo type="percent">
                <xm:f>0</xm:f>
              </x14:cfvo>
              <x14:cfvo type="num" gte="0">
                <xm:f>2</xm:f>
              </x14:cfvo>
              <x14:cfvo type="num">
                <xm:f>5</xm:f>
              </x14:cfvo>
              <x14:cfIcon iconSet="3Stars" iconId="0"/>
              <x14:cfIcon iconSet="3Stars" iconId="2"/>
              <x14:cfIcon iconSet="3Signs" iconId="1"/>
            </x14:iconSet>
          </x14:cfRule>
          <xm:sqref>E35</xm:sqref>
        </x14:conditionalFormatting>
        <x14:conditionalFormatting xmlns:xm="http://schemas.microsoft.com/office/excel/2006/main">
          <x14:cfRule type="iconSet" priority="300" id="{45D37693-E814-4729-A60F-3FB449A4C384}">
            <x14:iconSet iconSet="3Stars" showValue="0" custom="1">
              <x14:cfvo type="percent">
                <xm:f>0</xm:f>
              </x14:cfvo>
              <x14:cfvo type="num" gte="0">
                <xm:f>3</xm:f>
              </x14:cfvo>
              <x14:cfvo type="num">
                <xm:f>5</xm:f>
              </x14:cfvo>
              <x14:cfIcon iconSet="3Stars" iconId="0"/>
              <x14:cfIcon iconSet="3Stars" iconId="2"/>
              <x14:cfIcon iconSet="NoIcons" iconId="0"/>
            </x14:iconSet>
          </x14:cfRule>
          <xm:sqref>F35</xm:sqref>
        </x14:conditionalFormatting>
        <x14:conditionalFormatting xmlns:xm="http://schemas.microsoft.com/office/excel/2006/main">
          <x14:cfRule type="iconSet" priority="299" id="{DDF904F3-1DAB-4EB7-9D7E-46091EB84250}">
            <x14:iconSet iconSet="3Stars" showValue="0" custom="1">
              <x14:cfvo type="percent">
                <xm:f>0</xm:f>
              </x14:cfvo>
              <x14:cfvo type="num" gte="0">
                <xm:f>1</xm:f>
              </x14:cfvo>
              <x14:cfvo type="num">
                <xm:f>5</xm:f>
              </x14:cfvo>
              <x14:cfIcon iconSet="3Stars" iconId="0"/>
              <x14:cfIcon iconSet="3Stars" iconId="2"/>
              <x14:cfIcon iconSet="NoIcons" iconId="0"/>
            </x14:iconSet>
          </x14:cfRule>
          <xm:sqref>D36</xm:sqref>
        </x14:conditionalFormatting>
        <x14:conditionalFormatting xmlns:xm="http://schemas.microsoft.com/office/excel/2006/main">
          <x14:cfRule type="iconSet" priority="298" id="{51EE0B4D-59F2-4B00-90BC-E37140D8BD8F}">
            <x14:iconSet iconSet="3Stars" showValue="0" custom="1">
              <x14:cfvo type="percent">
                <xm:f>0</xm:f>
              </x14:cfvo>
              <x14:cfvo type="num" gte="0">
                <xm:f>2</xm:f>
              </x14:cfvo>
              <x14:cfvo type="num">
                <xm:f>5</xm:f>
              </x14:cfvo>
              <x14:cfIcon iconSet="3Stars" iconId="0"/>
              <x14:cfIcon iconSet="3Stars" iconId="2"/>
              <x14:cfIcon iconSet="3Signs" iconId="1"/>
            </x14:iconSet>
          </x14:cfRule>
          <xm:sqref>E36</xm:sqref>
        </x14:conditionalFormatting>
        <x14:conditionalFormatting xmlns:xm="http://schemas.microsoft.com/office/excel/2006/main">
          <x14:cfRule type="iconSet" priority="297" id="{4CFDC942-1732-4216-AC16-7766975E4A13}">
            <x14:iconSet iconSet="3Stars" showValue="0" custom="1">
              <x14:cfvo type="percent">
                <xm:f>0</xm:f>
              </x14:cfvo>
              <x14:cfvo type="num" gte="0">
                <xm:f>3</xm:f>
              </x14:cfvo>
              <x14:cfvo type="num">
                <xm:f>5</xm:f>
              </x14:cfvo>
              <x14:cfIcon iconSet="3Stars" iconId="0"/>
              <x14:cfIcon iconSet="3Stars" iconId="2"/>
              <x14:cfIcon iconSet="NoIcons" iconId="0"/>
            </x14:iconSet>
          </x14:cfRule>
          <xm:sqref>F36</xm:sqref>
        </x14:conditionalFormatting>
        <x14:conditionalFormatting xmlns:xm="http://schemas.microsoft.com/office/excel/2006/main">
          <x14:cfRule type="iconSet" priority="296" id="{2F631EE2-6659-4D13-BE9C-147B5DC33DB2}">
            <x14:iconSet iconSet="3Stars" showValue="0" custom="1">
              <x14:cfvo type="percent">
                <xm:f>0</xm:f>
              </x14:cfvo>
              <x14:cfvo type="num" gte="0">
                <xm:f>1</xm:f>
              </x14:cfvo>
              <x14:cfvo type="num">
                <xm:f>5</xm:f>
              </x14:cfvo>
              <x14:cfIcon iconSet="3Stars" iconId="0"/>
              <x14:cfIcon iconSet="3Stars" iconId="2"/>
              <x14:cfIcon iconSet="NoIcons" iconId="0"/>
            </x14:iconSet>
          </x14:cfRule>
          <xm:sqref>D37</xm:sqref>
        </x14:conditionalFormatting>
        <x14:conditionalFormatting xmlns:xm="http://schemas.microsoft.com/office/excel/2006/main">
          <x14:cfRule type="iconSet" priority="295" id="{E841C448-BDFE-4E1A-9B27-EBE9A33CE7EB}">
            <x14:iconSet iconSet="3Stars" showValue="0" custom="1">
              <x14:cfvo type="percent">
                <xm:f>0</xm:f>
              </x14:cfvo>
              <x14:cfvo type="num" gte="0">
                <xm:f>2</xm:f>
              </x14:cfvo>
              <x14:cfvo type="num">
                <xm:f>5</xm:f>
              </x14:cfvo>
              <x14:cfIcon iconSet="3Stars" iconId="0"/>
              <x14:cfIcon iconSet="3Stars" iconId="2"/>
              <x14:cfIcon iconSet="3Signs" iconId="1"/>
            </x14:iconSet>
          </x14:cfRule>
          <xm:sqref>E37</xm:sqref>
        </x14:conditionalFormatting>
        <x14:conditionalFormatting xmlns:xm="http://schemas.microsoft.com/office/excel/2006/main">
          <x14:cfRule type="iconSet" priority="294" id="{885BEDA8-52C1-4ABF-BAAF-EDBE2FB109FC}">
            <x14:iconSet iconSet="3Stars" showValue="0" custom="1">
              <x14:cfvo type="percent">
                <xm:f>0</xm:f>
              </x14:cfvo>
              <x14:cfvo type="num" gte="0">
                <xm:f>3</xm:f>
              </x14:cfvo>
              <x14:cfvo type="num">
                <xm:f>5</xm:f>
              </x14:cfvo>
              <x14:cfIcon iconSet="3Stars" iconId="0"/>
              <x14:cfIcon iconSet="3Stars" iconId="2"/>
              <x14:cfIcon iconSet="NoIcons" iconId="0"/>
            </x14:iconSet>
          </x14:cfRule>
          <xm:sqref>F37</xm:sqref>
        </x14:conditionalFormatting>
        <x14:conditionalFormatting xmlns:xm="http://schemas.microsoft.com/office/excel/2006/main">
          <x14:cfRule type="iconSet" priority="293" id="{CEF7CED6-85FB-4E98-B298-BE453756FB05}">
            <x14:iconSet iconSet="3Stars" showValue="0" custom="1">
              <x14:cfvo type="percent">
                <xm:f>0</xm:f>
              </x14:cfvo>
              <x14:cfvo type="num" gte="0">
                <xm:f>1</xm:f>
              </x14:cfvo>
              <x14:cfvo type="num">
                <xm:f>5</xm:f>
              </x14:cfvo>
              <x14:cfIcon iconSet="3Stars" iconId="0"/>
              <x14:cfIcon iconSet="3Stars" iconId="2"/>
              <x14:cfIcon iconSet="NoIcons" iconId="0"/>
            </x14:iconSet>
          </x14:cfRule>
          <xm:sqref>D38</xm:sqref>
        </x14:conditionalFormatting>
        <x14:conditionalFormatting xmlns:xm="http://schemas.microsoft.com/office/excel/2006/main">
          <x14:cfRule type="iconSet" priority="292" id="{1DC2E0A1-1BB9-4544-A911-E281817475C7}">
            <x14:iconSet iconSet="3Stars" showValue="0" custom="1">
              <x14:cfvo type="percent">
                <xm:f>0</xm:f>
              </x14:cfvo>
              <x14:cfvo type="num" gte="0">
                <xm:f>2</xm:f>
              </x14:cfvo>
              <x14:cfvo type="num">
                <xm:f>5</xm:f>
              </x14:cfvo>
              <x14:cfIcon iconSet="3Stars" iconId="0"/>
              <x14:cfIcon iconSet="3Stars" iconId="2"/>
              <x14:cfIcon iconSet="3Signs" iconId="1"/>
            </x14:iconSet>
          </x14:cfRule>
          <xm:sqref>E38</xm:sqref>
        </x14:conditionalFormatting>
        <x14:conditionalFormatting xmlns:xm="http://schemas.microsoft.com/office/excel/2006/main">
          <x14:cfRule type="iconSet" priority="291" id="{B239CA8C-D350-480C-B9E9-929F32FB1BDE}">
            <x14:iconSet iconSet="3Stars" showValue="0" custom="1">
              <x14:cfvo type="percent">
                <xm:f>0</xm:f>
              </x14:cfvo>
              <x14:cfvo type="num" gte="0">
                <xm:f>3</xm:f>
              </x14:cfvo>
              <x14:cfvo type="num">
                <xm:f>5</xm:f>
              </x14:cfvo>
              <x14:cfIcon iconSet="3Stars" iconId="0"/>
              <x14:cfIcon iconSet="3Stars" iconId="2"/>
              <x14:cfIcon iconSet="NoIcons" iconId="0"/>
            </x14:iconSet>
          </x14:cfRule>
          <xm:sqref>F38</xm:sqref>
        </x14:conditionalFormatting>
        <x14:conditionalFormatting xmlns:xm="http://schemas.microsoft.com/office/excel/2006/main">
          <x14:cfRule type="iconSet" priority="290" id="{FBB5BAFF-A23E-4B5A-99E3-455E34DA6D00}">
            <x14:iconSet iconSet="3Stars" showValue="0" custom="1">
              <x14:cfvo type="percent">
                <xm:f>0</xm:f>
              </x14:cfvo>
              <x14:cfvo type="num" gte="0">
                <xm:f>1</xm:f>
              </x14:cfvo>
              <x14:cfvo type="num">
                <xm:f>5</xm:f>
              </x14:cfvo>
              <x14:cfIcon iconSet="3Stars" iconId="0"/>
              <x14:cfIcon iconSet="3Stars" iconId="2"/>
              <x14:cfIcon iconSet="NoIcons" iconId="0"/>
            </x14:iconSet>
          </x14:cfRule>
          <xm:sqref>D40</xm:sqref>
        </x14:conditionalFormatting>
        <x14:conditionalFormatting xmlns:xm="http://schemas.microsoft.com/office/excel/2006/main">
          <x14:cfRule type="iconSet" priority="289" id="{982D36F3-DD8A-4B05-90A8-688AA3CDD8CD}">
            <x14:iconSet iconSet="3Stars" showValue="0" custom="1">
              <x14:cfvo type="percent">
                <xm:f>0</xm:f>
              </x14:cfvo>
              <x14:cfvo type="num" gte="0">
                <xm:f>2</xm:f>
              </x14:cfvo>
              <x14:cfvo type="num">
                <xm:f>5</xm:f>
              </x14:cfvo>
              <x14:cfIcon iconSet="3Stars" iconId="0"/>
              <x14:cfIcon iconSet="3Stars" iconId="2"/>
              <x14:cfIcon iconSet="3Signs" iconId="1"/>
            </x14:iconSet>
          </x14:cfRule>
          <xm:sqref>E40</xm:sqref>
        </x14:conditionalFormatting>
        <x14:conditionalFormatting xmlns:xm="http://schemas.microsoft.com/office/excel/2006/main">
          <x14:cfRule type="iconSet" priority="288" id="{AB4E5F62-2955-4E64-88E7-79F293280C03}">
            <x14:iconSet iconSet="3Stars" showValue="0" custom="1">
              <x14:cfvo type="percent">
                <xm:f>0</xm:f>
              </x14:cfvo>
              <x14:cfvo type="num" gte="0">
                <xm:f>3</xm:f>
              </x14:cfvo>
              <x14:cfvo type="num">
                <xm:f>5</xm:f>
              </x14:cfvo>
              <x14:cfIcon iconSet="3Stars" iconId="0"/>
              <x14:cfIcon iconSet="3Stars" iconId="2"/>
              <x14:cfIcon iconSet="NoIcons" iconId="0"/>
            </x14:iconSet>
          </x14:cfRule>
          <xm:sqref>F40</xm:sqref>
        </x14:conditionalFormatting>
        <x14:conditionalFormatting xmlns:xm="http://schemas.microsoft.com/office/excel/2006/main">
          <x14:cfRule type="iconSet" priority="287" id="{AE374F9C-4A89-40A1-B2FF-0CE02885BB4A}">
            <x14:iconSet iconSet="3Stars" showValue="0" custom="1">
              <x14:cfvo type="percent">
                <xm:f>0</xm:f>
              </x14:cfvo>
              <x14:cfvo type="num" gte="0">
                <xm:f>1</xm:f>
              </x14:cfvo>
              <x14:cfvo type="num">
                <xm:f>5</xm:f>
              </x14:cfvo>
              <x14:cfIcon iconSet="3Stars" iconId="0"/>
              <x14:cfIcon iconSet="3Stars" iconId="2"/>
              <x14:cfIcon iconSet="NoIcons" iconId="0"/>
            </x14:iconSet>
          </x14:cfRule>
          <xm:sqref>D41</xm:sqref>
        </x14:conditionalFormatting>
        <x14:conditionalFormatting xmlns:xm="http://schemas.microsoft.com/office/excel/2006/main">
          <x14:cfRule type="iconSet" priority="286" id="{795C25A5-537A-4844-B78B-85C7786C9735}">
            <x14:iconSet iconSet="3Stars" showValue="0" custom="1">
              <x14:cfvo type="percent">
                <xm:f>0</xm:f>
              </x14:cfvo>
              <x14:cfvo type="num" gte="0">
                <xm:f>2</xm:f>
              </x14:cfvo>
              <x14:cfvo type="num">
                <xm:f>5</xm:f>
              </x14:cfvo>
              <x14:cfIcon iconSet="3Stars" iconId="0"/>
              <x14:cfIcon iconSet="3Stars" iconId="2"/>
              <x14:cfIcon iconSet="3Signs" iconId="1"/>
            </x14:iconSet>
          </x14:cfRule>
          <xm:sqref>E41</xm:sqref>
        </x14:conditionalFormatting>
        <x14:conditionalFormatting xmlns:xm="http://schemas.microsoft.com/office/excel/2006/main">
          <x14:cfRule type="iconSet" priority="285" id="{5F3C0DA9-01DC-42C3-A2FF-E8872EEED010}">
            <x14:iconSet iconSet="3Stars" showValue="0" custom="1">
              <x14:cfvo type="percent">
                <xm:f>0</xm:f>
              </x14:cfvo>
              <x14:cfvo type="num" gte="0">
                <xm:f>3</xm:f>
              </x14:cfvo>
              <x14:cfvo type="num">
                <xm:f>5</xm:f>
              </x14:cfvo>
              <x14:cfIcon iconSet="3Stars" iconId="0"/>
              <x14:cfIcon iconSet="3Stars" iconId="2"/>
              <x14:cfIcon iconSet="NoIcons" iconId="0"/>
            </x14:iconSet>
          </x14:cfRule>
          <xm:sqref>F41</xm:sqref>
        </x14:conditionalFormatting>
        <x14:conditionalFormatting xmlns:xm="http://schemas.microsoft.com/office/excel/2006/main">
          <x14:cfRule type="iconSet" priority="284" id="{9327E0F5-4064-4BB8-A173-B38662038EDE}">
            <x14:iconSet iconSet="3Stars" showValue="0" custom="1">
              <x14:cfvo type="percent">
                <xm:f>0</xm:f>
              </x14:cfvo>
              <x14:cfvo type="num" gte="0">
                <xm:f>1</xm:f>
              </x14:cfvo>
              <x14:cfvo type="num">
                <xm:f>5</xm:f>
              </x14:cfvo>
              <x14:cfIcon iconSet="3Stars" iconId="0"/>
              <x14:cfIcon iconSet="3Stars" iconId="2"/>
              <x14:cfIcon iconSet="NoIcons" iconId="0"/>
            </x14:iconSet>
          </x14:cfRule>
          <xm:sqref>D42</xm:sqref>
        </x14:conditionalFormatting>
        <x14:conditionalFormatting xmlns:xm="http://schemas.microsoft.com/office/excel/2006/main">
          <x14:cfRule type="iconSet" priority="283" id="{3013C468-3D85-4D71-96D7-270DE18754A4}">
            <x14:iconSet iconSet="3Stars" showValue="0" custom="1">
              <x14:cfvo type="percent">
                <xm:f>0</xm:f>
              </x14:cfvo>
              <x14:cfvo type="num" gte="0">
                <xm:f>2</xm:f>
              </x14:cfvo>
              <x14:cfvo type="num">
                <xm:f>5</xm:f>
              </x14:cfvo>
              <x14:cfIcon iconSet="3Stars" iconId="0"/>
              <x14:cfIcon iconSet="3Stars" iconId="2"/>
              <x14:cfIcon iconSet="3Signs" iconId="1"/>
            </x14:iconSet>
          </x14:cfRule>
          <xm:sqref>E42</xm:sqref>
        </x14:conditionalFormatting>
        <x14:conditionalFormatting xmlns:xm="http://schemas.microsoft.com/office/excel/2006/main">
          <x14:cfRule type="iconSet" priority="282" id="{B05370A0-FE49-45D5-93DA-2323EC40D40C}">
            <x14:iconSet iconSet="3Stars" showValue="0" custom="1">
              <x14:cfvo type="percent">
                <xm:f>0</xm:f>
              </x14:cfvo>
              <x14:cfvo type="num" gte="0">
                <xm:f>3</xm:f>
              </x14:cfvo>
              <x14:cfvo type="num">
                <xm:f>5</xm:f>
              </x14:cfvo>
              <x14:cfIcon iconSet="3Stars" iconId="0"/>
              <x14:cfIcon iconSet="3Stars" iconId="2"/>
              <x14:cfIcon iconSet="NoIcons" iconId="0"/>
            </x14:iconSet>
          </x14:cfRule>
          <xm:sqref>F42</xm:sqref>
        </x14:conditionalFormatting>
        <x14:conditionalFormatting xmlns:xm="http://schemas.microsoft.com/office/excel/2006/main">
          <x14:cfRule type="iconSet" priority="281" id="{B0DFC8A8-0E21-46DD-B86E-75213747C5BE}">
            <x14:iconSet iconSet="3Stars" showValue="0" custom="1">
              <x14:cfvo type="percent">
                <xm:f>0</xm:f>
              </x14:cfvo>
              <x14:cfvo type="num" gte="0">
                <xm:f>1</xm:f>
              </x14:cfvo>
              <x14:cfvo type="num">
                <xm:f>5</xm:f>
              </x14:cfvo>
              <x14:cfIcon iconSet="3Stars" iconId="0"/>
              <x14:cfIcon iconSet="3Stars" iconId="2"/>
              <x14:cfIcon iconSet="NoIcons" iconId="0"/>
            </x14:iconSet>
          </x14:cfRule>
          <xm:sqref>D43</xm:sqref>
        </x14:conditionalFormatting>
        <x14:conditionalFormatting xmlns:xm="http://schemas.microsoft.com/office/excel/2006/main">
          <x14:cfRule type="iconSet" priority="280" id="{41577CEC-4DB5-4F70-9005-BF41838B3EB3}">
            <x14:iconSet iconSet="3Stars" showValue="0" custom="1">
              <x14:cfvo type="percent">
                <xm:f>0</xm:f>
              </x14:cfvo>
              <x14:cfvo type="num" gte="0">
                <xm:f>2</xm:f>
              </x14:cfvo>
              <x14:cfvo type="num">
                <xm:f>5</xm:f>
              </x14:cfvo>
              <x14:cfIcon iconSet="3Stars" iconId="0"/>
              <x14:cfIcon iconSet="3Stars" iconId="2"/>
              <x14:cfIcon iconSet="3Signs" iconId="1"/>
            </x14:iconSet>
          </x14:cfRule>
          <xm:sqref>E43</xm:sqref>
        </x14:conditionalFormatting>
        <x14:conditionalFormatting xmlns:xm="http://schemas.microsoft.com/office/excel/2006/main">
          <x14:cfRule type="iconSet" priority="279" id="{3CB70376-5BD2-4E63-8078-B0A032AC0662}">
            <x14:iconSet iconSet="3Stars" showValue="0" custom="1">
              <x14:cfvo type="percent">
                <xm:f>0</xm:f>
              </x14:cfvo>
              <x14:cfvo type="num" gte="0">
                <xm:f>3</xm:f>
              </x14:cfvo>
              <x14:cfvo type="num">
                <xm:f>5</xm:f>
              </x14:cfvo>
              <x14:cfIcon iconSet="3Stars" iconId="0"/>
              <x14:cfIcon iconSet="3Stars" iconId="2"/>
              <x14:cfIcon iconSet="NoIcons" iconId="0"/>
            </x14:iconSet>
          </x14:cfRule>
          <xm:sqref>F43</xm:sqref>
        </x14:conditionalFormatting>
        <x14:conditionalFormatting xmlns:xm="http://schemas.microsoft.com/office/excel/2006/main">
          <x14:cfRule type="iconSet" priority="278" id="{C494677F-BD7B-42A0-AA64-05A77C99572A}">
            <x14:iconSet iconSet="3Stars" showValue="0" custom="1">
              <x14:cfvo type="percent">
                <xm:f>0</xm:f>
              </x14:cfvo>
              <x14:cfvo type="num" gte="0">
                <xm:f>1</xm:f>
              </x14:cfvo>
              <x14:cfvo type="num">
                <xm:f>5</xm:f>
              </x14:cfvo>
              <x14:cfIcon iconSet="3Stars" iconId="0"/>
              <x14:cfIcon iconSet="3Stars" iconId="2"/>
              <x14:cfIcon iconSet="NoIcons" iconId="0"/>
            </x14:iconSet>
          </x14:cfRule>
          <xm:sqref>D44</xm:sqref>
        </x14:conditionalFormatting>
        <x14:conditionalFormatting xmlns:xm="http://schemas.microsoft.com/office/excel/2006/main">
          <x14:cfRule type="iconSet" priority="277" id="{7DA60420-9059-4AEA-9365-F3D56B3685ED}">
            <x14:iconSet iconSet="3Stars" showValue="0" custom="1">
              <x14:cfvo type="percent">
                <xm:f>0</xm:f>
              </x14:cfvo>
              <x14:cfvo type="num" gte="0">
                <xm:f>2</xm:f>
              </x14:cfvo>
              <x14:cfvo type="num">
                <xm:f>5</xm:f>
              </x14:cfvo>
              <x14:cfIcon iconSet="3Stars" iconId="0"/>
              <x14:cfIcon iconSet="3Stars" iconId="2"/>
              <x14:cfIcon iconSet="3Signs" iconId="1"/>
            </x14:iconSet>
          </x14:cfRule>
          <xm:sqref>E44</xm:sqref>
        </x14:conditionalFormatting>
        <x14:conditionalFormatting xmlns:xm="http://schemas.microsoft.com/office/excel/2006/main">
          <x14:cfRule type="iconSet" priority="276" id="{FC6A7685-7758-4A3B-B1C4-B9A2964F5E33}">
            <x14:iconSet iconSet="3Stars" showValue="0" custom="1">
              <x14:cfvo type="percent">
                <xm:f>0</xm:f>
              </x14:cfvo>
              <x14:cfvo type="num" gte="0">
                <xm:f>3</xm:f>
              </x14:cfvo>
              <x14:cfvo type="num">
                <xm:f>5</xm:f>
              </x14:cfvo>
              <x14:cfIcon iconSet="3Stars" iconId="0"/>
              <x14:cfIcon iconSet="3Stars" iconId="2"/>
              <x14:cfIcon iconSet="NoIcons" iconId="0"/>
            </x14:iconSet>
          </x14:cfRule>
          <xm:sqref>F44</xm:sqref>
        </x14:conditionalFormatting>
        <x14:conditionalFormatting xmlns:xm="http://schemas.microsoft.com/office/excel/2006/main">
          <x14:cfRule type="iconSet" priority="275" id="{5DAA42E4-85AE-4AB6-B870-288CE1CED99A}">
            <x14:iconSet iconSet="3Stars" showValue="0" custom="1">
              <x14:cfvo type="percent">
                <xm:f>0</xm:f>
              </x14:cfvo>
              <x14:cfvo type="num" gte="0">
                <xm:f>1</xm:f>
              </x14:cfvo>
              <x14:cfvo type="num">
                <xm:f>5</xm:f>
              </x14:cfvo>
              <x14:cfIcon iconSet="3Stars" iconId="0"/>
              <x14:cfIcon iconSet="3Stars" iconId="2"/>
              <x14:cfIcon iconSet="NoIcons" iconId="0"/>
            </x14:iconSet>
          </x14:cfRule>
          <xm:sqref>D45</xm:sqref>
        </x14:conditionalFormatting>
        <x14:conditionalFormatting xmlns:xm="http://schemas.microsoft.com/office/excel/2006/main">
          <x14:cfRule type="iconSet" priority="274" id="{4CD3A924-5D13-4F3E-B7D1-33C304D788CE}">
            <x14:iconSet iconSet="3Stars" showValue="0" custom="1">
              <x14:cfvo type="percent">
                <xm:f>0</xm:f>
              </x14:cfvo>
              <x14:cfvo type="num" gte="0">
                <xm:f>2</xm:f>
              </x14:cfvo>
              <x14:cfvo type="num">
                <xm:f>5</xm:f>
              </x14:cfvo>
              <x14:cfIcon iconSet="3Stars" iconId="0"/>
              <x14:cfIcon iconSet="3Stars" iconId="2"/>
              <x14:cfIcon iconSet="3Signs" iconId="1"/>
            </x14:iconSet>
          </x14:cfRule>
          <xm:sqref>E45</xm:sqref>
        </x14:conditionalFormatting>
        <x14:conditionalFormatting xmlns:xm="http://schemas.microsoft.com/office/excel/2006/main">
          <x14:cfRule type="iconSet" priority="273" id="{4C00C326-B4C4-4FBD-A666-7159A7E77A75}">
            <x14:iconSet iconSet="3Stars" showValue="0" custom="1">
              <x14:cfvo type="percent">
                <xm:f>0</xm:f>
              </x14:cfvo>
              <x14:cfvo type="num" gte="0">
                <xm:f>3</xm:f>
              </x14:cfvo>
              <x14:cfvo type="num">
                <xm:f>5</xm:f>
              </x14:cfvo>
              <x14:cfIcon iconSet="3Stars" iconId="0"/>
              <x14:cfIcon iconSet="3Stars" iconId="2"/>
              <x14:cfIcon iconSet="NoIcons" iconId="0"/>
            </x14:iconSet>
          </x14:cfRule>
          <xm:sqref>F45</xm:sqref>
        </x14:conditionalFormatting>
        <x14:conditionalFormatting xmlns:xm="http://schemas.microsoft.com/office/excel/2006/main">
          <x14:cfRule type="iconSet" priority="272" id="{7EC74EBD-E214-4CAE-8817-11BEDCAE5900}">
            <x14:iconSet iconSet="3Stars" showValue="0" custom="1">
              <x14:cfvo type="percent">
                <xm:f>0</xm:f>
              </x14:cfvo>
              <x14:cfvo type="num" gte="0">
                <xm:f>1</xm:f>
              </x14:cfvo>
              <x14:cfvo type="num">
                <xm:f>5</xm:f>
              </x14:cfvo>
              <x14:cfIcon iconSet="3Stars" iconId="0"/>
              <x14:cfIcon iconSet="3Stars" iconId="2"/>
              <x14:cfIcon iconSet="NoIcons" iconId="0"/>
            </x14:iconSet>
          </x14:cfRule>
          <xm:sqref>D46</xm:sqref>
        </x14:conditionalFormatting>
        <x14:conditionalFormatting xmlns:xm="http://schemas.microsoft.com/office/excel/2006/main">
          <x14:cfRule type="iconSet" priority="271" id="{9FB547DC-3164-4080-82EE-C0E97661AE11}">
            <x14:iconSet iconSet="3Stars" showValue="0" custom="1">
              <x14:cfvo type="percent">
                <xm:f>0</xm:f>
              </x14:cfvo>
              <x14:cfvo type="num" gte="0">
                <xm:f>2</xm:f>
              </x14:cfvo>
              <x14:cfvo type="num">
                <xm:f>5</xm:f>
              </x14:cfvo>
              <x14:cfIcon iconSet="3Stars" iconId="0"/>
              <x14:cfIcon iconSet="3Stars" iconId="2"/>
              <x14:cfIcon iconSet="3Signs" iconId="1"/>
            </x14:iconSet>
          </x14:cfRule>
          <xm:sqref>E46</xm:sqref>
        </x14:conditionalFormatting>
        <x14:conditionalFormatting xmlns:xm="http://schemas.microsoft.com/office/excel/2006/main">
          <x14:cfRule type="iconSet" priority="270" id="{4F012F7A-514E-453B-9924-39445C47F85E}">
            <x14:iconSet iconSet="3Stars" showValue="0" custom="1">
              <x14:cfvo type="percent">
                <xm:f>0</xm:f>
              </x14:cfvo>
              <x14:cfvo type="num" gte="0">
                <xm:f>3</xm:f>
              </x14:cfvo>
              <x14:cfvo type="num">
                <xm:f>5</xm:f>
              </x14:cfvo>
              <x14:cfIcon iconSet="3Stars" iconId="0"/>
              <x14:cfIcon iconSet="3Stars" iconId="2"/>
              <x14:cfIcon iconSet="NoIcons" iconId="0"/>
            </x14:iconSet>
          </x14:cfRule>
          <xm:sqref>F46</xm:sqref>
        </x14:conditionalFormatting>
        <x14:conditionalFormatting xmlns:xm="http://schemas.microsoft.com/office/excel/2006/main">
          <x14:cfRule type="iconSet" priority="269" id="{A1355D6F-1393-49B3-ADBC-C78EF8B64F01}">
            <x14:iconSet iconSet="3Stars" showValue="0" custom="1">
              <x14:cfvo type="percent">
                <xm:f>0</xm:f>
              </x14:cfvo>
              <x14:cfvo type="num" gte="0">
                <xm:f>1</xm:f>
              </x14:cfvo>
              <x14:cfvo type="num">
                <xm:f>5</xm:f>
              </x14:cfvo>
              <x14:cfIcon iconSet="3Stars" iconId="0"/>
              <x14:cfIcon iconSet="3Stars" iconId="2"/>
              <x14:cfIcon iconSet="NoIcons" iconId="0"/>
            </x14:iconSet>
          </x14:cfRule>
          <xm:sqref>D47</xm:sqref>
        </x14:conditionalFormatting>
        <x14:conditionalFormatting xmlns:xm="http://schemas.microsoft.com/office/excel/2006/main">
          <x14:cfRule type="iconSet" priority="268" id="{8D416BFC-F4AF-46A6-9A6F-8287B5F116C0}">
            <x14:iconSet iconSet="3Stars" showValue="0" custom="1">
              <x14:cfvo type="percent">
                <xm:f>0</xm:f>
              </x14:cfvo>
              <x14:cfvo type="num" gte="0">
                <xm:f>2</xm:f>
              </x14:cfvo>
              <x14:cfvo type="num">
                <xm:f>5</xm:f>
              </x14:cfvo>
              <x14:cfIcon iconSet="3Stars" iconId="0"/>
              <x14:cfIcon iconSet="3Stars" iconId="2"/>
              <x14:cfIcon iconSet="3Signs" iconId="1"/>
            </x14:iconSet>
          </x14:cfRule>
          <xm:sqref>E47</xm:sqref>
        </x14:conditionalFormatting>
        <x14:conditionalFormatting xmlns:xm="http://schemas.microsoft.com/office/excel/2006/main">
          <x14:cfRule type="iconSet" priority="267" id="{159F936D-EEF7-4FED-ADFC-FDB7974F357A}">
            <x14:iconSet iconSet="3Stars" showValue="0" custom="1">
              <x14:cfvo type="percent">
                <xm:f>0</xm:f>
              </x14:cfvo>
              <x14:cfvo type="num" gte="0">
                <xm:f>3</xm:f>
              </x14:cfvo>
              <x14:cfvo type="num">
                <xm:f>5</xm:f>
              </x14:cfvo>
              <x14:cfIcon iconSet="3Stars" iconId="0"/>
              <x14:cfIcon iconSet="3Stars" iconId="2"/>
              <x14:cfIcon iconSet="NoIcons" iconId="0"/>
            </x14:iconSet>
          </x14:cfRule>
          <xm:sqref>F47</xm:sqref>
        </x14:conditionalFormatting>
        <x14:conditionalFormatting xmlns:xm="http://schemas.microsoft.com/office/excel/2006/main">
          <x14:cfRule type="iconSet" priority="266" id="{CEEBC53D-6677-415E-95A2-30CA7F3E9085}">
            <x14:iconSet iconSet="3Stars" showValue="0" custom="1">
              <x14:cfvo type="percent">
                <xm:f>0</xm:f>
              </x14:cfvo>
              <x14:cfvo type="num" gte="0">
                <xm:f>1</xm:f>
              </x14:cfvo>
              <x14:cfvo type="num">
                <xm:f>5</xm:f>
              </x14:cfvo>
              <x14:cfIcon iconSet="3Stars" iconId="0"/>
              <x14:cfIcon iconSet="3Stars" iconId="2"/>
              <x14:cfIcon iconSet="NoIcons" iconId="0"/>
            </x14:iconSet>
          </x14:cfRule>
          <xm:sqref>D51</xm:sqref>
        </x14:conditionalFormatting>
        <x14:conditionalFormatting xmlns:xm="http://schemas.microsoft.com/office/excel/2006/main">
          <x14:cfRule type="iconSet" priority="265" id="{3DAA90E4-78A2-4679-890A-70E255065A3F}">
            <x14:iconSet iconSet="3Stars" showValue="0" custom="1">
              <x14:cfvo type="percent">
                <xm:f>0</xm:f>
              </x14:cfvo>
              <x14:cfvo type="num" gte="0">
                <xm:f>2</xm:f>
              </x14:cfvo>
              <x14:cfvo type="num">
                <xm:f>5</xm:f>
              </x14:cfvo>
              <x14:cfIcon iconSet="3Stars" iconId="0"/>
              <x14:cfIcon iconSet="3Stars" iconId="2"/>
              <x14:cfIcon iconSet="3Signs" iconId="1"/>
            </x14:iconSet>
          </x14:cfRule>
          <xm:sqref>E51</xm:sqref>
        </x14:conditionalFormatting>
        <x14:conditionalFormatting xmlns:xm="http://schemas.microsoft.com/office/excel/2006/main">
          <x14:cfRule type="iconSet" priority="264" id="{060E6B84-F10D-4EAE-9855-FD558F5B387B}">
            <x14:iconSet iconSet="3Stars" showValue="0" custom="1">
              <x14:cfvo type="percent">
                <xm:f>0</xm:f>
              </x14:cfvo>
              <x14:cfvo type="num" gte="0">
                <xm:f>3</xm:f>
              </x14:cfvo>
              <x14:cfvo type="num">
                <xm:f>5</xm:f>
              </x14:cfvo>
              <x14:cfIcon iconSet="3Stars" iconId="0"/>
              <x14:cfIcon iconSet="3Stars" iconId="2"/>
              <x14:cfIcon iconSet="NoIcons" iconId="0"/>
            </x14:iconSet>
          </x14:cfRule>
          <xm:sqref>F51</xm:sqref>
        </x14:conditionalFormatting>
        <x14:conditionalFormatting xmlns:xm="http://schemas.microsoft.com/office/excel/2006/main">
          <x14:cfRule type="iconSet" priority="263" id="{A4F314D8-8EA6-43AB-A69C-3F1330B9274F}">
            <x14:iconSet iconSet="3Stars" showValue="0" custom="1">
              <x14:cfvo type="percent">
                <xm:f>0</xm:f>
              </x14:cfvo>
              <x14:cfvo type="num" gte="0">
                <xm:f>1</xm:f>
              </x14:cfvo>
              <x14:cfvo type="num">
                <xm:f>5</xm:f>
              </x14:cfvo>
              <x14:cfIcon iconSet="3Stars" iconId="0"/>
              <x14:cfIcon iconSet="3Stars" iconId="2"/>
              <x14:cfIcon iconSet="NoIcons" iconId="0"/>
            </x14:iconSet>
          </x14:cfRule>
          <xm:sqref>D52</xm:sqref>
        </x14:conditionalFormatting>
        <x14:conditionalFormatting xmlns:xm="http://schemas.microsoft.com/office/excel/2006/main">
          <x14:cfRule type="iconSet" priority="262" id="{2EE6B34C-FC08-4D27-A2EF-D6D6BE84FBC8}">
            <x14:iconSet iconSet="3Stars" showValue="0" custom="1">
              <x14:cfvo type="percent">
                <xm:f>0</xm:f>
              </x14:cfvo>
              <x14:cfvo type="num" gte="0">
                <xm:f>2</xm:f>
              </x14:cfvo>
              <x14:cfvo type="num">
                <xm:f>5</xm:f>
              </x14:cfvo>
              <x14:cfIcon iconSet="3Stars" iconId="0"/>
              <x14:cfIcon iconSet="3Stars" iconId="2"/>
              <x14:cfIcon iconSet="3Signs" iconId="1"/>
            </x14:iconSet>
          </x14:cfRule>
          <xm:sqref>E52</xm:sqref>
        </x14:conditionalFormatting>
        <x14:conditionalFormatting xmlns:xm="http://schemas.microsoft.com/office/excel/2006/main">
          <x14:cfRule type="iconSet" priority="261" id="{DCA7D57C-A0EC-4FE2-AC5D-5AD965108176}">
            <x14:iconSet iconSet="3Stars" showValue="0" custom="1">
              <x14:cfvo type="percent">
                <xm:f>0</xm:f>
              </x14:cfvo>
              <x14:cfvo type="num" gte="0">
                <xm:f>3</xm:f>
              </x14:cfvo>
              <x14:cfvo type="num">
                <xm:f>5</xm:f>
              </x14:cfvo>
              <x14:cfIcon iconSet="3Stars" iconId="0"/>
              <x14:cfIcon iconSet="3Stars" iconId="2"/>
              <x14:cfIcon iconSet="NoIcons" iconId="0"/>
            </x14:iconSet>
          </x14:cfRule>
          <xm:sqref>F52</xm:sqref>
        </x14:conditionalFormatting>
        <x14:conditionalFormatting xmlns:xm="http://schemas.microsoft.com/office/excel/2006/main">
          <x14:cfRule type="iconSet" priority="260" id="{6C93DCCA-5254-4C3F-982D-6F291F4E8C3C}">
            <x14:iconSet iconSet="3Stars" showValue="0" custom="1">
              <x14:cfvo type="percent">
                <xm:f>0</xm:f>
              </x14:cfvo>
              <x14:cfvo type="num" gte="0">
                <xm:f>1</xm:f>
              </x14:cfvo>
              <x14:cfvo type="num">
                <xm:f>5</xm:f>
              </x14:cfvo>
              <x14:cfIcon iconSet="3Stars" iconId="0"/>
              <x14:cfIcon iconSet="3Stars" iconId="2"/>
              <x14:cfIcon iconSet="NoIcons" iconId="0"/>
            </x14:iconSet>
          </x14:cfRule>
          <xm:sqref>D53</xm:sqref>
        </x14:conditionalFormatting>
        <x14:conditionalFormatting xmlns:xm="http://schemas.microsoft.com/office/excel/2006/main">
          <x14:cfRule type="iconSet" priority="259" id="{6A24729A-3F95-4C5A-A86C-80501894AC9A}">
            <x14:iconSet iconSet="3Stars" showValue="0" custom="1">
              <x14:cfvo type="percent">
                <xm:f>0</xm:f>
              </x14:cfvo>
              <x14:cfvo type="num" gte="0">
                <xm:f>2</xm:f>
              </x14:cfvo>
              <x14:cfvo type="num">
                <xm:f>5</xm:f>
              </x14:cfvo>
              <x14:cfIcon iconSet="3Stars" iconId="0"/>
              <x14:cfIcon iconSet="3Stars" iconId="2"/>
              <x14:cfIcon iconSet="3Signs" iconId="1"/>
            </x14:iconSet>
          </x14:cfRule>
          <xm:sqref>E53</xm:sqref>
        </x14:conditionalFormatting>
        <x14:conditionalFormatting xmlns:xm="http://schemas.microsoft.com/office/excel/2006/main">
          <x14:cfRule type="iconSet" priority="258" id="{85DD4F0F-F11C-444F-9C12-02E39724DBFA}">
            <x14:iconSet iconSet="3Stars" showValue="0" custom="1">
              <x14:cfvo type="percent">
                <xm:f>0</xm:f>
              </x14:cfvo>
              <x14:cfvo type="num" gte="0">
                <xm:f>3</xm:f>
              </x14:cfvo>
              <x14:cfvo type="num">
                <xm:f>5</xm:f>
              </x14:cfvo>
              <x14:cfIcon iconSet="3Stars" iconId="0"/>
              <x14:cfIcon iconSet="3Stars" iconId="2"/>
              <x14:cfIcon iconSet="NoIcons" iconId="0"/>
            </x14:iconSet>
          </x14:cfRule>
          <xm:sqref>F53</xm:sqref>
        </x14:conditionalFormatting>
        <x14:conditionalFormatting xmlns:xm="http://schemas.microsoft.com/office/excel/2006/main">
          <x14:cfRule type="iconSet" priority="257" id="{274B111F-786A-4435-ACE7-DCA660CAF40E}">
            <x14:iconSet iconSet="3Stars" showValue="0" custom="1">
              <x14:cfvo type="percent">
                <xm:f>0</xm:f>
              </x14:cfvo>
              <x14:cfvo type="num" gte="0">
                <xm:f>1</xm:f>
              </x14:cfvo>
              <x14:cfvo type="num">
                <xm:f>5</xm:f>
              </x14:cfvo>
              <x14:cfIcon iconSet="3Stars" iconId="0"/>
              <x14:cfIcon iconSet="3Stars" iconId="2"/>
              <x14:cfIcon iconSet="NoIcons" iconId="0"/>
            </x14:iconSet>
          </x14:cfRule>
          <xm:sqref>D54</xm:sqref>
        </x14:conditionalFormatting>
        <x14:conditionalFormatting xmlns:xm="http://schemas.microsoft.com/office/excel/2006/main">
          <x14:cfRule type="iconSet" priority="256" id="{EFB0CAD3-A15B-42ED-88C8-D9EFB6633847}">
            <x14:iconSet iconSet="3Stars" showValue="0" custom="1">
              <x14:cfvo type="percent">
                <xm:f>0</xm:f>
              </x14:cfvo>
              <x14:cfvo type="num" gte="0">
                <xm:f>2</xm:f>
              </x14:cfvo>
              <x14:cfvo type="num">
                <xm:f>5</xm:f>
              </x14:cfvo>
              <x14:cfIcon iconSet="3Stars" iconId="0"/>
              <x14:cfIcon iconSet="3Stars" iconId="2"/>
              <x14:cfIcon iconSet="3Signs" iconId="1"/>
            </x14:iconSet>
          </x14:cfRule>
          <xm:sqref>E54</xm:sqref>
        </x14:conditionalFormatting>
        <x14:conditionalFormatting xmlns:xm="http://schemas.microsoft.com/office/excel/2006/main">
          <x14:cfRule type="iconSet" priority="255" id="{6E8D00B5-DB59-4949-8B5E-1C15DE893838}">
            <x14:iconSet iconSet="3Stars" showValue="0" custom="1">
              <x14:cfvo type="percent">
                <xm:f>0</xm:f>
              </x14:cfvo>
              <x14:cfvo type="num" gte="0">
                <xm:f>3</xm:f>
              </x14:cfvo>
              <x14:cfvo type="num">
                <xm:f>5</xm:f>
              </x14:cfvo>
              <x14:cfIcon iconSet="3Stars" iconId="0"/>
              <x14:cfIcon iconSet="3Stars" iconId="2"/>
              <x14:cfIcon iconSet="NoIcons" iconId="0"/>
            </x14:iconSet>
          </x14:cfRule>
          <xm:sqref>F54</xm:sqref>
        </x14:conditionalFormatting>
        <x14:conditionalFormatting xmlns:xm="http://schemas.microsoft.com/office/excel/2006/main">
          <x14:cfRule type="iconSet" priority="254" id="{41AD3757-2C09-490A-8373-8899A3636200}">
            <x14:iconSet iconSet="3Stars" showValue="0" custom="1">
              <x14:cfvo type="percent">
                <xm:f>0</xm:f>
              </x14:cfvo>
              <x14:cfvo type="num" gte="0">
                <xm:f>1</xm:f>
              </x14:cfvo>
              <x14:cfvo type="num">
                <xm:f>5</xm:f>
              </x14:cfvo>
              <x14:cfIcon iconSet="3Stars" iconId="0"/>
              <x14:cfIcon iconSet="3Stars" iconId="2"/>
              <x14:cfIcon iconSet="NoIcons" iconId="0"/>
            </x14:iconSet>
          </x14:cfRule>
          <xm:sqref>D55</xm:sqref>
        </x14:conditionalFormatting>
        <x14:conditionalFormatting xmlns:xm="http://schemas.microsoft.com/office/excel/2006/main">
          <x14:cfRule type="iconSet" priority="253" id="{2A432CCB-27EC-4663-8906-A4C97AE2652B}">
            <x14:iconSet iconSet="3Stars" showValue="0" custom="1">
              <x14:cfvo type="percent">
                <xm:f>0</xm:f>
              </x14:cfvo>
              <x14:cfvo type="num" gte="0">
                <xm:f>2</xm:f>
              </x14:cfvo>
              <x14:cfvo type="num">
                <xm:f>5</xm:f>
              </x14:cfvo>
              <x14:cfIcon iconSet="3Stars" iconId="0"/>
              <x14:cfIcon iconSet="3Stars" iconId="2"/>
              <x14:cfIcon iconSet="3Signs" iconId="1"/>
            </x14:iconSet>
          </x14:cfRule>
          <xm:sqref>E55</xm:sqref>
        </x14:conditionalFormatting>
        <x14:conditionalFormatting xmlns:xm="http://schemas.microsoft.com/office/excel/2006/main">
          <x14:cfRule type="iconSet" priority="252" id="{33F9E046-C36E-4218-8B66-BD8F2459D804}">
            <x14:iconSet iconSet="3Stars" showValue="0" custom="1">
              <x14:cfvo type="percent">
                <xm:f>0</xm:f>
              </x14:cfvo>
              <x14:cfvo type="num" gte="0">
                <xm:f>3</xm:f>
              </x14:cfvo>
              <x14:cfvo type="num">
                <xm:f>5</xm:f>
              </x14:cfvo>
              <x14:cfIcon iconSet="3Stars" iconId="0"/>
              <x14:cfIcon iconSet="3Stars" iconId="2"/>
              <x14:cfIcon iconSet="NoIcons" iconId="0"/>
            </x14:iconSet>
          </x14:cfRule>
          <xm:sqref>F55</xm:sqref>
        </x14:conditionalFormatting>
        <x14:conditionalFormatting xmlns:xm="http://schemas.microsoft.com/office/excel/2006/main">
          <x14:cfRule type="iconSet" priority="251" id="{8FBE709A-6D37-40CE-B144-D76EBCBDC4BA}">
            <x14:iconSet iconSet="3Stars" showValue="0" custom="1">
              <x14:cfvo type="percent">
                <xm:f>0</xm:f>
              </x14:cfvo>
              <x14:cfvo type="num" gte="0">
                <xm:f>1</xm:f>
              </x14:cfvo>
              <x14:cfvo type="num">
                <xm:f>5</xm:f>
              </x14:cfvo>
              <x14:cfIcon iconSet="3Stars" iconId="0"/>
              <x14:cfIcon iconSet="3Stars" iconId="2"/>
              <x14:cfIcon iconSet="NoIcons" iconId="0"/>
            </x14:iconSet>
          </x14:cfRule>
          <xm:sqref>D57</xm:sqref>
        </x14:conditionalFormatting>
        <x14:conditionalFormatting xmlns:xm="http://schemas.microsoft.com/office/excel/2006/main">
          <x14:cfRule type="iconSet" priority="250" id="{0BA1A6CE-11A8-4C64-B959-50FBC040215C}">
            <x14:iconSet iconSet="3Stars" showValue="0" custom="1">
              <x14:cfvo type="percent">
                <xm:f>0</xm:f>
              </x14:cfvo>
              <x14:cfvo type="num" gte="0">
                <xm:f>2</xm:f>
              </x14:cfvo>
              <x14:cfvo type="num">
                <xm:f>5</xm:f>
              </x14:cfvo>
              <x14:cfIcon iconSet="3Stars" iconId="0"/>
              <x14:cfIcon iconSet="3Stars" iconId="2"/>
              <x14:cfIcon iconSet="3Signs" iconId="1"/>
            </x14:iconSet>
          </x14:cfRule>
          <xm:sqref>E57</xm:sqref>
        </x14:conditionalFormatting>
        <x14:conditionalFormatting xmlns:xm="http://schemas.microsoft.com/office/excel/2006/main">
          <x14:cfRule type="iconSet" priority="249" id="{03EDC983-60D8-4B45-A7A3-2DAB57DD71A3}">
            <x14:iconSet iconSet="3Stars" showValue="0" custom="1">
              <x14:cfvo type="percent">
                <xm:f>0</xm:f>
              </x14:cfvo>
              <x14:cfvo type="num" gte="0">
                <xm:f>3</xm:f>
              </x14:cfvo>
              <x14:cfvo type="num">
                <xm:f>5</xm:f>
              </x14:cfvo>
              <x14:cfIcon iconSet="3Stars" iconId="0"/>
              <x14:cfIcon iconSet="3Stars" iconId="2"/>
              <x14:cfIcon iconSet="NoIcons" iconId="0"/>
            </x14:iconSet>
          </x14:cfRule>
          <xm:sqref>F57</xm:sqref>
        </x14:conditionalFormatting>
        <x14:conditionalFormatting xmlns:xm="http://schemas.microsoft.com/office/excel/2006/main">
          <x14:cfRule type="iconSet" priority="248" id="{4BEF9D21-4237-416D-A2F0-1CFDD7E7BDC5}">
            <x14:iconSet iconSet="3Stars" showValue="0" custom="1">
              <x14:cfvo type="percent">
                <xm:f>0</xm:f>
              </x14:cfvo>
              <x14:cfvo type="num" gte="0">
                <xm:f>1</xm:f>
              </x14:cfvo>
              <x14:cfvo type="num">
                <xm:f>5</xm:f>
              </x14:cfvo>
              <x14:cfIcon iconSet="3Stars" iconId="0"/>
              <x14:cfIcon iconSet="3Stars" iconId="2"/>
              <x14:cfIcon iconSet="NoIcons" iconId="0"/>
            </x14:iconSet>
          </x14:cfRule>
          <xm:sqref>D58</xm:sqref>
        </x14:conditionalFormatting>
        <x14:conditionalFormatting xmlns:xm="http://schemas.microsoft.com/office/excel/2006/main">
          <x14:cfRule type="iconSet" priority="247" id="{BF44A48F-FFB3-4095-A421-0260ED61C440}">
            <x14:iconSet iconSet="3Stars" showValue="0" custom="1">
              <x14:cfvo type="percent">
                <xm:f>0</xm:f>
              </x14:cfvo>
              <x14:cfvo type="num" gte="0">
                <xm:f>2</xm:f>
              </x14:cfvo>
              <x14:cfvo type="num">
                <xm:f>5</xm:f>
              </x14:cfvo>
              <x14:cfIcon iconSet="3Stars" iconId="0"/>
              <x14:cfIcon iconSet="3Stars" iconId="2"/>
              <x14:cfIcon iconSet="3Signs" iconId="1"/>
            </x14:iconSet>
          </x14:cfRule>
          <xm:sqref>E58</xm:sqref>
        </x14:conditionalFormatting>
        <x14:conditionalFormatting xmlns:xm="http://schemas.microsoft.com/office/excel/2006/main">
          <x14:cfRule type="iconSet" priority="246" id="{7A29A60B-D600-42B6-B01B-845D2DBA4290}">
            <x14:iconSet iconSet="3Stars" showValue="0" custom="1">
              <x14:cfvo type="percent">
                <xm:f>0</xm:f>
              </x14:cfvo>
              <x14:cfvo type="num" gte="0">
                <xm:f>3</xm:f>
              </x14:cfvo>
              <x14:cfvo type="num">
                <xm:f>5</xm:f>
              </x14:cfvo>
              <x14:cfIcon iconSet="3Stars" iconId="0"/>
              <x14:cfIcon iconSet="3Stars" iconId="2"/>
              <x14:cfIcon iconSet="NoIcons" iconId="0"/>
            </x14:iconSet>
          </x14:cfRule>
          <xm:sqref>F58</xm:sqref>
        </x14:conditionalFormatting>
        <x14:conditionalFormatting xmlns:xm="http://schemas.microsoft.com/office/excel/2006/main">
          <x14:cfRule type="iconSet" priority="245" id="{9EB122BB-ED54-4C94-BDED-E5F2CA873A6E}">
            <x14:iconSet iconSet="3Stars" showValue="0" custom="1">
              <x14:cfvo type="percent">
                <xm:f>0</xm:f>
              </x14:cfvo>
              <x14:cfvo type="num" gte="0">
                <xm:f>1</xm:f>
              </x14:cfvo>
              <x14:cfvo type="num">
                <xm:f>5</xm:f>
              </x14:cfvo>
              <x14:cfIcon iconSet="3Stars" iconId="0"/>
              <x14:cfIcon iconSet="3Stars" iconId="2"/>
              <x14:cfIcon iconSet="NoIcons" iconId="0"/>
            </x14:iconSet>
          </x14:cfRule>
          <xm:sqref>D59</xm:sqref>
        </x14:conditionalFormatting>
        <x14:conditionalFormatting xmlns:xm="http://schemas.microsoft.com/office/excel/2006/main">
          <x14:cfRule type="iconSet" priority="244" id="{CB67D545-B3DF-4623-9F66-FCC7D2B9E2A1}">
            <x14:iconSet iconSet="3Stars" showValue="0" custom="1">
              <x14:cfvo type="percent">
                <xm:f>0</xm:f>
              </x14:cfvo>
              <x14:cfvo type="num" gte="0">
                <xm:f>2</xm:f>
              </x14:cfvo>
              <x14:cfvo type="num">
                <xm:f>5</xm:f>
              </x14:cfvo>
              <x14:cfIcon iconSet="3Stars" iconId="0"/>
              <x14:cfIcon iconSet="3Stars" iconId="2"/>
              <x14:cfIcon iconSet="3Signs" iconId="1"/>
            </x14:iconSet>
          </x14:cfRule>
          <xm:sqref>E59</xm:sqref>
        </x14:conditionalFormatting>
        <x14:conditionalFormatting xmlns:xm="http://schemas.microsoft.com/office/excel/2006/main">
          <x14:cfRule type="iconSet" priority="243" id="{57C75078-F19F-42C3-8A05-F990B9844CFC}">
            <x14:iconSet iconSet="3Stars" showValue="0" custom="1">
              <x14:cfvo type="percent">
                <xm:f>0</xm:f>
              </x14:cfvo>
              <x14:cfvo type="num" gte="0">
                <xm:f>3</xm:f>
              </x14:cfvo>
              <x14:cfvo type="num">
                <xm:f>5</xm:f>
              </x14:cfvo>
              <x14:cfIcon iconSet="3Stars" iconId="0"/>
              <x14:cfIcon iconSet="3Stars" iconId="2"/>
              <x14:cfIcon iconSet="NoIcons" iconId="0"/>
            </x14:iconSet>
          </x14:cfRule>
          <xm:sqref>F59</xm:sqref>
        </x14:conditionalFormatting>
        <x14:conditionalFormatting xmlns:xm="http://schemas.microsoft.com/office/excel/2006/main">
          <x14:cfRule type="iconSet" priority="242" id="{48544102-73B3-449A-813A-8320E7F1EC7C}">
            <x14:iconSet iconSet="3Stars" showValue="0" custom="1">
              <x14:cfvo type="percent">
                <xm:f>0</xm:f>
              </x14:cfvo>
              <x14:cfvo type="num" gte="0">
                <xm:f>1</xm:f>
              </x14:cfvo>
              <x14:cfvo type="num">
                <xm:f>5</xm:f>
              </x14:cfvo>
              <x14:cfIcon iconSet="3Stars" iconId="0"/>
              <x14:cfIcon iconSet="3Stars" iconId="2"/>
              <x14:cfIcon iconSet="NoIcons" iconId="0"/>
            </x14:iconSet>
          </x14:cfRule>
          <xm:sqref>D60</xm:sqref>
        </x14:conditionalFormatting>
        <x14:conditionalFormatting xmlns:xm="http://schemas.microsoft.com/office/excel/2006/main">
          <x14:cfRule type="iconSet" priority="241" id="{B71E830D-8804-43F9-85A2-15426D247BE1}">
            <x14:iconSet iconSet="3Stars" showValue="0" custom="1">
              <x14:cfvo type="percent">
                <xm:f>0</xm:f>
              </x14:cfvo>
              <x14:cfvo type="num" gte="0">
                <xm:f>2</xm:f>
              </x14:cfvo>
              <x14:cfvo type="num">
                <xm:f>5</xm:f>
              </x14:cfvo>
              <x14:cfIcon iconSet="3Stars" iconId="0"/>
              <x14:cfIcon iconSet="3Stars" iconId="2"/>
              <x14:cfIcon iconSet="3Signs" iconId="1"/>
            </x14:iconSet>
          </x14:cfRule>
          <xm:sqref>E60</xm:sqref>
        </x14:conditionalFormatting>
        <x14:conditionalFormatting xmlns:xm="http://schemas.microsoft.com/office/excel/2006/main">
          <x14:cfRule type="iconSet" priority="240" id="{D856E7A0-8373-4632-A4E3-B51AA83FBA86}">
            <x14:iconSet iconSet="3Stars" showValue="0" custom="1">
              <x14:cfvo type="percent">
                <xm:f>0</xm:f>
              </x14:cfvo>
              <x14:cfvo type="num" gte="0">
                <xm:f>3</xm:f>
              </x14:cfvo>
              <x14:cfvo type="num">
                <xm:f>5</xm:f>
              </x14:cfvo>
              <x14:cfIcon iconSet="3Stars" iconId="0"/>
              <x14:cfIcon iconSet="3Stars" iconId="2"/>
              <x14:cfIcon iconSet="NoIcons" iconId="0"/>
            </x14:iconSet>
          </x14:cfRule>
          <xm:sqref>F60</xm:sqref>
        </x14:conditionalFormatting>
        <x14:conditionalFormatting xmlns:xm="http://schemas.microsoft.com/office/excel/2006/main">
          <x14:cfRule type="iconSet" priority="239" id="{688A33B5-57C2-4F7B-AD0D-29C283C2BA5B}">
            <x14:iconSet iconSet="3Stars" showValue="0" custom="1">
              <x14:cfvo type="percent">
                <xm:f>0</xm:f>
              </x14:cfvo>
              <x14:cfvo type="num" gte="0">
                <xm:f>1</xm:f>
              </x14:cfvo>
              <x14:cfvo type="num">
                <xm:f>5</xm:f>
              </x14:cfvo>
              <x14:cfIcon iconSet="3Stars" iconId="0"/>
              <x14:cfIcon iconSet="3Stars" iconId="2"/>
              <x14:cfIcon iconSet="NoIcons" iconId="0"/>
            </x14:iconSet>
          </x14:cfRule>
          <xm:sqref>D61</xm:sqref>
        </x14:conditionalFormatting>
        <x14:conditionalFormatting xmlns:xm="http://schemas.microsoft.com/office/excel/2006/main">
          <x14:cfRule type="iconSet" priority="238" id="{0C7176BF-E879-4A80-92E4-CA0E33259DC4}">
            <x14:iconSet iconSet="3Stars" showValue="0" custom="1">
              <x14:cfvo type="percent">
                <xm:f>0</xm:f>
              </x14:cfvo>
              <x14:cfvo type="num" gte="0">
                <xm:f>2</xm:f>
              </x14:cfvo>
              <x14:cfvo type="num">
                <xm:f>5</xm:f>
              </x14:cfvo>
              <x14:cfIcon iconSet="3Stars" iconId="0"/>
              <x14:cfIcon iconSet="3Stars" iconId="2"/>
              <x14:cfIcon iconSet="3Signs" iconId="1"/>
            </x14:iconSet>
          </x14:cfRule>
          <xm:sqref>E61</xm:sqref>
        </x14:conditionalFormatting>
        <x14:conditionalFormatting xmlns:xm="http://schemas.microsoft.com/office/excel/2006/main">
          <x14:cfRule type="iconSet" priority="237" id="{BD21F645-16A3-4C24-9190-D9A49E3ACB62}">
            <x14:iconSet iconSet="3Stars" showValue="0" custom="1">
              <x14:cfvo type="percent">
                <xm:f>0</xm:f>
              </x14:cfvo>
              <x14:cfvo type="num" gte="0">
                <xm:f>3</xm:f>
              </x14:cfvo>
              <x14:cfvo type="num">
                <xm:f>5</xm:f>
              </x14:cfvo>
              <x14:cfIcon iconSet="3Stars" iconId="0"/>
              <x14:cfIcon iconSet="3Stars" iconId="2"/>
              <x14:cfIcon iconSet="NoIcons" iconId="0"/>
            </x14:iconSet>
          </x14:cfRule>
          <xm:sqref>F61</xm:sqref>
        </x14:conditionalFormatting>
        <x14:conditionalFormatting xmlns:xm="http://schemas.microsoft.com/office/excel/2006/main">
          <x14:cfRule type="iconSet" priority="236" id="{8FAEC4A3-C5DD-4060-8097-AD7E1C7A62E2}">
            <x14:iconSet iconSet="3Stars" showValue="0" custom="1">
              <x14:cfvo type="percent">
                <xm:f>0</xm:f>
              </x14:cfvo>
              <x14:cfvo type="num" gte="0">
                <xm:f>1</xm:f>
              </x14:cfvo>
              <x14:cfvo type="num">
                <xm:f>5</xm:f>
              </x14:cfvo>
              <x14:cfIcon iconSet="3Stars" iconId="0"/>
              <x14:cfIcon iconSet="3Stars" iconId="2"/>
              <x14:cfIcon iconSet="NoIcons" iconId="0"/>
            </x14:iconSet>
          </x14:cfRule>
          <xm:sqref>D63</xm:sqref>
        </x14:conditionalFormatting>
        <x14:conditionalFormatting xmlns:xm="http://schemas.microsoft.com/office/excel/2006/main">
          <x14:cfRule type="iconSet" priority="235" id="{987C3F60-4B8B-4DF0-848B-0D60B301B8B3}">
            <x14:iconSet iconSet="3Stars" showValue="0" custom="1">
              <x14:cfvo type="percent">
                <xm:f>0</xm:f>
              </x14:cfvo>
              <x14:cfvo type="num" gte="0">
                <xm:f>2</xm:f>
              </x14:cfvo>
              <x14:cfvo type="num">
                <xm:f>5</xm:f>
              </x14:cfvo>
              <x14:cfIcon iconSet="3Stars" iconId="0"/>
              <x14:cfIcon iconSet="3Stars" iconId="2"/>
              <x14:cfIcon iconSet="3Signs" iconId="1"/>
            </x14:iconSet>
          </x14:cfRule>
          <xm:sqref>E63</xm:sqref>
        </x14:conditionalFormatting>
        <x14:conditionalFormatting xmlns:xm="http://schemas.microsoft.com/office/excel/2006/main">
          <x14:cfRule type="iconSet" priority="234" id="{68748771-2C2C-4CF7-AAF1-76E568D7FA6F}">
            <x14:iconSet iconSet="3Stars" showValue="0" custom="1">
              <x14:cfvo type="percent">
                <xm:f>0</xm:f>
              </x14:cfvo>
              <x14:cfvo type="num" gte="0">
                <xm:f>3</xm:f>
              </x14:cfvo>
              <x14:cfvo type="num">
                <xm:f>5</xm:f>
              </x14:cfvo>
              <x14:cfIcon iconSet="3Stars" iconId="0"/>
              <x14:cfIcon iconSet="3Stars" iconId="2"/>
              <x14:cfIcon iconSet="NoIcons" iconId="0"/>
            </x14:iconSet>
          </x14:cfRule>
          <xm:sqref>F63</xm:sqref>
        </x14:conditionalFormatting>
        <x14:conditionalFormatting xmlns:xm="http://schemas.microsoft.com/office/excel/2006/main">
          <x14:cfRule type="iconSet" priority="233" id="{6E2A8D96-ED5A-488D-A0FE-410FA9CA8D5E}">
            <x14:iconSet iconSet="3Stars" showValue="0" custom="1">
              <x14:cfvo type="percent">
                <xm:f>0</xm:f>
              </x14:cfvo>
              <x14:cfvo type="num" gte="0">
                <xm:f>1</xm:f>
              </x14:cfvo>
              <x14:cfvo type="num">
                <xm:f>5</xm:f>
              </x14:cfvo>
              <x14:cfIcon iconSet="3Stars" iconId="0"/>
              <x14:cfIcon iconSet="3Stars" iconId="2"/>
              <x14:cfIcon iconSet="NoIcons" iconId="0"/>
            </x14:iconSet>
          </x14:cfRule>
          <xm:sqref>D64</xm:sqref>
        </x14:conditionalFormatting>
        <x14:conditionalFormatting xmlns:xm="http://schemas.microsoft.com/office/excel/2006/main">
          <x14:cfRule type="iconSet" priority="232" id="{6F845DDA-EFE1-4C63-B96F-4CF9B81F6F9E}">
            <x14:iconSet iconSet="3Stars" showValue="0" custom="1">
              <x14:cfvo type="percent">
                <xm:f>0</xm:f>
              </x14:cfvo>
              <x14:cfvo type="num" gte="0">
                <xm:f>2</xm:f>
              </x14:cfvo>
              <x14:cfvo type="num">
                <xm:f>5</xm:f>
              </x14:cfvo>
              <x14:cfIcon iconSet="3Stars" iconId="0"/>
              <x14:cfIcon iconSet="3Stars" iconId="2"/>
              <x14:cfIcon iconSet="3Signs" iconId="1"/>
            </x14:iconSet>
          </x14:cfRule>
          <xm:sqref>E64</xm:sqref>
        </x14:conditionalFormatting>
        <x14:conditionalFormatting xmlns:xm="http://schemas.microsoft.com/office/excel/2006/main">
          <x14:cfRule type="iconSet" priority="231" id="{953CA6F0-6B78-424E-86F2-6E3592F5DD09}">
            <x14:iconSet iconSet="3Stars" showValue="0" custom="1">
              <x14:cfvo type="percent">
                <xm:f>0</xm:f>
              </x14:cfvo>
              <x14:cfvo type="num" gte="0">
                <xm:f>3</xm:f>
              </x14:cfvo>
              <x14:cfvo type="num">
                <xm:f>5</xm:f>
              </x14:cfvo>
              <x14:cfIcon iconSet="3Stars" iconId="0"/>
              <x14:cfIcon iconSet="3Stars" iconId="2"/>
              <x14:cfIcon iconSet="NoIcons" iconId="0"/>
            </x14:iconSet>
          </x14:cfRule>
          <xm:sqref>F64</xm:sqref>
        </x14:conditionalFormatting>
        <x14:conditionalFormatting xmlns:xm="http://schemas.microsoft.com/office/excel/2006/main">
          <x14:cfRule type="iconSet" priority="230" id="{F5F686AD-F2DB-47AE-85A0-00B5D221172E}">
            <x14:iconSet iconSet="3Stars" showValue="0" custom="1">
              <x14:cfvo type="percent">
                <xm:f>0</xm:f>
              </x14:cfvo>
              <x14:cfvo type="num" gte="0">
                <xm:f>1</xm:f>
              </x14:cfvo>
              <x14:cfvo type="num">
                <xm:f>5</xm:f>
              </x14:cfvo>
              <x14:cfIcon iconSet="3Stars" iconId="0"/>
              <x14:cfIcon iconSet="3Stars" iconId="2"/>
              <x14:cfIcon iconSet="NoIcons" iconId="0"/>
            </x14:iconSet>
          </x14:cfRule>
          <xm:sqref>D65</xm:sqref>
        </x14:conditionalFormatting>
        <x14:conditionalFormatting xmlns:xm="http://schemas.microsoft.com/office/excel/2006/main">
          <x14:cfRule type="iconSet" priority="229" id="{11825657-3A60-453F-8A34-C8D100A3B40E}">
            <x14:iconSet iconSet="3Stars" showValue="0" custom="1">
              <x14:cfvo type="percent">
                <xm:f>0</xm:f>
              </x14:cfvo>
              <x14:cfvo type="num" gte="0">
                <xm:f>2</xm:f>
              </x14:cfvo>
              <x14:cfvo type="num">
                <xm:f>5</xm:f>
              </x14:cfvo>
              <x14:cfIcon iconSet="3Stars" iconId="0"/>
              <x14:cfIcon iconSet="3Stars" iconId="2"/>
              <x14:cfIcon iconSet="3Signs" iconId="1"/>
            </x14:iconSet>
          </x14:cfRule>
          <xm:sqref>E65</xm:sqref>
        </x14:conditionalFormatting>
        <x14:conditionalFormatting xmlns:xm="http://schemas.microsoft.com/office/excel/2006/main">
          <x14:cfRule type="iconSet" priority="228" id="{698A95F6-0792-4D05-8044-26773979CEFC}">
            <x14:iconSet iconSet="3Stars" showValue="0" custom="1">
              <x14:cfvo type="percent">
                <xm:f>0</xm:f>
              </x14:cfvo>
              <x14:cfvo type="num" gte="0">
                <xm:f>3</xm:f>
              </x14:cfvo>
              <x14:cfvo type="num">
                <xm:f>5</xm:f>
              </x14:cfvo>
              <x14:cfIcon iconSet="3Stars" iconId="0"/>
              <x14:cfIcon iconSet="3Stars" iconId="2"/>
              <x14:cfIcon iconSet="NoIcons" iconId="0"/>
            </x14:iconSet>
          </x14:cfRule>
          <xm:sqref>F65</xm:sqref>
        </x14:conditionalFormatting>
        <x14:conditionalFormatting xmlns:xm="http://schemas.microsoft.com/office/excel/2006/main">
          <x14:cfRule type="iconSet" priority="227" id="{9104BD4A-FBD6-4ED7-8910-15DA6E399062}">
            <x14:iconSet iconSet="3Stars" showValue="0" custom="1">
              <x14:cfvo type="percent">
                <xm:f>0</xm:f>
              </x14:cfvo>
              <x14:cfvo type="num" gte="0">
                <xm:f>1</xm:f>
              </x14:cfvo>
              <x14:cfvo type="num">
                <xm:f>5</xm:f>
              </x14:cfvo>
              <x14:cfIcon iconSet="3Stars" iconId="0"/>
              <x14:cfIcon iconSet="3Stars" iconId="2"/>
              <x14:cfIcon iconSet="NoIcons" iconId="0"/>
            </x14:iconSet>
          </x14:cfRule>
          <xm:sqref>D66</xm:sqref>
        </x14:conditionalFormatting>
        <x14:conditionalFormatting xmlns:xm="http://schemas.microsoft.com/office/excel/2006/main">
          <x14:cfRule type="iconSet" priority="226" id="{A6D94347-B8B0-4E46-8A0E-2A495E0C1705}">
            <x14:iconSet iconSet="3Stars" showValue="0" custom="1">
              <x14:cfvo type="percent">
                <xm:f>0</xm:f>
              </x14:cfvo>
              <x14:cfvo type="num" gte="0">
                <xm:f>2</xm:f>
              </x14:cfvo>
              <x14:cfvo type="num">
                <xm:f>5</xm:f>
              </x14:cfvo>
              <x14:cfIcon iconSet="3Stars" iconId="0"/>
              <x14:cfIcon iconSet="3Stars" iconId="2"/>
              <x14:cfIcon iconSet="3Signs" iconId="1"/>
            </x14:iconSet>
          </x14:cfRule>
          <xm:sqref>E66</xm:sqref>
        </x14:conditionalFormatting>
        <x14:conditionalFormatting xmlns:xm="http://schemas.microsoft.com/office/excel/2006/main">
          <x14:cfRule type="iconSet" priority="225" id="{CBDCC121-71B9-4975-BCC4-48F4E8EDA224}">
            <x14:iconSet iconSet="3Stars" showValue="0" custom="1">
              <x14:cfvo type="percent">
                <xm:f>0</xm:f>
              </x14:cfvo>
              <x14:cfvo type="num" gte="0">
                <xm:f>3</xm:f>
              </x14:cfvo>
              <x14:cfvo type="num">
                <xm:f>5</xm:f>
              </x14:cfvo>
              <x14:cfIcon iconSet="3Stars" iconId="0"/>
              <x14:cfIcon iconSet="3Stars" iconId="2"/>
              <x14:cfIcon iconSet="NoIcons" iconId="0"/>
            </x14:iconSet>
          </x14:cfRule>
          <xm:sqref>F66</xm:sqref>
        </x14:conditionalFormatting>
        <x14:conditionalFormatting xmlns:xm="http://schemas.microsoft.com/office/excel/2006/main">
          <x14:cfRule type="iconSet" priority="224" id="{D9280F21-374E-4F1D-ACFC-D7F686C34845}">
            <x14:iconSet iconSet="3Stars" showValue="0" custom="1">
              <x14:cfvo type="percent">
                <xm:f>0</xm:f>
              </x14:cfvo>
              <x14:cfvo type="num" gte="0">
                <xm:f>1</xm:f>
              </x14:cfvo>
              <x14:cfvo type="num">
                <xm:f>5</xm:f>
              </x14:cfvo>
              <x14:cfIcon iconSet="3Stars" iconId="0"/>
              <x14:cfIcon iconSet="3Stars" iconId="2"/>
              <x14:cfIcon iconSet="NoIcons" iconId="0"/>
            </x14:iconSet>
          </x14:cfRule>
          <xm:sqref>D67</xm:sqref>
        </x14:conditionalFormatting>
        <x14:conditionalFormatting xmlns:xm="http://schemas.microsoft.com/office/excel/2006/main">
          <x14:cfRule type="iconSet" priority="223" id="{E33A6249-C219-4ABB-864B-5C116546FCF3}">
            <x14:iconSet iconSet="3Stars" showValue="0" custom="1">
              <x14:cfvo type="percent">
                <xm:f>0</xm:f>
              </x14:cfvo>
              <x14:cfvo type="num" gte="0">
                <xm:f>2</xm:f>
              </x14:cfvo>
              <x14:cfvo type="num">
                <xm:f>5</xm:f>
              </x14:cfvo>
              <x14:cfIcon iconSet="3Stars" iconId="0"/>
              <x14:cfIcon iconSet="3Stars" iconId="2"/>
              <x14:cfIcon iconSet="3Signs" iconId="1"/>
            </x14:iconSet>
          </x14:cfRule>
          <xm:sqref>E67</xm:sqref>
        </x14:conditionalFormatting>
        <x14:conditionalFormatting xmlns:xm="http://schemas.microsoft.com/office/excel/2006/main">
          <x14:cfRule type="iconSet" priority="222" id="{46FA7763-0605-48F5-ACB2-430DCBB0EF76}">
            <x14:iconSet iconSet="3Stars" showValue="0" custom="1">
              <x14:cfvo type="percent">
                <xm:f>0</xm:f>
              </x14:cfvo>
              <x14:cfvo type="num" gte="0">
                <xm:f>3</xm:f>
              </x14:cfvo>
              <x14:cfvo type="num">
                <xm:f>5</xm:f>
              </x14:cfvo>
              <x14:cfIcon iconSet="3Stars" iconId="0"/>
              <x14:cfIcon iconSet="3Stars" iconId="2"/>
              <x14:cfIcon iconSet="NoIcons" iconId="0"/>
            </x14:iconSet>
          </x14:cfRule>
          <xm:sqref>F67</xm:sqref>
        </x14:conditionalFormatting>
        <x14:conditionalFormatting xmlns:xm="http://schemas.microsoft.com/office/excel/2006/main">
          <x14:cfRule type="iconSet" priority="221" id="{4CB9FC3D-5D29-45F7-9D4A-766916BEB57F}">
            <x14:iconSet iconSet="3Stars" showValue="0" custom="1">
              <x14:cfvo type="percent">
                <xm:f>0</xm:f>
              </x14:cfvo>
              <x14:cfvo type="num" gte="0">
                <xm:f>1</xm:f>
              </x14:cfvo>
              <x14:cfvo type="num">
                <xm:f>5</xm:f>
              </x14:cfvo>
              <x14:cfIcon iconSet="3Stars" iconId="0"/>
              <x14:cfIcon iconSet="3Stars" iconId="2"/>
              <x14:cfIcon iconSet="NoIcons" iconId="0"/>
            </x14:iconSet>
          </x14:cfRule>
          <xm:sqref>D69</xm:sqref>
        </x14:conditionalFormatting>
        <x14:conditionalFormatting xmlns:xm="http://schemas.microsoft.com/office/excel/2006/main">
          <x14:cfRule type="iconSet" priority="220" id="{EBFED51A-7B1D-4A9B-8643-F70858FA64E3}">
            <x14:iconSet iconSet="3Stars" showValue="0" custom="1">
              <x14:cfvo type="percent">
                <xm:f>0</xm:f>
              </x14:cfvo>
              <x14:cfvo type="num" gte="0">
                <xm:f>2</xm:f>
              </x14:cfvo>
              <x14:cfvo type="num">
                <xm:f>5</xm:f>
              </x14:cfvo>
              <x14:cfIcon iconSet="3Stars" iconId="0"/>
              <x14:cfIcon iconSet="3Stars" iconId="2"/>
              <x14:cfIcon iconSet="3Signs" iconId="1"/>
            </x14:iconSet>
          </x14:cfRule>
          <xm:sqref>E69</xm:sqref>
        </x14:conditionalFormatting>
        <x14:conditionalFormatting xmlns:xm="http://schemas.microsoft.com/office/excel/2006/main">
          <x14:cfRule type="iconSet" priority="219" id="{3476B1FD-5F64-4154-90C3-7FB6D036D0FD}">
            <x14:iconSet iconSet="3Stars" showValue="0" custom="1">
              <x14:cfvo type="percent">
                <xm:f>0</xm:f>
              </x14:cfvo>
              <x14:cfvo type="num" gte="0">
                <xm:f>3</xm:f>
              </x14:cfvo>
              <x14:cfvo type="num">
                <xm:f>5</xm:f>
              </x14:cfvo>
              <x14:cfIcon iconSet="3Stars" iconId="0"/>
              <x14:cfIcon iconSet="3Stars" iconId="2"/>
              <x14:cfIcon iconSet="NoIcons" iconId="0"/>
            </x14:iconSet>
          </x14:cfRule>
          <xm:sqref>F69</xm:sqref>
        </x14:conditionalFormatting>
        <x14:conditionalFormatting xmlns:xm="http://schemas.microsoft.com/office/excel/2006/main">
          <x14:cfRule type="iconSet" priority="218" id="{F2CEF1BF-C417-4A22-A204-A74CD6B47266}">
            <x14:iconSet iconSet="3Stars" showValue="0" custom="1">
              <x14:cfvo type="percent">
                <xm:f>0</xm:f>
              </x14:cfvo>
              <x14:cfvo type="num" gte="0">
                <xm:f>1</xm:f>
              </x14:cfvo>
              <x14:cfvo type="num">
                <xm:f>5</xm:f>
              </x14:cfvo>
              <x14:cfIcon iconSet="3Stars" iconId="0"/>
              <x14:cfIcon iconSet="3Stars" iconId="2"/>
              <x14:cfIcon iconSet="NoIcons" iconId="0"/>
            </x14:iconSet>
          </x14:cfRule>
          <xm:sqref>D70</xm:sqref>
        </x14:conditionalFormatting>
        <x14:conditionalFormatting xmlns:xm="http://schemas.microsoft.com/office/excel/2006/main">
          <x14:cfRule type="iconSet" priority="217" id="{691C199D-841E-4E4A-8268-BFFA085BBEDA}">
            <x14:iconSet iconSet="3Stars" showValue="0" custom="1">
              <x14:cfvo type="percent">
                <xm:f>0</xm:f>
              </x14:cfvo>
              <x14:cfvo type="num" gte="0">
                <xm:f>2</xm:f>
              </x14:cfvo>
              <x14:cfvo type="num">
                <xm:f>5</xm:f>
              </x14:cfvo>
              <x14:cfIcon iconSet="3Stars" iconId="0"/>
              <x14:cfIcon iconSet="3Stars" iconId="2"/>
              <x14:cfIcon iconSet="3Signs" iconId="1"/>
            </x14:iconSet>
          </x14:cfRule>
          <xm:sqref>E70</xm:sqref>
        </x14:conditionalFormatting>
        <x14:conditionalFormatting xmlns:xm="http://schemas.microsoft.com/office/excel/2006/main">
          <x14:cfRule type="iconSet" priority="216" id="{4A02BA30-1355-491F-95AF-31B77DA246CB}">
            <x14:iconSet iconSet="3Stars" showValue="0" custom="1">
              <x14:cfvo type="percent">
                <xm:f>0</xm:f>
              </x14:cfvo>
              <x14:cfvo type="num" gte="0">
                <xm:f>3</xm:f>
              </x14:cfvo>
              <x14:cfvo type="num">
                <xm:f>5</xm:f>
              </x14:cfvo>
              <x14:cfIcon iconSet="3Stars" iconId="0"/>
              <x14:cfIcon iconSet="3Stars" iconId="2"/>
              <x14:cfIcon iconSet="NoIcons" iconId="0"/>
            </x14:iconSet>
          </x14:cfRule>
          <xm:sqref>F70</xm:sqref>
        </x14:conditionalFormatting>
        <x14:conditionalFormatting xmlns:xm="http://schemas.microsoft.com/office/excel/2006/main">
          <x14:cfRule type="iconSet" priority="215" id="{5FC45AD1-ECC8-4395-867A-EAF9F2FF8A16}">
            <x14:iconSet iconSet="3Stars" showValue="0" custom="1">
              <x14:cfvo type="percent">
                <xm:f>0</xm:f>
              </x14:cfvo>
              <x14:cfvo type="num" gte="0">
                <xm:f>1</xm:f>
              </x14:cfvo>
              <x14:cfvo type="num">
                <xm:f>5</xm:f>
              </x14:cfvo>
              <x14:cfIcon iconSet="3Stars" iconId="0"/>
              <x14:cfIcon iconSet="3Stars" iconId="2"/>
              <x14:cfIcon iconSet="NoIcons" iconId="0"/>
            </x14:iconSet>
          </x14:cfRule>
          <xm:sqref>D71</xm:sqref>
        </x14:conditionalFormatting>
        <x14:conditionalFormatting xmlns:xm="http://schemas.microsoft.com/office/excel/2006/main">
          <x14:cfRule type="iconSet" priority="214" id="{33509C56-D6C8-4666-BB3E-9F219E483174}">
            <x14:iconSet iconSet="3Stars" showValue="0" custom="1">
              <x14:cfvo type="percent">
                <xm:f>0</xm:f>
              </x14:cfvo>
              <x14:cfvo type="num" gte="0">
                <xm:f>2</xm:f>
              </x14:cfvo>
              <x14:cfvo type="num">
                <xm:f>5</xm:f>
              </x14:cfvo>
              <x14:cfIcon iconSet="3Stars" iconId="0"/>
              <x14:cfIcon iconSet="3Stars" iconId="2"/>
              <x14:cfIcon iconSet="3Signs" iconId="1"/>
            </x14:iconSet>
          </x14:cfRule>
          <xm:sqref>E71</xm:sqref>
        </x14:conditionalFormatting>
        <x14:conditionalFormatting xmlns:xm="http://schemas.microsoft.com/office/excel/2006/main">
          <x14:cfRule type="iconSet" priority="213" id="{DAA14333-DBEA-4598-9A25-D95B74412ED7}">
            <x14:iconSet iconSet="3Stars" showValue="0" custom="1">
              <x14:cfvo type="percent">
                <xm:f>0</xm:f>
              </x14:cfvo>
              <x14:cfvo type="num" gte="0">
                <xm:f>3</xm:f>
              </x14:cfvo>
              <x14:cfvo type="num">
                <xm:f>5</xm:f>
              </x14:cfvo>
              <x14:cfIcon iconSet="3Stars" iconId="0"/>
              <x14:cfIcon iconSet="3Stars" iconId="2"/>
              <x14:cfIcon iconSet="NoIcons" iconId="0"/>
            </x14:iconSet>
          </x14:cfRule>
          <xm:sqref>F71</xm:sqref>
        </x14:conditionalFormatting>
        <x14:conditionalFormatting xmlns:xm="http://schemas.microsoft.com/office/excel/2006/main">
          <x14:cfRule type="iconSet" priority="212" id="{8F5E6F4C-0F19-4CAF-9B2D-2984149CDF91}">
            <x14:iconSet iconSet="3Stars" showValue="0" custom="1">
              <x14:cfvo type="percent">
                <xm:f>0</xm:f>
              </x14:cfvo>
              <x14:cfvo type="num" gte="0">
                <xm:f>1</xm:f>
              </x14:cfvo>
              <x14:cfvo type="num">
                <xm:f>5</xm:f>
              </x14:cfvo>
              <x14:cfIcon iconSet="3Stars" iconId="0"/>
              <x14:cfIcon iconSet="3Stars" iconId="2"/>
              <x14:cfIcon iconSet="NoIcons" iconId="0"/>
            </x14:iconSet>
          </x14:cfRule>
          <xm:sqref>D72</xm:sqref>
        </x14:conditionalFormatting>
        <x14:conditionalFormatting xmlns:xm="http://schemas.microsoft.com/office/excel/2006/main">
          <x14:cfRule type="iconSet" priority="211" id="{2434E3EC-DF11-4036-BC71-1923B10C33B1}">
            <x14:iconSet iconSet="3Stars" showValue="0" custom="1">
              <x14:cfvo type="percent">
                <xm:f>0</xm:f>
              </x14:cfvo>
              <x14:cfvo type="num" gte="0">
                <xm:f>2</xm:f>
              </x14:cfvo>
              <x14:cfvo type="num">
                <xm:f>5</xm:f>
              </x14:cfvo>
              <x14:cfIcon iconSet="3Stars" iconId="0"/>
              <x14:cfIcon iconSet="3Stars" iconId="2"/>
              <x14:cfIcon iconSet="3Signs" iconId="1"/>
            </x14:iconSet>
          </x14:cfRule>
          <xm:sqref>E72</xm:sqref>
        </x14:conditionalFormatting>
        <x14:conditionalFormatting xmlns:xm="http://schemas.microsoft.com/office/excel/2006/main">
          <x14:cfRule type="iconSet" priority="210" id="{D0B81FFE-BDBE-4C27-A29F-48D595EC8DD4}">
            <x14:iconSet iconSet="3Stars" showValue="0" custom="1">
              <x14:cfvo type="percent">
                <xm:f>0</xm:f>
              </x14:cfvo>
              <x14:cfvo type="num" gte="0">
                <xm:f>3</xm:f>
              </x14:cfvo>
              <x14:cfvo type="num">
                <xm:f>5</xm:f>
              </x14:cfvo>
              <x14:cfIcon iconSet="3Stars" iconId="0"/>
              <x14:cfIcon iconSet="3Stars" iconId="2"/>
              <x14:cfIcon iconSet="NoIcons" iconId="0"/>
            </x14:iconSet>
          </x14:cfRule>
          <xm:sqref>F72</xm:sqref>
        </x14:conditionalFormatting>
        <x14:conditionalFormatting xmlns:xm="http://schemas.microsoft.com/office/excel/2006/main">
          <x14:cfRule type="iconSet" priority="209" id="{52F3C30F-464A-4251-AE4C-63A62D6F9EA8}">
            <x14:iconSet iconSet="3Stars" showValue="0" custom="1">
              <x14:cfvo type="percent">
                <xm:f>0</xm:f>
              </x14:cfvo>
              <x14:cfvo type="num" gte="0">
                <xm:f>1</xm:f>
              </x14:cfvo>
              <x14:cfvo type="num">
                <xm:f>5</xm:f>
              </x14:cfvo>
              <x14:cfIcon iconSet="3Stars" iconId="0"/>
              <x14:cfIcon iconSet="3Stars" iconId="2"/>
              <x14:cfIcon iconSet="NoIcons" iconId="0"/>
            </x14:iconSet>
          </x14:cfRule>
          <xm:sqref>D76</xm:sqref>
        </x14:conditionalFormatting>
        <x14:conditionalFormatting xmlns:xm="http://schemas.microsoft.com/office/excel/2006/main">
          <x14:cfRule type="iconSet" priority="208" id="{729426F8-5C08-44E7-8B67-EBD30FFA7BCD}">
            <x14:iconSet iconSet="3Stars" showValue="0" custom="1">
              <x14:cfvo type="percent">
                <xm:f>0</xm:f>
              </x14:cfvo>
              <x14:cfvo type="num" gte="0">
                <xm:f>2</xm:f>
              </x14:cfvo>
              <x14:cfvo type="num">
                <xm:f>5</xm:f>
              </x14:cfvo>
              <x14:cfIcon iconSet="3Stars" iconId="0"/>
              <x14:cfIcon iconSet="3Stars" iconId="2"/>
              <x14:cfIcon iconSet="3Signs" iconId="1"/>
            </x14:iconSet>
          </x14:cfRule>
          <xm:sqref>E76</xm:sqref>
        </x14:conditionalFormatting>
        <x14:conditionalFormatting xmlns:xm="http://schemas.microsoft.com/office/excel/2006/main">
          <x14:cfRule type="iconSet" priority="207" id="{E0692779-087D-46F0-A332-674A6E37C87D}">
            <x14:iconSet iconSet="3Stars" showValue="0" custom="1">
              <x14:cfvo type="percent">
                <xm:f>0</xm:f>
              </x14:cfvo>
              <x14:cfvo type="num" gte="0">
                <xm:f>3</xm:f>
              </x14:cfvo>
              <x14:cfvo type="num">
                <xm:f>5</xm:f>
              </x14:cfvo>
              <x14:cfIcon iconSet="3Stars" iconId="0"/>
              <x14:cfIcon iconSet="3Stars" iconId="2"/>
              <x14:cfIcon iconSet="NoIcons" iconId="0"/>
            </x14:iconSet>
          </x14:cfRule>
          <xm:sqref>F76</xm:sqref>
        </x14:conditionalFormatting>
        <x14:conditionalFormatting xmlns:xm="http://schemas.microsoft.com/office/excel/2006/main">
          <x14:cfRule type="iconSet" priority="206" id="{D7A93821-2AFD-4A7D-A31B-39374E45C1F1}">
            <x14:iconSet iconSet="3Stars" showValue="0" custom="1">
              <x14:cfvo type="percent">
                <xm:f>0</xm:f>
              </x14:cfvo>
              <x14:cfvo type="num" gte="0">
                <xm:f>1</xm:f>
              </x14:cfvo>
              <x14:cfvo type="num">
                <xm:f>5</xm:f>
              </x14:cfvo>
              <x14:cfIcon iconSet="3Stars" iconId="0"/>
              <x14:cfIcon iconSet="3Stars" iconId="2"/>
              <x14:cfIcon iconSet="NoIcons" iconId="0"/>
            </x14:iconSet>
          </x14:cfRule>
          <xm:sqref>D77</xm:sqref>
        </x14:conditionalFormatting>
        <x14:conditionalFormatting xmlns:xm="http://schemas.microsoft.com/office/excel/2006/main">
          <x14:cfRule type="iconSet" priority="205" id="{E20E2DFC-DA6B-4F57-91E9-762DEDCA592B}">
            <x14:iconSet iconSet="3Stars" showValue="0" custom="1">
              <x14:cfvo type="percent">
                <xm:f>0</xm:f>
              </x14:cfvo>
              <x14:cfvo type="num" gte="0">
                <xm:f>2</xm:f>
              </x14:cfvo>
              <x14:cfvo type="num">
                <xm:f>5</xm:f>
              </x14:cfvo>
              <x14:cfIcon iconSet="3Stars" iconId="0"/>
              <x14:cfIcon iconSet="3Stars" iconId="2"/>
              <x14:cfIcon iconSet="3Signs" iconId="1"/>
            </x14:iconSet>
          </x14:cfRule>
          <xm:sqref>E77</xm:sqref>
        </x14:conditionalFormatting>
        <x14:conditionalFormatting xmlns:xm="http://schemas.microsoft.com/office/excel/2006/main">
          <x14:cfRule type="iconSet" priority="204" id="{3C0BF73F-3209-48F5-9090-F090F617763C}">
            <x14:iconSet iconSet="3Stars" showValue="0" custom="1">
              <x14:cfvo type="percent">
                <xm:f>0</xm:f>
              </x14:cfvo>
              <x14:cfvo type="num" gte="0">
                <xm:f>3</xm:f>
              </x14:cfvo>
              <x14:cfvo type="num">
                <xm:f>5</xm:f>
              </x14:cfvo>
              <x14:cfIcon iconSet="3Stars" iconId="0"/>
              <x14:cfIcon iconSet="3Stars" iconId="2"/>
              <x14:cfIcon iconSet="NoIcons" iconId="0"/>
            </x14:iconSet>
          </x14:cfRule>
          <xm:sqref>F77</xm:sqref>
        </x14:conditionalFormatting>
        <x14:conditionalFormatting xmlns:xm="http://schemas.microsoft.com/office/excel/2006/main">
          <x14:cfRule type="iconSet" priority="203" id="{C53990C2-1FE6-4432-9CAB-89872C1A2359}">
            <x14:iconSet iconSet="3Stars" showValue="0" custom="1">
              <x14:cfvo type="percent">
                <xm:f>0</xm:f>
              </x14:cfvo>
              <x14:cfvo type="num" gte="0">
                <xm:f>1</xm:f>
              </x14:cfvo>
              <x14:cfvo type="num">
                <xm:f>5</xm:f>
              </x14:cfvo>
              <x14:cfIcon iconSet="3Stars" iconId="0"/>
              <x14:cfIcon iconSet="3Stars" iconId="2"/>
              <x14:cfIcon iconSet="NoIcons" iconId="0"/>
            </x14:iconSet>
          </x14:cfRule>
          <xm:sqref>D78</xm:sqref>
        </x14:conditionalFormatting>
        <x14:conditionalFormatting xmlns:xm="http://schemas.microsoft.com/office/excel/2006/main">
          <x14:cfRule type="iconSet" priority="202" id="{CF5BF211-6072-4917-B83E-AA260C7F98CE}">
            <x14:iconSet iconSet="3Stars" showValue="0" custom="1">
              <x14:cfvo type="percent">
                <xm:f>0</xm:f>
              </x14:cfvo>
              <x14:cfvo type="num" gte="0">
                <xm:f>2</xm:f>
              </x14:cfvo>
              <x14:cfvo type="num">
                <xm:f>5</xm:f>
              </x14:cfvo>
              <x14:cfIcon iconSet="3Stars" iconId="0"/>
              <x14:cfIcon iconSet="3Stars" iconId="2"/>
              <x14:cfIcon iconSet="3Signs" iconId="1"/>
            </x14:iconSet>
          </x14:cfRule>
          <xm:sqref>E78</xm:sqref>
        </x14:conditionalFormatting>
        <x14:conditionalFormatting xmlns:xm="http://schemas.microsoft.com/office/excel/2006/main">
          <x14:cfRule type="iconSet" priority="201" id="{D2059B46-9452-4CFF-88F3-7C3EB360EB07}">
            <x14:iconSet iconSet="3Stars" showValue="0" custom="1">
              <x14:cfvo type="percent">
                <xm:f>0</xm:f>
              </x14:cfvo>
              <x14:cfvo type="num" gte="0">
                <xm:f>3</xm:f>
              </x14:cfvo>
              <x14:cfvo type="num">
                <xm:f>5</xm:f>
              </x14:cfvo>
              <x14:cfIcon iconSet="3Stars" iconId="0"/>
              <x14:cfIcon iconSet="3Stars" iconId="2"/>
              <x14:cfIcon iconSet="NoIcons" iconId="0"/>
            </x14:iconSet>
          </x14:cfRule>
          <xm:sqref>F78</xm:sqref>
        </x14:conditionalFormatting>
        <x14:conditionalFormatting xmlns:xm="http://schemas.microsoft.com/office/excel/2006/main">
          <x14:cfRule type="iconSet" priority="200" id="{BA26B943-F606-4ACD-A236-492E25DC1B37}">
            <x14:iconSet iconSet="3Stars" showValue="0" custom="1">
              <x14:cfvo type="percent">
                <xm:f>0</xm:f>
              </x14:cfvo>
              <x14:cfvo type="num" gte="0">
                <xm:f>1</xm:f>
              </x14:cfvo>
              <x14:cfvo type="num">
                <xm:f>5</xm:f>
              </x14:cfvo>
              <x14:cfIcon iconSet="3Stars" iconId="0"/>
              <x14:cfIcon iconSet="3Stars" iconId="2"/>
              <x14:cfIcon iconSet="NoIcons" iconId="0"/>
            </x14:iconSet>
          </x14:cfRule>
          <xm:sqref>D80</xm:sqref>
        </x14:conditionalFormatting>
        <x14:conditionalFormatting xmlns:xm="http://schemas.microsoft.com/office/excel/2006/main">
          <x14:cfRule type="iconSet" priority="199" id="{FB8B99CF-203E-429B-AD4D-6C86D195BF1B}">
            <x14:iconSet iconSet="3Stars" showValue="0" custom="1">
              <x14:cfvo type="percent">
                <xm:f>0</xm:f>
              </x14:cfvo>
              <x14:cfvo type="num" gte="0">
                <xm:f>2</xm:f>
              </x14:cfvo>
              <x14:cfvo type="num">
                <xm:f>5</xm:f>
              </x14:cfvo>
              <x14:cfIcon iconSet="3Stars" iconId="0"/>
              <x14:cfIcon iconSet="3Stars" iconId="2"/>
              <x14:cfIcon iconSet="3Signs" iconId="1"/>
            </x14:iconSet>
          </x14:cfRule>
          <xm:sqref>E80</xm:sqref>
        </x14:conditionalFormatting>
        <x14:conditionalFormatting xmlns:xm="http://schemas.microsoft.com/office/excel/2006/main">
          <x14:cfRule type="iconSet" priority="198" id="{9D6FBEEA-BB56-473E-9C6A-55A2001DCF4D}">
            <x14:iconSet iconSet="3Stars" showValue="0" custom="1">
              <x14:cfvo type="percent">
                <xm:f>0</xm:f>
              </x14:cfvo>
              <x14:cfvo type="num" gte="0">
                <xm:f>3</xm:f>
              </x14:cfvo>
              <x14:cfvo type="num">
                <xm:f>5</xm:f>
              </x14:cfvo>
              <x14:cfIcon iconSet="3Stars" iconId="0"/>
              <x14:cfIcon iconSet="3Stars" iconId="2"/>
              <x14:cfIcon iconSet="NoIcons" iconId="0"/>
            </x14:iconSet>
          </x14:cfRule>
          <xm:sqref>F80</xm:sqref>
        </x14:conditionalFormatting>
        <x14:conditionalFormatting xmlns:xm="http://schemas.microsoft.com/office/excel/2006/main">
          <x14:cfRule type="iconSet" priority="197" id="{B6EC7070-A309-45CE-B98D-B01D65977F57}">
            <x14:iconSet iconSet="3Stars" showValue="0" custom="1">
              <x14:cfvo type="percent">
                <xm:f>0</xm:f>
              </x14:cfvo>
              <x14:cfvo type="num" gte="0">
                <xm:f>1</xm:f>
              </x14:cfvo>
              <x14:cfvo type="num">
                <xm:f>5</xm:f>
              </x14:cfvo>
              <x14:cfIcon iconSet="3Stars" iconId="0"/>
              <x14:cfIcon iconSet="3Stars" iconId="2"/>
              <x14:cfIcon iconSet="NoIcons" iconId="0"/>
            </x14:iconSet>
          </x14:cfRule>
          <xm:sqref>D81</xm:sqref>
        </x14:conditionalFormatting>
        <x14:conditionalFormatting xmlns:xm="http://schemas.microsoft.com/office/excel/2006/main">
          <x14:cfRule type="iconSet" priority="196" id="{015EBC69-2BB5-4243-81DC-61DC931E7208}">
            <x14:iconSet iconSet="3Stars" showValue="0" custom="1">
              <x14:cfvo type="percent">
                <xm:f>0</xm:f>
              </x14:cfvo>
              <x14:cfvo type="num" gte="0">
                <xm:f>2</xm:f>
              </x14:cfvo>
              <x14:cfvo type="num">
                <xm:f>5</xm:f>
              </x14:cfvo>
              <x14:cfIcon iconSet="3Stars" iconId="0"/>
              <x14:cfIcon iconSet="3Stars" iconId="2"/>
              <x14:cfIcon iconSet="3Signs" iconId="1"/>
            </x14:iconSet>
          </x14:cfRule>
          <xm:sqref>E81</xm:sqref>
        </x14:conditionalFormatting>
        <x14:conditionalFormatting xmlns:xm="http://schemas.microsoft.com/office/excel/2006/main">
          <x14:cfRule type="iconSet" priority="195" id="{9500855B-799B-478F-AC5F-7A50AA7F6B18}">
            <x14:iconSet iconSet="3Stars" showValue="0" custom="1">
              <x14:cfvo type="percent">
                <xm:f>0</xm:f>
              </x14:cfvo>
              <x14:cfvo type="num" gte="0">
                <xm:f>3</xm:f>
              </x14:cfvo>
              <x14:cfvo type="num">
                <xm:f>5</xm:f>
              </x14:cfvo>
              <x14:cfIcon iconSet="3Stars" iconId="0"/>
              <x14:cfIcon iconSet="3Stars" iconId="2"/>
              <x14:cfIcon iconSet="NoIcons" iconId="0"/>
            </x14:iconSet>
          </x14:cfRule>
          <xm:sqref>F81</xm:sqref>
        </x14:conditionalFormatting>
        <x14:conditionalFormatting xmlns:xm="http://schemas.microsoft.com/office/excel/2006/main">
          <x14:cfRule type="iconSet" priority="194" id="{D76EC856-94A1-43E2-AB71-43DE219E6F09}">
            <x14:iconSet iconSet="3Stars" showValue="0" custom="1">
              <x14:cfvo type="percent">
                <xm:f>0</xm:f>
              </x14:cfvo>
              <x14:cfvo type="num" gte="0">
                <xm:f>1</xm:f>
              </x14:cfvo>
              <x14:cfvo type="num">
                <xm:f>5</xm:f>
              </x14:cfvo>
              <x14:cfIcon iconSet="3Stars" iconId="0"/>
              <x14:cfIcon iconSet="3Stars" iconId="2"/>
              <x14:cfIcon iconSet="NoIcons" iconId="0"/>
            </x14:iconSet>
          </x14:cfRule>
          <xm:sqref>D82</xm:sqref>
        </x14:conditionalFormatting>
        <x14:conditionalFormatting xmlns:xm="http://schemas.microsoft.com/office/excel/2006/main">
          <x14:cfRule type="iconSet" priority="193" id="{92DB0CAB-73B9-4EBD-B38B-321F15F40F5D}">
            <x14:iconSet iconSet="3Stars" showValue="0" custom="1">
              <x14:cfvo type="percent">
                <xm:f>0</xm:f>
              </x14:cfvo>
              <x14:cfvo type="num" gte="0">
                <xm:f>2</xm:f>
              </x14:cfvo>
              <x14:cfvo type="num">
                <xm:f>5</xm:f>
              </x14:cfvo>
              <x14:cfIcon iconSet="3Stars" iconId="0"/>
              <x14:cfIcon iconSet="3Stars" iconId="2"/>
              <x14:cfIcon iconSet="3Signs" iconId="1"/>
            </x14:iconSet>
          </x14:cfRule>
          <xm:sqref>E82</xm:sqref>
        </x14:conditionalFormatting>
        <x14:conditionalFormatting xmlns:xm="http://schemas.microsoft.com/office/excel/2006/main">
          <x14:cfRule type="iconSet" priority="192" id="{206771D4-CD45-40E9-BF25-78F384586A5E}">
            <x14:iconSet iconSet="3Stars" showValue="0" custom="1">
              <x14:cfvo type="percent">
                <xm:f>0</xm:f>
              </x14:cfvo>
              <x14:cfvo type="num" gte="0">
                <xm:f>3</xm:f>
              </x14:cfvo>
              <x14:cfvo type="num">
                <xm:f>5</xm:f>
              </x14:cfvo>
              <x14:cfIcon iconSet="3Stars" iconId="0"/>
              <x14:cfIcon iconSet="3Stars" iconId="2"/>
              <x14:cfIcon iconSet="NoIcons" iconId="0"/>
            </x14:iconSet>
          </x14:cfRule>
          <xm:sqref>F82</xm:sqref>
        </x14:conditionalFormatting>
        <x14:conditionalFormatting xmlns:xm="http://schemas.microsoft.com/office/excel/2006/main">
          <x14:cfRule type="iconSet" priority="191" id="{061C54D1-6FAD-41F5-8075-248DB7EAD419}">
            <x14:iconSet iconSet="3Stars" showValue="0" custom="1">
              <x14:cfvo type="percent">
                <xm:f>0</xm:f>
              </x14:cfvo>
              <x14:cfvo type="num" gte="0">
                <xm:f>1</xm:f>
              </x14:cfvo>
              <x14:cfvo type="num">
                <xm:f>5</xm:f>
              </x14:cfvo>
              <x14:cfIcon iconSet="3Stars" iconId="0"/>
              <x14:cfIcon iconSet="3Stars" iconId="2"/>
              <x14:cfIcon iconSet="NoIcons" iconId="0"/>
            </x14:iconSet>
          </x14:cfRule>
          <xm:sqref>D83</xm:sqref>
        </x14:conditionalFormatting>
        <x14:conditionalFormatting xmlns:xm="http://schemas.microsoft.com/office/excel/2006/main">
          <x14:cfRule type="iconSet" priority="190" id="{7851F7E8-624D-48AF-9C27-67163A7094E3}">
            <x14:iconSet iconSet="3Stars" showValue="0" custom="1">
              <x14:cfvo type="percent">
                <xm:f>0</xm:f>
              </x14:cfvo>
              <x14:cfvo type="num" gte="0">
                <xm:f>2</xm:f>
              </x14:cfvo>
              <x14:cfvo type="num">
                <xm:f>5</xm:f>
              </x14:cfvo>
              <x14:cfIcon iconSet="3Stars" iconId="0"/>
              <x14:cfIcon iconSet="3Stars" iconId="2"/>
              <x14:cfIcon iconSet="3Signs" iconId="1"/>
            </x14:iconSet>
          </x14:cfRule>
          <xm:sqref>E83</xm:sqref>
        </x14:conditionalFormatting>
        <x14:conditionalFormatting xmlns:xm="http://schemas.microsoft.com/office/excel/2006/main">
          <x14:cfRule type="iconSet" priority="189" id="{4C79DD06-713E-4ADC-91EE-729949BBB995}">
            <x14:iconSet iconSet="3Stars" showValue="0" custom="1">
              <x14:cfvo type="percent">
                <xm:f>0</xm:f>
              </x14:cfvo>
              <x14:cfvo type="num" gte="0">
                <xm:f>3</xm:f>
              </x14:cfvo>
              <x14:cfvo type="num">
                <xm:f>5</xm:f>
              </x14:cfvo>
              <x14:cfIcon iconSet="3Stars" iconId="0"/>
              <x14:cfIcon iconSet="3Stars" iconId="2"/>
              <x14:cfIcon iconSet="NoIcons" iconId="0"/>
            </x14:iconSet>
          </x14:cfRule>
          <xm:sqref>F83</xm:sqref>
        </x14:conditionalFormatting>
        <x14:conditionalFormatting xmlns:xm="http://schemas.microsoft.com/office/excel/2006/main">
          <x14:cfRule type="iconSet" priority="188" id="{F92DC053-2161-4F72-867F-A6E2810FAF8E}">
            <x14:iconSet iconSet="3Stars" showValue="0" custom="1">
              <x14:cfvo type="percent">
                <xm:f>0</xm:f>
              </x14:cfvo>
              <x14:cfvo type="num" gte="0">
                <xm:f>1</xm:f>
              </x14:cfvo>
              <x14:cfvo type="num">
                <xm:f>5</xm:f>
              </x14:cfvo>
              <x14:cfIcon iconSet="3Stars" iconId="0"/>
              <x14:cfIcon iconSet="3Stars" iconId="2"/>
              <x14:cfIcon iconSet="NoIcons" iconId="0"/>
            </x14:iconSet>
          </x14:cfRule>
          <xm:sqref>D84</xm:sqref>
        </x14:conditionalFormatting>
        <x14:conditionalFormatting xmlns:xm="http://schemas.microsoft.com/office/excel/2006/main">
          <x14:cfRule type="iconSet" priority="187" id="{20D6D511-11EC-41BC-8835-18574100740A}">
            <x14:iconSet iconSet="3Stars" showValue="0" custom="1">
              <x14:cfvo type="percent">
                <xm:f>0</xm:f>
              </x14:cfvo>
              <x14:cfvo type="num" gte="0">
                <xm:f>2</xm:f>
              </x14:cfvo>
              <x14:cfvo type="num">
                <xm:f>5</xm:f>
              </x14:cfvo>
              <x14:cfIcon iconSet="3Stars" iconId="0"/>
              <x14:cfIcon iconSet="3Stars" iconId="2"/>
              <x14:cfIcon iconSet="3Signs" iconId="1"/>
            </x14:iconSet>
          </x14:cfRule>
          <xm:sqref>E84</xm:sqref>
        </x14:conditionalFormatting>
        <x14:conditionalFormatting xmlns:xm="http://schemas.microsoft.com/office/excel/2006/main">
          <x14:cfRule type="iconSet" priority="186" id="{48D9FCF0-047E-4D51-9AE2-0D0289F05414}">
            <x14:iconSet iconSet="3Stars" showValue="0" custom="1">
              <x14:cfvo type="percent">
                <xm:f>0</xm:f>
              </x14:cfvo>
              <x14:cfvo type="num" gte="0">
                <xm:f>3</xm:f>
              </x14:cfvo>
              <x14:cfvo type="num">
                <xm:f>5</xm:f>
              </x14:cfvo>
              <x14:cfIcon iconSet="3Stars" iconId="0"/>
              <x14:cfIcon iconSet="3Stars" iconId="2"/>
              <x14:cfIcon iconSet="NoIcons" iconId="0"/>
            </x14:iconSet>
          </x14:cfRule>
          <xm:sqref>F84</xm:sqref>
        </x14:conditionalFormatting>
        <x14:conditionalFormatting xmlns:xm="http://schemas.microsoft.com/office/excel/2006/main">
          <x14:cfRule type="iconSet" priority="185" id="{EA92CAB8-F798-4340-A745-12B231E28C94}">
            <x14:iconSet iconSet="3Stars" showValue="0" custom="1">
              <x14:cfvo type="percent">
                <xm:f>0</xm:f>
              </x14:cfvo>
              <x14:cfvo type="num" gte="0">
                <xm:f>1</xm:f>
              </x14:cfvo>
              <x14:cfvo type="num">
                <xm:f>5</xm:f>
              </x14:cfvo>
              <x14:cfIcon iconSet="3Stars" iconId="0"/>
              <x14:cfIcon iconSet="3Stars" iconId="2"/>
              <x14:cfIcon iconSet="NoIcons" iconId="0"/>
            </x14:iconSet>
          </x14:cfRule>
          <xm:sqref>D86</xm:sqref>
        </x14:conditionalFormatting>
        <x14:conditionalFormatting xmlns:xm="http://schemas.microsoft.com/office/excel/2006/main">
          <x14:cfRule type="iconSet" priority="184" id="{42CE3443-B615-471A-880D-45FF154059C0}">
            <x14:iconSet iconSet="3Stars" showValue="0" custom="1">
              <x14:cfvo type="percent">
                <xm:f>0</xm:f>
              </x14:cfvo>
              <x14:cfvo type="num" gte="0">
                <xm:f>2</xm:f>
              </x14:cfvo>
              <x14:cfvo type="num">
                <xm:f>5</xm:f>
              </x14:cfvo>
              <x14:cfIcon iconSet="3Stars" iconId="0"/>
              <x14:cfIcon iconSet="3Stars" iconId="2"/>
              <x14:cfIcon iconSet="3Signs" iconId="1"/>
            </x14:iconSet>
          </x14:cfRule>
          <xm:sqref>E86</xm:sqref>
        </x14:conditionalFormatting>
        <x14:conditionalFormatting xmlns:xm="http://schemas.microsoft.com/office/excel/2006/main">
          <x14:cfRule type="iconSet" priority="183" id="{2E3E53E5-ACFB-4E5B-A0C8-3FA32664B57C}">
            <x14:iconSet iconSet="3Stars" showValue="0" custom="1">
              <x14:cfvo type="percent">
                <xm:f>0</xm:f>
              </x14:cfvo>
              <x14:cfvo type="num" gte="0">
                <xm:f>3</xm:f>
              </x14:cfvo>
              <x14:cfvo type="num">
                <xm:f>5</xm:f>
              </x14:cfvo>
              <x14:cfIcon iconSet="3Stars" iconId="0"/>
              <x14:cfIcon iconSet="3Stars" iconId="2"/>
              <x14:cfIcon iconSet="NoIcons" iconId="0"/>
            </x14:iconSet>
          </x14:cfRule>
          <xm:sqref>F86</xm:sqref>
        </x14:conditionalFormatting>
        <x14:conditionalFormatting xmlns:xm="http://schemas.microsoft.com/office/excel/2006/main">
          <x14:cfRule type="iconSet" priority="182" id="{385EB04F-8A58-4E6B-AFAC-F1034DB65485}">
            <x14:iconSet iconSet="3Stars" showValue="0" custom="1">
              <x14:cfvo type="percent">
                <xm:f>0</xm:f>
              </x14:cfvo>
              <x14:cfvo type="num" gte="0">
                <xm:f>1</xm:f>
              </x14:cfvo>
              <x14:cfvo type="num">
                <xm:f>5</xm:f>
              </x14:cfvo>
              <x14:cfIcon iconSet="3Stars" iconId="0"/>
              <x14:cfIcon iconSet="3Stars" iconId="2"/>
              <x14:cfIcon iconSet="NoIcons" iconId="0"/>
            </x14:iconSet>
          </x14:cfRule>
          <xm:sqref>D87</xm:sqref>
        </x14:conditionalFormatting>
        <x14:conditionalFormatting xmlns:xm="http://schemas.microsoft.com/office/excel/2006/main">
          <x14:cfRule type="iconSet" priority="181" id="{C8EBBC2B-C54E-4A8F-B394-EBE26923E0AC}">
            <x14:iconSet iconSet="3Stars" showValue="0" custom="1">
              <x14:cfvo type="percent">
                <xm:f>0</xm:f>
              </x14:cfvo>
              <x14:cfvo type="num" gte="0">
                <xm:f>2</xm:f>
              </x14:cfvo>
              <x14:cfvo type="num">
                <xm:f>5</xm:f>
              </x14:cfvo>
              <x14:cfIcon iconSet="3Stars" iconId="0"/>
              <x14:cfIcon iconSet="3Stars" iconId="2"/>
              <x14:cfIcon iconSet="3Signs" iconId="1"/>
            </x14:iconSet>
          </x14:cfRule>
          <xm:sqref>E87</xm:sqref>
        </x14:conditionalFormatting>
        <x14:conditionalFormatting xmlns:xm="http://schemas.microsoft.com/office/excel/2006/main">
          <x14:cfRule type="iconSet" priority="180" id="{C643CEBD-9474-485D-9572-873DFB706AB7}">
            <x14:iconSet iconSet="3Stars" showValue="0" custom="1">
              <x14:cfvo type="percent">
                <xm:f>0</xm:f>
              </x14:cfvo>
              <x14:cfvo type="num" gte="0">
                <xm:f>3</xm:f>
              </x14:cfvo>
              <x14:cfvo type="num">
                <xm:f>5</xm:f>
              </x14:cfvo>
              <x14:cfIcon iconSet="3Stars" iconId="0"/>
              <x14:cfIcon iconSet="3Stars" iconId="2"/>
              <x14:cfIcon iconSet="NoIcons" iconId="0"/>
            </x14:iconSet>
          </x14:cfRule>
          <xm:sqref>F87</xm:sqref>
        </x14:conditionalFormatting>
        <x14:conditionalFormatting xmlns:xm="http://schemas.microsoft.com/office/excel/2006/main">
          <x14:cfRule type="iconSet" priority="179" id="{24BFA8B2-DADD-46C7-A675-71A32635F404}">
            <x14:iconSet iconSet="3Stars" showValue="0" custom="1">
              <x14:cfvo type="percent">
                <xm:f>0</xm:f>
              </x14:cfvo>
              <x14:cfvo type="num" gte="0">
                <xm:f>1</xm:f>
              </x14:cfvo>
              <x14:cfvo type="num">
                <xm:f>5</xm:f>
              </x14:cfvo>
              <x14:cfIcon iconSet="3Stars" iconId="0"/>
              <x14:cfIcon iconSet="3Stars" iconId="2"/>
              <x14:cfIcon iconSet="NoIcons" iconId="0"/>
            </x14:iconSet>
          </x14:cfRule>
          <xm:sqref>D88</xm:sqref>
        </x14:conditionalFormatting>
        <x14:conditionalFormatting xmlns:xm="http://schemas.microsoft.com/office/excel/2006/main">
          <x14:cfRule type="iconSet" priority="178" id="{6F0189F1-3B1E-443B-9398-1B49574E211B}">
            <x14:iconSet iconSet="3Stars" showValue="0" custom="1">
              <x14:cfvo type="percent">
                <xm:f>0</xm:f>
              </x14:cfvo>
              <x14:cfvo type="num" gte="0">
                <xm:f>2</xm:f>
              </x14:cfvo>
              <x14:cfvo type="num">
                <xm:f>5</xm:f>
              </x14:cfvo>
              <x14:cfIcon iconSet="3Stars" iconId="0"/>
              <x14:cfIcon iconSet="3Stars" iconId="2"/>
              <x14:cfIcon iconSet="3Signs" iconId="1"/>
            </x14:iconSet>
          </x14:cfRule>
          <xm:sqref>E88</xm:sqref>
        </x14:conditionalFormatting>
        <x14:conditionalFormatting xmlns:xm="http://schemas.microsoft.com/office/excel/2006/main">
          <x14:cfRule type="iconSet" priority="177" id="{EF73D399-1A98-43F6-A4E9-15C0657A68C4}">
            <x14:iconSet iconSet="3Stars" showValue="0" custom="1">
              <x14:cfvo type="percent">
                <xm:f>0</xm:f>
              </x14:cfvo>
              <x14:cfvo type="num" gte="0">
                <xm:f>3</xm:f>
              </x14:cfvo>
              <x14:cfvo type="num">
                <xm:f>5</xm:f>
              </x14:cfvo>
              <x14:cfIcon iconSet="3Stars" iconId="0"/>
              <x14:cfIcon iconSet="3Stars" iconId="2"/>
              <x14:cfIcon iconSet="NoIcons" iconId="0"/>
            </x14:iconSet>
          </x14:cfRule>
          <xm:sqref>F88</xm:sqref>
        </x14:conditionalFormatting>
        <x14:conditionalFormatting xmlns:xm="http://schemas.microsoft.com/office/excel/2006/main">
          <x14:cfRule type="iconSet" priority="176" id="{44631E7F-B73A-499B-A906-8CB87C975CB7}">
            <x14:iconSet iconSet="3Stars" showValue="0" custom="1">
              <x14:cfvo type="percent">
                <xm:f>0</xm:f>
              </x14:cfvo>
              <x14:cfvo type="num" gte="0">
                <xm:f>1</xm:f>
              </x14:cfvo>
              <x14:cfvo type="num">
                <xm:f>5</xm:f>
              </x14:cfvo>
              <x14:cfIcon iconSet="3Stars" iconId="0"/>
              <x14:cfIcon iconSet="3Stars" iconId="2"/>
              <x14:cfIcon iconSet="NoIcons" iconId="0"/>
            </x14:iconSet>
          </x14:cfRule>
          <xm:sqref>D89</xm:sqref>
        </x14:conditionalFormatting>
        <x14:conditionalFormatting xmlns:xm="http://schemas.microsoft.com/office/excel/2006/main">
          <x14:cfRule type="iconSet" priority="175" id="{A9A1CC58-7CAA-4975-B49D-72B2F856580D}">
            <x14:iconSet iconSet="3Stars" showValue="0" custom="1">
              <x14:cfvo type="percent">
                <xm:f>0</xm:f>
              </x14:cfvo>
              <x14:cfvo type="num" gte="0">
                <xm:f>2</xm:f>
              </x14:cfvo>
              <x14:cfvo type="num">
                <xm:f>5</xm:f>
              </x14:cfvo>
              <x14:cfIcon iconSet="3Stars" iconId="0"/>
              <x14:cfIcon iconSet="3Stars" iconId="2"/>
              <x14:cfIcon iconSet="3Signs" iconId="1"/>
            </x14:iconSet>
          </x14:cfRule>
          <xm:sqref>E89</xm:sqref>
        </x14:conditionalFormatting>
        <x14:conditionalFormatting xmlns:xm="http://schemas.microsoft.com/office/excel/2006/main">
          <x14:cfRule type="iconSet" priority="174" id="{67265346-6321-4106-99E3-FB70E32371C0}">
            <x14:iconSet iconSet="3Stars" showValue="0" custom="1">
              <x14:cfvo type="percent">
                <xm:f>0</xm:f>
              </x14:cfvo>
              <x14:cfvo type="num" gte="0">
                <xm:f>3</xm:f>
              </x14:cfvo>
              <x14:cfvo type="num">
                <xm:f>5</xm:f>
              </x14:cfvo>
              <x14:cfIcon iconSet="3Stars" iconId="0"/>
              <x14:cfIcon iconSet="3Stars" iconId="2"/>
              <x14:cfIcon iconSet="NoIcons" iconId="0"/>
            </x14:iconSet>
          </x14:cfRule>
          <xm:sqref>F89</xm:sqref>
        </x14:conditionalFormatting>
        <x14:conditionalFormatting xmlns:xm="http://schemas.microsoft.com/office/excel/2006/main">
          <x14:cfRule type="iconSet" priority="173" id="{22185790-16C2-44EA-ABD0-6A8E5A88D051}">
            <x14:iconSet iconSet="3Stars" showValue="0" custom="1">
              <x14:cfvo type="percent">
                <xm:f>0</xm:f>
              </x14:cfvo>
              <x14:cfvo type="num" gte="0">
                <xm:f>1</xm:f>
              </x14:cfvo>
              <x14:cfvo type="num">
                <xm:f>5</xm:f>
              </x14:cfvo>
              <x14:cfIcon iconSet="3Stars" iconId="0"/>
              <x14:cfIcon iconSet="3Stars" iconId="2"/>
              <x14:cfIcon iconSet="NoIcons" iconId="0"/>
            </x14:iconSet>
          </x14:cfRule>
          <xm:sqref>D93</xm:sqref>
        </x14:conditionalFormatting>
        <x14:conditionalFormatting xmlns:xm="http://schemas.microsoft.com/office/excel/2006/main">
          <x14:cfRule type="iconSet" priority="172" id="{6CC2A97E-BBB4-4EA0-8178-76BD03E27175}">
            <x14:iconSet iconSet="3Stars" showValue="0" custom="1">
              <x14:cfvo type="percent">
                <xm:f>0</xm:f>
              </x14:cfvo>
              <x14:cfvo type="num" gte="0">
                <xm:f>2</xm:f>
              </x14:cfvo>
              <x14:cfvo type="num">
                <xm:f>5</xm:f>
              </x14:cfvo>
              <x14:cfIcon iconSet="3Stars" iconId="0"/>
              <x14:cfIcon iconSet="3Stars" iconId="2"/>
              <x14:cfIcon iconSet="3Signs" iconId="1"/>
            </x14:iconSet>
          </x14:cfRule>
          <xm:sqref>E93</xm:sqref>
        </x14:conditionalFormatting>
        <x14:conditionalFormatting xmlns:xm="http://schemas.microsoft.com/office/excel/2006/main">
          <x14:cfRule type="iconSet" priority="171" id="{E2FAADD4-3149-4BE0-862D-8F0D78D7426D}">
            <x14:iconSet iconSet="3Stars" showValue="0" custom="1">
              <x14:cfvo type="percent">
                <xm:f>0</xm:f>
              </x14:cfvo>
              <x14:cfvo type="num" gte="0">
                <xm:f>3</xm:f>
              </x14:cfvo>
              <x14:cfvo type="num">
                <xm:f>5</xm:f>
              </x14:cfvo>
              <x14:cfIcon iconSet="3Stars" iconId="0"/>
              <x14:cfIcon iconSet="3Stars" iconId="2"/>
              <x14:cfIcon iconSet="NoIcons" iconId="0"/>
            </x14:iconSet>
          </x14:cfRule>
          <xm:sqref>F93</xm:sqref>
        </x14:conditionalFormatting>
        <x14:conditionalFormatting xmlns:xm="http://schemas.microsoft.com/office/excel/2006/main">
          <x14:cfRule type="iconSet" priority="170" id="{397CD396-ED4A-4147-874A-54B7E8E92DDB}">
            <x14:iconSet iconSet="3Stars" showValue="0" custom="1">
              <x14:cfvo type="percent">
                <xm:f>0</xm:f>
              </x14:cfvo>
              <x14:cfvo type="num" gte="0">
                <xm:f>1</xm:f>
              </x14:cfvo>
              <x14:cfvo type="num">
                <xm:f>5</xm:f>
              </x14:cfvo>
              <x14:cfIcon iconSet="3Stars" iconId="0"/>
              <x14:cfIcon iconSet="3Stars" iconId="2"/>
              <x14:cfIcon iconSet="NoIcons" iconId="0"/>
            </x14:iconSet>
          </x14:cfRule>
          <xm:sqref>D94</xm:sqref>
        </x14:conditionalFormatting>
        <x14:conditionalFormatting xmlns:xm="http://schemas.microsoft.com/office/excel/2006/main">
          <x14:cfRule type="iconSet" priority="169" id="{2EE552D1-60D7-49B4-A664-F46E765E44CC}">
            <x14:iconSet iconSet="3Stars" showValue="0" custom="1">
              <x14:cfvo type="percent">
                <xm:f>0</xm:f>
              </x14:cfvo>
              <x14:cfvo type="num" gte="0">
                <xm:f>2</xm:f>
              </x14:cfvo>
              <x14:cfvo type="num">
                <xm:f>5</xm:f>
              </x14:cfvo>
              <x14:cfIcon iconSet="3Stars" iconId="0"/>
              <x14:cfIcon iconSet="3Stars" iconId="2"/>
              <x14:cfIcon iconSet="3Signs" iconId="1"/>
            </x14:iconSet>
          </x14:cfRule>
          <xm:sqref>E94</xm:sqref>
        </x14:conditionalFormatting>
        <x14:conditionalFormatting xmlns:xm="http://schemas.microsoft.com/office/excel/2006/main">
          <x14:cfRule type="iconSet" priority="168" id="{6F85E284-3CC7-4500-B8FC-821ABEFB6446}">
            <x14:iconSet iconSet="3Stars" showValue="0" custom="1">
              <x14:cfvo type="percent">
                <xm:f>0</xm:f>
              </x14:cfvo>
              <x14:cfvo type="num" gte="0">
                <xm:f>3</xm:f>
              </x14:cfvo>
              <x14:cfvo type="num">
                <xm:f>5</xm:f>
              </x14:cfvo>
              <x14:cfIcon iconSet="3Stars" iconId="0"/>
              <x14:cfIcon iconSet="3Stars" iconId="2"/>
              <x14:cfIcon iconSet="NoIcons" iconId="0"/>
            </x14:iconSet>
          </x14:cfRule>
          <xm:sqref>F94</xm:sqref>
        </x14:conditionalFormatting>
        <x14:conditionalFormatting xmlns:xm="http://schemas.microsoft.com/office/excel/2006/main">
          <x14:cfRule type="iconSet" priority="167" id="{BD00325A-0BAA-4430-89B1-3CBBB3F114FF}">
            <x14:iconSet iconSet="3Stars" showValue="0" custom="1">
              <x14:cfvo type="percent">
                <xm:f>0</xm:f>
              </x14:cfvo>
              <x14:cfvo type="num" gte="0">
                <xm:f>1</xm:f>
              </x14:cfvo>
              <x14:cfvo type="num">
                <xm:f>5</xm:f>
              </x14:cfvo>
              <x14:cfIcon iconSet="3Stars" iconId="0"/>
              <x14:cfIcon iconSet="3Stars" iconId="2"/>
              <x14:cfIcon iconSet="NoIcons" iconId="0"/>
            </x14:iconSet>
          </x14:cfRule>
          <xm:sqref>D96</xm:sqref>
        </x14:conditionalFormatting>
        <x14:conditionalFormatting xmlns:xm="http://schemas.microsoft.com/office/excel/2006/main">
          <x14:cfRule type="iconSet" priority="166" id="{C0FC1F7F-1E66-4AEF-A0B0-AC89EC41AD9A}">
            <x14:iconSet iconSet="3Stars" showValue="0" custom="1">
              <x14:cfvo type="percent">
                <xm:f>0</xm:f>
              </x14:cfvo>
              <x14:cfvo type="num" gte="0">
                <xm:f>2</xm:f>
              </x14:cfvo>
              <x14:cfvo type="num">
                <xm:f>5</xm:f>
              </x14:cfvo>
              <x14:cfIcon iconSet="3Stars" iconId="0"/>
              <x14:cfIcon iconSet="3Stars" iconId="2"/>
              <x14:cfIcon iconSet="3Signs" iconId="1"/>
            </x14:iconSet>
          </x14:cfRule>
          <xm:sqref>E96</xm:sqref>
        </x14:conditionalFormatting>
        <x14:conditionalFormatting xmlns:xm="http://schemas.microsoft.com/office/excel/2006/main">
          <x14:cfRule type="iconSet" priority="165" id="{41AF0B49-B994-4BB3-81F8-F1E4BF1A7E7C}">
            <x14:iconSet iconSet="3Stars" showValue="0" custom="1">
              <x14:cfvo type="percent">
                <xm:f>0</xm:f>
              </x14:cfvo>
              <x14:cfvo type="num" gte="0">
                <xm:f>3</xm:f>
              </x14:cfvo>
              <x14:cfvo type="num">
                <xm:f>5</xm:f>
              </x14:cfvo>
              <x14:cfIcon iconSet="3Stars" iconId="0"/>
              <x14:cfIcon iconSet="3Stars" iconId="2"/>
              <x14:cfIcon iconSet="NoIcons" iconId="0"/>
            </x14:iconSet>
          </x14:cfRule>
          <xm:sqref>F96</xm:sqref>
        </x14:conditionalFormatting>
        <x14:conditionalFormatting xmlns:xm="http://schemas.microsoft.com/office/excel/2006/main">
          <x14:cfRule type="iconSet" priority="164" id="{2E76F0B6-4910-4FAD-BACA-13F6CC816CE9}">
            <x14:iconSet iconSet="3Stars" showValue="0" custom="1">
              <x14:cfvo type="percent">
                <xm:f>0</xm:f>
              </x14:cfvo>
              <x14:cfvo type="num" gte="0">
                <xm:f>1</xm:f>
              </x14:cfvo>
              <x14:cfvo type="num">
                <xm:f>5</xm:f>
              </x14:cfvo>
              <x14:cfIcon iconSet="3Stars" iconId="0"/>
              <x14:cfIcon iconSet="3Stars" iconId="2"/>
              <x14:cfIcon iconSet="NoIcons" iconId="0"/>
            </x14:iconSet>
          </x14:cfRule>
          <xm:sqref>D97</xm:sqref>
        </x14:conditionalFormatting>
        <x14:conditionalFormatting xmlns:xm="http://schemas.microsoft.com/office/excel/2006/main">
          <x14:cfRule type="iconSet" priority="163" id="{20F775D6-D66F-4D66-896E-D0B179752B64}">
            <x14:iconSet iconSet="3Stars" showValue="0" custom="1">
              <x14:cfvo type="percent">
                <xm:f>0</xm:f>
              </x14:cfvo>
              <x14:cfvo type="num" gte="0">
                <xm:f>2</xm:f>
              </x14:cfvo>
              <x14:cfvo type="num">
                <xm:f>5</xm:f>
              </x14:cfvo>
              <x14:cfIcon iconSet="3Stars" iconId="0"/>
              <x14:cfIcon iconSet="3Stars" iconId="2"/>
              <x14:cfIcon iconSet="3Signs" iconId="1"/>
            </x14:iconSet>
          </x14:cfRule>
          <xm:sqref>E97</xm:sqref>
        </x14:conditionalFormatting>
        <x14:conditionalFormatting xmlns:xm="http://schemas.microsoft.com/office/excel/2006/main">
          <x14:cfRule type="iconSet" priority="162" id="{57287760-19ED-4CE4-A37F-419913FAB7E8}">
            <x14:iconSet iconSet="3Stars" showValue="0" custom="1">
              <x14:cfvo type="percent">
                <xm:f>0</xm:f>
              </x14:cfvo>
              <x14:cfvo type="num" gte="0">
                <xm:f>3</xm:f>
              </x14:cfvo>
              <x14:cfvo type="num">
                <xm:f>5</xm:f>
              </x14:cfvo>
              <x14:cfIcon iconSet="3Stars" iconId="0"/>
              <x14:cfIcon iconSet="3Stars" iconId="2"/>
              <x14:cfIcon iconSet="NoIcons" iconId="0"/>
            </x14:iconSet>
          </x14:cfRule>
          <xm:sqref>F97</xm:sqref>
        </x14:conditionalFormatting>
        <x14:conditionalFormatting xmlns:xm="http://schemas.microsoft.com/office/excel/2006/main">
          <x14:cfRule type="iconSet" priority="161" id="{65DE7516-D91E-4800-BAFA-4989C57C514F}">
            <x14:iconSet iconSet="3Stars" showValue="0" custom="1">
              <x14:cfvo type="percent">
                <xm:f>0</xm:f>
              </x14:cfvo>
              <x14:cfvo type="num" gte="0">
                <xm:f>1</xm:f>
              </x14:cfvo>
              <x14:cfvo type="num">
                <xm:f>5</xm:f>
              </x14:cfvo>
              <x14:cfIcon iconSet="3Stars" iconId="0"/>
              <x14:cfIcon iconSet="3Stars" iconId="2"/>
              <x14:cfIcon iconSet="NoIcons" iconId="0"/>
            </x14:iconSet>
          </x14:cfRule>
          <xm:sqref>D98</xm:sqref>
        </x14:conditionalFormatting>
        <x14:conditionalFormatting xmlns:xm="http://schemas.microsoft.com/office/excel/2006/main">
          <x14:cfRule type="iconSet" priority="160" id="{8A459FD5-0808-4E48-A2D2-5CFA4378B3BC}">
            <x14:iconSet iconSet="3Stars" showValue="0" custom="1">
              <x14:cfvo type="percent">
                <xm:f>0</xm:f>
              </x14:cfvo>
              <x14:cfvo type="num" gte="0">
                <xm:f>2</xm:f>
              </x14:cfvo>
              <x14:cfvo type="num">
                <xm:f>5</xm:f>
              </x14:cfvo>
              <x14:cfIcon iconSet="3Stars" iconId="0"/>
              <x14:cfIcon iconSet="3Stars" iconId="2"/>
              <x14:cfIcon iconSet="3Signs" iconId="1"/>
            </x14:iconSet>
          </x14:cfRule>
          <xm:sqref>E98</xm:sqref>
        </x14:conditionalFormatting>
        <x14:conditionalFormatting xmlns:xm="http://schemas.microsoft.com/office/excel/2006/main">
          <x14:cfRule type="iconSet" priority="159" id="{6C24640D-CE1C-4694-984A-E3EC758E6F9B}">
            <x14:iconSet iconSet="3Stars" showValue="0" custom="1">
              <x14:cfvo type="percent">
                <xm:f>0</xm:f>
              </x14:cfvo>
              <x14:cfvo type="num" gte="0">
                <xm:f>3</xm:f>
              </x14:cfvo>
              <x14:cfvo type="num">
                <xm:f>5</xm:f>
              </x14:cfvo>
              <x14:cfIcon iconSet="3Stars" iconId="0"/>
              <x14:cfIcon iconSet="3Stars" iconId="2"/>
              <x14:cfIcon iconSet="NoIcons" iconId="0"/>
            </x14:iconSet>
          </x14:cfRule>
          <xm:sqref>F98</xm:sqref>
        </x14:conditionalFormatting>
        <x14:conditionalFormatting xmlns:xm="http://schemas.microsoft.com/office/excel/2006/main">
          <x14:cfRule type="iconSet" priority="158" id="{5B7123E7-8CD1-43B3-ACB7-7EB595345B8E}">
            <x14:iconSet iconSet="3Stars" showValue="0" custom="1">
              <x14:cfvo type="percent">
                <xm:f>0</xm:f>
              </x14:cfvo>
              <x14:cfvo type="num" gte="0">
                <xm:f>1</xm:f>
              </x14:cfvo>
              <x14:cfvo type="num">
                <xm:f>5</xm:f>
              </x14:cfvo>
              <x14:cfIcon iconSet="3Stars" iconId="0"/>
              <x14:cfIcon iconSet="3Stars" iconId="2"/>
              <x14:cfIcon iconSet="NoIcons" iconId="0"/>
            </x14:iconSet>
          </x14:cfRule>
          <xm:sqref>D99</xm:sqref>
        </x14:conditionalFormatting>
        <x14:conditionalFormatting xmlns:xm="http://schemas.microsoft.com/office/excel/2006/main">
          <x14:cfRule type="iconSet" priority="157" id="{6D29E465-0D6E-4774-99E9-4DECD5073638}">
            <x14:iconSet iconSet="3Stars" showValue="0" custom="1">
              <x14:cfvo type="percent">
                <xm:f>0</xm:f>
              </x14:cfvo>
              <x14:cfvo type="num" gte="0">
                <xm:f>2</xm:f>
              </x14:cfvo>
              <x14:cfvo type="num">
                <xm:f>5</xm:f>
              </x14:cfvo>
              <x14:cfIcon iconSet="3Stars" iconId="0"/>
              <x14:cfIcon iconSet="3Stars" iconId="2"/>
              <x14:cfIcon iconSet="3Signs" iconId="1"/>
            </x14:iconSet>
          </x14:cfRule>
          <xm:sqref>E99</xm:sqref>
        </x14:conditionalFormatting>
        <x14:conditionalFormatting xmlns:xm="http://schemas.microsoft.com/office/excel/2006/main">
          <x14:cfRule type="iconSet" priority="156" id="{28F67842-6D8B-4E63-83FE-DC97479D2ECE}">
            <x14:iconSet iconSet="3Stars" showValue="0" custom="1">
              <x14:cfvo type="percent">
                <xm:f>0</xm:f>
              </x14:cfvo>
              <x14:cfvo type="num" gte="0">
                <xm:f>3</xm:f>
              </x14:cfvo>
              <x14:cfvo type="num">
                <xm:f>5</xm:f>
              </x14:cfvo>
              <x14:cfIcon iconSet="3Stars" iconId="0"/>
              <x14:cfIcon iconSet="3Stars" iconId="2"/>
              <x14:cfIcon iconSet="NoIcons" iconId="0"/>
            </x14:iconSet>
          </x14:cfRule>
          <xm:sqref>F99</xm:sqref>
        </x14:conditionalFormatting>
        <x14:conditionalFormatting xmlns:xm="http://schemas.microsoft.com/office/excel/2006/main">
          <x14:cfRule type="iconSet" priority="155" id="{036DEF80-FF9D-4326-948A-6A800EC22C16}">
            <x14:iconSet iconSet="3Stars" showValue="0" custom="1">
              <x14:cfvo type="percent">
                <xm:f>0</xm:f>
              </x14:cfvo>
              <x14:cfvo type="num" gte="0">
                <xm:f>1</xm:f>
              </x14:cfvo>
              <x14:cfvo type="num">
                <xm:f>5</xm:f>
              </x14:cfvo>
              <x14:cfIcon iconSet="3Stars" iconId="0"/>
              <x14:cfIcon iconSet="3Stars" iconId="2"/>
              <x14:cfIcon iconSet="NoIcons" iconId="0"/>
            </x14:iconSet>
          </x14:cfRule>
          <xm:sqref>D100</xm:sqref>
        </x14:conditionalFormatting>
        <x14:conditionalFormatting xmlns:xm="http://schemas.microsoft.com/office/excel/2006/main">
          <x14:cfRule type="iconSet" priority="154" id="{C9E67DE4-4362-415B-8756-DE5B8683890F}">
            <x14:iconSet iconSet="3Stars" showValue="0" custom="1">
              <x14:cfvo type="percent">
                <xm:f>0</xm:f>
              </x14:cfvo>
              <x14:cfvo type="num" gte="0">
                <xm:f>2</xm:f>
              </x14:cfvo>
              <x14:cfvo type="num">
                <xm:f>5</xm:f>
              </x14:cfvo>
              <x14:cfIcon iconSet="3Stars" iconId="0"/>
              <x14:cfIcon iconSet="3Stars" iconId="2"/>
              <x14:cfIcon iconSet="3Signs" iconId="1"/>
            </x14:iconSet>
          </x14:cfRule>
          <xm:sqref>E100</xm:sqref>
        </x14:conditionalFormatting>
        <x14:conditionalFormatting xmlns:xm="http://schemas.microsoft.com/office/excel/2006/main">
          <x14:cfRule type="iconSet" priority="153" id="{0BFC2ECA-D3D7-4B15-B07A-624A4077F422}">
            <x14:iconSet iconSet="3Stars" showValue="0" custom="1">
              <x14:cfvo type="percent">
                <xm:f>0</xm:f>
              </x14:cfvo>
              <x14:cfvo type="num" gte="0">
                <xm:f>3</xm:f>
              </x14:cfvo>
              <x14:cfvo type="num">
                <xm:f>5</xm:f>
              </x14:cfvo>
              <x14:cfIcon iconSet="3Stars" iconId="0"/>
              <x14:cfIcon iconSet="3Stars" iconId="2"/>
              <x14:cfIcon iconSet="NoIcons" iconId="0"/>
            </x14:iconSet>
          </x14:cfRule>
          <xm:sqref>F100</xm:sqref>
        </x14:conditionalFormatting>
        <x14:conditionalFormatting xmlns:xm="http://schemas.microsoft.com/office/excel/2006/main">
          <x14:cfRule type="iconSet" priority="152" id="{B6654C44-453F-4E32-BEBA-DC68EDD66A3D}">
            <x14:iconSet iconSet="3Stars" showValue="0" custom="1">
              <x14:cfvo type="percent">
                <xm:f>0</xm:f>
              </x14:cfvo>
              <x14:cfvo type="num" gte="0">
                <xm:f>1</xm:f>
              </x14:cfvo>
              <x14:cfvo type="num">
                <xm:f>5</xm:f>
              </x14:cfvo>
              <x14:cfIcon iconSet="3Stars" iconId="0"/>
              <x14:cfIcon iconSet="3Stars" iconId="2"/>
              <x14:cfIcon iconSet="NoIcons" iconId="0"/>
            </x14:iconSet>
          </x14:cfRule>
          <xm:sqref>D102</xm:sqref>
        </x14:conditionalFormatting>
        <x14:conditionalFormatting xmlns:xm="http://schemas.microsoft.com/office/excel/2006/main">
          <x14:cfRule type="iconSet" priority="151" id="{501AB0D4-CB81-413B-A581-4A383F0A6B73}">
            <x14:iconSet iconSet="3Stars" showValue="0" custom="1">
              <x14:cfvo type="percent">
                <xm:f>0</xm:f>
              </x14:cfvo>
              <x14:cfvo type="num" gte="0">
                <xm:f>2</xm:f>
              </x14:cfvo>
              <x14:cfvo type="num">
                <xm:f>5</xm:f>
              </x14:cfvo>
              <x14:cfIcon iconSet="3Stars" iconId="0"/>
              <x14:cfIcon iconSet="3Stars" iconId="2"/>
              <x14:cfIcon iconSet="3Signs" iconId="1"/>
            </x14:iconSet>
          </x14:cfRule>
          <xm:sqref>E102</xm:sqref>
        </x14:conditionalFormatting>
        <x14:conditionalFormatting xmlns:xm="http://schemas.microsoft.com/office/excel/2006/main">
          <x14:cfRule type="iconSet" priority="150" id="{F7138961-7419-4A27-BBC5-C0FD772186B3}">
            <x14:iconSet iconSet="3Stars" showValue="0" custom="1">
              <x14:cfvo type="percent">
                <xm:f>0</xm:f>
              </x14:cfvo>
              <x14:cfvo type="num" gte="0">
                <xm:f>3</xm:f>
              </x14:cfvo>
              <x14:cfvo type="num">
                <xm:f>5</xm:f>
              </x14:cfvo>
              <x14:cfIcon iconSet="3Stars" iconId="0"/>
              <x14:cfIcon iconSet="3Stars" iconId="2"/>
              <x14:cfIcon iconSet="NoIcons" iconId="0"/>
            </x14:iconSet>
          </x14:cfRule>
          <xm:sqref>F102</xm:sqref>
        </x14:conditionalFormatting>
        <x14:conditionalFormatting xmlns:xm="http://schemas.microsoft.com/office/excel/2006/main">
          <x14:cfRule type="iconSet" priority="149" id="{DD394732-4C98-4804-AFB7-593E3B4BC4CA}">
            <x14:iconSet iconSet="3Stars" showValue="0" custom="1">
              <x14:cfvo type="percent">
                <xm:f>0</xm:f>
              </x14:cfvo>
              <x14:cfvo type="num" gte="0">
                <xm:f>1</xm:f>
              </x14:cfvo>
              <x14:cfvo type="num">
                <xm:f>5</xm:f>
              </x14:cfvo>
              <x14:cfIcon iconSet="3Stars" iconId="0"/>
              <x14:cfIcon iconSet="3Stars" iconId="2"/>
              <x14:cfIcon iconSet="NoIcons" iconId="0"/>
            </x14:iconSet>
          </x14:cfRule>
          <xm:sqref>D103</xm:sqref>
        </x14:conditionalFormatting>
        <x14:conditionalFormatting xmlns:xm="http://schemas.microsoft.com/office/excel/2006/main">
          <x14:cfRule type="iconSet" priority="148" id="{8C3F1D48-032E-4C89-90D7-C967CC13D9BE}">
            <x14:iconSet iconSet="3Stars" showValue="0" custom="1">
              <x14:cfvo type="percent">
                <xm:f>0</xm:f>
              </x14:cfvo>
              <x14:cfvo type="num" gte="0">
                <xm:f>2</xm:f>
              </x14:cfvo>
              <x14:cfvo type="num">
                <xm:f>5</xm:f>
              </x14:cfvo>
              <x14:cfIcon iconSet="3Stars" iconId="0"/>
              <x14:cfIcon iconSet="3Stars" iconId="2"/>
              <x14:cfIcon iconSet="3Signs" iconId="1"/>
            </x14:iconSet>
          </x14:cfRule>
          <xm:sqref>E103</xm:sqref>
        </x14:conditionalFormatting>
        <x14:conditionalFormatting xmlns:xm="http://schemas.microsoft.com/office/excel/2006/main">
          <x14:cfRule type="iconSet" priority="147" id="{A05B9830-B977-4415-81BD-B24825AAF7D0}">
            <x14:iconSet iconSet="3Stars" showValue="0" custom="1">
              <x14:cfvo type="percent">
                <xm:f>0</xm:f>
              </x14:cfvo>
              <x14:cfvo type="num" gte="0">
                <xm:f>3</xm:f>
              </x14:cfvo>
              <x14:cfvo type="num">
                <xm:f>5</xm:f>
              </x14:cfvo>
              <x14:cfIcon iconSet="3Stars" iconId="0"/>
              <x14:cfIcon iconSet="3Stars" iconId="2"/>
              <x14:cfIcon iconSet="NoIcons" iconId="0"/>
            </x14:iconSet>
          </x14:cfRule>
          <xm:sqref>F103</xm:sqref>
        </x14:conditionalFormatting>
        <x14:conditionalFormatting xmlns:xm="http://schemas.microsoft.com/office/excel/2006/main">
          <x14:cfRule type="iconSet" priority="146" id="{2BA16C4D-EBAC-4355-9112-727F0372923C}">
            <x14:iconSet iconSet="3Stars" showValue="0" custom="1">
              <x14:cfvo type="percent">
                <xm:f>0</xm:f>
              </x14:cfvo>
              <x14:cfvo type="num" gte="0">
                <xm:f>1</xm:f>
              </x14:cfvo>
              <x14:cfvo type="num">
                <xm:f>5</xm:f>
              </x14:cfvo>
              <x14:cfIcon iconSet="3Stars" iconId="0"/>
              <x14:cfIcon iconSet="3Stars" iconId="2"/>
              <x14:cfIcon iconSet="NoIcons" iconId="0"/>
            </x14:iconSet>
          </x14:cfRule>
          <xm:sqref>D104</xm:sqref>
        </x14:conditionalFormatting>
        <x14:conditionalFormatting xmlns:xm="http://schemas.microsoft.com/office/excel/2006/main">
          <x14:cfRule type="iconSet" priority="145" id="{B54AA95F-274A-4F79-87CA-2A29EF5BDB09}">
            <x14:iconSet iconSet="3Stars" showValue="0" custom="1">
              <x14:cfvo type="percent">
                <xm:f>0</xm:f>
              </x14:cfvo>
              <x14:cfvo type="num" gte="0">
                <xm:f>2</xm:f>
              </x14:cfvo>
              <x14:cfvo type="num">
                <xm:f>5</xm:f>
              </x14:cfvo>
              <x14:cfIcon iconSet="3Stars" iconId="0"/>
              <x14:cfIcon iconSet="3Stars" iconId="2"/>
              <x14:cfIcon iconSet="3Signs" iconId="1"/>
            </x14:iconSet>
          </x14:cfRule>
          <xm:sqref>E104</xm:sqref>
        </x14:conditionalFormatting>
        <x14:conditionalFormatting xmlns:xm="http://schemas.microsoft.com/office/excel/2006/main">
          <x14:cfRule type="iconSet" priority="144" id="{098DFA02-FBCE-420F-8A5F-9966C060AF4B}">
            <x14:iconSet iconSet="3Stars" showValue="0" custom="1">
              <x14:cfvo type="percent">
                <xm:f>0</xm:f>
              </x14:cfvo>
              <x14:cfvo type="num" gte="0">
                <xm:f>3</xm:f>
              </x14:cfvo>
              <x14:cfvo type="num">
                <xm:f>5</xm:f>
              </x14:cfvo>
              <x14:cfIcon iconSet="3Stars" iconId="0"/>
              <x14:cfIcon iconSet="3Stars" iconId="2"/>
              <x14:cfIcon iconSet="NoIcons" iconId="0"/>
            </x14:iconSet>
          </x14:cfRule>
          <xm:sqref>F104</xm:sqref>
        </x14:conditionalFormatting>
        <x14:conditionalFormatting xmlns:xm="http://schemas.microsoft.com/office/excel/2006/main">
          <x14:cfRule type="iconSet" priority="143" id="{D29DC6CA-8FC2-4342-99B8-A0837F390D53}">
            <x14:iconSet iconSet="3Stars" showValue="0" custom="1">
              <x14:cfvo type="percent">
                <xm:f>0</xm:f>
              </x14:cfvo>
              <x14:cfvo type="num" gte="0">
                <xm:f>1</xm:f>
              </x14:cfvo>
              <x14:cfvo type="num">
                <xm:f>5</xm:f>
              </x14:cfvo>
              <x14:cfIcon iconSet="3Stars" iconId="0"/>
              <x14:cfIcon iconSet="3Stars" iconId="2"/>
              <x14:cfIcon iconSet="NoIcons" iconId="0"/>
            </x14:iconSet>
          </x14:cfRule>
          <xm:sqref>D105</xm:sqref>
        </x14:conditionalFormatting>
        <x14:conditionalFormatting xmlns:xm="http://schemas.microsoft.com/office/excel/2006/main">
          <x14:cfRule type="iconSet" priority="142" id="{1C1BC0DB-B1AB-4287-812C-7033B0ADBA4B}">
            <x14:iconSet iconSet="3Stars" showValue="0" custom="1">
              <x14:cfvo type="percent">
                <xm:f>0</xm:f>
              </x14:cfvo>
              <x14:cfvo type="num" gte="0">
                <xm:f>2</xm:f>
              </x14:cfvo>
              <x14:cfvo type="num">
                <xm:f>5</xm:f>
              </x14:cfvo>
              <x14:cfIcon iconSet="3Stars" iconId="0"/>
              <x14:cfIcon iconSet="3Stars" iconId="2"/>
              <x14:cfIcon iconSet="3Signs" iconId="1"/>
            </x14:iconSet>
          </x14:cfRule>
          <xm:sqref>E105</xm:sqref>
        </x14:conditionalFormatting>
        <x14:conditionalFormatting xmlns:xm="http://schemas.microsoft.com/office/excel/2006/main">
          <x14:cfRule type="iconSet" priority="141" id="{CA1FDF6A-2C2E-4FCC-9681-979C9EDBA408}">
            <x14:iconSet iconSet="3Stars" showValue="0" custom="1">
              <x14:cfvo type="percent">
                <xm:f>0</xm:f>
              </x14:cfvo>
              <x14:cfvo type="num" gte="0">
                <xm:f>3</xm:f>
              </x14:cfvo>
              <x14:cfvo type="num">
                <xm:f>5</xm:f>
              </x14:cfvo>
              <x14:cfIcon iconSet="3Stars" iconId="0"/>
              <x14:cfIcon iconSet="3Stars" iconId="2"/>
              <x14:cfIcon iconSet="NoIcons" iconId="0"/>
            </x14:iconSet>
          </x14:cfRule>
          <xm:sqref>F105</xm:sqref>
        </x14:conditionalFormatting>
        <x14:conditionalFormatting xmlns:xm="http://schemas.microsoft.com/office/excel/2006/main">
          <x14:cfRule type="iconSet" priority="140" id="{6080538D-27A6-448C-8909-B560DCE21339}">
            <x14:iconSet iconSet="3Stars" showValue="0" custom="1">
              <x14:cfvo type="percent">
                <xm:f>0</xm:f>
              </x14:cfvo>
              <x14:cfvo type="num" gte="0">
                <xm:f>1</xm:f>
              </x14:cfvo>
              <x14:cfvo type="num">
                <xm:f>5</xm:f>
              </x14:cfvo>
              <x14:cfIcon iconSet="3Stars" iconId="0"/>
              <x14:cfIcon iconSet="3Stars" iconId="2"/>
              <x14:cfIcon iconSet="NoIcons" iconId="0"/>
            </x14:iconSet>
          </x14:cfRule>
          <xm:sqref>D109</xm:sqref>
        </x14:conditionalFormatting>
        <x14:conditionalFormatting xmlns:xm="http://schemas.microsoft.com/office/excel/2006/main">
          <x14:cfRule type="iconSet" priority="139" id="{9A3AA9CA-9FC1-4B52-87A6-7CCB2023E9D0}">
            <x14:iconSet iconSet="3Stars" showValue="0" custom="1">
              <x14:cfvo type="percent">
                <xm:f>0</xm:f>
              </x14:cfvo>
              <x14:cfvo type="num" gte="0">
                <xm:f>2</xm:f>
              </x14:cfvo>
              <x14:cfvo type="num">
                <xm:f>5</xm:f>
              </x14:cfvo>
              <x14:cfIcon iconSet="3Stars" iconId="0"/>
              <x14:cfIcon iconSet="3Stars" iconId="2"/>
              <x14:cfIcon iconSet="3Signs" iconId="1"/>
            </x14:iconSet>
          </x14:cfRule>
          <xm:sqref>E109</xm:sqref>
        </x14:conditionalFormatting>
        <x14:conditionalFormatting xmlns:xm="http://schemas.microsoft.com/office/excel/2006/main">
          <x14:cfRule type="iconSet" priority="138" id="{1695F330-1807-4518-B0E4-09AF04CC9AA4}">
            <x14:iconSet iconSet="3Stars" showValue="0" custom="1">
              <x14:cfvo type="percent">
                <xm:f>0</xm:f>
              </x14:cfvo>
              <x14:cfvo type="num" gte="0">
                <xm:f>3</xm:f>
              </x14:cfvo>
              <x14:cfvo type="num">
                <xm:f>5</xm:f>
              </x14:cfvo>
              <x14:cfIcon iconSet="3Stars" iconId="0"/>
              <x14:cfIcon iconSet="3Stars" iconId="2"/>
              <x14:cfIcon iconSet="NoIcons" iconId="0"/>
            </x14:iconSet>
          </x14:cfRule>
          <xm:sqref>F109</xm:sqref>
        </x14:conditionalFormatting>
        <x14:conditionalFormatting xmlns:xm="http://schemas.microsoft.com/office/excel/2006/main">
          <x14:cfRule type="iconSet" priority="137" id="{C335FAE3-394E-420F-885E-CE66AFE870B0}">
            <x14:iconSet iconSet="3Stars" showValue="0" custom="1">
              <x14:cfvo type="percent">
                <xm:f>0</xm:f>
              </x14:cfvo>
              <x14:cfvo type="num" gte="0">
                <xm:f>1</xm:f>
              </x14:cfvo>
              <x14:cfvo type="num">
                <xm:f>5</xm:f>
              </x14:cfvo>
              <x14:cfIcon iconSet="3Stars" iconId="0"/>
              <x14:cfIcon iconSet="3Stars" iconId="2"/>
              <x14:cfIcon iconSet="NoIcons" iconId="0"/>
            </x14:iconSet>
          </x14:cfRule>
          <xm:sqref>D110</xm:sqref>
        </x14:conditionalFormatting>
        <x14:conditionalFormatting xmlns:xm="http://schemas.microsoft.com/office/excel/2006/main">
          <x14:cfRule type="iconSet" priority="136" id="{923BBAE9-AEE3-4BA7-8F23-1C7CA839E0F5}">
            <x14:iconSet iconSet="3Stars" showValue="0" custom="1">
              <x14:cfvo type="percent">
                <xm:f>0</xm:f>
              </x14:cfvo>
              <x14:cfvo type="num" gte="0">
                <xm:f>2</xm:f>
              </x14:cfvo>
              <x14:cfvo type="num">
                <xm:f>5</xm:f>
              </x14:cfvo>
              <x14:cfIcon iconSet="3Stars" iconId="0"/>
              <x14:cfIcon iconSet="3Stars" iconId="2"/>
              <x14:cfIcon iconSet="3Signs" iconId="1"/>
            </x14:iconSet>
          </x14:cfRule>
          <xm:sqref>E110</xm:sqref>
        </x14:conditionalFormatting>
        <x14:conditionalFormatting xmlns:xm="http://schemas.microsoft.com/office/excel/2006/main">
          <x14:cfRule type="iconSet" priority="135" id="{41801568-AA91-4F89-ADAF-FBDF37BB624D}">
            <x14:iconSet iconSet="3Stars" showValue="0" custom="1">
              <x14:cfvo type="percent">
                <xm:f>0</xm:f>
              </x14:cfvo>
              <x14:cfvo type="num" gte="0">
                <xm:f>3</xm:f>
              </x14:cfvo>
              <x14:cfvo type="num">
                <xm:f>5</xm:f>
              </x14:cfvo>
              <x14:cfIcon iconSet="3Stars" iconId="0"/>
              <x14:cfIcon iconSet="3Stars" iconId="2"/>
              <x14:cfIcon iconSet="NoIcons" iconId="0"/>
            </x14:iconSet>
          </x14:cfRule>
          <xm:sqref>F110</xm:sqref>
        </x14:conditionalFormatting>
        <x14:conditionalFormatting xmlns:xm="http://schemas.microsoft.com/office/excel/2006/main">
          <x14:cfRule type="iconSet" priority="134" id="{E2F7CB7D-3A51-4A0F-9D59-1D850BE7B4AB}">
            <x14:iconSet iconSet="3Stars" showValue="0" custom="1">
              <x14:cfvo type="percent">
                <xm:f>0</xm:f>
              </x14:cfvo>
              <x14:cfvo type="num" gte="0">
                <xm:f>1</xm:f>
              </x14:cfvo>
              <x14:cfvo type="num">
                <xm:f>5</xm:f>
              </x14:cfvo>
              <x14:cfIcon iconSet="3Stars" iconId="0"/>
              <x14:cfIcon iconSet="3Stars" iconId="2"/>
              <x14:cfIcon iconSet="NoIcons" iconId="0"/>
            </x14:iconSet>
          </x14:cfRule>
          <xm:sqref>D111</xm:sqref>
        </x14:conditionalFormatting>
        <x14:conditionalFormatting xmlns:xm="http://schemas.microsoft.com/office/excel/2006/main">
          <x14:cfRule type="iconSet" priority="133" id="{0E383A2B-7812-4F89-AAF3-7DA13D676731}">
            <x14:iconSet iconSet="3Stars" showValue="0" custom="1">
              <x14:cfvo type="percent">
                <xm:f>0</xm:f>
              </x14:cfvo>
              <x14:cfvo type="num" gte="0">
                <xm:f>2</xm:f>
              </x14:cfvo>
              <x14:cfvo type="num">
                <xm:f>5</xm:f>
              </x14:cfvo>
              <x14:cfIcon iconSet="3Stars" iconId="0"/>
              <x14:cfIcon iconSet="3Stars" iconId="2"/>
              <x14:cfIcon iconSet="3Signs" iconId="1"/>
            </x14:iconSet>
          </x14:cfRule>
          <xm:sqref>E111</xm:sqref>
        </x14:conditionalFormatting>
        <x14:conditionalFormatting xmlns:xm="http://schemas.microsoft.com/office/excel/2006/main">
          <x14:cfRule type="iconSet" priority="132" id="{B7DFC416-7991-48A9-8B6D-51CB7D9324DB}">
            <x14:iconSet iconSet="3Stars" showValue="0" custom="1">
              <x14:cfvo type="percent">
                <xm:f>0</xm:f>
              </x14:cfvo>
              <x14:cfvo type="num" gte="0">
                <xm:f>3</xm:f>
              </x14:cfvo>
              <x14:cfvo type="num">
                <xm:f>5</xm:f>
              </x14:cfvo>
              <x14:cfIcon iconSet="3Stars" iconId="0"/>
              <x14:cfIcon iconSet="3Stars" iconId="2"/>
              <x14:cfIcon iconSet="NoIcons" iconId="0"/>
            </x14:iconSet>
          </x14:cfRule>
          <xm:sqref>F111</xm:sqref>
        </x14:conditionalFormatting>
        <x14:conditionalFormatting xmlns:xm="http://schemas.microsoft.com/office/excel/2006/main">
          <x14:cfRule type="iconSet" priority="131" id="{FBFD3C30-EA62-4CEC-AB09-242B92143D95}">
            <x14:iconSet iconSet="3Stars" showValue="0" custom="1">
              <x14:cfvo type="percent">
                <xm:f>0</xm:f>
              </x14:cfvo>
              <x14:cfvo type="num" gte="0">
                <xm:f>1</xm:f>
              </x14:cfvo>
              <x14:cfvo type="num">
                <xm:f>5</xm:f>
              </x14:cfvo>
              <x14:cfIcon iconSet="3Stars" iconId="0"/>
              <x14:cfIcon iconSet="3Stars" iconId="2"/>
              <x14:cfIcon iconSet="NoIcons" iconId="0"/>
            </x14:iconSet>
          </x14:cfRule>
          <xm:sqref>D112</xm:sqref>
        </x14:conditionalFormatting>
        <x14:conditionalFormatting xmlns:xm="http://schemas.microsoft.com/office/excel/2006/main">
          <x14:cfRule type="iconSet" priority="130" id="{E6EFFF1A-5B9F-4D6A-B86A-45781EF6C01D}">
            <x14:iconSet iconSet="3Stars" showValue="0" custom="1">
              <x14:cfvo type="percent">
                <xm:f>0</xm:f>
              </x14:cfvo>
              <x14:cfvo type="num" gte="0">
                <xm:f>2</xm:f>
              </x14:cfvo>
              <x14:cfvo type="num">
                <xm:f>5</xm:f>
              </x14:cfvo>
              <x14:cfIcon iconSet="3Stars" iconId="0"/>
              <x14:cfIcon iconSet="3Stars" iconId="2"/>
              <x14:cfIcon iconSet="3Signs" iconId="1"/>
            </x14:iconSet>
          </x14:cfRule>
          <xm:sqref>E112</xm:sqref>
        </x14:conditionalFormatting>
        <x14:conditionalFormatting xmlns:xm="http://schemas.microsoft.com/office/excel/2006/main">
          <x14:cfRule type="iconSet" priority="129" id="{C54DCCC2-AA3F-409D-BD75-4932197B5470}">
            <x14:iconSet iconSet="3Stars" showValue="0" custom="1">
              <x14:cfvo type="percent">
                <xm:f>0</xm:f>
              </x14:cfvo>
              <x14:cfvo type="num" gte="0">
                <xm:f>3</xm:f>
              </x14:cfvo>
              <x14:cfvo type="num">
                <xm:f>5</xm:f>
              </x14:cfvo>
              <x14:cfIcon iconSet="3Stars" iconId="0"/>
              <x14:cfIcon iconSet="3Stars" iconId="2"/>
              <x14:cfIcon iconSet="NoIcons" iconId="0"/>
            </x14:iconSet>
          </x14:cfRule>
          <xm:sqref>F112</xm:sqref>
        </x14:conditionalFormatting>
        <x14:conditionalFormatting xmlns:xm="http://schemas.microsoft.com/office/excel/2006/main">
          <x14:cfRule type="iconSet" priority="128" id="{C9460B8F-D3FA-497F-9635-5E091422642F}">
            <x14:iconSet iconSet="3Stars" showValue="0" custom="1">
              <x14:cfvo type="percent">
                <xm:f>0</xm:f>
              </x14:cfvo>
              <x14:cfvo type="num" gte="0">
                <xm:f>1</xm:f>
              </x14:cfvo>
              <x14:cfvo type="num">
                <xm:f>5</xm:f>
              </x14:cfvo>
              <x14:cfIcon iconSet="3Stars" iconId="0"/>
              <x14:cfIcon iconSet="3Stars" iconId="2"/>
              <x14:cfIcon iconSet="NoIcons" iconId="0"/>
            </x14:iconSet>
          </x14:cfRule>
          <xm:sqref>D114</xm:sqref>
        </x14:conditionalFormatting>
        <x14:conditionalFormatting xmlns:xm="http://schemas.microsoft.com/office/excel/2006/main">
          <x14:cfRule type="iconSet" priority="127" id="{3E64AFAE-8E29-453B-A12B-951E4C7676F3}">
            <x14:iconSet iconSet="3Stars" showValue="0" custom="1">
              <x14:cfvo type="percent">
                <xm:f>0</xm:f>
              </x14:cfvo>
              <x14:cfvo type="num" gte="0">
                <xm:f>2</xm:f>
              </x14:cfvo>
              <x14:cfvo type="num">
                <xm:f>5</xm:f>
              </x14:cfvo>
              <x14:cfIcon iconSet="3Stars" iconId="0"/>
              <x14:cfIcon iconSet="3Stars" iconId="2"/>
              <x14:cfIcon iconSet="3Signs" iconId="1"/>
            </x14:iconSet>
          </x14:cfRule>
          <xm:sqref>E114</xm:sqref>
        </x14:conditionalFormatting>
        <x14:conditionalFormatting xmlns:xm="http://schemas.microsoft.com/office/excel/2006/main">
          <x14:cfRule type="iconSet" priority="126" id="{E0C9C260-271D-40C4-BC2C-65263EA2DBDA}">
            <x14:iconSet iconSet="3Stars" showValue="0" custom="1">
              <x14:cfvo type="percent">
                <xm:f>0</xm:f>
              </x14:cfvo>
              <x14:cfvo type="num" gte="0">
                <xm:f>3</xm:f>
              </x14:cfvo>
              <x14:cfvo type="num">
                <xm:f>5</xm:f>
              </x14:cfvo>
              <x14:cfIcon iconSet="3Stars" iconId="0"/>
              <x14:cfIcon iconSet="3Stars" iconId="2"/>
              <x14:cfIcon iconSet="NoIcons" iconId="0"/>
            </x14:iconSet>
          </x14:cfRule>
          <xm:sqref>F114</xm:sqref>
        </x14:conditionalFormatting>
        <x14:conditionalFormatting xmlns:xm="http://schemas.microsoft.com/office/excel/2006/main">
          <x14:cfRule type="iconSet" priority="125" id="{D0F46A69-105E-4F17-B5D0-5FE0572CE902}">
            <x14:iconSet iconSet="3Stars" showValue="0" custom="1">
              <x14:cfvo type="percent">
                <xm:f>0</xm:f>
              </x14:cfvo>
              <x14:cfvo type="num" gte="0">
                <xm:f>1</xm:f>
              </x14:cfvo>
              <x14:cfvo type="num">
                <xm:f>5</xm:f>
              </x14:cfvo>
              <x14:cfIcon iconSet="3Stars" iconId="0"/>
              <x14:cfIcon iconSet="3Stars" iconId="2"/>
              <x14:cfIcon iconSet="NoIcons" iconId="0"/>
            </x14:iconSet>
          </x14:cfRule>
          <xm:sqref>D115</xm:sqref>
        </x14:conditionalFormatting>
        <x14:conditionalFormatting xmlns:xm="http://schemas.microsoft.com/office/excel/2006/main">
          <x14:cfRule type="iconSet" priority="124" id="{58184D0A-3703-45A0-A59D-7A57EEFDCAD4}">
            <x14:iconSet iconSet="3Stars" showValue="0" custom="1">
              <x14:cfvo type="percent">
                <xm:f>0</xm:f>
              </x14:cfvo>
              <x14:cfvo type="num" gte="0">
                <xm:f>2</xm:f>
              </x14:cfvo>
              <x14:cfvo type="num">
                <xm:f>5</xm:f>
              </x14:cfvo>
              <x14:cfIcon iconSet="3Stars" iconId="0"/>
              <x14:cfIcon iconSet="3Stars" iconId="2"/>
              <x14:cfIcon iconSet="3Signs" iconId="1"/>
            </x14:iconSet>
          </x14:cfRule>
          <xm:sqref>E115</xm:sqref>
        </x14:conditionalFormatting>
        <x14:conditionalFormatting xmlns:xm="http://schemas.microsoft.com/office/excel/2006/main">
          <x14:cfRule type="iconSet" priority="123" id="{A8114BFD-7838-4C16-83DF-FAC184EF7F18}">
            <x14:iconSet iconSet="3Stars" showValue="0" custom="1">
              <x14:cfvo type="percent">
                <xm:f>0</xm:f>
              </x14:cfvo>
              <x14:cfvo type="num" gte="0">
                <xm:f>3</xm:f>
              </x14:cfvo>
              <x14:cfvo type="num">
                <xm:f>5</xm:f>
              </x14:cfvo>
              <x14:cfIcon iconSet="3Stars" iconId="0"/>
              <x14:cfIcon iconSet="3Stars" iconId="2"/>
              <x14:cfIcon iconSet="NoIcons" iconId="0"/>
            </x14:iconSet>
          </x14:cfRule>
          <xm:sqref>F115</xm:sqref>
        </x14:conditionalFormatting>
        <x14:conditionalFormatting xmlns:xm="http://schemas.microsoft.com/office/excel/2006/main">
          <x14:cfRule type="iconSet" priority="122" id="{FCB303A0-60F9-4BF3-8C7D-1A4B123D708D}">
            <x14:iconSet iconSet="3Stars" showValue="0" custom="1">
              <x14:cfvo type="percent">
                <xm:f>0</xm:f>
              </x14:cfvo>
              <x14:cfvo type="num" gte="0">
                <xm:f>1</xm:f>
              </x14:cfvo>
              <x14:cfvo type="num">
                <xm:f>5</xm:f>
              </x14:cfvo>
              <x14:cfIcon iconSet="3Stars" iconId="0"/>
              <x14:cfIcon iconSet="3Stars" iconId="2"/>
              <x14:cfIcon iconSet="NoIcons" iconId="0"/>
            </x14:iconSet>
          </x14:cfRule>
          <xm:sqref>D116</xm:sqref>
        </x14:conditionalFormatting>
        <x14:conditionalFormatting xmlns:xm="http://schemas.microsoft.com/office/excel/2006/main">
          <x14:cfRule type="iconSet" priority="121" id="{E3EA046F-165E-4474-9A82-B2DBA37F8673}">
            <x14:iconSet iconSet="3Stars" showValue="0" custom="1">
              <x14:cfvo type="percent">
                <xm:f>0</xm:f>
              </x14:cfvo>
              <x14:cfvo type="num" gte="0">
                <xm:f>2</xm:f>
              </x14:cfvo>
              <x14:cfvo type="num">
                <xm:f>5</xm:f>
              </x14:cfvo>
              <x14:cfIcon iconSet="3Stars" iconId="0"/>
              <x14:cfIcon iconSet="3Stars" iconId="2"/>
              <x14:cfIcon iconSet="3Signs" iconId="1"/>
            </x14:iconSet>
          </x14:cfRule>
          <xm:sqref>E116</xm:sqref>
        </x14:conditionalFormatting>
        <x14:conditionalFormatting xmlns:xm="http://schemas.microsoft.com/office/excel/2006/main">
          <x14:cfRule type="iconSet" priority="120" id="{F4C0BE88-346C-4ECA-9FC6-F68CE70AA0C0}">
            <x14:iconSet iconSet="3Stars" showValue="0" custom="1">
              <x14:cfvo type="percent">
                <xm:f>0</xm:f>
              </x14:cfvo>
              <x14:cfvo type="num" gte="0">
                <xm:f>3</xm:f>
              </x14:cfvo>
              <x14:cfvo type="num">
                <xm:f>5</xm:f>
              </x14:cfvo>
              <x14:cfIcon iconSet="3Stars" iconId="0"/>
              <x14:cfIcon iconSet="3Stars" iconId="2"/>
              <x14:cfIcon iconSet="NoIcons" iconId="0"/>
            </x14:iconSet>
          </x14:cfRule>
          <xm:sqref>F116</xm:sqref>
        </x14:conditionalFormatting>
        <x14:conditionalFormatting xmlns:xm="http://schemas.microsoft.com/office/excel/2006/main">
          <x14:cfRule type="iconSet" priority="119" id="{C57F7000-C526-46E1-B477-F50ADAEBEF3E}">
            <x14:iconSet iconSet="3Stars" showValue="0" custom="1">
              <x14:cfvo type="percent">
                <xm:f>0</xm:f>
              </x14:cfvo>
              <x14:cfvo type="num" gte="0">
                <xm:f>1</xm:f>
              </x14:cfvo>
              <x14:cfvo type="num">
                <xm:f>5</xm:f>
              </x14:cfvo>
              <x14:cfIcon iconSet="3Stars" iconId="0"/>
              <x14:cfIcon iconSet="3Stars" iconId="2"/>
              <x14:cfIcon iconSet="NoIcons" iconId="0"/>
            </x14:iconSet>
          </x14:cfRule>
          <xm:sqref>D117</xm:sqref>
        </x14:conditionalFormatting>
        <x14:conditionalFormatting xmlns:xm="http://schemas.microsoft.com/office/excel/2006/main">
          <x14:cfRule type="iconSet" priority="118" id="{8BA09FF8-9332-41F0-95C1-754533A43B79}">
            <x14:iconSet iconSet="3Stars" showValue="0" custom="1">
              <x14:cfvo type="percent">
                <xm:f>0</xm:f>
              </x14:cfvo>
              <x14:cfvo type="num" gte="0">
                <xm:f>2</xm:f>
              </x14:cfvo>
              <x14:cfvo type="num">
                <xm:f>5</xm:f>
              </x14:cfvo>
              <x14:cfIcon iconSet="3Stars" iconId="0"/>
              <x14:cfIcon iconSet="3Stars" iconId="2"/>
              <x14:cfIcon iconSet="3Signs" iconId="1"/>
            </x14:iconSet>
          </x14:cfRule>
          <xm:sqref>E117</xm:sqref>
        </x14:conditionalFormatting>
        <x14:conditionalFormatting xmlns:xm="http://schemas.microsoft.com/office/excel/2006/main">
          <x14:cfRule type="iconSet" priority="117" id="{E1D04FE8-7BAB-4F77-82F8-05FB4BCB25C9}">
            <x14:iconSet iconSet="3Stars" showValue="0" custom="1">
              <x14:cfvo type="percent">
                <xm:f>0</xm:f>
              </x14:cfvo>
              <x14:cfvo type="num" gte="0">
                <xm:f>3</xm:f>
              </x14:cfvo>
              <x14:cfvo type="num">
                <xm:f>5</xm:f>
              </x14:cfvo>
              <x14:cfIcon iconSet="3Stars" iconId="0"/>
              <x14:cfIcon iconSet="3Stars" iconId="2"/>
              <x14:cfIcon iconSet="NoIcons" iconId="0"/>
            </x14:iconSet>
          </x14:cfRule>
          <xm:sqref>F117</xm:sqref>
        </x14:conditionalFormatting>
        <x14:conditionalFormatting xmlns:xm="http://schemas.microsoft.com/office/excel/2006/main">
          <x14:cfRule type="iconSet" priority="116" id="{1FC4F5CA-AC1C-4D8F-8555-3655B3559866}">
            <x14:iconSet iconSet="3Stars" showValue="0" custom="1">
              <x14:cfvo type="percent">
                <xm:f>0</xm:f>
              </x14:cfvo>
              <x14:cfvo type="num" gte="0">
                <xm:f>1</xm:f>
              </x14:cfvo>
              <x14:cfvo type="num">
                <xm:f>5</xm:f>
              </x14:cfvo>
              <x14:cfIcon iconSet="3Stars" iconId="0"/>
              <x14:cfIcon iconSet="3Stars" iconId="2"/>
              <x14:cfIcon iconSet="NoIcons" iconId="0"/>
            </x14:iconSet>
          </x14:cfRule>
          <xm:sqref>D119</xm:sqref>
        </x14:conditionalFormatting>
        <x14:conditionalFormatting xmlns:xm="http://schemas.microsoft.com/office/excel/2006/main">
          <x14:cfRule type="iconSet" priority="115" id="{14670190-81A1-450D-8DB3-D28FFB02D737}">
            <x14:iconSet iconSet="3Stars" showValue="0" custom="1">
              <x14:cfvo type="percent">
                <xm:f>0</xm:f>
              </x14:cfvo>
              <x14:cfvo type="num" gte="0">
                <xm:f>2</xm:f>
              </x14:cfvo>
              <x14:cfvo type="num">
                <xm:f>5</xm:f>
              </x14:cfvo>
              <x14:cfIcon iconSet="3Stars" iconId="0"/>
              <x14:cfIcon iconSet="3Stars" iconId="2"/>
              <x14:cfIcon iconSet="3Signs" iconId="1"/>
            </x14:iconSet>
          </x14:cfRule>
          <xm:sqref>E119</xm:sqref>
        </x14:conditionalFormatting>
        <x14:conditionalFormatting xmlns:xm="http://schemas.microsoft.com/office/excel/2006/main">
          <x14:cfRule type="iconSet" priority="114" id="{280853E0-A79D-41AA-8C40-4150919AA260}">
            <x14:iconSet iconSet="3Stars" showValue="0" custom="1">
              <x14:cfvo type="percent">
                <xm:f>0</xm:f>
              </x14:cfvo>
              <x14:cfvo type="num" gte="0">
                <xm:f>3</xm:f>
              </x14:cfvo>
              <x14:cfvo type="num">
                <xm:f>5</xm:f>
              </x14:cfvo>
              <x14:cfIcon iconSet="3Stars" iconId="0"/>
              <x14:cfIcon iconSet="3Stars" iconId="2"/>
              <x14:cfIcon iconSet="NoIcons" iconId="0"/>
            </x14:iconSet>
          </x14:cfRule>
          <xm:sqref>F119</xm:sqref>
        </x14:conditionalFormatting>
        <x14:conditionalFormatting xmlns:xm="http://schemas.microsoft.com/office/excel/2006/main">
          <x14:cfRule type="iconSet" priority="113" id="{87BE36D5-223C-444A-8857-868EBE8C4ECF}">
            <x14:iconSet iconSet="3Stars" showValue="0" custom="1">
              <x14:cfvo type="percent">
                <xm:f>0</xm:f>
              </x14:cfvo>
              <x14:cfvo type="num" gte="0">
                <xm:f>1</xm:f>
              </x14:cfvo>
              <x14:cfvo type="num">
                <xm:f>5</xm:f>
              </x14:cfvo>
              <x14:cfIcon iconSet="3Stars" iconId="0"/>
              <x14:cfIcon iconSet="3Stars" iconId="2"/>
              <x14:cfIcon iconSet="NoIcons" iconId="0"/>
            </x14:iconSet>
          </x14:cfRule>
          <xm:sqref>D120</xm:sqref>
        </x14:conditionalFormatting>
        <x14:conditionalFormatting xmlns:xm="http://schemas.microsoft.com/office/excel/2006/main">
          <x14:cfRule type="iconSet" priority="112" id="{D5D9C631-CF2A-4B7E-B2A4-866DB24F9884}">
            <x14:iconSet iconSet="3Stars" showValue="0" custom="1">
              <x14:cfvo type="percent">
                <xm:f>0</xm:f>
              </x14:cfvo>
              <x14:cfvo type="num" gte="0">
                <xm:f>2</xm:f>
              </x14:cfvo>
              <x14:cfvo type="num">
                <xm:f>5</xm:f>
              </x14:cfvo>
              <x14:cfIcon iconSet="3Stars" iconId="0"/>
              <x14:cfIcon iconSet="3Stars" iconId="2"/>
              <x14:cfIcon iconSet="3Signs" iconId="1"/>
            </x14:iconSet>
          </x14:cfRule>
          <xm:sqref>E120</xm:sqref>
        </x14:conditionalFormatting>
        <x14:conditionalFormatting xmlns:xm="http://schemas.microsoft.com/office/excel/2006/main">
          <x14:cfRule type="iconSet" priority="111" id="{DD83B4E0-B60B-4338-BE99-B71821E35159}">
            <x14:iconSet iconSet="3Stars" showValue="0" custom="1">
              <x14:cfvo type="percent">
                <xm:f>0</xm:f>
              </x14:cfvo>
              <x14:cfvo type="num" gte="0">
                <xm:f>3</xm:f>
              </x14:cfvo>
              <x14:cfvo type="num">
                <xm:f>5</xm:f>
              </x14:cfvo>
              <x14:cfIcon iconSet="3Stars" iconId="0"/>
              <x14:cfIcon iconSet="3Stars" iconId="2"/>
              <x14:cfIcon iconSet="NoIcons" iconId="0"/>
            </x14:iconSet>
          </x14:cfRule>
          <xm:sqref>F120</xm:sqref>
        </x14:conditionalFormatting>
        <x14:conditionalFormatting xmlns:xm="http://schemas.microsoft.com/office/excel/2006/main">
          <x14:cfRule type="iconSet" priority="110" id="{A68F47A2-0999-4775-829C-4CF0E49F040E}">
            <x14:iconSet iconSet="3Stars" showValue="0" custom="1">
              <x14:cfvo type="percent">
                <xm:f>0</xm:f>
              </x14:cfvo>
              <x14:cfvo type="num" gte="0">
                <xm:f>1</xm:f>
              </x14:cfvo>
              <x14:cfvo type="num">
                <xm:f>5</xm:f>
              </x14:cfvo>
              <x14:cfIcon iconSet="3Stars" iconId="0"/>
              <x14:cfIcon iconSet="3Stars" iconId="2"/>
              <x14:cfIcon iconSet="NoIcons" iconId="0"/>
            </x14:iconSet>
          </x14:cfRule>
          <xm:sqref>D121</xm:sqref>
        </x14:conditionalFormatting>
        <x14:conditionalFormatting xmlns:xm="http://schemas.microsoft.com/office/excel/2006/main">
          <x14:cfRule type="iconSet" priority="109" id="{42DB79A3-CFD9-43D8-85CE-144F53AABB52}">
            <x14:iconSet iconSet="3Stars" showValue="0" custom="1">
              <x14:cfvo type="percent">
                <xm:f>0</xm:f>
              </x14:cfvo>
              <x14:cfvo type="num" gte="0">
                <xm:f>2</xm:f>
              </x14:cfvo>
              <x14:cfvo type="num">
                <xm:f>5</xm:f>
              </x14:cfvo>
              <x14:cfIcon iconSet="3Stars" iconId="0"/>
              <x14:cfIcon iconSet="3Stars" iconId="2"/>
              <x14:cfIcon iconSet="3Signs" iconId="1"/>
            </x14:iconSet>
          </x14:cfRule>
          <xm:sqref>E121</xm:sqref>
        </x14:conditionalFormatting>
        <x14:conditionalFormatting xmlns:xm="http://schemas.microsoft.com/office/excel/2006/main">
          <x14:cfRule type="iconSet" priority="108" id="{C62F13C7-F0BC-4359-B22C-759DBC741475}">
            <x14:iconSet iconSet="3Stars" showValue="0" custom="1">
              <x14:cfvo type="percent">
                <xm:f>0</xm:f>
              </x14:cfvo>
              <x14:cfvo type="num" gte="0">
                <xm:f>3</xm:f>
              </x14:cfvo>
              <x14:cfvo type="num">
                <xm:f>5</xm:f>
              </x14:cfvo>
              <x14:cfIcon iconSet="3Stars" iconId="0"/>
              <x14:cfIcon iconSet="3Stars" iconId="2"/>
              <x14:cfIcon iconSet="NoIcons" iconId="0"/>
            </x14:iconSet>
          </x14:cfRule>
          <xm:sqref>F121</xm:sqref>
        </x14:conditionalFormatting>
        <x14:conditionalFormatting xmlns:xm="http://schemas.microsoft.com/office/excel/2006/main">
          <x14:cfRule type="iconSet" priority="107" id="{21771E71-4F4A-440D-A691-F39084F2DECC}">
            <x14:iconSet iconSet="3Stars" showValue="0" custom="1">
              <x14:cfvo type="percent">
                <xm:f>0</xm:f>
              </x14:cfvo>
              <x14:cfvo type="num" gte="0">
                <xm:f>1</xm:f>
              </x14:cfvo>
              <x14:cfvo type="num">
                <xm:f>5</xm:f>
              </x14:cfvo>
              <x14:cfIcon iconSet="3Stars" iconId="0"/>
              <x14:cfIcon iconSet="3Stars" iconId="2"/>
              <x14:cfIcon iconSet="NoIcons" iconId="0"/>
            </x14:iconSet>
          </x14:cfRule>
          <xm:sqref>D122</xm:sqref>
        </x14:conditionalFormatting>
        <x14:conditionalFormatting xmlns:xm="http://schemas.microsoft.com/office/excel/2006/main">
          <x14:cfRule type="iconSet" priority="106" id="{72AD9965-9AE1-40AE-862C-2C56319EF1A9}">
            <x14:iconSet iconSet="3Stars" showValue="0" custom="1">
              <x14:cfvo type="percent">
                <xm:f>0</xm:f>
              </x14:cfvo>
              <x14:cfvo type="num" gte="0">
                <xm:f>2</xm:f>
              </x14:cfvo>
              <x14:cfvo type="num">
                <xm:f>5</xm:f>
              </x14:cfvo>
              <x14:cfIcon iconSet="3Stars" iconId="0"/>
              <x14:cfIcon iconSet="3Stars" iconId="2"/>
              <x14:cfIcon iconSet="3Signs" iconId="1"/>
            </x14:iconSet>
          </x14:cfRule>
          <xm:sqref>E122</xm:sqref>
        </x14:conditionalFormatting>
        <x14:conditionalFormatting xmlns:xm="http://schemas.microsoft.com/office/excel/2006/main">
          <x14:cfRule type="iconSet" priority="105" id="{8968DBD0-ADCF-473C-AEBB-06757B7000D3}">
            <x14:iconSet iconSet="3Stars" showValue="0" custom="1">
              <x14:cfvo type="percent">
                <xm:f>0</xm:f>
              </x14:cfvo>
              <x14:cfvo type="num" gte="0">
                <xm:f>3</xm:f>
              </x14:cfvo>
              <x14:cfvo type="num">
                <xm:f>5</xm:f>
              </x14:cfvo>
              <x14:cfIcon iconSet="3Stars" iconId="0"/>
              <x14:cfIcon iconSet="3Stars" iconId="2"/>
              <x14:cfIcon iconSet="NoIcons" iconId="0"/>
            </x14:iconSet>
          </x14:cfRule>
          <xm:sqref>F122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2EEF3-5D90-446B-99C5-54187AA8ADE8}">
  <sheetPr codeName="Sheet15">
    <pageSetUpPr fitToPage="1"/>
  </sheetPr>
  <dimension ref="A1:N207"/>
  <sheetViews>
    <sheetView topLeftCell="A13" workbookViewId="0"/>
  </sheetViews>
  <sheetFormatPr baseColWidth="10" defaultColWidth="8.83203125" defaultRowHeight="15"/>
  <cols>
    <col min="1" max="2" width="3.6640625" style="2" customWidth="1"/>
    <col min="3" max="3" width="76.83203125" style="2" bestFit="1" customWidth="1"/>
    <col min="4" max="4" width="4.83203125" style="2" hidden="1" customWidth="1"/>
    <col min="5" max="5" width="13.1640625" style="9" customWidth="1"/>
    <col min="6" max="6" width="10.83203125" style="2" hidden="1" customWidth="1"/>
    <col min="7" max="7" width="13.1640625" style="9" customWidth="1"/>
    <col min="8" max="8" width="10.83203125" style="2" hidden="1" customWidth="1"/>
    <col min="9" max="9" width="13.1640625" style="9" customWidth="1"/>
    <col min="10" max="10" width="10.83203125" style="2" hidden="1" customWidth="1"/>
    <col min="11" max="11" width="13.1640625" style="9" customWidth="1"/>
    <col min="12" max="12" width="6.33203125" style="2" hidden="1" customWidth="1"/>
    <col min="13" max="14" width="1.6640625" style="2" customWidth="1"/>
    <col min="15" max="16384" width="8.83203125" style="2"/>
  </cols>
  <sheetData>
    <row r="1" spans="1:14" s="4" customFormat="1" ht="16" thickBot="1">
      <c r="C1" s="14"/>
      <c r="D1" s="15"/>
      <c r="E1" s="240" t="s">
        <v>0</v>
      </c>
      <c r="F1" s="15"/>
      <c r="G1" s="240" t="s">
        <v>256</v>
      </c>
      <c r="H1" s="15"/>
      <c r="I1" s="240" t="s">
        <v>17</v>
      </c>
      <c r="J1" s="15"/>
      <c r="K1" s="240" t="s">
        <v>18</v>
      </c>
      <c r="L1" s="14"/>
      <c r="M1" s="23"/>
      <c r="N1" s="23"/>
    </row>
    <row r="2" spans="1:14" s="20" customFormat="1" ht="25" thickBot="1">
      <c r="A2" s="105" t="s">
        <v>161</v>
      </c>
      <c r="B2" s="105"/>
      <c r="C2" s="105"/>
      <c r="D2" s="16">
        <f>D4+D18+D32+D50+D64+D78</f>
        <v>0</v>
      </c>
      <c r="E2" s="18" t="str">
        <f>IFERROR(D2/$L2,"-")</f>
        <v>-</v>
      </c>
      <c r="F2" s="16">
        <f>F4+F18+F32+F50+F64+F78</f>
        <v>0</v>
      </c>
      <c r="G2" s="18" t="str">
        <f>IFERROR(F2/$L2,"-")</f>
        <v>-</v>
      </c>
      <c r="H2" s="16">
        <f>H4+H18+H32+H50+H64+H78</f>
        <v>0</v>
      </c>
      <c r="I2" s="18" t="str">
        <f>IFERROR(H2/$L2,"-")</f>
        <v>-</v>
      </c>
      <c r="J2" s="16">
        <f>J4+J18+J32+J50+J64+J78</f>
        <v>0</v>
      </c>
      <c r="K2" s="18" t="str">
        <f>IFERROR(J2/$L2,"-")</f>
        <v>-</v>
      </c>
      <c r="L2" s="16">
        <f t="shared" ref="L2:L32" si="0">SUM(J2,H2,F2,D2)</f>
        <v>0</v>
      </c>
      <c r="M2" s="35"/>
      <c r="N2" s="35"/>
    </row>
    <row r="3" spans="1:14" s="20" customFormat="1" ht="25" customHeight="1" thickBot="1">
      <c r="C3" s="30"/>
      <c r="D3" s="16"/>
      <c r="E3" s="18"/>
      <c r="F3" s="16"/>
      <c r="G3" s="18"/>
      <c r="H3" s="16"/>
      <c r="I3" s="18"/>
      <c r="J3" s="16"/>
      <c r="K3" s="18"/>
      <c r="L3" s="16"/>
      <c r="M3" s="35"/>
      <c r="N3" s="35"/>
    </row>
    <row r="4" spans="1:14" s="22" customFormat="1" ht="20" thickBot="1">
      <c r="A4" s="104"/>
      <c r="B4" s="104"/>
      <c r="C4" s="104" t="str">
        <f>CONCATENATE(Raw!A1,": ",Raw!B1)</f>
        <v>Standard 1: Institutional Commitment</v>
      </c>
      <c r="D4" s="28">
        <f>D6+D10+D14</f>
        <v>0</v>
      </c>
      <c r="E4" s="29" t="str">
        <f>IFERROR(D4/$L4,"-")</f>
        <v>-</v>
      </c>
      <c r="F4" s="28">
        <f>F6+F10+F14</f>
        <v>0</v>
      </c>
      <c r="G4" s="29" t="str">
        <f>IFERROR(F4/$L4,"-")</f>
        <v>-</v>
      </c>
      <c r="H4" s="28">
        <f>H6+H10+H14</f>
        <v>0</v>
      </c>
      <c r="I4" s="29" t="str">
        <f>IFERROR(H4/$L4,"-")</f>
        <v>-</v>
      </c>
      <c r="J4" s="28">
        <f>J6+J10+J14</f>
        <v>0</v>
      </c>
      <c r="K4" s="29" t="str">
        <f>IFERROR(J4/$L4,"-")</f>
        <v>-</v>
      </c>
      <c r="L4" s="28">
        <f t="shared" si="0"/>
        <v>0</v>
      </c>
      <c r="M4" s="33"/>
      <c r="N4" s="33"/>
    </row>
    <row r="5" spans="1:14" s="22" customFormat="1" ht="9.25" customHeight="1" thickBot="1">
      <c r="C5" s="27"/>
      <c r="D5" s="28"/>
      <c r="E5" s="29"/>
      <c r="F5" s="28"/>
      <c r="G5" s="29"/>
      <c r="H5" s="28"/>
      <c r="I5" s="29"/>
      <c r="J5" s="28"/>
      <c r="K5" s="29"/>
      <c r="L5" s="28"/>
      <c r="M5" s="33"/>
      <c r="N5" s="33"/>
    </row>
    <row r="6" spans="1:14" s="4" customFormat="1" ht="14.5" customHeight="1" thickBot="1">
      <c r="A6" s="172"/>
      <c r="B6" s="172"/>
      <c r="C6" s="172" t="str">
        <f>Raw!A3</f>
        <v>Component 1A: Institutional Climate and Support</v>
      </c>
      <c r="D6" s="24">
        <f>COUNTIF(Res1A,1)</f>
        <v>0</v>
      </c>
      <c r="E6" s="25" t="str">
        <f>IFERROR(D6/$L6,"-")</f>
        <v>-</v>
      </c>
      <c r="F6" s="24">
        <f>COUNTIF(Res1A,2)</f>
        <v>0</v>
      </c>
      <c r="G6" s="25" t="str">
        <f>IFERROR(F6/$L6,"-")</f>
        <v>-</v>
      </c>
      <c r="H6" s="24">
        <f>COUNTIF(Res1A,3)</f>
        <v>0</v>
      </c>
      <c r="I6" s="25" t="str">
        <f>IFERROR(H6/$L6,"-")</f>
        <v>-</v>
      </c>
      <c r="J6" s="24">
        <f>COUNTIF(Res1A,4)</f>
        <v>0</v>
      </c>
      <c r="K6" s="25" t="str">
        <f>IFERROR(J6/$L6,"-")</f>
        <v>-</v>
      </c>
      <c r="L6" s="24">
        <f t="shared" si="0"/>
        <v>0</v>
      </c>
      <c r="M6" s="23"/>
      <c r="N6" s="23"/>
    </row>
    <row r="7" spans="1:14" s="4" customFormat="1" ht="14.5" customHeight="1" thickBot="1">
      <c r="A7" s="23">
        <f>COUNTIF(Res1A,0)</f>
        <v>6</v>
      </c>
      <c r="B7" s="23">
        <f>COUNTIF(Res1A,5)</f>
        <v>0</v>
      </c>
      <c r="C7" s="242" t="str">
        <f>CONCATENATE("You have ",A7," unanswered and ",B7," items that require follow-up in this component")</f>
        <v>You have 6 unanswered and 0 items that require follow-up in this component</v>
      </c>
      <c r="D7" s="243"/>
      <c r="E7" s="244"/>
      <c r="F7" s="243"/>
      <c r="G7" s="244"/>
      <c r="H7" s="243"/>
      <c r="I7" s="244"/>
      <c r="J7" s="243"/>
      <c r="K7" s="244"/>
      <c r="L7" s="24"/>
      <c r="M7" s="23"/>
      <c r="N7" s="23"/>
    </row>
    <row r="8" spans="1:14" s="4" customFormat="1" ht="75" customHeight="1" thickTop="1" thickBot="1">
      <c r="A8" s="634" t="s">
        <v>626</v>
      </c>
      <c r="B8" s="635"/>
      <c r="C8" s="635"/>
      <c r="D8" s="635"/>
      <c r="E8" s="635"/>
      <c r="F8" s="635"/>
      <c r="G8" s="635"/>
      <c r="H8" s="635"/>
      <c r="I8" s="635"/>
      <c r="J8" s="635"/>
      <c r="K8" s="636"/>
      <c r="L8" s="24"/>
      <c r="M8" s="23"/>
      <c r="N8" s="23"/>
    </row>
    <row r="9" spans="1:14" s="4" customFormat="1" ht="14.5" customHeight="1" thickTop="1" thickBot="1">
      <c r="C9" s="245"/>
      <c r="D9" s="245"/>
      <c r="E9" s="245"/>
      <c r="F9" s="245"/>
      <c r="G9" s="245"/>
      <c r="H9" s="245"/>
      <c r="I9" s="245"/>
      <c r="J9" s="245"/>
      <c r="K9" s="245"/>
      <c r="L9" s="24"/>
      <c r="M9" s="23"/>
      <c r="N9" s="23"/>
    </row>
    <row r="10" spans="1:14" s="4" customFormat="1" ht="14.5" customHeight="1" thickBot="1">
      <c r="A10" s="172"/>
      <c r="B10" s="172"/>
      <c r="C10" s="172" t="str">
        <f>Raw!A11</f>
        <v>Component 1B: Reward Structure</v>
      </c>
      <c r="D10" s="24">
        <f>COUNTIF(Res1B,1)</f>
        <v>0</v>
      </c>
      <c r="E10" s="25" t="str">
        <f>IFERROR(D10/$L10,"-")</f>
        <v>-</v>
      </c>
      <c r="F10" s="24">
        <f>COUNTIF(Res1B,2)</f>
        <v>0</v>
      </c>
      <c r="G10" s="25" t="str">
        <f>IFERROR(F10/$L10,"-")</f>
        <v>-</v>
      </c>
      <c r="H10" s="24">
        <f>COUNTIF(Res1B,3)</f>
        <v>0</v>
      </c>
      <c r="I10" s="25" t="str">
        <f>IFERROR(H10/$L10,"-")</f>
        <v>-</v>
      </c>
      <c r="J10" s="24">
        <f>COUNTIF(Res1B,4)</f>
        <v>0</v>
      </c>
      <c r="K10" s="25" t="str">
        <f>IFERROR(J10/$L10,"-")</f>
        <v>-</v>
      </c>
      <c r="L10" s="24">
        <f t="shared" si="0"/>
        <v>0</v>
      </c>
      <c r="M10" s="23"/>
      <c r="N10" s="23"/>
    </row>
    <row r="11" spans="1:14" s="4" customFormat="1" ht="14.5" customHeight="1" thickBot="1">
      <c r="A11" s="23">
        <f>COUNTIF(Res1B,0)</f>
        <v>3</v>
      </c>
      <c r="B11" s="23">
        <f>COUNTIF(Res1B,5)</f>
        <v>0</v>
      </c>
      <c r="C11" s="242" t="str">
        <f>CONCATENATE("You have ",A11," unanswered and ",B11," items that require follow-up in this component")</f>
        <v>You have 3 unanswered and 0 items that require follow-up in this component</v>
      </c>
      <c r="D11" s="243"/>
      <c r="E11" s="244"/>
      <c r="F11" s="243"/>
      <c r="G11" s="244"/>
      <c r="H11" s="243"/>
      <c r="I11" s="244"/>
      <c r="J11" s="243"/>
      <c r="K11" s="244"/>
      <c r="L11" s="24"/>
      <c r="M11" s="23"/>
      <c r="N11" s="23"/>
    </row>
    <row r="12" spans="1:14" s="4" customFormat="1" ht="75" customHeight="1" thickTop="1" thickBot="1">
      <c r="A12" s="634" t="s">
        <v>626</v>
      </c>
      <c r="B12" s="635"/>
      <c r="C12" s="635"/>
      <c r="D12" s="635"/>
      <c r="E12" s="635"/>
      <c r="F12" s="635"/>
      <c r="G12" s="635"/>
      <c r="H12" s="635"/>
      <c r="I12" s="635"/>
      <c r="J12" s="635"/>
      <c r="K12" s="636"/>
      <c r="L12" s="24"/>
      <c r="M12" s="23"/>
      <c r="N12" s="23"/>
    </row>
    <row r="13" spans="1:14" s="4" customFormat="1" ht="14.5" customHeight="1" thickTop="1" thickBot="1">
      <c r="C13" s="245"/>
      <c r="D13" s="245"/>
      <c r="E13" s="245"/>
      <c r="F13" s="245"/>
      <c r="G13" s="245"/>
      <c r="H13" s="245"/>
      <c r="I13" s="245"/>
      <c r="J13" s="245"/>
      <c r="K13" s="245"/>
      <c r="L13" s="24"/>
      <c r="M13" s="23"/>
      <c r="N13" s="23"/>
    </row>
    <row r="14" spans="1:14" s="4" customFormat="1" ht="16.5" customHeight="1" thickBot="1">
      <c r="A14" s="172"/>
      <c r="B14" s="172"/>
      <c r="C14" s="172" t="str">
        <f>Raw!A16</f>
        <v xml:space="preserve">Component 1C: Resources </v>
      </c>
      <c r="D14" s="24">
        <f>COUNTIF(Res1C,1)</f>
        <v>0</v>
      </c>
      <c r="E14" s="25" t="str">
        <f>IFERROR(D14/$L14,"-")</f>
        <v>-</v>
      </c>
      <c r="F14" s="24">
        <f>COUNTIF(Res1C,2)</f>
        <v>0</v>
      </c>
      <c r="G14" s="25" t="str">
        <f>IFERROR(F14/$L14,"-")</f>
        <v>-</v>
      </c>
      <c r="H14" s="24">
        <f>COUNTIF(Res1C,3)</f>
        <v>0</v>
      </c>
      <c r="I14" s="25" t="str">
        <f>IFERROR(H14/$L14,"-")</f>
        <v>-</v>
      </c>
      <c r="J14" s="24">
        <f>COUNTIF(Res1C,4)</f>
        <v>0</v>
      </c>
      <c r="K14" s="25" t="str">
        <f>IFERROR(J14/$L14,"-")</f>
        <v>-</v>
      </c>
      <c r="L14" s="24">
        <f t="shared" si="0"/>
        <v>0</v>
      </c>
      <c r="M14" s="23"/>
      <c r="N14" s="23"/>
    </row>
    <row r="15" spans="1:14" s="4" customFormat="1" ht="16.5" customHeight="1" thickBot="1">
      <c r="A15" s="23">
        <f>COUNTIF(Res1C,0)</f>
        <v>5</v>
      </c>
      <c r="B15" s="23">
        <f>COUNTIF(Res1C,5)</f>
        <v>0</v>
      </c>
      <c r="C15" s="242" t="str">
        <f>CONCATENATE("You have ",A15," unanswered and ",B15," items that require follow-up in this component")</f>
        <v>You have 5 unanswered and 0 items that require follow-up in this component</v>
      </c>
      <c r="D15" s="24"/>
      <c r="E15" s="25"/>
      <c r="F15" s="24"/>
      <c r="G15" s="25"/>
      <c r="H15" s="24"/>
      <c r="I15" s="25"/>
      <c r="J15" s="24"/>
      <c r="K15" s="25"/>
      <c r="L15" s="24"/>
      <c r="M15" s="23"/>
      <c r="N15" s="23"/>
    </row>
    <row r="16" spans="1:14" s="4" customFormat="1" ht="75" customHeight="1" thickTop="1" thickBot="1">
      <c r="A16" s="634" t="s">
        <v>626</v>
      </c>
      <c r="B16" s="635"/>
      <c r="C16" s="635"/>
      <c r="D16" s="635"/>
      <c r="E16" s="635"/>
      <c r="F16" s="635"/>
      <c r="G16" s="635"/>
      <c r="H16" s="635"/>
      <c r="I16" s="635"/>
      <c r="J16" s="635"/>
      <c r="K16" s="636"/>
      <c r="L16" s="24"/>
      <c r="M16" s="23"/>
      <c r="N16" s="23"/>
    </row>
    <row r="17" spans="1:14" s="4" customFormat="1" ht="16" customHeight="1" thickTop="1" thickBot="1">
      <c r="C17" s="17"/>
      <c r="D17" s="24"/>
      <c r="E17" s="25"/>
      <c r="F17" s="24"/>
      <c r="G17" s="25"/>
      <c r="H17" s="24"/>
      <c r="I17" s="25"/>
      <c r="J17" s="24"/>
      <c r="K17" s="25"/>
      <c r="L17" s="24"/>
      <c r="M17" s="23"/>
      <c r="N17" s="23"/>
    </row>
    <row r="18" spans="1:14" s="22" customFormat="1" ht="20" thickBot="1">
      <c r="A18" s="103"/>
      <c r="B18" s="103"/>
      <c r="C18" s="103" t="str">
        <f>CONCATENATE(Raw!A23,": ",Raw!B23)</f>
        <v>Standard 2: Leadership and Collaboration</v>
      </c>
      <c r="D18" s="28">
        <f>D20+D24+D28</f>
        <v>0</v>
      </c>
      <c r="E18" s="29" t="str">
        <f>IFERROR(D18/$L18,"-")</f>
        <v>-</v>
      </c>
      <c r="F18" s="28">
        <f>F20+F24+F28</f>
        <v>0</v>
      </c>
      <c r="G18" s="29" t="str">
        <f>IFERROR(F18/$L18,"-")</f>
        <v>-</v>
      </c>
      <c r="H18" s="28">
        <f>H20+H24+H28</f>
        <v>0</v>
      </c>
      <c r="I18" s="29" t="str">
        <f>IFERROR(H18/$L18,"-")</f>
        <v>-</v>
      </c>
      <c r="J18" s="28">
        <f>J20+J24+J28</f>
        <v>0</v>
      </c>
      <c r="K18" s="29" t="str">
        <f>IFERROR(J18/$L18,"-")</f>
        <v>-</v>
      </c>
      <c r="L18" s="28">
        <f t="shared" si="0"/>
        <v>0</v>
      </c>
      <c r="M18" s="33"/>
      <c r="N18" s="33"/>
    </row>
    <row r="19" spans="1:14" s="22" customFormat="1" ht="9.25" customHeight="1" thickBot="1">
      <c r="C19" s="27"/>
      <c r="D19" s="28"/>
      <c r="E19" s="29"/>
      <c r="F19" s="28"/>
      <c r="G19" s="29"/>
      <c r="H19" s="28"/>
      <c r="I19" s="29"/>
      <c r="J19" s="28"/>
      <c r="K19" s="29"/>
      <c r="L19" s="28"/>
      <c r="M19" s="33"/>
      <c r="N19" s="33"/>
    </row>
    <row r="20" spans="1:14" s="4" customFormat="1" ht="14.75" customHeight="1" thickBot="1">
      <c r="A20" s="172"/>
      <c r="B20" s="172"/>
      <c r="C20" s="172" t="str">
        <f>Raw!A25</f>
        <v>Component 2A: Program Team Members</v>
      </c>
      <c r="D20" s="24">
        <f>COUNTIF(Res2A,1)</f>
        <v>0</v>
      </c>
      <c r="E20" s="25" t="str">
        <f>IFERROR(D20/$L20,"-")</f>
        <v>-</v>
      </c>
      <c r="F20" s="24">
        <f>COUNTIF(Res2A,2)</f>
        <v>0</v>
      </c>
      <c r="G20" s="25" t="str">
        <f>IFERROR(F20/$L20,"-")</f>
        <v>-</v>
      </c>
      <c r="H20" s="24">
        <f>COUNTIF(Res2A,3)</f>
        <v>0</v>
      </c>
      <c r="I20" s="25" t="str">
        <f>IFERROR(H20/$L20,"-")</f>
        <v>-</v>
      </c>
      <c r="J20" s="24">
        <f>COUNTIF(Res2A,4)</f>
        <v>0</v>
      </c>
      <c r="K20" s="25" t="str">
        <f>IFERROR(J20/$L20,"-")</f>
        <v>-</v>
      </c>
      <c r="L20" s="24">
        <f t="shared" si="0"/>
        <v>0</v>
      </c>
      <c r="M20" s="23"/>
      <c r="N20" s="23"/>
    </row>
    <row r="21" spans="1:14" s="4" customFormat="1" ht="14.75" customHeight="1" thickBot="1">
      <c r="A21" s="23">
        <f>COUNTIF(Res2A,0)</f>
        <v>4</v>
      </c>
      <c r="B21" s="23">
        <f>COUNTIF(Res2A,5)</f>
        <v>0</v>
      </c>
      <c r="C21" s="242" t="str">
        <f>CONCATENATE("You have ",A21," unanswered and ",B21," items that require follow-up in this component")</f>
        <v>You have 4 unanswered and 0 items that require follow-up in this component</v>
      </c>
      <c r="D21" s="24"/>
      <c r="E21" s="25"/>
      <c r="F21" s="24"/>
      <c r="G21" s="25"/>
      <c r="H21" s="24"/>
      <c r="I21" s="25"/>
      <c r="J21" s="24"/>
      <c r="K21" s="25"/>
      <c r="L21" s="24"/>
      <c r="M21" s="23"/>
      <c r="N21" s="23"/>
    </row>
    <row r="22" spans="1:14" s="4" customFormat="1" ht="75" customHeight="1" thickTop="1" thickBot="1">
      <c r="A22" s="634" t="s">
        <v>626</v>
      </c>
      <c r="B22" s="635"/>
      <c r="C22" s="635"/>
      <c r="D22" s="635"/>
      <c r="E22" s="635"/>
      <c r="F22" s="635"/>
      <c r="G22" s="635"/>
      <c r="H22" s="635"/>
      <c r="I22" s="635"/>
      <c r="J22" s="635"/>
      <c r="K22" s="636"/>
      <c r="L22" s="24"/>
      <c r="M22" s="23"/>
      <c r="N22" s="23"/>
    </row>
    <row r="23" spans="1:14" s="4" customFormat="1" ht="14.5" customHeight="1" thickTop="1" thickBot="1">
      <c r="C23" s="241"/>
      <c r="D23" s="241"/>
      <c r="E23" s="241"/>
      <c r="F23" s="241"/>
      <c r="G23" s="241"/>
      <c r="H23" s="241"/>
      <c r="I23" s="241"/>
      <c r="J23" s="241"/>
      <c r="K23" s="241"/>
      <c r="L23" s="24"/>
      <c r="M23" s="23"/>
      <c r="N23" s="23"/>
    </row>
    <row r="24" spans="1:14" s="4" customFormat="1" ht="14.75" customHeight="1" thickBot="1">
      <c r="A24" s="172"/>
      <c r="B24" s="172"/>
      <c r="C24" s="172" t="str">
        <f>Raw!A31</f>
        <v>Component 2B: Program Team Attributes</v>
      </c>
      <c r="D24" s="24">
        <f>COUNTIF(Res2B,1)</f>
        <v>0</v>
      </c>
      <c r="E24" s="25" t="str">
        <f>IFERROR(D24/$L24,"-")</f>
        <v>-</v>
      </c>
      <c r="F24" s="24">
        <f>COUNTIF(Res2B,2)</f>
        <v>0</v>
      </c>
      <c r="G24" s="25" t="str">
        <f>IFERROR(F24/$L24,"-")</f>
        <v>-</v>
      </c>
      <c r="H24" s="24">
        <f>COUNTIF(Res2B,3)</f>
        <v>0</v>
      </c>
      <c r="I24" s="25" t="str">
        <f>IFERROR(H24/$L24,"-")</f>
        <v>-</v>
      </c>
      <c r="J24" s="24">
        <f>COUNTIF(Res2B,4)</f>
        <v>0</v>
      </c>
      <c r="K24" s="25" t="str">
        <f>IFERROR(J24/$L24,"-")</f>
        <v>-</v>
      </c>
      <c r="L24" s="24">
        <f t="shared" si="0"/>
        <v>0</v>
      </c>
      <c r="M24" s="23"/>
      <c r="N24" s="23"/>
    </row>
    <row r="25" spans="1:14" s="4" customFormat="1" ht="16" thickBot="1">
      <c r="A25" s="23">
        <f>COUNTIF(Res2B,0)</f>
        <v>9</v>
      </c>
      <c r="B25" s="23">
        <f>COUNTIF(Res2B,5)</f>
        <v>0</v>
      </c>
      <c r="C25" s="242" t="str">
        <f>CONCATENATE("You have ",A25," unanswered and ",B25," items that require follow-up in this component")</f>
        <v>You have 9 unanswered and 0 items that require follow-up in this component</v>
      </c>
      <c r="D25" s="24"/>
      <c r="E25" s="25"/>
      <c r="F25" s="24"/>
      <c r="G25" s="25"/>
      <c r="H25" s="24"/>
      <c r="I25" s="25"/>
      <c r="J25" s="24"/>
      <c r="K25" s="25"/>
      <c r="L25" s="24"/>
      <c r="M25" s="23"/>
      <c r="N25" s="23"/>
    </row>
    <row r="26" spans="1:14" s="4" customFormat="1" ht="75" customHeight="1" thickTop="1" thickBot="1">
      <c r="A26" s="634" t="s">
        <v>626</v>
      </c>
      <c r="B26" s="635"/>
      <c r="C26" s="635"/>
      <c r="D26" s="635"/>
      <c r="E26" s="635"/>
      <c r="F26" s="635"/>
      <c r="G26" s="635"/>
      <c r="H26" s="635"/>
      <c r="I26" s="635"/>
      <c r="J26" s="635"/>
      <c r="K26" s="636"/>
      <c r="L26" s="24"/>
      <c r="M26" s="23"/>
      <c r="N26" s="23"/>
    </row>
    <row r="27" spans="1:14" s="4" customFormat="1" ht="14.5" customHeight="1" thickTop="1" thickBot="1">
      <c r="C27" s="241"/>
      <c r="D27" s="241"/>
      <c r="E27" s="241"/>
      <c r="F27" s="241"/>
      <c r="G27" s="241"/>
      <c r="H27" s="241"/>
      <c r="I27" s="241"/>
      <c r="J27" s="241"/>
      <c r="K27" s="241"/>
      <c r="L27" s="24"/>
      <c r="M27" s="23"/>
      <c r="N27" s="23"/>
    </row>
    <row r="28" spans="1:14" s="4" customFormat="1" ht="16" customHeight="1" thickBot="1">
      <c r="A28" s="172"/>
      <c r="B28" s="172"/>
      <c r="C28" s="172" t="str">
        <f>Raw!A42</f>
        <v>Component 2C: Program Collaboration</v>
      </c>
      <c r="D28" s="24">
        <f>COUNTIF(Res2C,1)</f>
        <v>0</v>
      </c>
      <c r="E28" s="25" t="str">
        <f>IFERROR(D28/$L28,"-")</f>
        <v>-</v>
      </c>
      <c r="F28" s="24">
        <f>COUNTIF(Res2C,2)</f>
        <v>0</v>
      </c>
      <c r="G28" s="25" t="str">
        <f>IFERROR(F28/$L28,"-")</f>
        <v>-</v>
      </c>
      <c r="H28" s="24">
        <f>COUNTIF(Res2C,3)</f>
        <v>0</v>
      </c>
      <c r="I28" s="25" t="str">
        <f>IFERROR(H28/$L28,"-")</f>
        <v>-</v>
      </c>
      <c r="J28" s="24">
        <f>COUNTIF(Res2C,4)</f>
        <v>0</v>
      </c>
      <c r="K28" s="25" t="str">
        <f>IFERROR(J28/$L28,"-")</f>
        <v>-</v>
      </c>
      <c r="L28" s="24">
        <f t="shared" si="0"/>
        <v>0</v>
      </c>
      <c r="M28" s="23"/>
      <c r="N28" s="23"/>
    </row>
    <row r="29" spans="1:14" s="4" customFormat="1" ht="16" customHeight="1" thickBot="1">
      <c r="A29" s="23">
        <f>COUNTIF(Res2C,0)</f>
        <v>8</v>
      </c>
      <c r="B29" s="23">
        <f>COUNTIF(Res2C,5)</f>
        <v>0</v>
      </c>
      <c r="C29" s="242" t="str">
        <f>CONCATENATE("You have ",A29," unanswered and ",B29," items that require follow-up in this component")</f>
        <v>You have 8 unanswered and 0 items that require follow-up in this component</v>
      </c>
      <c r="D29" s="24"/>
      <c r="E29" s="25"/>
      <c r="F29" s="24"/>
      <c r="G29" s="25"/>
      <c r="H29" s="24"/>
      <c r="I29" s="25"/>
      <c r="J29" s="24"/>
      <c r="K29" s="25"/>
      <c r="L29" s="24"/>
      <c r="M29" s="23"/>
      <c r="N29" s="23"/>
    </row>
    <row r="30" spans="1:14" s="4" customFormat="1" ht="75" customHeight="1" thickTop="1" thickBot="1">
      <c r="A30" s="634" t="s">
        <v>626</v>
      </c>
      <c r="B30" s="635"/>
      <c r="C30" s="635"/>
      <c r="D30" s="635"/>
      <c r="E30" s="635"/>
      <c r="F30" s="635"/>
      <c r="G30" s="635"/>
      <c r="H30" s="635"/>
      <c r="I30" s="635"/>
      <c r="J30" s="635"/>
      <c r="K30" s="636"/>
      <c r="L30" s="24"/>
      <c r="M30" s="23"/>
      <c r="N30" s="23"/>
    </row>
    <row r="31" spans="1:14" s="4" customFormat="1" ht="17" thickTop="1" thickBot="1">
      <c r="C31" s="17"/>
      <c r="D31" s="24"/>
      <c r="E31" s="25"/>
      <c r="F31" s="24"/>
      <c r="G31" s="25"/>
      <c r="H31" s="24"/>
      <c r="I31" s="25"/>
      <c r="J31" s="24"/>
      <c r="K31" s="25"/>
      <c r="L31" s="24"/>
      <c r="M31" s="23"/>
      <c r="N31" s="23"/>
    </row>
    <row r="32" spans="1:14" s="22" customFormat="1" ht="20" thickBot="1">
      <c r="A32" s="102"/>
      <c r="B32" s="102"/>
      <c r="C32" s="102" t="str">
        <f>CONCATENATE(Raw!A52,": ",Raw!B52)</f>
        <v>Standard 3: Recruitment</v>
      </c>
      <c r="D32" s="28">
        <f>D34+D38+D42+D46</f>
        <v>0</v>
      </c>
      <c r="E32" s="29" t="str">
        <f>IFERROR(D32/$L32,"-")</f>
        <v>-</v>
      </c>
      <c r="F32" s="28">
        <f>F34+F38+F42+F46</f>
        <v>0</v>
      </c>
      <c r="G32" s="29" t="str">
        <f>IFERROR(F32/$L32,"-")</f>
        <v>-</v>
      </c>
      <c r="H32" s="28">
        <f>H34+H38+H42+H46</f>
        <v>0</v>
      </c>
      <c r="I32" s="29" t="str">
        <f>IFERROR(H32/$L32,"-")</f>
        <v>-</v>
      </c>
      <c r="J32" s="28">
        <f>J34+J38+J42+J46</f>
        <v>0</v>
      </c>
      <c r="K32" s="29" t="str">
        <f>IFERROR(J32/$L32,"-")</f>
        <v>-</v>
      </c>
      <c r="L32" s="28">
        <f t="shared" si="0"/>
        <v>0</v>
      </c>
      <c r="M32" s="33"/>
      <c r="N32" s="33"/>
    </row>
    <row r="33" spans="1:14" s="22" customFormat="1" ht="8" customHeight="1" thickBot="1">
      <c r="C33" s="27"/>
      <c r="D33" s="28"/>
      <c r="E33" s="29"/>
      <c r="F33" s="28"/>
      <c r="G33" s="29"/>
      <c r="H33" s="28"/>
      <c r="I33" s="29"/>
      <c r="J33" s="28"/>
      <c r="K33" s="29"/>
      <c r="L33" s="28"/>
      <c r="M33" s="33"/>
      <c r="N33" s="33"/>
    </row>
    <row r="34" spans="1:14" s="4" customFormat="1" ht="16" thickBot="1">
      <c r="A34" s="172"/>
      <c r="B34" s="172"/>
      <c r="C34" s="172" t="str">
        <f>Raw!A54</f>
        <v>Component 3A: Recruitment Opportunities</v>
      </c>
      <c r="D34" s="24">
        <f>COUNTIF(Res3A,1)</f>
        <v>0</v>
      </c>
      <c r="E34" s="25" t="str">
        <f>IFERROR(D34/$L34,"-")</f>
        <v>-</v>
      </c>
      <c r="F34" s="24">
        <f>COUNTIF(Res3A,2)</f>
        <v>0</v>
      </c>
      <c r="G34" s="25" t="str">
        <f>IFERROR(F34/$L34,"-")</f>
        <v>-</v>
      </c>
      <c r="H34" s="24">
        <f>COUNTIF(Res3A,3)</f>
        <v>0</v>
      </c>
      <c r="I34" s="25" t="str">
        <f>IFERROR(H34/$L34,"-")</f>
        <v>-</v>
      </c>
      <c r="J34" s="24">
        <f>COUNTIF(Res3A,4)</f>
        <v>0</v>
      </c>
      <c r="K34" s="25" t="str">
        <f>IFERROR(J34/$L34,"-")</f>
        <v>-</v>
      </c>
      <c r="L34" s="24">
        <f t="shared" ref="L34:L60" si="1">SUM(J34,H34,F34,D34)</f>
        <v>0</v>
      </c>
      <c r="M34" s="23"/>
      <c r="N34" s="23"/>
    </row>
    <row r="35" spans="1:14" s="4" customFormat="1" ht="16" thickBot="1">
      <c r="A35" s="23">
        <f>COUNTIF(Res3A,0)</f>
        <v>5</v>
      </c>
      <c r="B35" s="23">
        <f>COUNTIF(Res3A,5)</f>
        <v>0</v>
      </c>
      <c r="C35" s="242" t="str">
        <f>CONCATENATE("You have ",A35," unanswered and ",B35," items that require follow-up in this component")</f>
        <v>You have 5 unanswered and 0 items that require follow-up in this component</v>
      </c>
      <c r="D35" s="24"/>
      <c r="E35" s="25"/>
      <c r="F35" s="24"/>
      <c r="G35" s="25"/>
      <c r="H35" s="24"/>
      <c r="I35" s="25"/>
      <c r="J35" s="24"/>
      <c r="K35" s="25"/>
      <c r="L35" s="24"/>
      <c r="M35" s="23"/>
      <c r="N35" s="23"/>
    </row>
    <row r="36" spans="1:14" s="4" customFormat="1" ht="75" customHeight="1" thickTop="1" thickBot="1">
      <c r="A36" s="634" t="s">
        <v>626</v>
      </c>
      <c r="B36" s="635"/>
      <c r="C36" s="635"/>
      <c r="D36" s="635"/>
      <c r="E36" s="635"/>
      <c r="F36" s="635"/>
      <c r="G36" s="635"/>
      <c r="H36" s="635"/>
      <c r="I36" s="635"/>
      <c r="J36" s="635"/>
      <c r="K36" s="636"/>
      <c r="L36" s="24"/>
      <c r="M36" s="23"/>
      <c r="N36" s="23"/>
    </row>
    <row r="37" spans="1:14" s="4" customFormat="1" ht="14.5" customHeight="1" thickTop="1" thickBot="1">
      <c r="C37" s="241"/>
      <c r="D37" s="241"/>
      <c r="E37" s="241"/>
      <c r="F37" s="241"/>
      <c r="G37" s="241"/>
      <c r="H37" s="241"/>
      <c r="I37" s="241"/>
      <c r="J37" s="241"/>
      <c r="K37" s="241"/>
      <c r="L37" s="24"/>
      <c r="M37" s="23"/>
      <c r="N37" s="23"/>
    </row>
    <row r="38" spans="1:14" s="4" customFormat="1" ht="16" thickBot="1">
      <c r="A38" s="172"/>
      <c r="B38" s="172"/>
      <c r="C38" s="172" t="str">
        <f>Raw!A61</f>
        <v xml:space="preserve">Component 3B: Recruitment Activities </v>
      </c>
      <c r="D38" s="24">
        <f>COUNTIF(Res3B,1)</f>
        <v>0</v>
      </c>
      <c r="E38" s="25" t="str">
        <f>IFERROR(D38/$L38,"-")</f>
        <v>-</v>
      </c>
      <c r="F38" s="24">
        <f>COUNTIF(Res3B,2)</f>
        <v>0</v>
      </c>
      <c r="G38" s="25" t="str">
        <f>IFERROR(F38/$L38,"-")</f>
        <v>-</v>
      </c>
      <c r="H38" s="24">
        <f>COUNTIF(Res3B,3)</f>
        <v>0</v>
      </c>
      <c r="I38" s="25" t="str">
        <f>IFERROR(H38/$L38,"-")</f>
        <v>-</v>
      </c>
      <c r="J38" s="24">
        <f>COUNTIF(Res3B,4)</f>
        <v>0</v>
      </c>
      <c r="K38" s="25" t="str">
        <f>IFERROR(J38/$L38,"-")</f>
        <v>-</v>
      </c>
      <c r="L38" s="24">
        <f t="shared" si="1"/>
        <v>0</v>
      </c>
      <c r="M38" s="23"/>
      <c r="N38" s="23"/>
    </row>
    <row r="39" spans="1:14" s="4" customFormat="1" ht="16" thickBot="1">
      <c r="A39" s="23">
        <f>COUNTIF(Res3B,0)</f>
        <v>5</v>
      </c>
      <c r="B39" s="23">
        <f>COUNTIF(Res3B,5)</f>
        <v>0</v>
      </c>
      <c r="C39" s="242" t="str">
        <f>CONCATENATE("You have ",A39," unanswered and ",B39," items that require follow-up in this component")</f>
        <v>You have 5 unanswered and 0 items that require follow-up in this component</v>
      </c>
      <c r="D39" s="24"/>
      <c r="E39" s="25"/>
      <c r="F39" s="24"/>
      <c r="G39" s="25"/>
      <c r="H39" s="24"/>
      <c r="I39" s="25"/>
      <c r="J39" s="24"/>
      <c r="K39" s="25"/>
      <c r="L39" s="24"/>
      <c r="M39" s="23"/>
      <c r="N39" s="23"/>
    </row>
    <row r="40" spans="1:14" s="4" customFormat="1" ht="75" customHeight="1" thickTop="1" thickBot="1">
      <c r="A40" s="634" t="s">
        <v>626</v>
      </c>
      <c r="B40" s="635"/>
      <c r="C40" s="635"/>
      <c r="D40" s="635"/>
      <c r="E40" s="635"/>
      <c r="F40" s="635"/>
      <c r="G40" s="635"/>
      <c r="H40" s="635"/>
      <c r="I40" s="635"/>
      <c r="J40" s="635"/>
      <c r="K40" s="636"/>
      <c r="L40" s="24"/>
      <c r="M40" s="23"/>
      <c r="N40" s="23"/>
    </row>
    <row r="41" spans="1:14" s="4" customFormat="1" ht="14.5" customHeight="1" thickTop="1" thickBot="1">
      <c r="C41" s="241"/>
      <c r="D41" s="241"/>
      <c r="E41" s="241"/>
      <c r="F41" s="241"/>
      <c r="G41" s="241"/>
      <c r="H41" s="241"/>
      <c r="I41" s="241"/>
      <c r="J41" s="241"/>
      <c r="K41" s="241"/>
      <c r="L41" s="24"/>
      <c r="M41" s="23"/>
      <c r="N41" s="23"/>
    </row>
    <row r="42" spans="1:14" s="4" customFormat="1" ht="16" thickBot="1">
      <c r="A42" s="172"/>
      <c r="B42" s="172"/>
      <c r="C42" s="172" t="str">
        <f>Raw!A68</f>
        <v>Component 3C: Early Teaching Experiences for Recruiting Teacher Candidates</v>
      </c>
      <c r="D42" s="24">
        <f>COUNTIF(Res3C,1)</f>
        <v>0</v>
      </c>
      <c r="E42" s="25" t="str">
        <f>IFERROR(D42/$L42,"-")</f>
        <v>-</v>
      </c>
      <c r="F42" s="24">
        <f>COUNTIF(Res3C,2)</f>
        <v>0</v>
      </c>
      <c r="G42" s="25" t="str">
        <f>IFERROR(F42/$L42,"-")</f>
        <v>-</v>
      </c>
      <c r="H42" s="24">
        <f>COUNTIF(Res3C,3)</f>
        <v>0</v>
      </c>
      <c r="I42" s="25" t="str">
        <f>IFERROR(H42/$L42,"-")</f>
        <v>-</v>
      </c>
      <c r="J42" s="24">
        <f>COUNTIF(Res3C,4)</f>
        <v>0</v>
      </c>
      <c r="K42" s="25" t="str">
        <f>IFERROR(J42/$L42,"-")</f>
        <v>-</v>
      </c>
      <c r="L42" s="24">
        <f t="shared" si="1"/>
        <v>0</v>
      </c>
      <c r="M42" s="23"/>
      <c r="N42" s="23"/>
    </row>
    <row r="43" spans="1:14" s="4" customFormat="1" ht="16" thickBot="1">
      <c r="A43" s="23">
        <f>COUNTIF(Res3C,0)</f>
        <v>5</v>
      </c>
      <c r="B43" s="23">
        <f>COUNTIF(Res3C,5)</f>
        <v>0</v>
      </c>
      <c r="C43" s="242" t="str">
        <f>CONCATENATE("You have ",A43," unanswered and ",B43," items that require follow-up in this component")</f>
        <v>You have 5 unanswered and 0 items that require follow-up in this component</v>
      </c>
      <c r="D43" s="24"/>
      <c r="E43" s="25"/>
      <c r="F43" s="24"/>
      <c r="G43" s="25"/>
      <c r="H43" s="24"/>
      <c r="I43" s="25"/>
      <c r="J43" s="24"/>
      <c r="K43" s="25"/>
      <c r="L43" s="24"/>
      <c r="M43" s="23"/>
      <c r="N43" s="23"/>
    </row>
    <row r="44" spans="1:14" s="4" customFormat="1" ht="75" customHeight="1" thickTop="1" thickBot="1">
      <c r="A44" s="634" t="s">
        <v>626</v>
      </c>
      <c r="B44" s="635"/>
      <c r="C44" s="635"/>
      <c r="D44" s="635"/>
      <c r="E44" s="635"/>
      <c r="F44" s="635"/>
      <c r="G44" s="635"/>
      <c r="H44" s="635"/>
      <c r="I44" s="635"/>
      <c r="J44" s="635"/>
      <c r="K44" s="636"/>
      <c r="L44" s="24"/>
      <c r="M44" s="23"/>
      <c r="N44" s="23"/>
    </row>
    <row r="45" spans="1:14" s="4" customFormat="1" ht="14.5" customHeight="1" thickTop="1" thickBot="1">
      <c r="C45" s="241"/>
      <c r="D45" s="241"/>
      <c r="E45" s="241"/>
      <c r="F45" s="241"/>
      <c r="G45" s="241"/>
      <c r="H45" s="241"/>
      <c r="I45" s="241"/>
      <c r="J45" s="241"/>
      <c r="K45" s="241"/>
      <c r="L45" s="24"/>
      <c r="M45" s="23"/>
      <c r="N45" s="23"/>
    </row>
    <row r="46" spans="1:14" s="4" customFormat="1" ht="14.5" customHeight="1" thickBot="1">
      <c r="A46" s="172"/>
      <c r="B46" s="172"/>
      <c r="C46" s="172" t="str">
        <f>Raw!A75</f>
        <v>Component 3D: Streamlined and Accessible Program Options</v>
      </c>
      <c r="D46" s="24">
        <f>COUNTIF(Res3D,1)</f>
        <v>0</v>
      </c>
      <c r="E46" s="25" t="str">
        <f>IFERROR(D46/$L46,"-")</f>
        <v>-</v>
      </c>
      <c r="F46" s="24">
        <f>COUNTIF(Res3D,2)</f>
        <v>0</v>
      </c>
      <c r="G46" s="25" t="str">
        <f>IFERROR(F46/$L46,"-")</f>
        <v>-</v>
      </c>
      <c r="H46" s="24">
        <f>COUNTIF(Res3D,3)</f>
        <v>0</v>
      </c>
      <c r="I46" s="25" t="str">
        <f>IFERROR(H46/$L46,"-")</f>
        <v>-</v>
      </c>
      <c r="J46" s="24">
        <f>COUNTIF(Res3D,4)</f>
        <v>0</v>
      </c>
      <c r="K46" s="25" t="str">
        <f>IFERROR(J46/$L46,"-")</f>
        <v>-</v>
      </c>
      <c r="L46" s="24">
        <f t="shared" si="1"/>
        <v>0</v>
      </c>
      <c r="M46" s="23"/>
      <c r="N46" s="23"/>
    </row>
    <row r="47" spans="1:14" s="4" customFormat="1" ht="14.5" customHeight="1" thickBot="1">
      <c r="A47" s="23">
        <f>COUNTIF(Res3D,0)</f>
        <v>4</v>
      </c>
      <c r="B47" s="23">
        <f>COUNTIF(Res3D,5)</f>
        <v>0</v>
      </c>
      <c r="C47" s="242" t="str">
        <f>CONCATENATE("You have ",A47," unanswered and ",B47," items that require follow-up in this component")</f>
        <v>You have 4 unanswered and 0 items that require follow-up in this component</v>
      </c>
      <c r="D47" s="24"/>
      <c r="E47" s="25"/>
      <c r="F47" s="24"/>
      <c r="G47" s="25"/>
      <c r="H47" s="24"/>
      <c r="I47" s="25"/>
      <c r="J47" s="24"/>
      <c r="K47" s="25"/>
      <c r="L47" s="24"/>
      <c r="M47" s="23"/>
      <c r="N47" s="23"/>
    </row>
    <row r="48" spans="1:14" s="4" customFormat="1" ht="75" customHeight="1" thickTop="1" thickBot="1">
      <c r="A48" s="634" t="s">
        <v>626</v>
      </c>
      <c r="B48" s="635"/>
      <c r="C48" s="635"/>
      <c r="D48" s="635"/>
      <c r="E48" s="635"/>
      <c r="F48" s="635"/>
      <c r="G48" s="635"/>
      <c r="H48" s="635"/>
      <c r="I48" s="635"/>
      <c r="J48" s="635"/>
      <c r="K48" s="636"/>
      <c r="L48" s="24"/>
      <c r="M48" s="23"/>
      <c r="N48" s="23"/>
    </row>
    <row r="49" spans="1:14" s="4" customFormat="1" ht="18.5" customHeight="1" thickTop="1" thickBot="1">
      <c r="C49" s="17"/>
      <c r="D49" s="24"/>
      <c r="E49" s="25"/>
      <c r="F49" s="24"/>
      <c r="G49" s="25"/>
      <c r="H49" s="24"/>
      <c r="I49" s="25"/>
      <c r="J49" s="24"/>
      <c r="K49" s="25"/>
      <c r="L49" s="24"/>
      <c r="M49" s="23"/>
      <c r="N49" s="23"/>
    </row>
    <row r="50" spans="1:14" s="22" customFormat="1" ht="20" thickBot="1">
      <c r="A50" s="101"/>
      <c r="B50" s="101"/>
      <c r="C50" s="101" t="str">
        <f>CONCATENATE(Raw!A81,": ",Raw!B81)</f>
        <v>Standard 4: Knowledge and Skills for Teaching Physics</v>
      </c>
      <c r="D50" s="28">
        <f>D52+D56+D60</f>
        <v>0</v>
      </c>
      <c r="E50" s="29" t="str">
        <f>IFERROR(D50/$L50,"-")</f>
        <v>-</v>
      </c>
      <c r="F50" s="28">
        <f>F52+F56+F60</f>
        <v>0</v>
      </c>
      <c r="G50" s="29" t="str">
        <f>IFERROR(F50/$L50,"-")</f>
        <v>-</v>
      </c>
      <c r="H50" s="28">
        <f>H52+H56+H60</f>
        <v>0</v>
      </c>
      <c r="I50" s="29" t="str">
        <f>IFERROR(H50/$L50,"-")</f>
        <v>-</v>
      </c>
      <c r="J50" s="28">
        <f>J52+J56+J60</f>
        <v>0</v>
      </c>
      <c r="K50" s="29" t="str">
        <f>IFERROR(J50/$L50,"-")</f>
        <v>-</v>
      </c>
      <c r="L50" s="28">
        <f>SUM(J50,H50,F50,D50)</f>
        <v>0</v>
      </c>
      <c r="M50" s="33"/>
      <c r="N50" s="33"/>
    </row>
    <row r="51" spans="1:14" s="22" customFormat="1" ht="8" customHeight="1" thickBot="1">
      <c r="C51" s="27"/>
      <c r="D51" s="28"/>
      <c r="E51" s="29"/>
      <c r="F51" s="28"/>
      <c r="G51" s="29"/>
      <c r="H51" s="28"/>
      <c r="I51" s="29"/>
      <c r="J51" s="28"/>
      <c r="K51" s="29"/>
      <c r="L51" s="28"/>
      <c r="M51" s="33"/>
      <c r="N51" s="33"/>
    </row>
    <row r="52" spans="1:14" s="4" customFormat="1" ht="16" thickBot="1">
      <c r="A52" s="172"/>
      <c r="B52" s="172"/>
      <c r="C52" s="172" t="str">
        <f>Raw!A83</f>
        <v>Component 4A: Physics Content Knowledge</v>
      </c>
      <c r="D52" s="24">
        <f>COUNTIF(Res4A,1)</f>
        <v>0</v>
      </c>
      <c r="E52" s="25" t="str">
        <f>IFERROR(D52/$L52,"-")</f>
        <v>-</v>
      </c>
      <c r="F52" s="24">
        <f>COUNTIF(Res4A,2)</f>
        <v>0</v>
      </c>
      <c r="G52" s="25" t="str">
        <f>IFERROR(F52/$L52,"-")</f>
        <v>-</v>
      </c>
      <c r="H52" s="24">
        <f>COUNTIF(Res4A,3)</f>
        <v>0</v>
      </c>
      <c r="I52" s="25" t="str">
        <f>IFERROR(H52/$L52,"-")</f>
        <v>-</v>
      </c>
      <c r="J52" s="24">
        <f>COUNTIF(Res4A,4)</f>
        <v>0</v>
      </c>
      <c r="K52" s="25" t="str">
        <f>IFERROR(J52/$L52,"-")</f>
        <v>-</v>
      </c>
      <c r="L52" s="24">
        <f t="shared" si="1"/>
        <v>0</v>
      </c>
      <c r="M52" s="23"/>
      <c r="N52" s="23"/>
    </row>
    <row r="53" spans="1:14" s="4" customFormat="1" ht="16" thickBot="1">
      <c r="A53" s="23">
        <f>COUNTIF(Res4A,0)</f>
        <v>3</v>
      </c>
      <c r="B53" s="23">
        <f>COUNTIF(Res4A,5)</f>
        <v>0</v>
      </c>
      <c r="C53" s="242" t="str">
        <f>CONCATENATE("You have ",A53," unanswered and ",B53," items that require follow-up in this component")</f>
        <v>You have 3 unanswered and 0 items that require follow-up in this component</v>
      </c>
      <c r="D53" s="24"/>
      <c r="E53" s="25"/>
      <c r="F53" s="24"/>
      <c r="G53" s="25"/>
      <c r="H53" s="24"/>
      <c r="I53" s="25"/>
      <c r="J53" s="24"/>
      <c r="K53" s="25"/>
      <c r="L53" s="24"/>
      <c r="M53" s="23"/>
      <c r="N53" s="23"/>
    </row>
    <row r="54" spans="1:14" s="4" customFormat="1" ht="75" customHeight="1" thickTop="1" thickBot="1">
      <c r="A54" s="634" t="s">
        <v>626</v>
      </c>
      <c r="B54" s="635"/>
      <c r="C54" s="635"/>
      <c r="D54" s="635"/>
      <c r="E54" s="635"/>
      <c r="F54" s="635"/>
      <c r="G54" s="635"/>
      <c r="H54" s="635"/>
      <c r="I54" s="635"/>
      <c r="J54" s="635"/>
      <c r="K54" s="636"/>
      <c r="L54" s="24"/>
      <c r="M54" s="23"/>
      <c r="N54" s="23"/>
    </row>
    <row r="55" spans="1:14" s="4" customFormat="1" ht="14.5" customHeight="1" thickTop="1" thickBot="1">
      <c r="C55" s="241"/>
      <c r="D55" s="241"/>
      <c r="E55" s="241"/>
      <c r="F55" s="241"/>
      <c r="G55" s="241"/>
      <c r="H55" s="241"/>
      <c r="I55" s="241"/>
      <c r="J55" s="241"/>
      <c r="K55" s="241"/>
      <c r="L55" s="24"/>
      <c r="M55" s="23"/>
      <c r="N55" s="23"/>
    </row>
    <row r="56" spans="1:14" s="4" customFormat="1" ht="16" thickBot="1">
      <c r="A56" s="172"/>
      <c r="B56" s="172"/>
      <c r="C56" s="172" t="str">
        <f>Raw!A88</f>
        <v>Component 4B: Pedagogy Courses and Curriculum</v>
      </c>
      <c r="D56" s="24">
        <f>COUNTIF(Res4B,1)</f>
        <v>0</v>
      </c>
      <c r="E56" s="25" t="str">
        <f>IFERROR(D56/$L56,"-")</f>
        <v>-</v>
      </c>
      <c r="F56" s="24">
        <f>COUNTIF(Res4B,2)</f>
        <v>0</v>
      </c>
      <c r="G56" s="25" t="str">
        <f>IFERROR(F56/$L56,"-")</f>
        <v>-</v>
      </c>
      <c r="H56" s="24">
        <f>COUNTIF(Res4B,3)</f>
        <v>0</v>
      </c>
      <c r="I56" s="25" t="str">
        <f>IFERROR(H56/$L56,"-")</f>
        <v>-</v>
      </c>
      <c r="J56" s="24">
        <f>COUNTIF(Res4B,4)</f>
        <v>0</v>
      </c>
      <c r="K56" s="25" t="str">
        <f>IFERROR(J56/$L56,"-")</f>
        <v>-</v>
      </c>
      <c r="L56" s="24">
        <f t="shared" si="1"/>
        <v>0</v>
      </c>
      <c r="M56" s="23"/>
      <c r="N56" s="23"/>
    </row>
    <row r="57" spans="1:14" s="4" customFormat="1" ht="16" thickBot="1">
      <c r="A57" s="23">
        <f>COUNTIF(Res4B,0)</f>
        <v>5</v>
      </c>
      <c r="B57" s="23">
        <f>COUNTIF(Res4B,5)</f>
        <v>0</v>
      </c>
      <c r="C57" s="242" t="str">
        <f>CONCATENATE("You have ",A57," unanswered and ",B57," items that require follow-up in this component")</f>
        <v>You have 5 unanswered and 0 items that require follow-up in this component</v>
      </c>
      <c r="D57" s="24"/>
      <c r="E57" s="25"/>
      <c r="F57" s="24"/>
      <c r="G57" s="25"/>
      <c r="H57" s="24"/>
      <c r="I57" s="25"/>
      <c r="J57" s="24"/>
      <c r="K57" s="25"/>
      <c r="L57" s="24"/>
      <c r="M57" s="23"/>
      <c r="N57" s="23"/>
    </row>
    <row r="58" spans="1:14" s="4" customFormat="1" ht="75" customHeight="1" thickTop="1" thickBot="1">
      <c r="A58" s="634" t="s">
        <v>626</v>
      </c>
      <c r="B58" s="635"/>
      <c r="C58" s="635"/>
      <c r="D58" s="635"/>
      <c r="E58" s="635"/>
      <c r="F58" s="635"/>
      <c r="G58" s="635"/>
      <c r="H58" s="635"/>
      <c r="I58" s="635"/>
      <c r="J58" s="635"/>
      <c r="K58" s="636"/>
      <c r="L58" s="24"/>
      <c r="M58" s="23"/>
      <c r="N58" s="23"/>
    </row>
    <row r="59" spans="1:14" s="4" customFormat="1" ht="14.5" customHeight="1" thickTop="1" thickBot="1">
      <c r="C59" s="241"/>
      <c r="D59" s="241"/>
      <c r="E59" s="241"/>
      <c r="F59" s="241"/>
      <c r="G59" s="241"/>
      <c r="H59" s="241"/>
      <c r="I59" s="241"/>
      <c r="J59" s="241"/>
      <c r="K59" s="241"/>
      <c r="L59" s="24"/>
      <c r="M59" s="23"/>
      <c r="N59" s="23"/>
    </row>
    <row r="60" spans="1:14" s="4" customFormat="1" ht="16" thickBot="1">
      <c r="A60" s="172"/>
      <c r="B60" s="172"/>
      <c r="C60" s="172" t="str">
        <f>Raw!A95</f>
        <v xml:space="preserve">Component 4C: Practical K–12 School Experiences </v>
      </c>
      <c r="D60" s="24">
        <f>COUNTIF(Res4C,1)</f>
        <v>0</v>
      </c>
      <c r="E60" s="25" t="str">
        <f>IFERROR(D60/$L60,"-")</f>
        <v>-</v>
      </c>
      <c r="F60" s="24">
        <f>COUNTIF(Res4C,2)</f>
        <v>0</v>
      </c>
      <c r="G60" s="25" t="str">
        <f>IFERROR(F60/$L60,"-")</f>
        <v>-</v>
      </c>
      <c r="H60" s="24">
        <f>COUNTIF(Res4C,3)</f>
        <v>0</v>
      </c>
      <c r="I60" s="25" t="str">
        <f>IFERROR(H60/$L60,"-")</f>
        <v>-</v>
      </c>
      <c r="J60" s="24">
        <f>COUNTIF(Res4C,4)</f>
        <v>0</v>
      </c>
      <c r="K60" s="25" t="str">
        <f>IFERROR(J60/$L60,"-")</f>
        <v>-</v>
      </c>
      <c r="L60" s="24">
        <f t="shared" si="1"/>
        <v>0</v>
      </c>
      <c r="M60" s="23"/>
      <c r="N60" s="23"/>
    </row>
    <row r="61" spans="1:14" s="4" customFormat="1" ht="16" thickBot="1">
      <c r="A61" s="23">
        <f>COUNTIF(Res4C,0)</f>
        <v>4</v>
      </c>
      <c r="B61" s="23">
        <f>COUNTIF(Res4C,5)</f>
        <v>0</v>
      </c>
      <c r="C61" s="242" t="str">
        <f>CONCATENATE("You have ",A61," unanswered and ",B61," items that require follow-up in this component")</f>
        <v>You have 4 unanswered and 0 items that require follow-up in this component</v>
      </c>
      <c r="D61" s="24"/>
      <c r="E61" s="25"/>
      <c r="F61" s="24"/>
      <c r="G61" s="25"/>
      <c r="H61" s="24"/>
      <c r="I61" s="25"/>
      <c r="J61" s="24"/>
      <c r="K61" s="25"/>
      <c r="L61" s="24"/>
      <c r="M61" s="23"/>
      <c r="N61" s="23"/>
    </row>
    <row r="62" spans="1:14" s="4" customFormat="1" ht="75" customHeight="1" thickTop="1" thickBot="1">
      <c r="A62" s="634" t="s">
        <v>626</v>
      </c>
      <c r="B62" s="635"/>
      <c r="C62" s="635"/>
      <c r="D62" s="635"/>
      <c r="E62" s="635"/>
      <c r="F62" s="635"/>
      <c r="G62" s="635"/>
      <c r="H62" s="635"/>
      <c r="I62" s="635"/>
      <c r="J62" s="635"/>
      <c r="K62" s="636"/>
      <c r="L62" s="24"/>
      <c r="M62" s="23"/>
      <c r="N62" s="23"/>
    </row>
    <row r="63" spans="1:14" s="4" customFormat="1" ht="17.75" customHeight="1" thickTop="1" thickBot="1">
      <c r="C63" s="17"/>
      <c r="D63" s="24"/>
      <c r="E63" s="25"/>
      <c r="F63" s="24"/>
      <c r="G63" s="25"/>
      <c r="H63" s="24"/>
      <c r="I63" s="25"/>
      <c r="J63" s="24"/>
      <c r="K63" s="25"/>
      <c r="L63" s="24"/>
      <c r="M63" s="23"/>
      <c r="N63" s="23"/>
    </row>
    <row r="64" spans="1:14" s="22" customFormat="1" ht="20" thickBot="1">
      <c r="A64" s="99"/>
      <c r="B64" s="99"/>
      <c r="C64" s="99" t="str">
        <f>CONCATENATE(Raw!A101,": ",Raw!B101)</f>
        <v>Standard 5: Mentoring, Community, and Professional Support</v>
      </c>
      <c r="D64" s="28">
        <f>D66+D70+D74</f>
        <v>0</v>
      </c>
      <c r="E64" s="29" t="str">
        <f>IFERROR(D64/$L64,"-")</f>
        <v>-</v>
      </c>
      <c r="F64" s="28">
        <f>F66+F70+F74</f>
        <v>0</v>
      </c>
      <c r="G64" s="29" t="str">
        <f>IFERROR(F64/$L64,"-")</f>
        <v>-</v>
      </c>
      <c r="H64" s="28">
        <f>H66+H70+H74</f>
        <v>0</v>
      </c>
      <c r="I64" s="29" t="str">
        <f>IFERROR(H64/$L64,"-")</f>
        <v>-</v>
      </c>
      <c r="J64" s="28">
        <f>J66+J70+J74</f>
        <v>0</v>
      </c>
      <c r="K64" s="29" t="str">
        <f>IFERROR(J64/$L64,"-")</f>
        <v>-</v>
      </c>
      <c r="L64" s="28">
        <f t="shared" ref="L64:L88" si="2">SUM(J64,H64,F64,D64)</f>
        <v>0</v>
      </c>
      <c r="M64" s="33"/>
      <c r="N64" s="33"/>
    </row>
    <row r="65" spans="1:14" s="22" customFormat="1" ht="8" customHeight="1" thickBot="1">
      <c r="C65" s="27"/>
      <c r="D65" s="28"/>
      <c r="E65" s="29"/>
      <c r="F65" s="28"/>
      <c r="G65" s="29"/>
      <c r="H65" s="28"/>
      <c r="I65" s="29"/>
      <c r="J65" s="28"/>
      <c r="K65" s="29"/>
      <c r="L65" s="28"/>
      <c r="M65" s="33"/>
      <c r="N65" s="33"/>
    </row>
    <row r="66" spans="1:14" s="4" customFormat="1" ht="15" customHeight="1" thickBot="1">
      <c r="A66" s="172"/>
      <c r="B66" s="172"/>
      <c r="C66" s="173" t="str">
        <f>Raw!A103</f>
        <v>Component 5A: Mentoring and Community Support Toward a Physics Degree</v>
      </c>
      <c r="D66" s="24">
        <f>COUNTIF(Res5A,1)</f>
        <v>0</v>
      </c>
      <c r="E66" s="25" t="str">
        <f>IFERROR(D66/$L66,"-")</f>
        <v>-</v>
      </c>
      <c r="F66" s="24">
        <f>COUNTIF(Res5A,2)</f>
        <v>0</v>
      </c>
      <c r="G66" s="25" t="str">
        <f>IFERROR(F66/$L66,"-")</f>
        <v>-</v>
      </c>
      <c r="H66" s="24">
        <f>COUNTIF(Res5A,3)</f>
        <v>0</v>
      </c>
      <c r="I66" s="25" t="str">
        <f>IFERROR(H66/$L66,"-")</f>
        <v>-</v>
      </c>
      <c r="J66" s="24">
        <f>COUNTIF(Res5A,4)</f>
        <v>0</v>
      </c>
      <c r="K66" s="25" t="str">
        <f>IFERROR(J66/$L66,"-")</f>
        <v>-</v>
      </c>
      <c r="L66" s="24">
        <f t="shared" si="2"/>
        <v>0</v>
      </c>
      <c r="M66" s="23"/>
      <c r="N66" s="23"/>
    </row>
    <row r="67" spans="1:14" s="4" customFormat="1" ht="15" customHeight="1" thickBot="1">
      <c r="A67" s="23">
        <f>COUNTIF(Res5A,0)</f>
        <v>2</v>
      </c>
      <c r="B67" s="23">
        <f>COUNTIF(Res5A,5)</f>
        <v>0</v>
      </c>
      <c r="C67" s="242" t="str">
        <f>CONCATENATE("You have ",A67," unanswered and ",B67," items that require follow-up in this component")</f>
        <v>You have 2 unanswered and 0 items that require follow-up in this component</v>
      </c>
      <c r="D67" s="24"/>
      <c r="E67" s="25"/>
      <c r="F67" s="24"/>
      <c r="G67" s="25"/>
      <c r="H67" s="24"/>
      <c r="I67" s="25"/>
      <c r="J67" s="24"/>
      <c r="K67" s="25"/>
      <c r="L67" s="24"/>
      <c r="M67" s="23"/>
      <c r="N67" s="23"/>
    </row>
    <row r="68" spans="1:14" s="4" customFormat="1" ht="75" customHeight="1" thickTop="1" thickBot="1">
      <c r="A68" s="634" t="s">
        <v>626</v>
      </c>
      <c r="B68" s="635"/>
      <c r="C68" s="635"/>
      <c r="D68" s="635"/>
      <c r="E68" s="635"/>
      <c r="F68" s="635"/>
      <c r="G68" s="635"/>
      <c r="H68" s="635"/>
      <c r="I68" s="635"/>
      <c r="J68" s="635"/>
      <c r="K68" s="636"/>
      <c r="L68" s="24"/>
      <c r="M68" s="23"/>
      <c r="N68" s="23"/>
    </row>
    <row r="69" spans="1:14" s="4" customFormat="1" ht="14.5" customHeight="1" thickTop="1" thickBot="1">
      <c r="C69" s="241"/>
      <c r="D69" s="241"/>
      <c r="E69" s="241"/>
      <c r="F69" s="241"/>
      <c r="G69" s="241"/>
      <c r="H69" s="241"/>
      <c r="I69" s="241"/>
      <c r="J69" s="241"/>
      <c r="K69" s="241"/>
      <c r="L69" s="24"/>
      <c r="M69" s="23"/>
      <c r="N69" s="23"/>
    </row>
    <row r="70" spans="1:14" s="4" customFormat="1" ht="15" customHeight="1" thickBot="1">
      <c r="A70" s="172"/>
      <c r="B70" s="172"/>
      <c r="C70" s="173" t="str">
        <f>Raw!A107</f>
        <v>Component 5B: Mentoring and Community Support Toward Becoming a Physics Teacher</v>
      </c>
      <c r="D70" s="24">
        <f>COUNTIF(Res5B,1)</f>
        <v>0</v>
      </c>
      <c r="E70" s="25" t="str">
        <f>IFERROR(D70/$L70,"-")</f>
        <v>-</v>
      </c>
      <c r="F70" s="24">
        <f>COUNTIF(Res5B,2)</f>
        <v>0</v>
      </c>
      <c r="G70" s="25" t="str">
        <f>IFERROR(F70/$L70,"-")</f>
        <v>-</v>
      </c>
      <c r="H70" s="24">
        <f>COUNTIF(Res5B,3)</f>
        <v>0</v>
      </c>
      <c r="I70" s="25" t="str">
        <f>IFERROR(H70/$L70,"-")</f>
        <v>-</v>
      </c>
      <c r="J70" s="24">
        <f>COUNTIF(Res5B,4)</f>
        <v>0</v>
      </c>
      <c r="K70" s="25" t="str">
        <f>IFERROR(J70/$L70,"-")</f>
        <v>-</v>
      </c>
      <c r="L70" s="24">
        <f t="shared" si="2"/>
        <v>0</v>
      </c>
      <c r="M70" s="23"/>
      <c r="N70" s="23"/>
    </row>
    <row r="71" spans="1:14" s="4" customFormat="1" ht="15" customHeight="1" thickBot="1">
      <c r="A71" s="23">
        <f>COUNTIF(Res5B,0)</f>
        <v>5</v>
      </c>
      <c r="B71" s="23">
        <f>COUNTIF(Res5B,5)</f>
        <v>0</v>
      </c>
      <c r="C71" s="242" t="str">
        <f>CONCATENATE("You have ",A71," unanswered and ",B71," items that require follow-up in this component")</f>
        <v>You have 5 unanswered and 0 items that require follow-up in this component</v>
      </c>
      <c r="D71" s="24"/>
      <c r="E71" s="25"/>
      <c r="F71" s="24"/>
      <c r="G71" s="25"/>
      <c r="H71" s="24"/>
      <c r="I71" s="25"/>
      <c r="J71" s="24"/>
      <c r="K71" s="25"/>
      <c r="L71" s="24"/>
      <c r="M71" s="23"/>
      <c r="N71" s="23"/>
    </row>
    <row r="72" spans="1:14" s="4" customFormat="1" ht="75" customHeight="1" thickTop="1" thickBot="1">
      <c r="A72" s="634" t="s">
        <v>626</v>
      </c>
      <c r="B72" s="635"/>
      <c r="C72" s="635"/>
      <c r="D72" s="635"/>
      <c r="E72" s="635"/>
      <c r="F72" s="635"/>
      <c r="G72" s="635"/>
      <c r="H72" s="635"/>
      <c r="I72" s="635"/>
      <c r="J72" s="635"/>
      <c r="K72" s="636"/>
      <c r="L72" s="24"/>
      <c r="M72" s="23"/>
      <c r="N72" s="23"/>
    </row>
    <row r="73" spans="1:14" s="4" customFormat="1" ht="14.5" customHeight="1" thickTop="1" thickBot="1">
      <c r="C73" s="241"/>
      <c r="D73" s="241"/>
      <c r="E73" s="241"/>
      <c r="F73" s="241"/>
      <c r="G73" s="241"/>
      <c r="H73" s="241"/>
      <c r="I73" s="241"/>
      <c r="J73" s="241"/>
      <c r="K73" s="241"/>
      <c r="L73" s="24"/>
      <c r="M73" s="23"/>
      <c r="N73" s="23"/>
    </row>
    <row r="74" spans="1:14" s="4" customFormat="1" ht="15" customHeight="1" thickBot="1">
      <c r="A74" s="172"/>
      <c r="B74" s="172"/>
      <c r="C74" s="173" t="str">
        <f>Raw!A114</f>
        <v>Component 5C: In-service Mentoring and Professional Community</v>
      </c>
      <c r="D74" s="24">
        <f>COUNTIF(Res5C,1)</f>
        <v>0</v>
      </c>
      <c r="E74" s="25" t="str">
        <f>IFERROR(D74/$L74,"-")</f>
        <v>-</v>
      </c>
      <c r="F74" s="24">
        <f>COUNTIF(Res5C,2)</f>
        <v>0</v>
      </c>
      <c r="G74" s="25" t="str">
        <f>IFERROR(F74/$L74,"-")</f>
        <v>-</v>
      </c>
      <c r="H74" s="24">
        <f>COUNTIF(Res5C,3)</f>
        <v>0</v>
      </c>
      <c r="I74" s="25" t="str">
        <f>IFERROR(H74/$L74,"-")</f>
        <v>-</v>
      </c>
      <c r="J74" s="24">
        <f>COUNTIF(Res5C,4)</f>
        <v>0</v>
      </c>
      <c r="K74" s="25" t="str">
        <f>IFERROR(J74/$L74,"-")</f>
        <v>-</v>
      </c>
      <c r="L74" s="24">
        <f t="shared" si="2"/>
        <v>0</v>
      </c>
      <c r="M74" s="23"/>
      <c r="N74" s="23"/>
    </row>
    <row r="75" spans="1:14" s="4" customFormat="1" ht="15" customHeight="1" thickBot="1">
      <c r="A75" s="23">
        <f>COUNTIF(Res5C,0)</f>
        <v>4</v>
      </c>
      <c r="B75" s="23">
        <f>COUNTIF(Res5C,5)</f>
        <v>0</v>
      </c>
      <c r="C75" s="242" t="str">
        <f>CONCATENATE("You have ",A75," unanswered and ",B75," items that require follow-up in this component")</f>
        <v>You have 4 unanswered and 0 items that require follow-up in this component</v>
      </c>
      <c r="D75" s="24"/>
      <c r="E75" s="25"/>
      <c r="F75" s="24"/>
      <c r="G75" s="25"/>
      <c r="H75" s="24"/>
      <c r="I75" s="25"/>
      <c r="J75" s="24"/>
      <c r="K75" s="25"/>
      <c r="L75" s="24"/>
      <c r="M75" s="23"/>
      <c r="N75" s="23"/>
    </row>
    <row r="76" spans="1:14" s="4" customFormat="1" ht="75" customHeight="1" thickTop="1" thickBot="1">
      <c r="A76" s="634" t="s">
        <v>626</v>
      </c>
      <c r="B76" s="635"/>
      <c r="C76" s="635"/>
      <c r="D76" s="635"/>
      <c r="E76" s="635"/>
      <c r="F76" s="635"/>
      <c r="G76" s="635"/>
      <c r="H76" s="635"/>
      <c r="I76" s="635"/>
      <c r="J76" s="635"/>
      <c r="K76" s="636"/>
      <c r="L76" s="24"/>
      <c r="M76" s="23"/>
      <c r="N76" s="23"/>
    </row>
    <row r="77" spans="1:14" s="4" customFormat="1" ht="19" customHeight="1" thickTop="1" thickBot="1">
      <c r="C77" s="26"/>
      <c r="D77" s="24"/>
      <c r="E77" s="25"/>
      <c r="F77" s="24"/>
      <c r="G77" s="25"/>
      <c r="H77" s="24"/>
      <c r="I77" s="25"/>
      <c r="J77" s="24"/>
      <c r="K77" s="25"/>
      <c r="L77" s="24"/>
      <c r="M77" s="23"/>
      <c r="N77" s="23"/>
    </row>
    <row r="78" spans="1:14" s="22" customFormat="1" ht="20" thickBot="1">
      <c r="A78" s="100"/>
      <c r="B78" s="100"/>
      <c r="C78" s="100" t="str">
        <f>CONCATENATE(Raw!A120,": ",Raw!B120)</f>
        <v>Standard 6: Program Assessment</v>
      </c>
      <c r="D78" s="28">
        <f>D80+D84+D88</f>
        <v>0</v>
      </c>
      <c r="E78" s="29" t="str">
        <f>IFERROR(D78/$L78,"-")</f>
        <v>-</v>
      </c>
      <c r="F78" s="28">
        <f>F80+F84+F88</f>
        <v>0</v>
      </c>
      <c r="G78" s="29" t="str">
        <f>IFERROR(F78/$L78,"-")</f>
        <v>-</v>
      </c>
      <c r="H78" s="28">
        <f>H80+H84+H88</f>
        <v>0</v>
      </c>
      <c r="I78" s="29" t="str">
        <f>IFERROR(H78/$L78,"-")</f>
        <v>-</v>
      </c>
      <c r="J78" s="28">
        <f>J80+J84+J88</f>
        <v>0</v>
      </c>
      <c r="K78" s="29" t="str">
        <f>IFERROR(J78/$L78,"-")</f>
        <v>-</v>
      </c>
      <c r="L78" s="28">
        <f t="shared" si="2"/>
        <v>0</v>
      </c>
      <c r="M78" s="33"/>
      <c r="N78" s="33"/>
    </row>
    <row r="79" spans="1:14" s="22" customFormat="1" ht="8" customHeight="1" thickBot="1">
      <c r="C79" s="27"/>
      <c r="D79" s="28"/>
      <c r="E79" s="29"/>
      <c r="F79" s="28"/>
      <c r="G79" s="29"/>
      <c r="H79" s="28"/>
      <c r="I79" s="29"/>
      <c r="J79" s="28"/>
      <c r="K79" s="29"/>
      <c r="L79" s="28"/>
      <c r="M79" s="33"/>
      <c r="N79" s="33"/>
    </row>
    <row r="80" spans="1:14" s="4" customFormat="1" ht="14.75" customHeight="1" thickBot="1">
      <c r="A80" s="172"/>
      <c r="B80" s="172"/>
      <c r="C80" s="173" t="str">
        <f>Raw!A122</f>
        <v>Component 6A: Program Outcomes</v>
      </c>
      <c r="D80" s="24">
        <f>COUNTIF(Res6A,1)</f>
        <v>0</v>
      </c>
      <c r="E80" s="25" t="str">
        <f>IFERROR(D80/$L80,"-")</f>
        <v>-</v>
      </c>
      <c r="F80" s="24">
        <f>COUNTIF(Res6A,2)</f>
        <v>0</v>
      </c>
      <c r="G80" s="25" t="str">
        <f>IFERROR(F80/$L80,"-")</f>
        <v>-</v>
      </c>
      <c r="H80" s="24">
        <f>COUNTIF(Res6A,3)</f>
        <v>0</v>
      </c>
      <c r="I80" s="25" t="str">
        <f>IFERROR(H80/$L80,"-")</f>
        <v>-</v>
      </c>
      <c r="J80" s="24">
        <f>COUNTIF(Res6A,4)</f>
        <v>0</v>
      </c>
      <c r="K80" s="25" t="str">
        <f>IFERROR(J80/$L80,"-")</f>
        <v>-</v>
      </c>
      <c r="L80" s="24">
        <f t="shared" si="2"/>
        <v>0</v>
      </c>
      <c r="M80" s="23"/>
      <c r="N80" s="23"/>
    </row>
    <row r="81" spans="1:14" s="4" customFormat="1" ht="14.75" customHeight="1" thickBot="1">
      <c r="A81" s="23">
        <f>COUNTIF(Res6A,0)</f>
        <v>4</v>
      </c>
      <c r="B81" s="23">
        <f>COUNTIF(Res6A,5)</f>
        <v>0</v>
      </c>
      <c r="C81" s="242" t="str">
        <f>CONCATENATE("You have ",A81," unanswered and ",B81," items that require follow-up in this component")</f>
        <v>You have 4 unanswered and 0 items that require follow-up in this component</v>
      </c>
      <c r="D81" s="24"/>
      <c r="E81" s="25"/>
      <c r="F81" s="24"/>
      <c r="G81" s="25"/>
      <c r="H81" s="24"/>
      <c r="I81" s="25"/>
      <c r="J81" s="24"/>
      <c r="K81" s="25"/>
      <c r="L81" s="24"/>
      <c r="M81" s="23"/>
      <c r="N81" s="23"/>
    </row>
    <row r="82" spans="1:14" s="4" customFormat="1" ht="75" customHeight="1" thickTop="1" thickBot="1">
      <c r="A82" s="634" t="s">
        <v>626</v>
      </c>
      <c r="B82" s="635"/>
      <c r="C82" s="635"/>
      <c r="D82" s="635"/>
      <c r="E82" s="635"/>
      <c r="F82" s="635"/>
      <c r="G82" s="635"/>
      <c r="H82" s="635"/>
      <c r="I82" s="635"/>
      <c r="J82" s="635"/>
      <c r="K82" s="636"/>
      <c r="L82" s="24"/>
      <c r="M82" s="23"/>
      <c r="N82" s="23"/>
    </row>
    <row r="83" spans="1:14" s="4" customFormat="1" ht="14.5" customHeight="1" thickTop="1" thickBot="1">
      <c r="C83" s="241"/>
      <c r="D83" s="241"/>
      <c r="E83" s="241"/>
      <c r="F83" s="241"/>
      <c r="G83" s="241"/>
      <c r="H83" s="241"/>
      <c r="I83" s="241"/>
      <c r="J83" s="241"/>
      <c r="K83" s="241"/>
      <c r="L83" s="24"/>
      <c r="M83" s="23"/>
      <c r="N83" s="23"/>
    </row>
    <row r="84" spans="1:14" s="4" customFormat="1" ht="14.5" customHeight="1" thickBot="1">
      <c r="A84" s="172"/>
      <c r="B84" s="172"/>
      <c r="C84" s="173" t="str">
        <f>Raw!A128</f>
        <v>Component 6B: Program Evaluation and Improvement</v>
      </c>
      <c r="D84" s="24">
        <f>COUNTIF(Res6B,1)</f>
        <v>0</v>
      </c>
      <c r="E84" s="25" t="str">
        <f>IFERROR(D84/$L84,"-")</f>
        <v>-</v>
      </c>
      <c r="F84" s="24">
        <f>COUNTIF(Res6B,2)</f>
        <v>0</v>
      </c>
      <c r="G84" s="25" t="str">
        <f>IFERROR(F84/$L84,"-")</f>
        <v>-</v>
      </c>
      <c r="H84" s="24">
        <f>COUNTIF(Res6B,3)</f>
        <v>0</v>
      </c>
      <c r="I84" s="25" t="str">
        <f>IFERROR(H84/$L84,"-")</f>
        <v>-</v>
      </c>
      <c r="J84" s="24">
        <f>COUNTIF(Res6B,4)</f>
        <v>0</v>
      </c>
      <c r="K84" s="25" t="str">
        <f>IFERROR(J84/$L84,"-")</f>
        <v>-</v>
      </c>
      <c r="L84" s="24">
        <f t="shared" si="2"/>
        <v>0</v>
      </c>
      <c r="M84" s="23"/>
      <c r="N84" s="23"/>
    </row>
    <row r="85" spans="1:14" s="4" customFormat="1" ht="14.5" customHeight="1" thickBot="1">
      <c r="A85" s="23">
        <f>COUNTIF(Res6B,0)</f>
        <v>4</v>
      </c>
      <c r="B85" s="23">
        <f>COUNTIF(Res6B,5)</f>
        <v>0</v>
      </c>
      <c r="C85" s="242" t="str">
        <f>CONCATENATE("You have ",A85," unanswered and ",B85," items that require follow-up in this component")</f>
        <v>You have 4 unanswered and 0 items that require follow-up in this component</v>
      </c>
      <c r="D85" s="24"/>
      <c r="E85" s="25"/>
      <c r="F85" s="24"/>
      <c r="G85" s="25"/>
      <c r="H85" s="24"/>
      <c r="I85" s="25"/>
      <c r="J85" s="24"/>
      <c r="K85" s="25"/>
      <c r="L85" s="24"/>
      <c r="M85" s="23"/>
      <c r="N85" s="23"/>
    </row>
    <row r="86" spans="1:14" s="4" customFormat="1" ht="75" customHeight="1" thickTop="1" thickBot="1">
      <c r="A86" s="634" t="s">
        <v>626</v>
      </c>
      <c r="B86" s="635"/>
      <c r="C86" s="635"/>
      <c r="D86" s="635"/>
      <c r="E86" s="635"/>
      <c r="F86" s="635"/>
      <c r="G86" s="635"/>
      <c r="H86" s="635"/>
      <c r="I86" s="635"/>
      <c r="J86" s="635"/>
      <c r="K86" s="636"/>
      <c r="L86" s="24"/>
      <c r="M86" s="23"/>
      <c r="N86" s="23"/>
    </row>
    <row r="87" spans="1:14" s="4" customFormat="1" ht="14.5" customHeight="1" thickTop="1" thickBot="1">
      <c r="C87" s="241"/>
      <c r="D87" s="241"/>
      <c r="E87" s="241"/>
      <c r="F87" s="241"/>
      <c r="G87" s="241"/>
      <c r="H87" s="241"/>
      <c r="I87" s="241"/>
      <c r="J87" s="241"/>
      <c r="K87" s="241"/>
      <c r="L87" s="24"/>
      <c r="M87" s="23"/>
      <c r="N87" s="23"/>
    </row>
    <row r="88" spans="1:14" s="4" customFormat="1" ht="14.5" customHeight="1" thickBot="1">
      <c r="A88" s="172"/>
      <c r="B88" s="172"/>
      <c r="C88" s="173" t="str">
        <f>Raw!A134</f>
        <v>Component 6C: Communication to Stakeholders</v>
      </c>
      <c r="D88" s="24">
        <f>COUNTIF(Res6C,1)</f>
        <v>0</v>
      </c>
      <c r="E88" s="25" t="str">
        <f>IFERROR(D88/$L88,"-")</f>
        <v>-</v>
      </c>
      <c r="F88" s="24">
        <f>COUNTIF(Res6C,2)</f>
        <v>0</v>
      </c>
      <c r="G88" s="25" t="str">
        <f>IFERROR(F88/$L88,"-")</f>
        <v>-</v>
      </c>
      <c r="H88" s="24">
        <f>COUNTIF(Res6C,3)</f>
        <v>0</v>
      </c>
      <c r="I88" s="25" t="str">
        <f>IFERROR(H88/$L88,"-")</f>
        <v>-</v>
      </c>
      <c r="J88" s="24">
        <f>COUNTIF(Res6C,4)</f>
        <v>0</v>
      </c>
      <c r="K88" s="25" t="str">
        <f>IFERROR(J88/$L88,"-")</f>
        <v>-</v>
      </c>
      <c r="L88" s="24">
        <f t="shared" si="2"/>
        <v>0</v>
      </c>
      <c r="M88" s="23"/>
      <c r="N88" s="23"/>
    </row>
    <row r="89" spans="1:14" ht="16" thickBot="1">
      <c r="A89" s="23">
        <f>COUNTIF(Res6C,0)</f>
        <v>4</v>
      </c>
      <c r="B89" s="23">
        <f>COUNTIF(Res6C,5)</f>
        <v>0</v>
      </c>
      <c r="C89" s="242" t="str">
        <f>CONCATENATE("You have ",A89," unanswered and ",B89," items that require follow-up in this component")</f>
        <v>You have 4 unanswered and 0 items that require follow-up in this component</v>
      </c>
      <c r="D89" s="24"/>
      <c r="E89" s="25"/>
      <c r="F89" s="24"/>
      <c r="G89" s="25"/>
      <c r="H89" s="24"/>
      <c r="I89" s="25"/>
      <c r="J89" s="24"/>
      <c r="K89" s="25"/>
      <c r="L89" s="4"/>
      <c r="M89" s="4"/>
      <c r="N89" s="4"/>
    </row>
    <row r="90" spans="1:14" ht="75" customHeight="1" thickTop="1" thickBot="1">
      <c r="A90" s="634" t="s">
        <v>626</v>
      </c>
      <c r="B90" s="635"/>
      <c r="C90" s="635"/>
      <c r="D90" s="635"/>
      <c r="E90" s="635"/>
      <c r="F90" s="635"/>
      <c r="G90" s="635"/>
      <c r="H90" s="635"/>
      <c r="I90" s="635"/>
      <c r="J90" s="635"/>
      <c r="K90" s="636"/>
      <c r="L90" s="4"/>
      <c r="M90" s="4"/>
      <c r="N90" s="4"/>
    </row>
    <row r="91" spans="1:14" ht="16" thickTop="1">
      <c r="C91" s="10"/>
      <c r="D91" s="10"/>
      <c r="E91" s="11"/>
      <c r="F91" s="10"/>
      <c r="G91" s="11"/>
      <c r="H91" s="10"/>
      <c r="I91" s="11"/>
      <c r="J91" s="12"/>
      <c r="K91" s="13"/>
      <c r="L91" s="4"/>
      <c r="M91" s="4"/>
      <c r="N91" s="4"/>
    </row>
    <row r="92" spans="1:14">
      <c r="C92" s="10"/>
      <c r="D92" s="10"/>
      <c r="E92" s="11"/>
      <c r="F92" s="10"/>
      <c r="G92" s="11"/>
      <c r="H92" s="10"/>
      <c r="I92" s="11"/>
      <c r="J92" s="12"/>
      <c r="K92" s="13"/>
      <c r="L92" s="4"/>
      <c r="M92" s="4"/>
      <c r="N92" s="4"/>
    </row>
    <row r="93" spans="1:14">
      <c r="C93" s="10"/>
      <c r="D93" s="10"/>
      <c r="E93" s="11"/>
      <c r="F93" s="10"/>
      <c r="G93" s="11"/>
      <c r="H93" s="10"/>
      <c r="I93" s="11"/>
      <c r="J93" s="12"/>
      <c r="K93" s="13"/>
      <c r="L93" s="4"/>
      <c r="M93" s="4"/>
      <c r="N93" s="4"/>
    </row>
    <row r="94" spans="1:14">
      <c r="C94" s="10"/>
      <c r="D94" s="10"/>
      <c r="E94" s="11"/>
      <c r="F94" s="10"/>
      <c r="G94" s="11"/>
      <c r="H94" s="10"/>
      <c r="I94" s="11"/>
      <c r="J94" s="12"/>
      <c r="K94" s="13"/>
      <c r="L94" s="4"/>
      <c r="M94" s="4"/>
      <c r="N94" s="4"/>
    </row>
    <row r="95" spans="1:14">
      <c r="C95" s="10"/>
      <c r="D95" s="10"/>
      <c r="E95" s="11"/>
      <c r="F95" s="10"/>
      <c r="G95" s="11"/>
      <c r="H95" s="10"/>
      <c r="I95" s="11"/>
      <c r="J95" s="12"/>
      <c r="K95" s="13"/>
      <c r="L95" s="4"/>
      <c r="M95" s="4"/>
      <c r="N95" s="4"/>
    </row>
    <row r="96" spans="1:14">
      <c r="C96" s="10"/>
      <c r="D96" s="10"/>
      <c r="E96" s="11"/>
      <c r="F96" s="10"/>
      <c r="G96" s="11"/>
      <c r="H96" s="10"/>
      <c r="I96" s="11"/>
      <c r="J96" s="12"/>
      <c r="K96" s="13"/>
      <c r="L96" s="4"/>
      <c r="M96" s="4"/>
      <c r="N96" s="4"/>
    </row>
    <row r="97" spans="3:14">
      <c r="C97" s="10"/>
      <c r="D97" s="10"/>
      <c r="E97" s="11"/>
      <c r="F97" s="10"/>
      <c r="G97" s="11"/>
      <c r="H97" s="10"/>
      <c r="I97" s="11"/>
      <c r="J97" s="12"/>
      <c r="K97" s="13"/>
      <c r="L97" s="4"/>
      <c r="M97" s="4"/>
      <c r="N97" s="4"/>
    </row>
    <row r="98" spans="3:14">
      <c r="C98" s="10"/>
      <c r="D98" s="10"/>
      <c r="E98" s="11"/>
      <c r="F98" s="10"/>
      <c r="G98" s="11"/>
      <c r="H98" s="10"/>
      <c r="I98" s="11"/>
      <c r="J98" s="12"/>
      <c r="K98" s="13"/>
      <c r="L98" s="4"/>
      <c r="M98" s="4"/>
      <c r="N98" s="4"/>
    </row>
    <row r="99" spans="3:14">
      <c r="C99" s="10"/>
      <c r="D99" s="10"/>
      <c r="E99" s="11"/>
      <c r="F99" s="10"/>
      <c r="G99" s="11"/>
      <c r="H99" s="10"/>
      <c r="I99" s="11"/>
      <c r="J99" s="12"/>
      <c r="K99" s="13"/>
      <c r="L99" s="4"/>
      <c r="M99" s="4"/>
      <c r="N99" s="4"/>
    </row>
    <row r="100" spans="3:14">
      <c r="C100" s="10"/>
      <c r="D100" s="10"/>
      <c r="E100" s="11"/>
      <c r="F100" s="10"/>
      <c r="G100" s="11"/>
      <c r="H100" s="10"/>
      <c r="I100" s="11"/>
      <c r="J100" s="12"/>
      <c r="K100" s="13"/>
      <c r="L100" s="4"/>
      <c r="M100" s="4"/>
      <c r="N100" s="4"/>
    </row>
    <row r="101" spans="3:14">
      <c r="C101" s="10"/>
      <c r="D101" s="10"/>
      <c r="E101" s="11"/>
      <c r="F101" s="10"/>
      <c r="G101" s="11"/>
      <c r="H101" s="10"/>
      <c r="I101" s="11"/>
      <c r="J101" s="12"/>
      <c r="K101" s="13"/>
      <c r="L101" s="4"/>
      <c r="M101" s="4"/>
      <c r="N101" s="4"/>
    </row>
    <row r="102" spans="3:14">
      <c r="C102" s="10"/>
      <c r="D102" s="10"/>
      <c r="E102" s="11"/>
      <c r="F102" s="10"/>
      <c r="G102" s="11"/>
      <c r="H102" s="10"/>
      <c r="I102" s="11"/>
      <c r="J102" s="12"/>
      <c r="K102" s="13"/>
      <c r="L102" s="4"/>
      <c r="M102" s="4"/>
      <c r="N102" s="4"/>
    </row>
    <row r="103" spans="3:14">
      <c r="C103" s="10"/>
      <c r="D103" s="10"/>
      <c r="E103" s="11"/>
      <c r="F103" s="10"/>
      <c r="G103" s="11"/>
      <c r="H103" s="10"/>
      <c r="I103" s="11"/>
      <c r="J103" s="12"/>
      <c r="K103" s="13"/>
      <c r="L103" s="4"/>
      <c r="M103" s="4"/>
      <c r="N103" s="4"/>
    </row>
    <row r="104" spans="3:14">
      <c r="C104" s="10"/>
      <c r="D104" s="10"/>
      <c r="E104" s="11"/>
      <c r="F104" s="10"/>
      <c r="G104" s="11"/>
      <c r="H104" s="10"/>
      <c r="I104" s="11"/>
      <c r="J104" s="12"/>
      <c r="K104" s="13"/>
      <c r="L104" s="4"/>
      <c r="M104" s="4"/>
      <c r="N104" s="4"/>
    </row>
    <row r="105" spans="3:14">
      <c r="C105" s="10"/>
      <c r="D105" s="10"/>
      <c r="E105" s="11"/>
      <c r="F105" s="10"/>
      <c r="G105" s="11"/>
      <c r="H105" s="10"/>
      <c r="I105" s="11"/>
      <c r="J105" s="12"/>
      <c r="K105" s="13"/>
      <c r="L105" s="4"/>
      <c r="M105" s="4"/>
      <c r="N105" s="4"/>
    </row>
    <row r="106" spans="3:14">
      <c r="C106" s="10"/>
      <c r="D106" s="10"/>
      <c r="E106" s="11"/>
      <c r="F106" s="10"/>
      <c r="G106" s="11"/>
      <c r="H106" s="10"/>
      <c r="I106" s="11"/>
      <c r="J106" s="12"/>
      <c r="K106" s="13"/>
      <c r="L106" s="4"/>
      <c r="M106" s="4"/>
      <c r="N106" s="4"/>
    </row>
    <row r="107" spans="3:14">
      <c r="C107" s="10"/>
      <c r="D107" s="10"/>
      <c r="E107" s="11"/>
      <c r="F107" s="10"/>
      <c r="G107" s="11"/>
      <c r="H107" s="10"/>
      <c r="I107" s="11"/>
      <c r="J107" s="12"/>
      <c r="K107" s="13"/>
      <c r="L107" s="4"/>
      <c r="M107" s="4"/>
      <c r="N107" s="4"/>
    </row>
    <row r="108" spans="3:14">
      <c r="C108" s="10"/>
      <c r="D108" s="10"/>
      <c r="E108" s="11"/>
      <c r="F108" s="10"/>
      <c r="G108" s="11"/>
      <c r="H108" s="10"/>
      <c r="I108" s="11"/>
      <c r="J108" s="12"/>
      <c r="K108" s="13"/>
      <c r="L108" s="4"/>
      <c r="M108" s="4"/>
      <c r="N108" s="4"/>
    </row>
    <row r="109" spans="3:14">
      <c r="C109" s="10"/>
      <c r="D109" s="10"/>
      <c r="E109" s="11"/>
      <c r="F109" s="10"/>
      <c r="G109" s="11"/>
      <c r="H109" s="10"/>
      <c r="I109" s="11"/>
      <c r="J109" s="12"/>
      <c r="K109" s="13"/>
      <c r="L109" s="4"/>
      <c r="M109" s="4"/>
      <c r="N109" s="4"/>
    </row>
    <row r="110" spans="3:14">
      <c r="C110" s="10"/>
      <c r="D110" s="10"/>
      <c r="E110" s="11"/>
      <c r="F110" s="10"/>
      <c r="G110" s="11"/>
      <c r="H110" s="10"/>
      <c r="I110" s="11"/>
      <c r="J110" s="12"/>
      <c r="K110" s="13"/>
      <c r="L110" s="4"/>
      <c r="M110" s="4"/>
      <c r="N110" s="4"/>
    </row>
    <row r="111" spans="3:14">
      <c r="C111" s="10"/>
      <c r="D111" s="10"/>
      <c r="E111" s="11"/>
      <c r="F111" s="10"/>
      <c r="G111" s="11"/>
      <c r="H111" s="10"/>
      <c r="I111" s="11"/>
      <c r="J111" s="12"/>
      <c r="K111" s="13"/>
      <c r="L111" s="4"/>
      <c r="M111" s="4"/>
      <c r="N111" s="4"/>
    </row>
    <row r="112" spans="3:14">
      <c r="C112" s="10"/>
      <c r="D112" s="10"/>
      <c r="E112" s="11"/>
      <c r="F112" s="10"/>
      <c r="G112" s="11"/>
      <c r="H112" s="10"/>
      <c r="I112" s="11"/>
      <c r="J112" s="12"/>
      <c r="K112" s="13"/>
      <c r="L112" s="4"/>
      <c r="M112" s="4"/>
      <c r="N112" s="4"/>
    </row>
    <row r="113" spans="3:14">
      <c r="C113" s="10"/>
      <c r="D113" s="10"/>
      <c r="E113" s="11"/>
      <c r="F113" s="10"/>
      <c r="G113" s="11"/>
      <c r="H113" s="10"/>
      <c r="I113" s="11"/>
      <c r="J113" s="12"/>
      <c r="K113" s="13"/>
      <c r="L113" s="4"/>
      <c r="M113" s="4"/>
      <c r="N113" s="4"/>
    </row>
    <row r="114" spans="3:14">
      <c r="C114" s="10"/>
      <c r="D114" s="10"/>
      <c r="E114" s="11"/>
      <c r="F114" s="10"/>
      <c r="G114" s="11"/>
      <c r="H114" s="10"/>
      <c r="I114" s="11"/>
      <c r="J114" s="12"/>
      <c r="K114" s="13"/>
      <c r="L114" s="4"/>
      <c r="M114" s="4"/>
      <c r="N114" s="4"/>
    </row>
    <row r="115" spans="3:14">
      <c r="C115" s="10"/>
      <c r="D115" s="10"/>
      <c r="E115" s="11"/>
      <c r="F115" s="10"/>
      <c r="G115" s="11"/>
      <c r="H115" s="10"/>
      <c r="I115" s="11"/>
      <c r="J115" s="12"/>
      <c r="K115" s="13"/>
      <c r="L115" s="4"/>
      <c r="M115" s="4"/>
      <c r="N115" s="4"/>
    </row>
    <row r="116" spans="3:14">
      <c r="C116" s="10"/>
      <c r="D116" s="10"/>
      <c r="E116" s="11"/>
      <c r="F116" s="10"/>
      <c r="G116" s="11"/>
      <c r="H116" s="10"/>
      <c r="I116" s="11"/>
      <c r="J116" s="12"/>
      <c r="K116" s="13"/>
      <c r="L116" s="4"/>
      <c r="M116" s="4"/>
      <c r="N116" s="4"/>
    </row>
    <row r="117" spans="3:14">
      <c r="C117" s="10"/>
      <c r="D117" s="10"/>
      <c r="E117" s="11"/>
      <c r="F117" s="10"/>
      <c r="G117" s="11"/>
      <c r="H117" s="10"/>
      <c r="I117" s="11"/>
      <c r="J117" s="12"/>
      <c r="K117" s="13"/>
      <c r="L117" s="4"/>
      <c r="M117" s="4"/>
      <c r="N117" s="4"/>
    </row>
    <row r="118" spans="3:14">
      <c r="C118" s="10"/>
      <c r="D118" s="10"/>
      <c r="E118" s="11"/>
      <c r="F118" s="10"/>
      <c r="G118" s="11"/>
      <c r="H118" s="10"/>
      <c r="I118" s="11"/>
      <c r="J118" s="12"/>
      <c r="K118" s="13"/>
      <c r="L118" s="4"/>
      <c r="M118" s="4"/>
      <c r="N118" s="4"/>
    </row>
    <row r="119" spans="3:14">
      <c r="C119" s="10"/>
      <c r="D119" s="10"/>
      <c r="E119" s="11"/>
      <c r="F119" s="10"/>
      <c r="G119" s="11"/>
      <c r="H119" s="10"/>
      <c r="I119" s="11"/>
      <c r="J119" s="12"/>
      <c r="K119" s="13"/>
      <c r="L119" s="4"/>
      <c r="M119" s="4"/>
      <c r="N119" s="4"/>
    </row>
    <row r="120" spans="3:14">
      <c r="C120" s="10"/>
      <c r="D120" s="10"/>
      <c r="E120" s="11"/>
      <c r="F120" s="10"/>
      <c r="G120" s="11"/>
      <c r="H120" s="10"/>
      <c r="I120" s="11"/>
      <c r="J120" s="12"/>
      <c r="K120" s="13"/>
      <c r="L120" s="4"/>
      <c r="M120" s="4"/>
      <c r="N120" s="4"/>
    </row>
    <row r="121" spans="3:14">
      <c r="C121" s="10"/>
      <c r="D121" s="10"/>
      <c r="E121" s="11"/>
      <c r="F121" s="10"/>
      <c r="G121" s="11"/>
      <c r="H121" s="10"/>
      <c r="I121" s="11"/>
      <c r="J121" s="12"/>
      <c r="K121" s="13"/>
      <c r="L121" s="4"/>
      <c r="M121" s="4"/>
      <c r="N121" s="4"/>
    </row>
    <row r="122" spans="3:14">
      <c r="C122" s="10"/>
      <c r="D122" s="10"/>
      <c r="E122" s="11"/>
      <c r="F122" s="10"/>
      <c r="G122" s="11"/>
      <c r="H122" s="10"/>
      <c r="I122" s="11"/>
      <c r="J122" s="12"/>
      <c r="K122" s="13"/>
      <c r="L122" s="4"/>
      <c r="M122" s="4"/>
      <c r="N122" s="4"/>
    </row>
    <row r="123" spans="3:14">
      <c r="C123" s="10"/>
      <c r="D123" s="10"/>
      <c r="E123" s="11"/>
      <c r="F123" s="10"/>
      <c r="G123" s="11"/>
      <c r="H123" s="10"/>
      <c r="I123" s="11"/>
      <c r="J123" s="12"/>
      <c r="K123" s="13"/>
      <c r="L123" s="4"/>
      <c r="M123" s="4"/>
      <c r="N123" s="4"/>
    </row>
    <row r="124" spans="3:14">
      <c r="C124" s="10"/>
      <c r="D124" s="10"/>
      <c r="E124" s="11"/>
      <c r="F124" s="10"/>
      <c r="G124" s="11"/>
      <c r="H124" s="10"/>
      <c r="I124" s="11"/>
      <c r="J124" s="12"/>
      <c r="K124" s="13"/>
      <c r="L124" s="4"/>
      <c r="M124" s="4"/>
      <c r="N124" s="4"/>
    </row>
    <row r="125" spans="3:14">
      <c r="C125" s="10"/>
      <c r="D125" s="10"/>
      <c r="E125" s="11"/>
      <c r="F125" s="10"/>
      <c r="G125" s="11"/>
      <c r="H125" s="10"/>
      <c r="I125" s="11"/>
      <c r="J125" s="12"/>
      <c r="K125" s="13"/>
      <c r="L125" s="4"/>
      <c r="M125" s="4"/>
      <c r="N125" s="4"/>
    </row>
    <row r="126" spans="3:14">
      <c r="C126" s="10"/>
      <c r="D126" s="10"/>
      <c r="E126" s="11"/>
      <c r="F126" s="10"/>
      <c r="G126" s="11"/>
      <c r="H126" s="10"/>
      <c r="I126" s="11"/>
      <c r="J126" s="12"/>
      <c r="K126" s="13"/>
      <c r="L126" s="4"/>
      <c r="M126" s="4"/>
      <c r="N126" s="4"/>
    </row>
    <row r="127" spans="3:14">
      <c r="C127" s="10"/>
      <c r="D127" s="10"/>
      <c r="E127" s="11"/>
      <c r="F127" s="10"/>
      <c r="G127" s="11"/>
      <c r="H127" s="10"/>
      <c r="I127" s="11"/>
      <c r="J127" s="12"/>
      <c r="K127" s="13"/>
      <c r="L127" s="4"/>
      <c r="M127" s="4"/>
      <c r="N127" s="4"/>
    </row>
    <row r="128" spans="3:14">
      <c r="C128" s="10"/>
      <c r="D128" s="10"/>
      <c r="E128" s="11"/>
      <c r="F128" s="10"/>
      <c r="G128" s="11"/>
      <c r="H128" s="10"/>
      <c r="I128" s="11"/>
      <c r="J128" s="12"/>
      <c r="K128" s="13"/>
      <c r="L128" s="4"/>
      <c r="M128" s="4"/>
      <c r="N128" s="4"/>
    </row>
    <row r="129" spans="3:14">
      <c r="C129" s="10"/>
      <c r="D129" s="10"/>
      <c r="E129" s="11"/>
      <c r="F129" s="10"/>
      <c r="G129" s="11"/>
      <c r="H129" s="10"/>
      <c r="I129" s="11"/>
      <c r="J129" s="12"/>
      <c r="K129" s="13"/>
      <c r="L129" s="4"/>
      <c r="M129" s="4"/>
      <c r="N129" s="4"/>
    </row>
    <row r="130" spans="3:14">
      <c r="C130" s="10"/>
      <c r="D130" s="10"/>
      <c r="E130" s="11"/>
      <c r="F130" s="10"/>
      <c r="G130" s="11"/>
      <c r="H130" s="10"/>
      <c r="I130" s="11"/>
      <c r="J130" s="12"/>
      <c r="K130" s="13"/>
      <c r="L130" s="4"/>
      <c r="M130" s="4"/>
      <c r="N130" s="4"/>
    </row>
    <row r="131" spans="3:14">
      <c r="C131" s="10"/>
      <c r="D131" s="10"/>
      <c r="E131" s="11"/>
      <c r="F131" s="10"/>
      <c r="G131" s="11"/>
      <c r="H131" s="10"/>
      <c r="I131" s="11"/>
      <c r="J131" s="12"/>
      <c r="K131" s="13"/>
      <c r="L131" s="4"/>
      <c r="M131" s="4"/>
      <c r="N131" s="4"/>
    </row>
    <row r="132" spans="3:14">
      <c r="C132" s="10"/>
      <c r="D132" s="10"/>
      <c r="E132" s="11"/>
      <c r="F132" s="10"/>
      <c r="G132" s="11"/>
      <c r="H132" s="10"/>
      <c r="I132" s="11"/>
      <c r="J132" s="12"/>
      <c r="K132" s="13"/>
      <c r="L132" s="4"/>
      <c r="M132" s="4"/>
      <c r="N132" s="4"/>
    </row>
    <row r="133" spans="3:14">
      <c r="C133" s="10"/>
      <c r="D133" s="10"/>
      <c r="E133" s="11"/>
      <c r="F133" s="10"/>
      <c r="G133" s="11"/>
      <c r="H133" s="10"/>
      <c r="I133" s="11"/>
      <c r="J133" s="12"/>
      <c r="K133" s="13"/>
      <c r="L133" s="4"/>
      <c r="M133" s="4"/>
      <c r="N133" s="4"/>
    </row>
    <row r="134" spans="3:14">
      <c r="C134" s="10"/>
      <c r="D134" s="10"/>
      <c r="E134" s="11"/>
      <c r="F134" s="10"/>
      <c r="G134" s="11"/>
      <c r="H134" s="10"/>
      <c r="I134" s="11"/>
      <c r="J134" s="12"/>
      <c r="K134" s="13"/>
      <c r="L134" s="4"/>
      <c r="M134" s="4"/>
      <c r="N134" s="4"/>
    </row>
    <row r="135" spans="3:14">
      <c r="C135" s="10"/>
      <c r="D135" s="10"/>
      <c r="E135" s="11"/>
      <c r="F135" s="10"/>
      <c r="G135" s="11"/>
      <c r="H135" s="10"/>
      <c r="I135" s="11"/>
      <c r="J135" s="12"/>
      <c r="K135" s="13"/>
      <c r="L135" s="4"/>
      <c r="M135" s="4"/>
      <c r="N135" s="4"/>
    </row>
    <row r="136" spans="3:14">
      <c r="C136" s="10"/>
      <c r="D136" s="10"/>
      <c r="E136" s="11"/>
      <c r="F136" s="10"/>
      <c r="G136" s="11"/>
      <c r="H136" s="10"/>
      <c r="I136" s="11"/>
      <c r="J136" s="12"/>
      <c r="K136" s="13"/>
      <c r="L136" s="4"/>
      <c r="M136" s="4"/>
      <c r="N136" s="4"/>
    </row>
    <row r="137" spans="3:14">
      <c r="C137" s="10"/>
      <c r="D137" s="10"/>
      <c r="E137" s="11"/>
      <c r="F137" s="10"/>
      <c r="G137" s="11"/>
      <c r="H137" s="10"/>
      <c r="I137" s="11"/>
      <c r="J137" s="12"/>
      <c r="K137" s="13"/>
      <c r="L137" s="4"/>
      <c r="M137" s="4"/>
      <c r="N137" s="4"/>
    </row>
    <row r="138" spans="3:14">
      <c r="C138" s="10"/>
      <c r="D138" s="10"/>
      <c r="E138" s="11"/>
      <c r="F138" s="10"/>
      <c r="G138" s="11"/>
      <c r="H138" s="10"/>
      <c r="I138" s="11"/>
      <c r="J138" s="12"/>
      <c r="K138" s="13"/>
      <c r="L138" s="4"/>
      <c r="M138" s="4"/>
      <c r="N138" s="4"/>
    </row>
    <row r="139" spans="3:14">
      <c r="C139" s="10"/>
      <c r="D139" s="10"/>
      <c r="E139" s="11"/>
      <c r="F139" s="10"/>
      <c r="G139" s="11"/>
      <c r="H139" s="10"/>
      <c r="I139" s="11"/>
      <c r="J139" s="12"/>
      <c r="K139" s="13"/>
      <c r="L139" s="4"/>
      <c r="M139" s="4"/>
      <c r="N139" s="4"/>
    </row>
    <row r="140" spans="3:14">
      <c r="C140" s="10"/>
      <c r="D140" s="10"/>
      <c r="E140" s="11"/>
      <c r="F140" s="10"/>
      <c r="G140" s="11"/>
      <c r="H140" s="10"/>
      <c r="I140" s="11"/>
      <c r="J140" s="12"/>
      <c r="K140" s="13"/>
      <c r="L140" s="4"/>
      <c r="M140" s="4"/>
      <c r="N140" s="4"/>
    </row>
    <row r="141" spans="3:14">
      <c r="C141" s="10"/>
      <c r="D141" s="10"/>
      <c r="E141" s="11"/>
      <c r="F141" s="10"/>
      <c r="G141" s="11"/>
      <c r="H141" s="10"/>
      <c r="I141" s="11"/>
      <c r="J141" s="12"/>
      <c r="K141" s="13"/>
      <c r="L141" s="4"/>
      <c r="M141" s="4"/>
      <c r="N141" s="4"/>
    </row>
    <row r="142" spans="3:14">
      <c r="C142" s="10"/>
      <c r="D142" s="10"/>
      <c r="E142" s="11"/>
      <c r="F142" s="10"/>
      <c r="G142" s="11"/>
      <c r="H142" s="10"/>
      <c r="I142" s="11"/>
      <c r="J142" s="12"/>
      <c r="K142" s="13"/>
      <c r="L142" s="4"/>
      <c r="M142" s="4"/>
      <c r="N142" s="4"/>
    </row>
    <row r="143" spans="3:14">
      <c r="C143" s="10"/>
      <c r="D143" s="10"/>
      <c r="E143" s="11"/>
      <c r="F143" s="10"/>
      <c r="G143" s="11"/>
      <c r="H143" s="10"/>
      <c r="I143" s="11"/>
      <c r="J143" s="12"/>
      <c r="K143" s="13"/>
      <c r="L143" s="4"/>
      <c r="M143" s="4"/>
      <c r="N143" s="4"/>
    </row>
    <row r="144" spans="3:14">
      <c r="C144" s="10"/>
      <c r="D144" s="10"/>
      <c r="E144" s="11"/>
      <c r="F144" s="10"/>
      <c r="G144" s="11"/>
      <c r="H144" s="10"/>
      <c r="I144" s="11"/>
      <c r="J144" s="12"/>
      <c r="K144" s="13"/>
      <c r="L144" s="4"/>
      <c r="M144" s="4"/>
      <c r="N144" s="4"/>
    </row>
    <row r="145" spans="3:14">
      <c r="C145" s="10"/>
      <c r="D145" s="10"/>
      <c r="E145" s="11"/>
      <c r="F145" s="10"/>
      <c r="G145" s="11"/>
      <c r="H145" s="10"/>
      <c r="I145" s="11"/>
      <c r="J145" s="12"/>
      <c r="K145" s="13"/>
      <c r="L145" s="4"/>
      <c r="M145" s="4"/>
      <c r="N145" s="4"/>
    </row>
    <row r="146" spans="3:14">
      <c r="C146" s="10"/>
      <c r="D146" s="10"/>
      <c r="E146" s="11"/>
      <c r="F146" s="10"/>
      <c r="G146" s="11"/>
      <c r="H146" s="10"/>
      <c r="I146" s="11"/>
      <c r="J146" s="12"/>
      <c r="K146" s="13"/>
      <c r="L146" s="4"/>
      <c r="M146" s="4"/>
      <c r="N146" s="4"/>
    </row>
    <row r="147" spans="3:14">
      <c r="C147" s="10"/>
      <c r="D147" s="10"/>
      <c r="E147" s="11"/>
      <c r="F147" s="10"/>
      <c r="G147" s="11"/>
      <c r="H147" s="10"/>
      <c r="I147" s="11"/>
      <c r="J147" s="12"/>
      <c r="K147" s="13"/>
      <c r="L147" s="4"/>
      <c r="M147" s="4"/>
      <c r="N147" s="4"/>
    </row>
    <row r="148" spans="3:14">
      <c r="C148" s="10"/>
      <c r="D148" s="10"/>
      <c r="E148" s="11"/>
      <c r="F148" s="10"/>
      <c r="G148" s="11"/>
      <c r="H148" s="10"/>
      <c r="I148" s="11"/>
      <c r="J148" s="12"/>
      <c r="K148" s="13"/>
      <c r="L148" s="4"/>
      <c r="M148" s="4"/>
      <c r="N148" s="4"/>
    </row>
    <row r="149" spans="3:14">
      <c r="C149" s="10"/>
      <c r="D149" s="10"/>
      <c r="E149" s="11"/>
      <c r="F149" s="10"/>
      <c r="G149" s="11"/>
      <c r="H149" s="10"/>
      <c r="I149" s="11"/>
      <c r="J149" s="12"/>
      <c r="K149" s="13"/>
      <c r="L149" s="4"/>
      <c r="M149" s="4"/>
      <c r="N149" s="4"/>
    </row>
    <row r="150" spans="3:14">
      <c r="C150" s="10"/>
      <c r="D150" s="10"/>
      <c r="E150" s="11"/>
      <c r="F150" s="10"/>
      <c r="G150" s="11"/>
      <c r="H150" s="10"/>
      <c r="I150" s="11"/>
      <c r="J150" s="12"/>
      <c r="K150" s="13"/>
      <c r="L150" s="4"/>
      <c r="M150" s="4"/>
      <c r="N150" s="4"/>
    </row>
    <row r="151" spans="3:14">
      <c r="C151" s="10"/>
      <c r="D151" s="10"/>
      <c r="E151" s="11"/>
      <c r="F151" s="10"/>
      <c r="G151" s="11"/>
      <c r="H151" s="10"/>
      <c r="I151" s="11"/>
      <c r="J151" s="12"/>
      <c r="K151" s="13"/>
      <c r="L151" s="4"/>
      <c r="M151" s="4"/>
      <c r="N151" s="4"/>
    </row>
    <row r="152" spans="3:14">
      <c r="C152" s="10"/>
      <c r="D152" s="10"/>
      <c r="E152" s="11"/>
      <c r="F152" s="10"/>
      <c r="G152" s="11"/>
      <c r="H152" s="10"/>
      <c r="I152" s="11"/>
      <c r="J152" s="12"/>
      <c r="K152" s="13"/>
      <c r="L152" s="4"/>
      <c r="M152" s="4"/>
      <c r="N152" s="4"/>
    </row>
    <row r="153" spans="3:14">
      <c r="C153" s="10"/>
      <c r="D153" s="10"/>
      <c r="E153" s="11"/>
      <c r="F153" s="10"/>
      <c r="G153" s="11"/>
      <c r="H153" s="10"/>
      <c r="I153" s="11"/>
      <c r="J153" s="12"/>
      <c r="K153" s="13"/>
      <c r="L153" s="4"/>
      <c r="M153" s="4"/>
      <c r="N153" s="4"/>
    </row>
    <row r="154" spans="3:14">
      <c r="C154" s="10"/>
      <c r="D154" s="10"/>
      <c r="E154" s="11"/>
      <c r="F154" s="10"/>
      <c r="G154" s="11"/>
      <c r="H154" s="10"/>
      <c r="I154" s="11"/>
      <c r="J154" s="12"/>
      <c r="K154" s="13"/>
      <c r="L154" s="4"/>
      <c r="M154" s="4"/>
      <c r="N154" s="4"/>
    </row>
    <row r="155" spans="3:14">
      <c r="C155" s="10"/>
      <c r="D155" s="10"/>
      <c r="E155" s="11"/>
      <c r="F155" s="10"/>
      <c r="G155" s="11"/>
      <c r="H155" s="10"/>
      <c r="I155" s="11"/>
      <c r="J155" s="12"/>
      <c r="K155" s="13"/>
      <c r="L155" s="4"/>
      <c r="M155" s="4"/>
      <c r="N155" s="4"/>
    </row>
    <row r="156" spans="3:14">
      <c r="C156" s="10"/>
      <c r="D156" s="10"/>
      <c r="E156" s="11"/>
      <c r="F156" s="10"/>
      <c r="G156" s="11"/>
      <c r="H156" s="10"/>
      <c r="I156" s="11"/>
      <c r="J156" s="12"/>
      <c r="K156" s="13"/>
      <c r="L156" s="4"/>
      <c r="M156" s="4"/>
      <c r="N156" s="4"/>
    </row>
    <row r="157" spans="3:14">
      <c r="C157" s="10"/>
      <c r="D157" s="10"/>
      <c r="E157" s="11"/>
      <c r="F157" s="10"/>
      <c r="G157" s="11"/>
      <c r="H157" s="10"/>
      <c r="I157" s="11"/>
      <c r="J157" s="12"/>
      <c r="K157" s="13"/>
      <c r="L157" s="4"/>
      <c r="M157" s="4"/>
      <c r="N157" s="4"/>
    </row>
    <row r="158" spans="3:14">
      <c r="C158" s="10"/>
      <c r="D158" s="10"/>
      <c r="E158" s="11"/>
      <c r="F158" s="10"/>
      <c r="G158" s="11"/>
      <c r="H158" s="10"/>
      <c r="I158" s="11"/>
      <c r="J158" s="12"/>
      <c r="K158" s="13"/>
      <c r="L158" s="4"/>
      <c r="M158" s="4"/>
      <c r="N158" s="4"/>
    </row>
    <row r="159" spans="3:14">
      <c r="C159" s="10"/>
      <c r="D159" s="10"/>
      <c r="E159" s="11"/>
      <c r="F159" s="10"/>
      <c r="G159" s="11"/>
      <c r="H159" s="10"/>
      <c r="I159" s="11"/>
      <c r="J159" s="12"/>
      <c r="K159" s="13"/>
      <c r="L159" s="4"/>
      <c r="M159" s="4"/>
      <c r="N159" s="4"/>
    </row>
    <row r="160" spans="3:14">
      <c r="C160" s="10"/>
      <c r="D160" s="10"/>
      <c r="E160" s="11"/>
      <c r="F160" s="10"/>
      <c r="G160" s="11"/>
      <c r="H160" s="10"/>
      <c r="I160" s="11"/>
      <c r="J160" s="12"/>
      <c r="K160" s="13"/>
      <c r="L160" s="4"/>
      <c r="M160" s="4"/>
      <c r="N160" s="4"/>
    </row>
    <row r="161" spans="3:14">
      <c r="C161" s="10"/>
      <c r="D161" s="10"/>
      <c r="E161" s="11"/>
      <c r="F161" s="10"/>
      <c r="G161" s="11"/>
      <c r="H161" s="10"/>
      <c r="I161" s="11"/>
      <c r="J161" s="12"/>
      <c r="K161" s="13"/>
      <c r="L161" s="4"/>
      <c r="M161" s="4"/>
      <c r="N161" s="4"/>
    </row>
    <row r="162" spans="3:14">
      <c r="C162" s="10"/>
      <c r="D162" s="10"/>
      <c r="E162" s="11"/>
      <c r="F162" s="10"/>
      <c r="G162" s="11"/>
      <c r="H162" s="10"/>
      <c r="I162" s="11"/>
      <c r="J162" s="12"/>
      <c r="K162" s="13"/>
      <c r="L162" s="4"/>
      <c r="M162" s="4"/>
      <c r="N162" s="4"/>
    </row>
    <row r="163" spans="3:14">
      <c r="C163" s="10"/>
      <c r="D163" s="10"/>
      <c r="E163" s="11"/>
      <c r="F163" s="10"/>
      <c r="G163" s="11"/>
      <c r="H163" s="10"/>
      <c r="I163" s="11"/>
      <c r="J163" s="12"/>
      <c r="K163" s="13"/>
      <c r="L163" s="4"/>
      <c r="M163" s="4"/>
      <c r="N163" s="4"/>
    </row>
    <row r="164" spans="3:14">
      <c r="C164" s="10"/>
      <c r="D164" s="10"/>
      <c r="E164" s="11"/>
      <c r="F164" s="10"/>
      <c r="G164" s="11"/>
      <c r="H164" s="10"/>
      <c r="I164" s="11"/>
      <c r="J164" s="12"/>
      <c r="K164" s="13"/>
      <c r="L164" s="4"/>
      <c r="M164" s="4"/>
      <c r="N164" s="4"/>
    </row>
    <row r="165" spans="3:14">
      <c r="C165" s="10"/>
      <c r="D165" s="10"/>
      <c r="E165" s="11"/>
      <c r="F165" s="10"/>
      <c r="G165" s="11"/>
      <c r="H165" s="10"/>
      <c r="I165" s="11"/>
      <c r="J165" s="12"/>
      <c r="K165" s="13"/>
      <c r="L165" s="4"/>
      <c r="M165" s="4"/>
      <c r="N165" s="4"/>
    </row>
    <row r="166" spans="3:14">
      <c r="C166" s="10"/>
      <c r="D166" s="10"/>
      <c r="E166" s="11"/>
      <c r="F166" s="10"/>
      <c r="G166" s="11"/>
      <c r="H166" s="10"/>
      <c r="I166" s="11"/>
      <c r="J166" s="12"/>
      <c r="K166" s="13"/>
      <c r="L166" s="4"/>
      <c r="M166" s="4"/>
      <c r="N166" s="4"/>
    </row>
    <row r="167" spans="3:14">
      <c r="C167" s="10"/>
      <c r="D167" s="10"/>
      <c r="E167" s="11"/>
      <c r="F167" s="10"/>
      <c r="G167" s="11"/>
      <c r="H167" s="10"/>
      <c r="I167" s="11"/>
      <c r="J167" s="12"/>
      <c r="K167" s="13"/>
      <c r="L167" s="4"/>
      <c r="M167" s="4"/>
      <c r="N167" s="4"/>
    </row>
    <row r="168" spans="3:14">
      <c r="C168" s="10"/>
      <c r="D168" s="10"/>
      <c r="E168" s="11"/>
      <c r="F168" s="10"/>
      <c r="G168" s="11"/>
      <c r="H168" s="10"/>
      <c r="I168" s="11"/>
      <c r="J168" s="12"/>
      <c r="K168" s="13"/>
      <c r="L168" s="4"/>
      <c r="M168" s="4"/>
      <c r="N168" s="4"/>
    </row>
    <row r="169" spans="3:14">
      <c r="C169" s="10"/>
      <c r="D169" s="10"/>
      <c r="E169" s="11"/>
      <c r="F169" s="10"/>
      <c r="G169" s="11"/>
      <c r="H169" s="10"/>
      <c r="I169" s="11"/>
      <c r="J169" s="12"/>
      <c r="K169" s="13"/>
      <c r="L169" s="4"/>
      <c r="M169" s="4"/>
      <c r="N169" s="4"/>
    </row>
    <row r="170" spans="3:14">
      <c r="C170" s="10"/>
      <c r="D170" s="10"/>
      <c r="E170" s="11"/>
      <c r="F170" s="10"/>
      <c r="G170" s="11"/>
      <c r="H170" s="10"/>
      <c r="I170" s="11"/>
      <c r="J170" s="12"/>
      <c r="K170" s="13"/>
      <c r="L170" s="4"/>
      <c r="M170" s="4"/>
      <c r="N170" s="4"/>
    </row>
    <row r="171" spans="3:14">
      <c r="C171" s="10"/>
      <c r="D171" s="10"/>
      <c r="E171" s="11"/>
      <c r="F171" s="10"/>
      <c r="G171" s="11"/>
      <c r="H171" s="10"/>
      <c r="I171" s="11"/>
      <c r="J171" s="12"/>
      <c r="K171" s="13"/>
      <c r="L171" s="4"/>
      <c r="M171" s="4"/>
      <c r="N171" s="4"/>
    </row>
    <row r="172" spans="3:14">
      <c r="C172" s="10"/>
      <c r="D172" s="10"/>
      <c r="E172" s="11"/>
      <c r="F172" s="10"/>
      <c r="G172" s="11"/>
      <c r="H172" s="10"/>
      <c r="I172" s="11"/>
      <c r="J172" s="12"/>
      <c r="K172" s="13"/>
      <c r="L172" s="4"/>
      <c r="M172" s="4"/>
      <c r="N172" s="4"/>
    </row>
    <row r="173" spans="3:14">
      <c r="C173" s="10"/>
      <c r="D173" s="10"/>
      <c r="E173" s="11"/>
      <c r="F173" s="10"/>
      <c r="G173" s="11"/>
      <c r="H173" s="10"/>
      <c r="I173" s="11"/>
      <c r="J173" s="12"/>
      <c r="K173" s="13"/>
      <c r="L173" s="4"/>
      <c r="M173" s="4"/>
      <c r="N173" s="4"/>
    </row>
    <row r="174" spans="3:14">
      <c r="C174" s="10"/>
      <c r="D174" s="10"/>
      <c r="E174" s="11"/>
      <c r="F174" s="10"/>
      <c r="G174" s="11"/>
      <c r="H174" s="10"/>
      <c r="I174" s="11"/>
      <c r="J174" s="12"/>
      <c r="K174" s="13"/>
      <c r="L174" s="4"/>
      <c r="M174" s="4"/>
      <c r="N174" s="4"/>
    </row>
    <row r="175" spans="3:14">
      <c r="C175" s="10"/>
      <c r="D175" s="10"/>
      <c r="E175" s="11"/>
      <c r="F175" s="10"/>
      <c r="G175" s="11"/>
      <c r="H175" s="10"/>
      <c r="I175" s="11"/>
      <c r="J175" s="12"/>
      <c r="K175" s="13"/>
      <c r="L175" s="4"/>
      <c r="M175" s="4"/>
      <c r="N175" s="4"/>
    </row>
    <row r="176" spans="3:14">
      <c r="C176" s="10"/>
      <c r="D176" s="10"/>
      <c r="E176" s="11"/>
      <c r="F176" s="10"/>
      <c r="G176" s="11"/>
      <c r="H176" s="10"/>
      <c r="I176" s="11"/>
      <c r="J176" s="12"/>
      <c r="K176" s="13"/>
      <c r="L176" s="4"/>
      <c r="M176" s="4"/>
      <c r="N176" s="4"/>
    </row>
    <row r="177" spans="3:14">
      <c r="C177" s="10"/>
      <c r="D177" s="10"/>
      <c r="E177" s="11"/>
      <c r="F177" s="10"/>
      <c r="G177" s="11"/>
      <c r="H177" s="10"/>
      <c r="I177" s="11"/>
      <c r="J177" s="12"/>
      <c r="K177" s="13"/>
      <c r="L177" s="4"/>
      <c r="M177" s="4"/>
      <c r="N177" s="4"/>
    </row>
    <row r="178" spans="3:14">
      <c r="C178" s="10"/>
      <c r="D178" s="10"/>
      <c r="E178" s="11"/>
      <c r="F178" s="10"/>
      <c r="G178" s="11"/>
      <c r="H178" s="10"/>
      <c r="I178" s="11"/>
      <c r="J178" s="12"/>
      <c r="K178" s="13"/>
      <c r="L178" s="4"/>
      <c r="M178" s="4"/>
      <c r="N178" s="4"/>
    </row>
    <row r="179" spans="3:14">
      <c r="C179" s="10"/>
      <c r="D179" s="10"/>
      <c r="E179" s="11"/>
      <c r="F179" s="10"/>
      <c r="G179" s="11"/>
      <c r="H179" s="10"/>
      <c r="I179" s="11"/>
      <c r="J179" s="12"/>
      <c r="K179" s="13"/>
      <c r="L179" s="4"/>
      <c r="M179" s="4"/>
      <c r="N179" s="4"/>
    </row>
    <row r="180" spans="3:14">
      <c r="C180" s="10"/>
      <c r="D180" s="10"/>
      <c r="E180" s="11"/>
      <c r="F180" s="10"/>
      <c r="G180" s="11"/>
      <c r="H180" s="10"/>
      <c r="I180" s="11"/>
      <c r="J180" s="12"/>
      <c r="K180" s="13"/>
      <c r="L180" s="4"/>
      <c r="M180" s="4"/>
      <c r="N180" s="4"/>
    </row>
    <row r="181" spans="3:14">
      <c r="C181" s="10"/>
      <c r="D181" s="10"/>
      <c r="E181" s="11"/>
      <c r="F181" s="10"/>
      <c r="G181" s="11"/>
      <c r="H181" s="10"/>
      <c r="I181" s="11"/>
      <c r="J181" s="12"/>
      <c r="K181" s="13"/>
      <c r="L181" s="4"/>
      <c r="M181" s="4"/>
      <c r="N181" s="4"/>
    </row>
    <row r="182" spans="3:14">
      <c r="C182" s="10"/>
      <c r="D182" s="10"/>
      <c r="E182" s="11"/>
      <c r="F182" s="10"/>
      <c r="G182" s="11"/>
      <c r="H182" s="10"/>
      <c r="I182" s="11"/>
      <c r="J182" s="12"/>
      <c r="K182" s="13"/>
      <c r="L182" s="4"/>
      <c r="M182" s="4"/>
      <c r="N182" s="4"/>
    </row>
    <row r="183" spans="3:14">
      <c r="C183" s="10"/>
      <c r="D183" s="10"/>
      <c r="E183" s="11"/>
      <c r="F183" s="10"/>
      <c r="G183" s="11"/>
      <c r="H183" s="10"/>
      <c r="I183" s="11"/>
      <c r="J183" s="12"/>
      <c r="K183" s="13"/>
      <c r="L183" s="4"/>
      <c r="M183" s="4"/>
      <c r="N183" s="4"/>
    </row>
    <row r="184" spans="3:14">
      <c r="C184" s="10"/>
      <c r="D184" s="10"/>
      <c r="E184" s="11"/>
      <c r="F184" s="10"/>
      <c r="G184" s="11"/>
      <c r="H184" s="10"/>
      <c r="I184" s="11"/>
      <c r="J184" s="12"/>
      <c r="K184" s="13"/>
      <c r="L184" s="4"/>
      <c r="M184" s="4"/>
      <c r="N184" s="4"/>
    </row>
    <row r="185" spans="3:14">
      <c r="C185" s="10"/>
      <c r="D185" s="10"/>
      <c r="E185" s="11"/>
      <c r="F185" s="10"/>
      <c r="G185" s="11"/>
      <c r="H185" s="10"/>
      <c r="I185" s="11"/>
      <c r="J185" s="12"/>
      <c r="K185" s="13"/>
      <c r="L185" s="4"/>
      <c r="M185" s="4"/>
      <c r="N185" s="4"/>
    </row>
    <row r="186" spans="3:14">
      <c r="C186" s="10"/>
      <c r="D186" s="10"/>
      <c r="E186" s="11"/>
      <c r="F186" s="10"/>
      <c r="G186" s="11"/>
      <c r="H186" s="10"/>
      <c r="I186" s="11"/>
      <c r="J186" s="12"/>
      <c r="K186" s="13"/>
      <c r="L186" s="4"/>
      <c r="M186" s="4"/>
      <c r="N186" s="4"/>
    </row>
    <row r="187" spans="3:14">
      <c r="C187" s="10"/>
      <c r="D187" s="10"/>
      <c r="E187" s="11"/>
      <c r="F187" s="10"/>
      <c r="G187" s="11"/>
      <c r="H187" s="10"/>
      <c r="I187" s="11"/>
      <c r="J187" s="12"/>
      <c r="K187" s="13"/>
      <c r="L187" s="4"/>
      <c r="M187" s="4"/>
      <c r="N187" s="4"/>
    </row>
    <row r="188" spans="3:14">
      <c r="C188" s="10"/>
      <c r="D188" s="10"/>
      <c r="E188" s="11"/>
      <c r="F188" s="10"/>
      <c r="G188" s="11"/>
      <c r="H188" s="10"/>
      <c r="I188" s="11"/>
      <c r="J188" s="12"/>
      <c r="K188" s="13"/>
      <c r="L188" s="4"/>
      <c r="M188" s="4"/>
      <c r="N188" s="4"/>
    </row>
    <row r="189" spans="3:14">
      <c r="C189" s="10"/>
      <c r="D189" s="10"/>
      <c r="E189" s="11"/>
      <c r="F189" s="10"/>
      <c r="G189" s="11"/>
      <c r="H189" s="10"/>
      <c r="I189" s="11"/>
      <c r="J189" s="12"/>
      <c r="K189" s="13"/>
      <c r="L189" s="4"/>
      <c r="M189" s="4"/>
      <c r="N189" s="4"/>
    </row>
    <row r="190" spans="3:14">
      <c r="C190" s="10"/>
      <c r="D190" s="10"/>
      <c r="E190" s="11"/>
      <c r="F190" s="10"/>
      <c r="G190" s="11"/>
      <c r="H190" s="10"/>
      <c r="I190" s="11"/>
      <c r="J190" s="12"/>
      <c r="K190" s="13"/>
      <c r="L190" s="4"/>
      <c r="M190" s="4"/>
      <c r="N190" s="4"/>
    </row>
    <row r="191" spans="3:14">
      <c r="C191" s="10"/>
      <c r="D191" s="10"/>
      <c r="E191" s="11"/>
      <c r="F191" s="10"/>
      <c r="G191" s="11"/>
      <c r="H191" s="10"/>
      <c r="I191" s="11"/>
      <c r="J191" s="12"/>
      <c r="K191" s="13"/>
      <c r="L191" s="4"/>
      <c r="M191" s="4"/>
      <c r="N191" s="4"/>
    </row>
    <row r="192" spans="3:14">
      <c r="C192" s="10"/>
      <c r="D192" s="10"/>
      <c r="E192" s="11"/>
      <c r="F192" s="10"/>
      <c r="G192" s="11"/>
      <c r="H192" s="10"/>
      <c r="I192" s="11"/>
      <c r="J192" s="12"/>
      <c r="K192" s="13"/>
      <c r="L192" s="4"/>
      <c r="M192" s="4"/>
      <c r="N192" s="4"/>
    </row>
    <row r="193" spans="3:14">
      <c r="C193" s="10"/>
      <c r="D193" s="10"/>
      <c r="E193" s="11"/>
      <c r="F193" s="10"/>
      <c r="G193" s="11"/>
      <c r="H193" s="10"/>
      <c r="I193" s="11"/>
      <c r="J193" s="12"/>
      <c r="K193" s="13"/>
      <c r="L193" s="4"/>
      <c r="M193" s="4"/>
      <c r="N193" s="4"/>
    </row>
    <row r="194" spans="3:14">
      <c r="C194" s="10"/>
      <c r="D194" s="10"/>
      <c r="E194" s="11"/>
      <c r="F194" s="10"/>
      <c r="G194" s="11"/>
      <c r="H194" s="10"/>
      <c r="I194" s="11"/>
      <c r="J194" s="12"/>
      <c r="K194" s="13"/>
      <c r="L194" s="4"/>
      <c r="M194" s="4"/>
      <c r="N194" s="4"/>
    </row>
    <row r="195" spans="3:14">
      <c r="C195" s="10"/>
      <c r="D195" s="10"/>
      <c r="E195" s="11"/>
      <c r="F195" s="10"/>
      <c r="G195" s="11"/>
      <c r="H195" s="10"/>
      <c r="I195" s="11"/>
      <c r="J195" s="12"/>
      <c r="K195" s="13"/>
      <c r="L195" s="4"/>
      <c r="M195" s="4"/>
      <c r="N195" s="4"/>
    </row>
    <row r="196" spans="3:14">
      <c r="C196" s="10"/>
      <c r="D196" s="10"/>
      <c r="E196" s="11"/>
      <c r="F196" s="10"/>
      <c r="G196" s="11"/>
      <c r="H196" s="10"/>
      <c r="I196" s="11"/>
      <c r="J196" s="12"/>
      <c r="K196" s="13"/>
      <c r="L196" s="4"/>
      <c r="M196" s="4"/>
      <c r="N196" s="4"/>
    </row>
    <row r="197" spans="3:14">
      <c r="C197" s="10"/>
      <c r="D197" s="10"/>
      <c r="E197" s="11"/>
      <c r="F197" s="10"/>
      <c r="G197" s="11"/>
      <c r="H197" s="10"/>
      <c r="I197" s="11"/>
      <c r="J197" s="12"/>
      <c r="K197" s="13"/>
      <c r="L197" s="4"/>
      <c r="M197" s="4"/>
      <c r="N197" s="4"/>
    </row>
    <row r="198" spans="3:14">
      <c r="C198" s="10"/>
      <c r="D198" s="10"/>
      <c r="E198" s="11"/>
      <c r="F198" s="10"/>
      <c r="G198" s="11"/>
      <c r="H198" s="10"/>
      <c r="I198" s="11"/>
      <c r="J198" s="12"/>
      <c r="K198" s="13"/>
      <c r="L198" s="4"/>
      <c r="M198" s="4"/>
      <c r="N198" s="4"/>
    </row>
    <row r="199" spans="3:14">
      <c r="C199" s="10"/>
      <c r="D199" s="10"/>
      <c r="E199" s="11"/>
      <c r="F199" s="10"/>
      <c r="G199" s="11"/>
      <c r="H199" s="10"/>
      <c r="I199" s="11"/>
      <c r="J199" s="12"/>
      <c r="K199" s="13"/>
      <c r="L199" s="4"/>
      <c r="M199" s="4"/>
      <c r="N199" s="4"/>
    </row>
    <row r="200" spans="3:14">
      <c r="C200" s="10"/>
      <c r="D200" s="10"/>
      <c r="E200" s="11"/>
      <c r="F200" s="10"/>
      <c r="G200" s="11"/>
      <c r="H200" s="10"/>
      <c r="I200" s="11"/>
      <c r="J200" s="12"/>
      <c r="K200" s="13"/>
      <c r="L200" s="4"/>
      <c r="M200" s="4"/>
      <c r="N200" s="4"/>
    </row>
    <row r="201" spans="3:14">
      <c r="C201" s="10"/>
      <c r="D201" s="10"/>
      <c r="E201" s="11"/>
      <c r="F201" s="10"/>
      <c r="G201" s="11"/>
      <c r="H201" s="10"/>
      <c r="I201" s="11"/>
      <c r="J201" s="12"/>
      <c r="K201" s="13"/>
      <c r="L201" s="4"/>
      <c r="M201" s="4"/>
      <c r="N201" s="4"/>
    </row>
    <row r="202" spans="3:14">
      <c r="C202" s="10"/>
      <c r="D202" s="10"/>
      <c r="E202" s="11"/>
      <c r="F202" s="10"/>
      <c r="G202" s="11"/>
      <c r="H202" s="10"/>
      <c r="I202" s="11"/>
      <c r="J202" s="12"/>
      <c r="K202" s="13"/>
      <c r="L202" s="4"/>
      <c r="M202" s="4"/>
      <c r="N202" s="4"/>
    </row>
    <row r="203" spans="3:14">
      <c r="C203" s="10"/>
      <c r="D203" s="10"/>
      <c r="E203" s="11"/>
      <c r="F203" s="10"/>
      <c r="G203" s="11"/>
      <c r="H203" s="10"/>
      <c r="I203" s="11"/>
      <c r="J203" s="12"/>
      <c r="K203" s="13"/>
      <c r="L203" s="4"/>
      <c r="M203" s="4"/>
      <c r="N203" s="4"/>
    </row>
    <row r="204" spans="3:14">
      <c r="C204" s="10"/>
      <c r="D204" s="10"/>
      <c r="E204" s="11"/>
      <c r="F204" s="10"/>
      <c r="G204" s="11"/>
      <c r="H204" s="10"/>
      <c r="I204" s="11"/>
      <c r="J204" s="12"/>
      <c r="K204" s="13"/>
      <c r="L204" s="4"/>
      <c r="M204" s="4"/>
      <c r="N204" s="4"/>
    </row>
    <row r="205" spans="3:14">
      <c r="C205" s="10"/>
      <c r="D205" s="10"/>
      <c r="E205" s="11"/>
      <c r="F205" s="10"/>
      <c r="G205" s="11"/>
      <c r="H205" s="10"/>
      <c r="I205" s="11"/>
      <c r="J205" s="12"/>
      <c r="K205" s="13"/>
      <c r="L205" s="4"/>
      <c r="M205" s="4"/>
      <c r="N205" s="4"/>
    </row>
    <row r="206" spans="3:14">
      <c r="C206" s="10"/>
      <c r="D206" s="10"/>
      <c r="E206" s="11"/>
      <c r="F206" s="10"/>
      <c r="G206" s="11"/>
      <c r="H206" s="10"/>
      <c r="I206" s="11"/>
      <c r="J206" s="12"/>
      <c r="K206" s="13"/>
      <c r="L206" s="4"/>
      <c r="M206" s="4"/>
      <c r="N206" s="4"/>
    </row>
    <row r="207" spans="3:14">
      <c r="C207" s="10"/>
      <c r="D207" s="10"/>
      <c r="E207" s="11"/>
      <c r="F207" s="10"/>
      <c r="G207" s="11"/>
      <c r="H207" s="10"/>
      <c r="I207" s="11"/>
      <c r="J207" s="12"/>
      <c r="K207" s="13"/>
      <c r="L207" s="4"/>
      <c r="M207" s="4"/>
      <c r="N207" s="4"/>
    </row>
  </sheetData>
  <sheetProtection selectLockedCells="1" selectUnlockedCells="1"/>
  <mergeCells count="19">
    <mergeCell ref="A30:K30"/>
    <mergeCell ref="A36:K36"/>
    <mergeCell ref="A58:K58"/>
    <mergeCell ref="A62:K62"/>
    <mergeCell ref="A68:K68"/>
    <mergeCell ref="A40:K40"/>
    <mergeCell ref="A48:K48"/>
    <mergeCell ref="A44:K44"/>
    <mergeCell ref="A54:K54"/>
    <mergeCell ref="A8:K8"/>
    <mergeCell ref="A12:K12"/>
    <mergeCell ref="A16:K16"/>
    <mergeCell ref="A22:K22"/>
    <mergeCell ref="A26:K26"/>
    <mergeCell ref="A76:K76"/>
    <mergeCell ref="A82:K82"/>
    <mergeCell ref="A86:K86"/>
    <mergeCell ref="A90:K90"/>
    <mergeCell ref="A72:K72"/>
  </mergeCells>
  <conditionalFormatting sqref="E2">
    <cfRule type="expression" dxfId="572" priority="308" stopIfTrue="1">
      <formula>E2&lt;0.25</formula>
    </cfRule>
    <cfRule type="expression" dxfId="571" priority="309" stopIfTrue="1">
      <formula>E2&lt;0.5</formula>
    </cfRule>
    <cfRule type="expression" dxfId="570" priority="310" stopIfTrue="1">
      <formula>E2&lt;0.75</formula>
    </cfRule>
    <cfRule type="expression" dxfId="569" priority="311">
      <formula>E2&gt;=0.75</formula>
    </cfRule>
  </conditionalFormatting>
  <conditionalFormatting sqref="G2">
    <cfRule type="expression" dxfId="568" priority="304" stopIfTrue="1">
      <formula>G2&lt;0.25</formula>
    </cfRule>
    <cfRule type="expression" dxfId="567" priority="305" stopIfTrue="1">
      <formula>G2&lt;0.5</formula>
    </cfRule>
    <cfRule type="expression" dxfId="566" priority="306" stopIfTrue="1">
      <formula>G2&lt;0.75</formula>
    </cfRule>
    <cfRule type="expression" dxfId="565" priority="307">
      <formula>G2&gt;=0.75</formula>
    </cfRule>
  </conditionalFormatting>
  <conditionalFormatting sqref="I2">
    <cfRule type="expression" dxfId="564" priority="300" stopIfTrue="1">
      <formula>I2&lt;0.25</formula>
    </cfRule>
    <cfRule type="expression" dxfId="563" priority="301" stopIfTrue="1">
      <formula>I2&lt;0.5</formula>
    </cfRule>
    <cfRule type="expression" dxfId="562" priority="302" stopIfTrue="1">
      <formula>I2&lt;0.75</formula>
    </cfRule>
    <cfRule type="expression" dxfId="561" priority="303">
      <formula>I2&gt;=0.75</formula>
    </cfRule>
  </conditionalFormatting>
  <conditionalFormatting sqref="K2">
    <cfRule type="expression" dxfId="560" priority="296" stopIfTrue="1">
      <formula>K2&lt;0.25</formula>
    </cfRule>
    <cfRule type="expression" dxfId="559" priority="297" stopIfTrue="1">
      <formula>K2&lt;0.5</formula>
    </cfRule>
    <cfRule type="expression" dxfId="558" priority="298" stopIfTrue="1">
      <formula>K2&lt;0.75</formula>
    </cfRule>
    <cfRule type="expression" dxfId="557" priority="299">
      <formula>K2&gt;=0.75</formula>
    </cfRule>
  </conditionalFormatting>
  <conditionalFormatting sqref="E4">
    <cfRule type="expression" dxfId="556" priority="292" stopIfTrue="1">
      <formula>E4&lt;0.25</formula>
    </cfRule>
    <cfRule type="expression" dxfId="555" priority="293" stopIfTrue="1">
      <formula>E4&lt;0.5</formula>
    </cfRule>
    <cfRule type="expression" dxfId="554" priority="294" stopIfTrue="1">
      <formula>E4&lt;0.75</formula>
    </cfRule>
    <cfRule type="expression" dxfId="553" priority="295">
      <formula>E4&gt;=0.75</formula>
    </cfRule>
  </conditionalFormatting>
  <conditionalFormatting sqref="G4">
    <cfRule type="expression" dxfId="552" priority="288" stopIfTrue="1">
      <formula>G4&lt;0.25</formula>
    </cfRule>
    <cfRule type="expression" dxfId="551" priority="289" stopIfTrue="1">
      <formula>G4&lt;0.5</formula>
    </cfRule>
    <cfRule type="expression" dxfId="550" priority="290" stopIfTrue="1">
      <formula>G4&lt;0.75</formula>
    </cfRule>
    <cfRule type="expression" dxfId="549" priority="291">
      <formula>G4&gt;=0.75</formula>
    </cfRule>
  </conditionalFormatting>
  <conditionalFormatting sqref="I4">
    <cfRule type="expression" dxfId="548" priority="284" stopIfTrue="1">
      <formula>I4&lt;0.25</formula>
    </cfRule>
    <cfRule type="expression" dxfId="547" priority="285" stopIfTrue="1">
      <formula>I4&lt;0.5</formula>
    </cfRule>
    <cfRule type="expression" dxfId="546" priority="286" stopIfTrue="1">
      <formula>I4&lt;0.75</formula>
    </cfRule>
    <cfRule type="expression" dxfId="545" priority="287">
      <formula>I4&gt;=0.75</formula>
    </cfRule>
  </conditionalFormatting>
  <conditionalFormatting sqref="K4">
    <cfRule type="expression" dxfId="544" priority="280" stopIfTrue="1">
      <formula>K4&lt;0.25</formula>
    </cfRule>
    <cfRule type="expression" dxfId="543" priority="281" stopIfTrue="1">
      <formula>K4&lt;0.5</formula>
    </cfRule>
    <cfRule type="expression" dxfId="542" priority="282" stopIfTrue="1">
      <formula>K4&lt;0.75</formula>
    </cfRule>
    <cfRule type="expression" dxfId="541" priority="283">
      <formula>K4&gt;=0.75</formula>
    </cfRule>
  </conditionalFormatting>
  <conditionalFormatting sqref="E6:E7">
    <cfRule type="expression" dxfId="540" priority="276" stopIfTrue="1">
      <formula>E6&lt;0.25</formula>
    </cfRule>
    <cfRule type="expression" dxfId="539" priority="277" stopIfTrue="1">
      <formula>E6&lt;0.5</formula>
    </cfRule>
    <cfRule type="expression" dxfId="538" priority="278" stopIfTrue="1">
      <formula>E6&lt;0.75</formula>
    </cfRule>
    <cfRule type="expression" dxfId="537" priority="279">
      <formula>E6&gt;=0.75</formula>
    </cfRule>
  </conditionalFormatting>
  <conditionalFormatting sqref="E6:E7 E10:E11 E14:E15">
    <cfRule type="expression" dxfId="536" priority="272" stopIfTrue="1">
      <formula>E6&lt;0.25</formula>
    </cfRule>
    <cfRule type="expression" dxfId="535" priority="273" stopIfTrue="1">
      <formula>E6&lt;0.5</formula>
    </cfRule>
    <cfRule type="expression" dxfId="534" priority="274" stopIfTrue="1">
      <formula>E6&lt;0.75</formula>
    </cfRule>
    <cfRule type="expression" dxfId="533" priority="275">
      <formula>E6&gt;=0.75</formula>
    </cfRule>
  </conditionalFormatting>
  <conditionalFormatting sqref="G6:G7 G10:G11 G14:G15">
    <cfRule type="expression" dxfId="532" priority="268" stopIfTrue="1">
      <formula>G6&lt;0.25</formula>
    </cfRule>
    <cfRule type="expression" dxfId="531" priority="269" stopIfTrue="1">
      <formula>G6&lt;0.5</formula>
    </cfRule>
    <cfRule type="expression" dxfId="530" priority="270" stopIfTrue="1">
      <formula>G6&lt;0.75</formula>
    </cfRule>
    <cfRule type="expression" dxfId="529" priority="271">
      <formula>G6&gt;=0.75</formula>
    </cfRule>
  </conditionalFormatting>
  <conditionalFormatting sqref="I6:I7 I10:I11 I14:I15">
    <cfRule type="expression" dxfId="528" priority="264" stopIfTrue="1">
      <formula>I6&lt;0.25</formula>
    </cfRule>
    <cfRule type="expression" dxfId="527" priority="265" stopIfTrue="1">
      <formula>I6&lt;0.5</formula>
    </cfRule>
    <cfRule type="expression" dxfId="526" priority="266" stopIfTrue="1">
      <formula>I6&lt;0.75</formula>
    </cfRule>
    <cfRule type="expression" dxfId="525" priority="267">
      <formula>I6&gt;=0.75</formula>
    </cfRule>
  </conditionalFormatting>
  <conditionalFormatting sqref="K6:K7 K10:K11 K14:K15">
    <cfRule type="expression" dxfId="524" priority="260" stopIfTrue="1">
      <formula>K6&lt;0.25</formula>
    </cfRule>
    <cfRule type="expression" dxfId="523" priority="261" stopIfTrue="1">
      <formula>K6&lt;0.5</formula>
    </cfRule>
    <cfRule type="expression" dxfId="522" priority="262" stopIfTrue="1">
      <formula>K6&lt;0.75</formula>
    </cfRule>
    <cfRule type="expression" dxfId="521" priority="263">
      <formula>K6&gt;=0.75</formula>
    </cfRule>
  </conditionalFormatting>
  <conditionalFormatting sqref="E18">
    <cfRule type="expression" dxfId="520" priority="256" stopIfTrue="1">
      <formula>E18&lt;0.25</formula>
    </cfRule>
    <cfRule type="expression" dxfId="519" priority="257" stopIfTrue="1">
      <formula>E18&lt;0.5</formula>
    </cfRule>
    <cfRule type="expression" dxfId="518" priority="258" stopIfTrue="1">
      <formula>E18&lt;0.75</formula>
    </cfRule>
    <cfRule type="expression" dxfId="517" priority="259">
      <formula>E18&gt;=0.75</formula>
    </cfRule>
  </conditionalFormatting>
  <conditionalFormatting sqref="G18">
    <cfRule type="expression" dxfId="516" priority="252" stopIfTrue="1">
      <formula>G18&lt;0.25</formula>
    </cfRule>
    <cfRule type="expression" dxfId="515" priority="253" stopIfTrue="1">
      <formula>G18&lt;0.5</formula>
    </cfRule>
    <cfRule type="expression" dxfId="514" priority="254" stopIfTrue="1">
      <formula>G18&lt;0.75</formula>
    </cfRule>
    <cfRule type="expression" dxfId="513" priority="255">
      <formula>G18&gt;=0.75</formula>
    </cfRule>
  </conditionalFormatting>
  <conditionalFormatting sqref="I18">
    <cfRule type="expression" dxfId="512" priority="248" stopIfTrue="1">
      <formula>I18&lt;0.25</formula>
    </cfRule>
    <cfRule type="expression" dxfId="511" priority="249" stopIfTrue="1">
      <formula>I18&lt;0.5</formula>
    </cfRule>
    <cfRule type="expression" dxfId="510" priority="250" stopIfTrue="1">
      <formula>I18&lt;0.75</formula>
    </cfRule>
    <cfRule type="expression" dxfId="509" priority="251">
      <formula>I18&gt;=0.75</formula>
    </cfRule>
  </conditionalFormatting>
  <conditionalFormatting sqref="K18">
    <cfRule type="expression" dxfId="508" priority="244" stopIfTrue="1">
      <formula>K18&lt;0.25</formula>
    </cfRule>
    <cfRule type="expression" dxfId="507" priority="245" stopIfTrue="1">
      <formula>K18&lt;0.5</formula>
    </cfRule>
    <cfRule type="expression" dxfId="506" priority="246" stopIfTrue="1">
      <formula>K18&lt;0.75</formula>
    </cfRule>
    <cfRule type="expression" dxfId="505" priority="247">
      <formula>K18&gt;=0.75</formula>
    </cfRule>
  </conditionalFormatting>
  <conditionalFormatting sqref="E20:E21 E24:E25 E28:E29">
    <cfRule type="expression" dxfId="504" priority="240" stopIfTrue="1">
      <formula>E20&lt;0.25</formula>
    </cfRule>
    <cfRule type="expression" dxfId="503" priority="241" stopIfTrue="1">
      <formula>E20&lt;0.5</formula>
    </cfRule>
    <cfRule type="expression" dxfId="502" priority="242" stopIfTrue="1">
      <formula>E20&lt;0.75</formula>
    </cfRule>
    <cfRule type="expression" dxfId="501" priority="243">
      <formula>E20&gt;=0.75</formula>
    </cfRule>
  </conditionalFormatting>
  <conditionalFormatting sqref="G20:G21 G24:G25 G28:G29">
    <cfRule type="expression" dxfId="500" priority="236" stopIfTrue="1">
      <formula>G20&lt;0.25</formula>
    </cfRule>
    <cfRule type="expression" dxfId="499" priority="237" stopIfTrue="1">
      <formula>G20&lt;0.5</formula>
    </cfRule>
    <cfRule type="expression" dxfId="498" priority="238" stopIfTrue="1">
      <formula>G20&lt;0.75</formula>
    </cfRule>
    <cfRule type="expression" dxfId="497" priority="239">
      <formula>G20&gt;=0.75</formula>
    </cfRule>
  </conditionalFormatting>
  <conditionalFormatting sqref="I20:I21 I24:I25 I28:I29">
    <cfRule type="expression" dxfId="496" priority="232" stopIfTrue="1">
      <formula>I20&lt;0.25</formula>
    </cfRule>
    <cfRule type="expression" dxfId="495" priority="233" stopIfTrue="1">
      <formula>I20&lt;0.5</formula>
    </cfRule>
    <cfRule type="expression" dxfId="494" priority="234" stopIfTrue="1">
      <formula>I20&lt;0.75</formula>
    </cfRule>
    <cfRule type="expression" dxfId="493" priority="235">
      <formula>I20&gt;=0.75</formula>
    </cfRule>
  </conditionalFormatting>
  <conditionalFormatting sqref="K20:K21 K24:K25 K28:K29">
    <cfRule type="expression" dxfId="492" priority="228" stopIfTrue="1">
      <formula>K20&lt;0.25</formula>
    </cfRule>
    <cfRule type="expression" dxfId="491" priority="229" stopIfTrue="1">
      <formula>K20&lt;0.5</formula>
    </cfRule>
    <cfRule type="expression" dxfId="490" priority="230" stopIfTrue="1">
      <formula>K20&lt;0.75</formula>
    </cfRule>
    <cfRule type="expression" dxfId="489" priority="231">
      <formula>K20&gt;=0.75</formula>
    </cfRule>
  </conditionalFormatting>
  <conditionalFormatting sqref="E32">
    <cfRule type="expression" dxfId="488" priority="224" stopIfTrue="1">
      <formula>E32&lt;0.25</formula>
    </cfRule>
    <cfRule type="expression" dxfId="487" priority="225" stopIfTrue="1">
      <formula>E32&lt;0.5</formula>
    </cfRule>
    <cfRule type="expression" dxfId="486" priority="226" stopIfTrue="1">
      <formula>E32&lt;0.75</formula>
    </cfRule>
    <cfRule type="expression" dxfId="485" priority="227">
      <formula>E32&gt;=0.75</formula>
    </cfRule>
  </conditionalFormatting>
  <conditionalFormatting sqref="G32">
    <cfRule type="expression" dxfId="484" priority="220" stopIfTrue="1">
      <formula>G32&lt;0.25</formula>
    </cfRule>
    <cfRule type="expression" dxfId="483" priority="221" stopIfTrue="1">
      <formula>G32&lt;0.5</formula>
    </cfRule>
    <cfRule type="expression" dxfId="482" priority="222" stopIfTrue="1">
      <formula>G32&lt;0.75</formula>
    </cfRule>
    <cfRule type="expression" dxfId="481" priority="223">
      <formula>G32&gt;=0.75</formula>
    </cfRule>
  </conditionalFormatting>
  <conditionalFormatting sqref="I32">
    <cfRule type="expression" dxfId="480" priority="216" stopIfTrue="1">
      <formula>I32&lt;0.25</formula>
    </cfRule>
    <cfRule type="expression" dxfId="479" priority="217" stopIfTrue="1">
      <formula>I32&lt;0.5</formula>
    </cfRule>
    <cfRule type="expression" dxfId="478" priority="218" stopIfTrue="1">
      <formula>I32&lt;0.75</formula>
    </cfRule>
    <cfRule type="expression" dxfId="477" priority="219">
      <formula>I32&gt;=0.75</formula>
    </cfRule>
  </conditionalFormatting>
  <conditionalFormatting sqref="K32">
    <cfRule type="expression" dxfId="476" priority="212" stopIfTrue="1">
      <formula>K32&lt;0.25</formula>
    </cfRule>
    <cfRule type="expression" dxfId="475" priority="213" stopIfTrue="1">
      <formula>K32&lt;0.5</formula>
    </cfRule>
    <cfRule type="expression" dxfId="474" priority="214" stopIfTrue="1">
      <formula>K32&lt;0.75</formula>
    </cfRule>
    <cfRule type="expression" dxfId="473" priority="215">
      <formula>K32&gt;=0.75</formula>
    </cfRule>
  </conditionalFormatting>
  <conditionalFormatting sqref="E34:E35 E38:E39 E42:E43 E46:E47">
    <cfRule type="expression" dxfId="472" priority="208" stopIfTrue="1">
      <formula>E34&lt;0.25</formula>
    </cfRule>
    <cfRule type="expression" dxfId="471" priority="209" stopIfTrue="1">
      <formula>E34&lt;0.5</formula>
    </cfRule>
    <cfRule type="expression" dxfId="470" priority="210" stopIfTrue="1">
      <formula>E34&lt;0.75</formula>
    </cfRule>
    <cfRule type="expression" dxfId="469" priority="211">
      <formula>E34&gt;=0.75</formula>
    </cfRule>
  </conditionalFormatting>
  <conditionalFormatting sqref="G34:G35 G38:G39 G42:G43 G46:G47">
    <cfRule type="expression" dxfId="468" priority="204" stopIfTrue="1">
      <formula>G34&lt;0.25</formula>
    </cfRule>
    <cfRule type="expression" dxfId="467" priority="205" stopIfTrue="1">
      <formula>G34&lt;0.5</formula>
    </cfRule>
    <cfRule type="expression" dxfId="466" priority="206" stopIfTrue="1">
      <formula>G34&lt;0.75</formula>
    </cfRule>
    <cfRule type="expression" dxfId="465" priority="207">
      <formula>G34&gt;=0.75</formula>
    </cfRule>
  </conditionalFormatting>
  <conditionalFormatting sqref="I34:I35 I38:I39 I42:I43 I46:I47">
    <cfRule type="expression" dxfId="464" priority="200" stopIfTrue="1">
      <formula>I34&lt;0.25</formula>
    </cfRule>
    <cfRule type="expression" dxfId="463" priority="201" stopIfTrue="1">
      <formula>I34&lt;0.5</formula>
    </cfRule>
    <cfRule type="expression" dxfId="462" priority="202" stopIfTrue="1">
      <formula>I34&lt;0.75</formula>
    </cfRule>
    <cfRule type="expression" dxfId="461" priority="203">
      <formula>I34&gt;=0.75</formula>
    </cfRule>
  </conditionalFormatting>
  <conditionalFormatting sqref="K34:K35 K38:K39 K42:K43 K46:K47">
    <cfRule type="expression" dxfId="460" priority="196" stopIfTrue="1">
      <formula>K34&lt;0.25</formula>
    </cfRule>
    <cfRule type="expression" dxfId="459" priority="197" stopIfTrue="1">
      <formula>K34&lt;0.5</formula>
    </cfRule>
    <cfRule type="expression" dxfId="458" priority="198" stopIfTrue="1">
      <formula>K34&lt;0.75</formula>
    </cfRule>
    <cfRule type="expression" dxfId="457" priority="199">
      <formula>K34&gt;=0.75</formula>
    </cfRule>
  </conditionalFormatting>
  <conditionalFormatting sqref="E50">
    <cfRule type="expression" dxfId="456" priority="192" stopIfTrue="1">
      <formula>E50&lt;0.25</formula>
    </cfRule>
    <cfRule type="expression" dxfId="455" priority="193" stopIfTrue="1">
      <formula>E50&lt;0.5</formula>
    </cfRule>
    <cfRule type="expression" dxfId="454" priority="194" stopIfTrue="1">
      <formula>E50&lt;0.75</formula>
    </cfRule>
    <cfRule type="expression" dxfId="453" priority="195">
      <formula>E50&gt;=0.75</formula>
    </cfRule>
  </conditionalFormatting>
  <conditionalFormatting sqref="G50">
    <cfRule type="expression" dxfId="452" priority="188" stopIfTrue="1">
      <formula>G50&lt;0.25</formula>
    </cfRule>
    <cfRule type="expression" dxfId="451" priority="189" stopIfTrue="1">
      <formula>G50&lt;0.5</formula>
    </cfRule>
    <cfRule type="expression" dxfId="450" priority="190" stopIfTrue="1">
      <formula>G50&lt;0.75</formula>
    </cfRule>
    <cfRule type="expression" dxfId="449" priority="191">
      <formula>G50&gt;=0.75</formula>
    </cfRule>
  </conditionalFormatting>
  <conditionalFormatting sqref="I50">
    <cfRule type="expression" dxfId="448" priority="184" stopIfTrue="1">
      <formula>I50&lt;0.25</formula>
    </cfRule>
    <cfRule type="expression" dxfId="447" priority="185" stopIfTrue="1">
      <formula>I50&lt;0.5</formula>
    </cfRule>
    <cfRule type="expression" dxfId="446" priority="186" stopIfTrue="1">
      <formula>I50&lt;0.75</formula>
    </cfRule>
    <cfRule type="expression" dxfId="445" priority="187">
      <formula>I50&gt;=0.75</formula>
    </cfRule>
  </conditionalFormatting>
  <conditionalFormatting sqref="K50">
    <cfRule type="expression" dxfId="444" priority="180" stopIfTrue="1">
      <formula>K50&lt;0.25</formula>
    </cfRule>
    <cfRule type="expression" dxfId="443" priority="181" stopIfTrue="1">
      <formula>K50&lt;0.5</formula>
    </cfRule>
    <cfRule type="expression" dxfId="442" priority="182" stopIfTrue="1">
      <formula>K50&lt;0.75</formula>
    </cfRule>
    <cfRule type="expression" dxfId="441" priority="183">
      <formula>K50&gt;=0.75</formula>
    </cfRule>
  </conditionalFormatting>
  <conditionalFormatting sqref="E52:E53 E56:E57 E60:E61">
    <cfRule type="expression" dxfId="440" priority="176" stopIfTrue="1">
      <formula>E52&lt;0.25</formula>
    </cfRule>
    <cfRule type="expression" dxfId="439" priority="177" stopIfTrue="1">
      <formula>E52&lt;0.5</formula>
    </cfRule>
    <cfRule type="expression" dxfId="438" priority="178" stopIfTrue="1">
      <formula>E52&lt;0.75</formula>
    </cfRule>
    <cfRule type="expression" dxfId="437" priority="179">
      <formula>E52&gt;=0.75</formula>
    </cfRule>
  </conditionalFormatting>
  <conditionalFormatting sqref="G52:G53 G56:G57 G60:G61">
    <cfRule type="expression" dxfId="436" priority="172" stopIfTrue="1">
      <formula>G52&lt;0.25</formula>
    </cfRule>
    <cfRule type="expression" dxfId="435" priority="173" stopIfTrue="1">
      <formula>G52&lt;0.5</formula>
    </cfRule>
    <cfRule type="expression" dxfId="434" priority="174" stopIfTrue="1">
      <formula>G52&lt;0.75</formula>
    </cfRule>
    <cfRule type="expression" dxfId="433" priority="175">
      <formula>G52&gt;=0.75</formula>
    </cfRule>
  </conditionalFormatting>
  <conditionalFormatting sqref="I52:I53 I56:I57 I60:I61">
    <cfRule type="expression" dxfId="432" priority="168" stopIfTrue="1">
      <formula>I52&lt;0.25</formula>
    </cfRule>
    <cfRule type="expression" dxfId="431" priority="169" stopIfTrue="1">
      <formula>I52&lt;0.5</formula>
    </cfRule>
    <cfRule type="expression" dxfId="430" priority="170" stopIfTrue="1">
      <formula>I52&lt;0.75</formula>
    </cfRule>
    <cfRule type="expression" dxfId="429" priority="171">
      <formula>I52&gt;=0.75</formula>
    </cfRule>
  </conditionalFormatting>
  <conditionalFormatting sqref="K52:K53 K56:K57 K60:K61">
    <cfRule type="expression" dxfId="428" priority="164" stopIfTrue="1">
      <formula>K52&lt;0.25</formula>
    </cfRule>
    <cfRule type="expression" dxfId="427" priority="165" stopIfTrue="1">
      <formula>K52&lt;0.5</formula>
    </cfRule>
    <cfRule type="expression" dxfId="426" priority="166" stopIfTrue="1">
      <formula>K52&lt;0.75</formula>
    </cfRule>
    <cfRule type="expression" dxfId="425" priority="167">
      <formula>K52&gt;=0.75</formula>
    </cfRule>
  </conditionalFormatting>
  <conditionalFormatting sqref="E64">
    <cfRule type="expression" dxfId="424" priority="160" stopIfTrue="1">
      <formula>E64&lt;0.25</formula>
    </cfRule>
    <cfRule type="expression" dxfId="423" priority="161" stopIfTrue="1">
      <formula>E64&lt;0.5</formula>
    </cfRule>
    <cfRule type="expression" dxfId="422" priority="162" stopIfTrue="1">
      <formula>E64&lt;0.75</formula>
    </cfRule>
    <cfRule type="expression" dxfId="421" priority="163">
      <formula>E64&gt;=0.75</formula>
    </cfRule>
  </conditionalFormatting>
  <conditionalFormatting sqref="G64">
    <cfRule type="expression" dxfId="420" priority="156" stopIfTrue="1">
      <formula>G64&lt;0.25</formula>
    </cfRule>
    <cfRule type="expression" dxfId="419" priority="157" stopIfTrue="1">
      <formula>G64&lt;0.5</formula>
    </cfRule>
    <cfRule type="expression" dxfId="418" priority="158" stopIfTrue="1">
      <formula>G64&lt;0.75</formula>
    </cfRule>
    <cfRule type="expression" dxfId="417" priority="159">
      <formula>G64&gt;=0.75</formula>
    </cfRule>
  </conditionalFormatting>
  <conditionalFormatting sqref="I64">
    <cfRule type="expression" dxfId="416" priority="152" stopIfTrue="1">
      <formula>I64&lt;0.25</formula>
    </cfRule>
    <cfRule type="expression" dxfId="415" priority="153" stopIfTrue="1">
      <formula>I64&lt;0.5</formula>
    </cfRule>
    <cfRule type="expression" dxfId="414" priority="154" stopIfTrue="1">
      <formula>I64&lt;0.75</formula>
    </cfRule>
    <cfRule type="expression" dxfId="413" priority="155">
      <formula>I64&gt;=0.75</formula>
    </cfRule>
  </conditionalFormatting>
  <conditionalFormatting sqref="K64">
    <cfRule type="expression" dxfId="412" priority="148" stopIfTrue="1">
      <formula>K64&lt;0.25</formula>
    </cfRule>
    <cfRule type="expression" dxfId="411" priority="149" stopIfTrue="1">
      <formula>K64&lt;0.5</formula>
    </cfRule>
    <cfRule type="expression" dxfId="410" priority="150" stopIfTrue="1">
      <formula>K64&lt;0.75</formula>
    </cfRule>
    <cfRule type="expression" dxfId="409" priority="151">
      <formula>K64&gt;=0.75</formula>
    </cfRule>
  </conditionalFormatting>
  <conditionalFormatting sqref="E66:E67 E70:E71 E74:E75">
    <cfRule type="expression" dxfId="408" priority="144" stopIfTrue="1">
      <formula>E66&lt;0.25</formula>
    </cfRule>
    <cfRule type="expression" dxfId="407" priority="145" stopIfTrue="1">
      <formula>E66&lt;0.5</formula>
    </cfRule>
    <cfRule type="expression" dxfId="406" priority="146" stopIfTrue="1">
      <formula>E66&lt;0.75</formula>
    </cfRule>
    <cfRule type="expression" dxfId="405" priority="147">
      <formula>E66&gt;=0.75</formula>
    </cfRule>
  </conditionalFormatting>
  <conditionalFormatting sqref="G66:G67 G70:G71 G74:G75">
    <cfRule type="expression" dxfId="404" priority="140" stopIfTrue="1">
      <formula>G66&lt;0.25</formula>
    </cfRule>
    <cfRule type="expression" dxfId="403" priority="141" stopIfTrue="1">
      <formula>G66&lt;0.5</formula>
    </cfRule>
    <cfRule type="expression" dxfId="402" priority="142" stopIfTrue="1">
      <formula>G66&lt;0.75</formula>
    </cfRule>
    <cfRule type="expression" dxfId="401" priority="143">
      <formula>G66&gt;=0.75</formula>
    </cfRule>
  </conditionalFormatting>
  <conditionalFormatting sqref="I66:I67 I70:I71 I74:I75">
    <cfRule type="expression" dxfId="400" priority="136" stopIfTrue="1">
      <formula>I66&lt;0.25</formula>
    </cfRule>
    <cfRule type="expression" dxfId="399" priority="137" stopIfTrue="1">
      <formula>I66&lt;0.5</formula>
    </cfRule>
    <cfRule type="expression" dxfId="398" priority="138" stopIfTrue="1">
      <formula>I66&lt;0.75</formula>
    </cfRule>
    <cfRule type="expression" dxfId="397" priority="139">
      <formula>I66&gt;=0.75</formula>
    </cfRule>
  </conditionalFormatting>
  <conditionalFormatting sqref="K66:K67 K70:K71 K74:K75">
    <cfRule type="expression" dxfId="396" priority="132" stopIfTrue="1">
      <formula>K66&lt;0.25</formula>
    </cfRule>
    <cfRule type="expression" dxfId="395" priority="133" stopIfTrue="1">
      <formula>K66&lt;0.5</formula>
    </cfRule>
    <cfRule type="expression" dxfId="394" priority="134" stopIfTrue="1">
      <formula>K66&lt;0.75</formula>
    </cfRule>
    <cfRule type="expression" dxfId="393" priority="135">
      <formula>K66&gt;=0.75</formula>
    </cfRule>
  </conditionalFormatting>
  <conditionalFormatting sqref="E78">
    <cfRule type="expression" dxfId="392" priority="128" stopIfTrue="1">
      <formula>E78&lt;0.25</formula>
    </cfRule>
    <cfRule type="expression" dxfId="391" priority="129" stopIfTrue="1">
      <formula>E78&lt;0.5</formula>
    </cfRule>
    <cfRule type="expression" dxfId="390" priority="130" stopIfTrue="1">
      <formula>E78&lt;0.75</formula>
    </cfRule>
    <cfRule type="expression" dxfId="389" priority="131">
      <formula>E78&gt;=0.75</formula>
    </cfRule>
  </conditionalFormatting>
  <conditionalFormatting sqref="G78">
    <cfRule type="expression" dxfId="388" priority="124" stopIfTrue="1">
      <formula>G78&lt;0.25</formula>
    </cfRule>
    <cfRule type="expression" dxfId="387" priority="125" stopIfTrue="1">
      <formula>G78&lt;0.5</formula>
    </cfRule>
    <cfRule type="expression" dxfId="386" priority="126" stopIfTrue="1">
      <formula>G78&lt;0.75</formula>
    </cfRule>
    <cfRule type="expression" dxfId="385" priority="127">
      <formula>G78&gt;=0.75</formula>
    </cfRule>
  </conditionalFormatting>
  <conditionalFormatting sqref="I78">
    <cfRule type="expression" dxfId="384" priority="120" stopIfTrue="1">
      <formula>I78&lt;0.25</formula>
    </cfRule>
    <cfRule type="expression" dxfId="383" priority="121" stopIfTrue="1">
      <formula>I78&lt;0.5</formula>
    </cfRule>
    <cfRule type="expression" dxfId="382" priority="122" stopIfTrue="1">
      <formula>I78&lt;0.75</formula>
    </cfRule>
    <cfRule type="expression" dxfId="381" priority="123">
      <formula>I78&gt;=0.75</formula>
    </cfRule>
  </conditionalFormatting>
  <conditionalFormatting sqref="K78">
    <cfRule type="expression" dxfId="380" priority="116" stopIfTrue="1">
      <formula>K78&lt;0.25</formula>
    </cfRule>
    <cfRule type="expression" dxfId="379" priority="117" stopIfTrue="1">
      <formula>K78&lt;0.5</formula>
    </cfRule>
    <cfRule type="expression" dxfId="378" priority="118" stopIfTrue="1">
      <formula>K78&lt;0.75</formula>
    </cfRule>
    <cfRule type="expression" dxfId="377" priority="119">
      <formula>K78&gt;=0.75</formula>
    </cfRule>
  </conditionalFormatting>
  <conditionalFormatting sqref="E80:E81 E84:E85 E88">
    <cfRule type="expression" dxfId="376" priority="112" stopIfTrue="1">
      <formula>E80&lt;0.25</formula>
    </cfRule>
    <cfRule type="expression" dxfId="375" priority="113" stopIfTrue="1">
      <formula>E80&lt;0.5</formula>
    </cfRule>
    <cfRule type="expression" dxfId="374" priority="114" stopIfTrue="1">
      <formula>E80&lt;0.75</formula>
    </cfRule>
    <cfRule type="expression" dxfId="373" priority="115">
      <formula>E80&gt;=0.75</formula>
    </cfRule>
  </conditionalFormatting>
  <conditionalFormatting sqref="G80:G81 G84:G85 G88">
    <cfRule type="expression" dxfId="372" priority="108" stopIfTrue="1">
      <formula>G80&lt;0.25</formula>
    </cfRule>
    <cfRule type="expression" dxfId="371" priority="109" stopIfTrue="1">
      <formula>G80&lt;0.5</formula>
    </cfRule>
    <cfRule type="expression" dxfId="370" priority="110" stopIfTrue="1">
      <formula>G80&lt;0.75</formula>
    </cfRule>
    <cfRule type="expression" dxfId="369" priority="111">
      <formula>G80&gt;=0.75</formula>
    </cfRule>
  </conditionalFormatting>
  <conditionalFormatting sqref="I80:I81 I84:I85 I88">
    <cfRule type="expression" dxfId="368" priority="104" stopIfTrue="1">
      <formula>I80&lt;0.25</formula>
    </cfRule>
    <cfRule type="expression" dxfId="367" priority="105" stopIfTrue="1">
      <formula>I80&lt;0.5</formula>
    </cfRule>
    <cfRule type="expression" dxfId="366" priority="106" stopIfTrue="1">
      <formula>I80&lt;0.75</formula>
    </cfRule>
    <cfRule type="expression" dxfId="365" priority="107">
      <formula>I80&gt;=0.75</formula>
    </cfRule>
  </conditionalFormatting>
  <conditionalFormatting sqref="K80:K81 K84:K85 K88">
    <cfRule type="expression" dxfId="364" priority="100" stopIfTrue="1">
      <formula>K80&lt;0.25</formula>
    </cfRule>
    <cfRule type="expression" dxfId="363" priority="101" stopIfTrue="1">
      <formula>K80&lt;0.5</formula>
    </cfRule>
    <cfRule type="expression" dxfId="362" priority="102" stopIfTrue="1">
      <formula>K80&lt;0.75</formula>
    </cfRule>
    <cfRule type="expression" dxfId="361" priority="103">
      <formula>K80&gt;=0.75</formula>
    </cfRule>
  </conditionalFormatting>
  <conditionalFormatting sqref="E89">
    <cfRule type="expression" dxfId="360" priority="92" stopIfTrue="1">
      <formula>E89&lt;0.25</formula>
    </cfRule>
    <cfRule type="expression" dxfId="359" priority="93" stopIfTrue="1">
      <formula>E89&lt;0.5</formula>
    </cfRule>
    <cfRule type="expression" dxfId="358" priority="94" stopIfTrue="1">
      <formula>E89&lt;0.75</formula>
    </cfRule>
    <cfRule type="expression" dxfId="357" priority="95">
      <formula>E89&gt;=0.75</formula>
    </cfRule>
  </conditionalFormatting>
  <conditionalFormatting sqref="G89">
    <cfRule type="expression" dxfId="356" priority="88" stopIfTrue="1">
      <formula>G89&lt;0.25</formula>
    </cfRule>
    <cfRule type="expression" dxfId="355" priority="89" stopIfTrue="1">
      <formula>G89&lt;0.5</formula>
    </cfRule>
    <cfRule type="expression" dxfId="354" priority="90" stopIfTrue="1">
      <formula>G89&lt;0.75</formula>
    </cfRule>
    <cfRule type="expression" dxfId="353" priority="91">
      <formula>G89&gt;=0.75</formula>
    </cfRule>
  </conditionalFormatting>
  <conditionalFormatting sqref="I89">
    <cfRule type="expression" dxfId="352" priority="84" stopIfTrue="1">
      <formula>I89&lt;0.25</formula>
    </cfRule>
    <cfRule type="expression" dxfId="351" priority="85" stopIfTrue="1">
      <formula>I89&lt;0.5</formula>
    </cfRule>
    <cfRule type="expression" dxfId="350" priority="86" stopIfTrue="1">
      <formula>I89&lt;0.75</formula>
    </cfRule>
    <cfRule type="expression" dxfId="349" priority="87">
      <formula>I89&gt;=0.75</formula>
    </cfRule>
  </conditionalFormatting>
  <conditionalFormatting sqref="K89">
    <cfRule type="expression" dxfId="348" priority="80" stopIfTrue="1">
      <formula>K89&lt;0.25</formula>
    </cfRule>
    <cfRule type="expression" dxfId="347" priority="81" stopIfTrue="1">
      <formula>K89&lt;0.5</formula>
    </cfRule>
    <cfRule type="expression" dxfId="346" priority="82" stopIfTrue="1">
      <formula>K89&lt;0.75</formula>
    </cfRule>
    <cfRule type="expression" dxfId="345" priority="83">
      <formula>K89&gt;=0.75</formula>
    </cfRule>
  </conditionalFormatting>
  <pageMargins left="0.7" right="0.7" top="0.75" bottom="0.75" header="0.3" footer="0.3"/>
  <pageSetup scale="87" fitToHeight="0"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iconSet" priority="79" id="{7AD8E3BD-B1D2-4070-904A-5FCBD41A7B6E}">
            <x14:iconSet iconSet="3Signs" showValue="0" custom="1">
              <x14:cfvo type="percent">
                <xm:f>0</xm:f>
              </x14:cfvo>
              <x14:cfvo type="num">
                <xm:f>1</xm:f>
              </x14:cfvo>
              <x14:cfvo type="num">
                <xm:f>1</xm:f>
              </x14:cfvo>
              <x14:cfIcon iconSet="3TrafficLights1" iconId="2"/>
              <x14:cfIcon iconSet="3Signs" iconId="0"/>
              <x14:cfIcon iconSet="3Signs" iconId="0"/>
            </x14:iconSet>
          </x14:cfRule>
          <xm:sqref>A7</xm:sqref>
        </x14:conditionalFormatting>
        <x14:conditionalFormatting xmlns:xm="http://schemas.microsoft.com/office/excel/2006/main">
          <x14:cfRule type="iconSet" priority="78" id="{FB752C66-56CF-4CF7-85C2-4D8D3152BD69}">
            <x14:iconSet iconSet="3Signs" showValue="0" custom="1">
              <x14:cfvo type="percent">
                <xm:f>0</xm:f>
              </x14:cfvo>
              <x14:cfvo type="num">
                <xm:f>1</xm:f>
              </x14:cfvo>
              <x14:cfvo type="num">
                <xm:f>1</xm:f>
              </x14:cfvo>
              <x14:cfIcon iconSet="3TrafficLights1" iconId="2"/>
              <x14:cfIcon iconSet="3Signs" iconId="1"/>
              <x14:cfIcon iconSet="3Signs" iconId="1"/>
            </x14:iconSet>
          </x14:cfRule>
          <xm:sqref>B7</xm:sqref>
        </x14:conditionalFormatting>
        <x14:conditionalFormatting xmlns:xm="http://schemas.microsoft.com/office/excel/2006/main">
          <x14:cfRule type="iconSet" priority="36" id="{B08DC6C8-513A-4FC0-A29C-C9035D35EC96}">
            <x14:iconSet iconSet="3Signs" showValue="0" custom="1">
              <x14:cfvo type="percent">
                <xm:f>0</xm:f>
              </x14:cfvo>
              <x14:cfvo type="num">
                <xm:f>1</xm:f>
              </x14:cfvo>
              <x14:cfvo type="num">
                <xm:f>1</xm:f>
              </x14:cfvo>
              <x14:cfIcon iconSet="3TrafficLights1" iconId="2"/>
              <x14:cfIcon iconSet="3Signs" iconId="0"/>
              <x14:cfIcon iconSet="3Signs" iconId="0"/>
            </x14:iconSet>
          </x14:cfRule>
          <xm:sqref>A11</xm:sqref>
        </x14:conditionalFormatting>
        <x14:conditionalFormatting xmlns:xm="http://schemas.microsoft.com/office/excel/2006/main">
          <x14:cfRule type="iconSet" priority="35" id="{D607F6D5-5B48-4EE1-A10C-2468AB65FB99}">
            <x14:iconSet iconSet="3Signs" showValue="0" custom="1">
              <x14:cfvo type="percent">
                <xm:f>0</xm:f>
              </x14:cfvo>
              <x14:cfvo type="num">
                <xm:f>1</xm:f>
              </x14:cfvo>
              <x14:cfvo type="num">
                <xm:f>1</xm:f>
              </x14:cfvo>
              <x14:cfIcon iconSet="3TrafficLights1" iconId="2"/>
              <x14:cfIcon iconSet="3Signs" iconId="1"/>
              <x14:cfIcon iconSet="3Signs" iconId="1"/>
            </x14:iconSet>
          </x14:cfRule>
          <xm:sqref>B11</xm:sqref>
        </x14:conditionalFormatting>
        <x14:conditionalFormatting xmlns:xm="http://schemas.microsoft.com/office/excel/2006/main">
          <x14:cfRule type="iconSet" priority="34" id="{4DEF48D6-9FCE-46C2-B618-2B62FDB5B24E}">
            <x14:iconSet iconSet="3Signs" showValue="0" custom="1">
              <x14:cfvo type="percent">
                <xm:f>0</xm:f>
              </x14:cfvo>
              <x14:cfvo type="num">
                <xm:f>1</xm:f>
              </x14:cfvo>
              <x14:cfvo type="num">
                <xm:f>1</xm:f>
              </x14:cfvo>
              <x14:cfIcon iconSet="3TrafficLights1" iconId="2"/>
              <x14:cfIcon iconSet="3Signs" iconId="0"/>
              <x14:cfIcon iconSet="3Signs" iconId="0"/>
            </x14:iconSet>
          </x14:cfRule>
          <xm:sqref>A15</xm:sqref>
        </x14:conditionalFormatting>
        <x14:conditionalFormatting xmlns:xm="http://schemas.microsoft.com/office/excel/2006/main">
          <x14:cfRule type="iconSet" priority="33" id="{AECF3F59-EDB6-466A-8AA9-2E7463558DB0}">
            <x14:iconSet iconSet="3Signs" showValue="0" custom="1">
              <x14:cfvo type="percent">
                <xm:f>0</xm:f>
              </x14:cfvo>
              <x14:cfvo type="num">
                <xm:f>1</xm:f>
              </x14:cfvo>
              <x14:cfvo type="num">
                <xm:f>1</xm:f>
              </x14:cfvo>
              <x14:cfIcon iconSet="3TrafficLights1" iconId="2"/>
              <x14:cfIcon iconSet="3Signs" iconId="1"/>
              <x14:cfIcon iconSet="3Signs" iconId="1"/>
            </x14:iconSet>
          </x14:cfRule>
          <xm:sqref>B15</xm:sqref>
        </x14:conditionalFormatting>
        <x14:conditionalFormatting xmlns:xm="http://schemas.microsoft.com/office/excel/2006/main">
          <x14:cfRule type="iconSet" priority="32" id="{099C3CCB-BC65-47DE-A0EC-451556AB8BC5}">
            <x14:iconSet iconSet="3Signs" showValue="0" custom="1">
              <x14:cfvo type="percent">
                <xm:f>0</xm:f>
              </x14:cfvo>
              <x14:cfvo type="num">
                <xm:f>1</xm:f>
              </x14:cfvo>
              <x14:cfvo type="num">
                <xm:f>1</xm:f>
              </x14:cfvo>
              <x14:cfIcon iconSet="3TrafficLights1" iconId="2"/>
              <x14:cfIcon iconSet="3Signs" iconId="0"/>
              <x14:cfIcon iconSet="3Signs" iconId="0"/>
            </x14:iconSet>
          </x14:cfRule>
          <xm:sqref>A21</xm:sqref>
        </x14:conditionalFormatting>
        <x14:conditionalFormatting xmlns:xm="http://schemas.microsoft.com/office/excel/2006/main">
          <x14:cfRule type="iconSet" priority="31" id="{D7396EAF-3434-4B73-94D9-2F34D56B2B1E}">
            <x14:iconSet iconSet="3Signs" showValue="0" custom="1">
              <x14:cfvo type="percent">
                <xm:f>0</xm:f>
              </x14:cfvo>
              <x14:cfvo type="num">
                <xm:f>1</xm:f>
              </x14:cfvo>
              <x14:cfvo type="num">
                <xm:f>1</xm:f>
              </x14:cfvo>
              <x14:cfIcon iconSet="3TrafficLights1" iconId="2"/>
              <x14:cfIcon iconSet="3Signs" iconId="1"/>
              <x14:cfIcon iconSet="3Signs" iconId="1"/>
            </x14:iconSet>
          </x14:cfRule>
          <xm:sqref>B21</xm:sqref>
        </x14:conditionalFormatting>
        <x14:conditionalFormatting xmlns:xm="http://schemas.microsoft.com/office/excel/2006/main">
          <x14:cfRule type="iconSet" priority="30" id="{F0D1B325-2F33-4C6B-BDA7-42C72C49E98A}">
            <x14:iconSet iconSet="3Signs" showValue="0" custom="1">
              <x14:cfvo type="percent">
                <xm:f>0</xm:f>
              </x14:cfvo>
              <x14:cfvo type="num">
                <xm:f>1</xm:f>
              </x14:cfvo>
              <x14:cfvo type="num">
                <xm:f>1</xm:f>
              </x14:cfvo>
              <x14:cfIcon iconSet="3TrafficLights1" iconId="2"/>
              <x14:cfIcon iconSet="3Signs" iconId="0"/>
              <x14:cfIcon iconSet="3Signs" iconId="0"/>
            </x14:iconSet>
          </x14:cfRule>
          <xm:sqref>A25</xm:sqref>
        </x14:conditionalFormatting>
        <x14:conditionalFormatting xmlns:xm="http://schemas.microsoft.com/office/excel/2006/main">
          <x14:cfRule type="iconSet" priority="29" id="{F0CCB06A-F8C8-42E2-A913-9E9C097E9FF2}">
            <x14:iconSet iconSet="3Signs" showValue="0" custom="1">
              <x14:cfvo type="percent">
                <xm:f>0</xm:f>
              </x14:cfvo>
              <x14:cfvo type="num">
                <xm:f>1</xm:f>
              </x14:cfvo>
              <x14:cfvo type="num">
                <xm:f>1</xm:f>
              </x14:cfvo>
              <x14:cfIcon iconSet="3TrafficLights1" iconId="2"/>
              <x14:cfIcon iconSet="3Signs" iconId="1"/>
              <x14:cfIcon iconSet="3Signs" iconId="1"/>
            </x14:iconSet>
          </x14:cfRule>
          <xm:sqref>B25</xm:sqref>
        </x14:conditionalFormatting>
        <x14:conditionalFormatting xmlns:xm="http://schemas.microsoft.com/office/excel/2006/main">
          <x14:cfRule type="iconSet" priority="28" id="{A9887458-8D70-4E03-8204-7E4CEF84BADB}">
            <x14:iconSet iconSet="3Signs" showValue="0" custom="1">
              <x14:cfvo type="percent">
                <xm:f>0</xm:f>
              </x14:cfvo>
              <x14:cfvo type="num">
                <xm:f>1</xm:f>
              </x14:cfvo>
              <x14:cfvo type="num">
                <xm:f>1</xm:f>
              </x14:cfvo>
              <x14:cfIcon iconSet="3TrafficLights1" iconId="2"/>
              <x14:cfIcon iconSet="3Signs" iconId="0"/>
              <x14:cfIcon iconSet="3Signs" iconId="0"/>
            </x14:iconSet>
          </x14:cfRule>
          <xm:sqref>A29</xm:sqref>
        </x14:conditionalFormatting>
        <x14:conditionalFormatting xmlns:xm="http://schemas.microsoft.com/office/excel/2006/main">
          <x14:cfRule type="iconSet" priority="27" id="{0008071D-2CCF-4E68-BFC9-FECB4E207D19}">
            <x14:iconSet iconSet="3Signs" showValue="0" custom="1">
              <x14:cfvo type="percent">
                <xm:f>0</xm:f>
              </x14:cfvo>
              <x14:cfvo type="num">
                <xm:f>1</xm:f>
              </x14:cfvo>
              <x14:cfvo type="num">
                <xm:f>1</xm:f>
              </x14:cfvo>
              <x14:cfIcon iconSet="3TrafficLights1" iconId="2"/>
              <x14:cfIcon iconSet="3Signs" iconId="1"/>
              <x14:cfIcon iconSet="3Signs" iconId="1"/>
            </x14:iconSet>
          </x14:cfRule>
          <xm:sqref>B29</xm:sqref>
        </x14:conditionalFormatting>
        <x14:conditionalFormatting xmlns:xm="http://schemas.microsoft.com/office/excel/2006/main">
          <x14:cfRule type="iconSet" priority="26" id="{65331336-5D54-45EE-A228-DFFE103585B0}">
            <x14:iconSet iconSet="3Signs" showValue="0" custom="1">
              <x14:cfvo type="percent">
                <xm:f>0</xm:f>
              </x14:cfvo>
              <x14:cfvo type="num">
                <xm:f>1</xm:f>
              </x14:cfvo>
              <x14:cfvo type="num">
                <xm:f>1</xm:f>
              </x14:cfvo>
              <x14:cfIcon iconSet="3TrafficLights1" iconId="2"/>
              <x14:cfIcon iconSet="3Signs" iconId="0"/>
              <x14:cfIcon iconSet="3Signs" iconId="0"/>
            </x14:iconSet>
          </x14:cfRule>
          <xm:sqref>A35</xm:sqref>
        </x14:conditionalFormatting>
        <x14:conditionalFormatting xmlns:xm="http://schemas.microsoft.com/office/excel/2006/main">
          <x14:cfRule type="iconSet" priority="25" id="{CAA19F17-41A5-4244-8AD8-A92A5C688B03}">
            <x14:iconSet iconSet="3Signs" showValue="0" custom="1">
              <x14:cfvo type="percent">
                <xm:f>0</xm:f>
              </x14:cfvo>
              <x14:cfvo type="num">
                <xm:f>1</xm:f>
              </x14:cfvo>
              <x14:cfvo type="num">
                <xm:f>1</xm:f>
              </x14:cfvo>
              <x14:cfIcon iconSet="3TrafficLights1" iconId="2"/>
              <x14:cfIcon iconSet="3Signs" iconId="1"/>
              <x14:cfIcon iconSet="3Signs" iconId="1"/>
            </x14:iconSet>
          </x14:cfRule>
          <xm:sqref>B35</xm:sqref>
        </x14:conditionalFormatting>
        <x14:conditionalFormatting xmlns:xm="http://schemas.microsoft.com/office/excel/2006/main">
          <x14:cfRule type="iconSet" priority="24" id="{DFC7CFBF-B5D2-44F2-908A-1DF484627F62}">
            <x14:iconSet iconSet="3Signs" showValue="0" custom="1">
              <x14:cfvo type="percent">
                <xm:f>0</xm:f>
              </x14:cfvo>
              <x14:cfvo type="num">
                <xm:f>1</xm:f>
              </x14:cfvo>
              <x14:cfvo type="num">
                <xm:f>1</xm:f>
              </x14:cfvo>
              <x14:cfIcon iconSet="3TrafficLights1" iconId="2"/>
              <x14:cfIcon iconSet="3Signs" iconId="0"/>
              <x14:cfIcon iconSet="3Signs" iconId="0"/>
            </x14:iconSet>
          </x14:cfRule>
          <xm:sqref>A39</xm:sqref>
        </x14:conditionalFormatting>
        <x14:conditionalFormatting xmlns:xm="http://schemas.microsoft.com/office/excel/2006/main">
          <x14:cfRule type="iconSet" priority="23" id="{CB590EA1-6E9A-4D8A-8D93-7A145438B1BA}">
            <x14:iconSet iconSet="3Signs" showValue="0" custom="1">
              <x14:cfvo type="percent">
                <xm:f>0</xm:f>
              </x14:cfvo>
              <x14:cfvo type="num">
                <xm:f>1</xm:f>
              </x14:cfvo>
              <x14:cfvo type="num">
                <xm:f>1</xm:f>
              </x14:cfvo>
              <x14:cfIcon iconSet="3TrafficLights1" iconId="2"/>
              <x14:cfIcon iconSet="3Signs" iconId="1"/>
              <x14:cfIcon iconSet="3Signs" iconId="1"/>
            </x14:iconSet>
          </x14:cfRule>
          <xm:sqref>B39</xm:sqref>
        </x14:conditionalFormatting>
        <x14:conditionalFormatting xmlns:xm="http://schemas.microsoft.com/office/excel/2006/main">
          <x14:cfRule type="iconSet" priority="22" id="{427B95FD-2344-4AD1-8882-698FD8161F4A}">
            <x14:iconSet iconSet="3Signs" showValue="0" custom="1">
              <x14:cfvo type="percent">
                <xm:f>0</xm:f>
              </x14:cfvo>
              <x14:cfvo type="num">
                <xm:f>1</xm:f>
              </x14:cfvo>
              <x14:cfvo type="num">
                <xm:f>1</xm:f>
              </x14:cfvo>
              <x14:cfIcon iconSet="3TrafficLights1" iconId="2"/>
              <x14:cfIcon iconSet="3Signs" iconId="0"/>
              <x14:cfIcon iconSet="3Signs" iconId="0"/>
            </x14:iconSet>
          </x14:cfRule>
          <xm:sqref>A43</xm:sqref>
        </x14:conditionalFormatting>
        <x14:conditionalFormatting xmlns:xm="http://schemas.microsoft.com/office/excel/2006/main">
          <x14:cfRule type="iconSet" priority="21" id="{C1B935D1-CA24-4221-ACE1-3291773FB326}">
            <x14:iconSet iconSet="3Signs" showValue="0" custom="1">
              <x14:cfvo type="percent">
                <xm:f>0</xm:f>
              </x14:cfvo>
              <x14:cfvo type="num">
                <xm:f>1</xm:f>
              </x14:cfvo>
              <x14:cfvo type="num">
                <xm:f>1</xm:f>
              </x14:cfvo>
              <x14:cfIcon iconSet="3TrafficLights1" iconId="2"/>
              <x14:cfIcon iconSet="3Signs" iconId="1"/>
              <x14:cfIcon iconSet="3Signs" iconId="1"/>
            </x14:iconSet>
          </x14:cfRule>
          <xm:sqref>B43</xm:sqref>
        </x14:conditionalFormatting>
        <x14:conditionalFormatting xmlns:xm="http://schemas.microsoft.com/office/excel/2006/main">
          <x14:cfRule type="iconSet" priority="20" id="{BDD0498E-BC3F-477B-BC03-AB4E0407C2E5}">
            <x14:iconSet iconSet="3Signs" showValue="0" custom="1">
              <x14:cfvo type="percent">
                <xm:f>0</xm:f>
              </x14:cfvo>
              <x14:cfvo type="num">
                <xm:f>1</xm:f>
              </x14:cfvo>
              <x14:cfvo type="num">
                <xm:f>1</xm:f>
              </x14:cfvo>
              <x14:cfIcon iconSet="3TrafficLights1" iconId="2"/>
              <x14:cfIcon iconSet="3Signs" iconId="0"/>
              <x14:cfIcon iconSet="3Signs" iconId="0"/>
            </x14:iconSet>
          </x14:cfRule>
          <xm:sqref>A47</xm:sqref>
        </x14:conditionalFormatting>
        <x14:conditionalFormatting xmlns:xm="http://schemas.microsoft.com/office/excel/2006/main">
          <x14:cfRule type="iconSet" priority="19" id="{5F75171A-39B2-492C-AE16-D1A033F6A2ED}">
            <x14:iconSet iconSet="3Signs" showValue="0" custom="1">
              <x14:cfvo type="percent">
                <xm:f>0</xm:f>
              </x14:cfvo>
              <x14:cfvo type="num">
                <xm:f>1</xm:f>
              </x14:cfvo>
              <x14:cfvo type="num">
                <xm:f>1</xm:f>
              </x14:cfvo>
              <x14:cfIcon iconSet="3TrafficLights1" iconId="2"/>
              <x14:cfIcon iconSet="3Signs" iconId="1"/>
              <x14:cfIcon iconSet="3Signs" iconId="1"/>
            </x14:iconSet>
          </x14:cfRule>
          <xm:sqref>B47</xm:sqref>
        </x14:conditionalFormatting>
        <x14:conditionalFormatting xmlns:xm="http://schemas.microsoft.com/office/excel/2006/main">
          <x14:cfRule type="iconSet" priority="18" id="{F9728713-74B3-4BF6-AE2D-933A2FA2D011}">
            <x14:iconSet iconSet="3Signs" showValue="0" custom="1">
              <x14:cfvo type="percent">
                <xm:f>0</xm:f>
              </x14:cfvo>
              <x14:cfvo type="num">
                <xm:f>1</xm:f>
              </x14:cfvo>
              <x14:cfvo type="num">
                <xm:f>1</xm:f>
              </x14:cfvo>
              <x14:cfIcon iconSet="3TrafficLights1" iconId="2"/>
              <x14:cfIcon iconSet="3Signs" iconId="0"/>
              <x14:cfIcon iconSet="3Signs" iconId="0"/>
            </x14:iconSet>
          </x14:cfRule>
          <xm:sqref>A53</xm:sqref>
        </x14:conditionalFormatting>
        <x14:conditionalFormatting xmlns:xm="http://schemas.microsoft.com/office/excel/2006/main">
          <x14:cfRule type="iconSet" priority="17" id="{7016EF73-E8EE-4796-87B2-8F482C2A7690}">
            <x14:iconSet iconSet="3Signs" showValue="0" custom="1">
              <x14:cfvo type="percent">
                <xm:f>0</xm:f>
              </x14:cfvo>
              <x14:cfvo type="num">
                <xm:f>1</xm:f>
              </x14:cfvo>
              <x14:cfvo type="num">
                <xm:f>1</xm:f>
              </x14:cfvo>
              <x14:cfIcon iconSet="3TrafficLights1" iconId="2"/>
              <x14:cfIcon iconSet="3Signs" iconId="1"/>
              <x14:cfIcon iconSet="3Signs" iconId="1"/>
            </x14:iconSet>
          </x14:cfRule>
          <xm:sqref>B53</xm:sqref>
        </x14:conditionalFormatting>
        <x14:conditionalFormatting xmlns:xm="http://schemas.microsoft.com/office/excel/2006/main">
          <x14:cfRule type="iconSet" priority="16" id="{3A4A49C3-9EB7-433F-859A-477C80889D2A}">
            <x14:iconSet iconSet="3Signs" showValue="0" custom="1">
              <x14:cfvo type="percent">
                <xm:f>0</xm:f>
              </x14:cfvo>
              <x14:cfvo type="num">
                <xm:f>1</xm:f>
              </x14:cfvo>
              <x14:cfvo type="num">
                <xm:f>1</xm:f>
              </x14:cfvo>
              <x14:cfIcon iconSet="3TrafficLights1" iconId="2"/>
              <x14:cfIcon iconSet="3Signs" iconId="0"/>
              <x14:cfIcon iconSet="3Signs" iconId="0"/>
            </x14:iconSet>
          </x14:cfRule>
          <xm:sqref>A57</xm:sqref>
        </x14:conditionalFormatting>
        <x14:conditionalFormatting xmlns:xm="http://schemas.microsoft.com/office/excel/2006/main">
          <x14:cfRule type="iconSet" priority="15" id="{4AA5F844-4A7B-46BA-A346-16ADC8727A39}">
            <x14:iconSet iconSet="3Signs" showValue="0" custom="1">
              <x14:cfvo type="percent">
                <xm:f>0</xm:f>
              </x14:cfvo>
              <x14:cfvo type="num">
                <xm:f>1</xm:f>
              </x14:cfvo>
              <x14:cfvo type="num">
                <xm:f>1</xm:f>
              </x14:cfvo>
              <x14:cfIcon iconSet="3TrafficLights1" iconId="2"/>
              <x14:cfIcon iconSet="3Signs" iconId="1"/>
              <x14:cfIcon iconSet="3Signs" iconId="1"/>
            </x14:iconSet>
          </x14:cfRule>
          <xm:sqref>B57</xm:sqref>
        </x14:conditionalFormatting>
        <x14:conditionalFormatting xmlns:xm="http://schemas.microsoft.com/office/excel/2006/main">
          <x14:cfRule type="iconSet" priority="14" id="{A055AF87-62AE-47D6-A15B-FA0FE93EC924}">
            <x14:iconSet iconSet="3Signs" showValue="0" custom="1">
              <x14:cfvo type="percent">
                <xm:f>0</xm:f>
              </x14:cfvo>
              <x14:cfvo type="num">
                <xm:f>1</xm:f>
              </x14:cfvo>
              <x14:cfvo type="num">
                <xm:f>1</xm:f>
              </x14:cfvo>
              <x14:cfIcon iconSet="3TrafficLights1" iconId="2"/>
              <x14:cfIcon iconSet="3Signs" iconId="0"/>
              <x14:cfIcon iconSet="3Signs" iconId="0"/>
            </x14:iconSet>
          </x14:cfRule>
          <xm:sqref>A61</xm:sqref>
        </x14:conditionalFormatting>
        <x14:conditionalFormatting xmlns:xm="http://schemas.microsoft.com/office/excel/2006/main">
          <x14:cfRule type="iconSet" priority="13" id="{BA7AE0BC-DB59-4846-8BF7-19C0D966B1AB}">
            <x14:iconSet iconSet="3Signs" showValue="0" custom="1">
              <x14:cfvo type="percent">
                <xm:f>0</xm:f>
              </x14:cfvo>
              <x14:cfvo type="num">
                <xm:f>1</xm:f>
              </x14:cfvo>
              <x14:cfvo type="num">
                <xm:f>1</xm:f>
              </x14:cfvo>
              <x14:cfIcon iconSet="3TrafficLights1" iconId="2"/>
              <x14:cfIcon iconSet="3Signs" iconId="1"/>
              <x14:cfIcon iconSet="3Signs" iconId="1"/>
            </x14:iconSet>
          </x14:cfRule>
          <xm:sqref>B61</xm:sqref>
        </x14:conditionalFormatting>
        <x14:conditionalFormatting xmlns:xm="http://schemas.microsoft.com/office/excel/2006/main">
          <x14:cfRule type="iconSet" priority="12" id="{6188444B-6665-401E-9D73-F2179DEF1461}">
            <x14:iconSet iconSet="3Signs" showValue="0" custom="1">
              <x14:cfvo type="percent">
                <xm:f>0</xm:f>
              </x14:cfvo>
              <x14:cfvo type="num">
                <xm:f>1</xm:f>
              </x14:cfvo>
              <x14:cfvo type="num">
                <xm:f>1</xm:f>
              </x14:cfvo>
              <x14:cfIcon iconSet="3TrafficLights1" iconId="2"/>
              <x14:cfIcon iconSet="3Signs" iconId="0"/>
              <x14:cfIcon iconSet="3Signs" iconId="0"/>
            </x14:iconSet>
          </x14:cfRule>
          <xm:sqref>A67</xm:sqref>
        </x14:conditionalFormatting>
        <x14:conditionalFormatting xmlns:xm="http://schemas.microsoft.com/office/excel/2006/main">
          <x14:cfRule type="iconSet" priority="11" id="{FA35633D-9241-4CAF-8259-77AA19670871}">
            <x14:iconSet iconSet="3Signs" showValue="0" custom="1">
              <x14:cfvo type="percent">
                <xm:f>0</xm:f>
              </x14:cfvo>
              <x14:cfvo type="num">
                <xm:f>1</xm:f>
              </x14:cfvo>
              <x14:cfvo type="num">
                <xm:f>1</xm:f>
              </x14:cfvo>
              <x14:cfIcon iconSet="3TrafficLights1" iconId="2"/>
              <x14:cfIcon iconSet="3Signs" iconId="1"/>
              <x14:cfIcon iconSet="3Signs" iconId="1"/>
            </x14:iconSet>
          </x14:cfRule>
          <xm:sqref>B67</xm:sqref>
        </x14:conditionalFormatting>
        <x14:conditionalFormatting xmlns:xm="http://schemas.microsoft.com/office/excel/2006/main">
          <x14:cfRule type="iconSet" priority="10" id="{899C0E0A-2FDB-41AE-9388-837E7991D2CE}">
            <x14:iconSet iconSet="3Signs" showValue="0" custom="1">
              <x14:cfvo type="percent">
                <xm:f>0</xm:f>
              </x14:cfvo>
              <x14:cfvo type="num">
                <xm:f>1</xm:f>
              </x14:cfvo>
              <x14:cfvo type="num">
                <xm:f>1</xm:f>
              </x14:cfvo>
              <x14:cfIcon iconSet="3TrafficLights1" iconId="2"/>
              <x14:cfIcon iconSet="3Signs" iconId="0"/>
              <x14:cfIcon iconSet="3Signs" iconId="0"/>
            </x14:iconSet>
          </x14:cfRule>
          <xm:sqref>A71</xm:sqref>
        </x14:conditionalFormatting>
        <x14:conditionalFormatting xmlns:xm="http://schemas.microsoft.com/office/excel/2006/main">
          <x14:cfRule type="iconSet" priority="9" id="{00DA5F48-F487-4D1C-81DE-0F899D1AD881}">
            <x14:iconSet iconSet="3Signs" showValue="0" custom="1">
              <x14:cfvo type="percent">
                <xm:f>0</xm:f>
              </x14:cfvo>
              <x14:cfvo type="num">
                <xm:f>1</xm:f>
              </x14:cfvo>
              <x14:cfvo type="num">
                <xm:f>1</xm:f>
              </x14:cfvo>
              <x14:cfIcon iconSet="3TrafficLights1" iconId="2"/>
              <x14:cfIcon iconSet="3Signs" iconId="1"/>
              <x14:cfIcon iconSet="3Signs" iconId="1"/>
            </x14:iconSet>
          </x14:cfRule>
          <xm:sqref>B71</xm:sqref>
        </x14:conditionalFormatting>
        <x14:conditionalFormatting xmlns:xm="http://schemas.microsoft.com/office/excel/2006/main">
          <x14:cfRule type="iconSet" priority="8" id="{7A03333F-7F19-4E9D-A549-93D2054E9A9F}">
            <x14:iconSet iconSet="3Signs" showValue="0" custom="1">
              <x14:cfvo type="percent">
                <xm:f>0</xm:f>
              </x14:cfvo>
              <x14:cfvo type="num">
                <xm:f>1</xm:f>
              </x14:cfvo>
              <x14:cfvo type="num">
                <xm:f>1</xm:f>
              </x14:cfvo>
              <x14:cfIcon iconSet="3TrafficLights1" iconId="2"/>
              <x14:cfIcon iconSet="3Signs" iconId="0"/>
              <x14:cfIcon iconSet="3Signs" iconId="0"/>
            </x14:iconSet>
          </x14:cfRule>
          <xm:sqref>A75</xm:sqref>
        </x14:conditionalFormatting>
        <x14:conditionalFormatting xmlns:xm="http://schemas.microsoft.com/office/excel/2006/main">
          <x14:cfRule type="iconSet" priority="7" id="{2AB6E91B-66E9-4D52-AAC8-67CA59371F6E}">
            <x14:iconSet iconSet="3Signs" showValue="0" custom="1">
              <x14:cfvo type="percent">
                <xm:f>0</xm:f>
              </x14:cfvo>
              <x14:cfvo type="num">
                <xm:f>1</xm:f>
              </x14:cfvo>
              <x14:cfvo type="num">
                <xm:f>1</xm:f>
              </x14:cfvo>
              <x14:cfIcon iconSet="3TrafficLights1" iconId="2"/>
              <x14:cfIcon iconSet="3Signs" iconId="1"/>
              <x14:cfIcon iconSet="3Signs" iconId="1"/>
            </x14:iconSet>
          </x14:cfRule>
          <xm:sqref>B75</xm:sqref>
        </x14:conditionalFormatting>
        <x14:conditionalFormatting xmlns:xm="http://schemas.microsoft.com/office/excel/2006/main">
          <x14:cfRule type="iconSet" priority="6" id="{9D28DC26-4FCE-46DC-BFC4-5840A740800A}">
            <x14:iconSet iconSet="3Signs" showValue="0" custom="1">
              <x14:cfvo type="percent">
                <xm:f>0</xm:f>
              </x14:cfvo>
              <x14:cfvo type="num">
                <xm:f>1</xm:f>
              </x14:cfvo>
              <x14:cfvo type="num">
                <xm:f>1</xm:f>
              </x14:cfvo>
              <x14:cfIcon iconSet="3TrafficLights1" iconId="2"/>
              <x14:cfIcon iconSet="3Signs" iconId="0"/>
              <x14:cfIcon iconSet="3Signs" iconId="0"/>
            </x14:iconSet>
          </x14:cfRule>
          <xm:sqref>A81</xm:sqref>
        </x14:conditionalFormatting>
        <x14:conditionalFormatting xmlns:xm="http://schemas.microsoft.com/office/excel/2006/main">
          <x14:cfRule type="iconSet" priority="5" id="{4A2917B7-BA04-41F7-AA6F-079C7858141B}">
            <x14:iconSet iconSet="3Signs" showValue="0" custom="1">
              <x14:cfvo type="percent">
                <xm:f>0</xm:f>
              </x14:cfvo>
              <x14:cfvo type="num">
                <xm:f>1</xm:f>
              </x14:cfvo>
              <x14:cfvo type="num">
                <xm:f>1</xm:f>
              </x14:cfvo>
              <x14:cfIcon iconSet="3TrafficLights1" iconId="2"/>
              <x14:cfIcon iconSet="3Signs" iconId="1"/>
              <x14:cfIcon iconSet="3Signs" iconId="1"/>
            </x14:iconSet>
          </x14:cfRule>
          <xm:sqref>B81</xm:sqref>
        </x14:conditionalFormatting>
        <x14:conditionalFormatting xmlns:xm="http://schemas.microsoft.com/office/excel/2006/main">
          <x14:cfRule type="iconSet" priority="4" id="{E22373A1-D996-48BA-AEE1-2F77D5794FE9}">
            <x14:iconSet iconSet="3Signs" showValue="0" custom="1">
              <x14:cfvo type="percent">
                <xm:f>0</xm:f>
              </x14:cfvo>
              <x14:cfvo type="num">
                <xm:f>1</xm:f>
              </x14:cfvo>
              <x14:cfvo type="num">
                <xm:f>1</xm:f>
              </x14:cfvo>
              <x14:cfIcon iconSet="3TrafficLights1" iconId="2"/>
              <x14:cfIcon iconSet="3Signs" iconId="0"/>
              <x14:cfIcon iconSet="3Signs" iconId="0"/>
            </x14:iconSet>
          </x14:cfRule>
          <xm:sqref>A85</xm:sqref>
        </x14:conditionalFormatting>
        <x14:conditionalFormatting xmlns:xm="http://schemas.microsoft.com/office/excel/2006/main">
          <x14:cfRule type="iconSet" priority="3" id="{C0353794-2E9A-4BFB-ADF0-933EEB1D4693}">
            <x14:iconSet iconSet="3Signs" showValue="0" custom="1">
              <x14:cfvo type="percent">
                <xm:f>0</xm:f>
              </x14:cfvo>
              <x14:cfvo type="num">
                <xm:f>1</xm:f>
              </x14:cfvo>
              <x14:cfvo type="num">
                <xm:f>1</xm:f>
              </x14:cfvo>
              <x14:cfIcon iconSet="3TrafficLights1" iconId="2"/>
              <x14:cfIcon iconSet="3Signs" iconId="1"/>
              <x14:cfIcon iconSet="3Signs" iconId="1"/>
            </x14:iconSet>
          </x14:cfRule>
          <xm:sqref>B85</xm:sqref>
        </x14:conditionalFormatting>
        <x14:conditionalFormatting xmlns:xm="http://schemas.microsoft.com/office/excel/2006/main">
          <x14:cfRule type="iconSet" priority="2" id="{97E6E5A9-FE60-4769-B7A1-266CA146F8DD}">
            <x14:iconSet iconSet="3Signs" showValue="0" custom="1">
              <x14:cfvo type="percent">
                <xm:f>0</xm:f>
              </x14:cfvo>
              <x14:cfvo type="num">
                <xm:f>1</xm:f>
              </x14:cfvo>
              <x14:cfvo type="num">
                <xm:f>1</xm:f>
              </x14:cfvo>
              <x14:cfIcon iconSet="3TrafficLights1" iconId="2"/>
              <x14:cfIcon iconSet="3Signs" iconId="0"/>
              <x14:cfIcon iconSet="3Signs" iconId="0"/>
            </x14:iconSet>
          </x14:cfRule>
          <xm:sqref>A89</xm:sqref>
        </x14:conditionalFormatting>
        <x14:conditionalFormatting xmlns:xm="http://schemas.microsoft.com/office/excel/2006/main">
          <x14:cfRule type="iconSet" priority="1" id="{228FD419-BD9A-47DC-A4FE-ADF142D6FCEB}">
            <x14:iconSet iconSet="3Signs" showValue="0" custom="1">
              <x14:cfvo type="percent">
                <xm:f>0</xm:f>
              </x14:cfvo>
              <x14:cfvo type="num">
                <xm:f>1</xm:f>
              </x14:cfvo>
              <x14:cfvo type="num">
                <xm:f>1</xm:f>
              </x14:cfvo>
              <x14:cfIcon iconSet="3TrafficLights1" iconId="2"/>
              <x14:cfIcon iconSet="3Signs" iconId="1"/>
              <x14:cfIcon iconSet="3Signs" iconId="1"/>
            </x14:iconSet>
          </x14:cfRule>
          <xm:sqref>B89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11961-A521-4941-96B6-22733CAC0A3C}">
  <sheetPr>
    <pageSetUpPr fitToPage="1"/>
  </sheetPr>
  <dimension ref="A1:AO242"/>
  <sheetViews>
    <sheetView zoomScale="65" zoomScaleNormal="65" workbookViewId="0">
      <selection activeCell="J7" sqref="J7"/>
    </sheetView>
  </sheetViews>
  <sheetFormatPr baseColWidth="10" defaultColWidth="8.83203125" defaultRowHeight="15"/>
  <cols>
    <col min="1" max="1" width="6.6640625" style="2" customWidth="1"/>
    <col min="2" max="2" width="76.1640625" style="2" customWidth="1"/>
    <col min="3" max="3" width="1.1640625" style="2" customWidth="1"/>
    <col min="4" max="4" width="15.6640625" style="505" customWidth="1"/>
    <col min="5" max="5" width="1" style="505" customWidth="1"/>
    <col min="6" max="6" width="15.6640625" style="505" customWidth="1"/>
    <col min="7" max="7" width="1" style="2" customWidth="1"/>
    <col min="8" max="8" width="6.83203125" style="1" hidden="1" customWidth="1"/>
    <col min="9" max="9" width="0.5" style="1" hidden="1" customWidth="1"/>
    <col min="10" max="10" width="7.83203125" style="1" customWidth="1"/>
    <col min="11" max="11" width="108.1640625" style="270" customWidth="1"/>
    <col min="12" max="12" width="7.83203125" style="239" customWidth="1"/>
    <col min="13" max="13" width="85.83203125" style="7" customWidth="1"/>
    <col min="14" max="14" width="11" style="7" customWidth="1"/>
    <col min="15" max="15" width="10.1640625" style="7" customWidth="1"/>
    <col min="16" max="17" width="8.83203125" style="7" customWidth="1"/>
    <col min="18" max="18" width="12.6640625" style="7" customWidth="1"/>
    <col min="19" max="19" width="10.33203125" style="7" customWidth="1"/>
    <col min="20" max="20" width="4" style="7" customWidth="1"/>
    <col min="21" max="22" width="11" style="7" customWidth="1"/>
    <col min="23" max="23" width="10.1640625" style="7" customWidth="1"/>
    <col min="24" max="24" width="14.6640625" style="7" customWidth="1"/>
    <col min="25" max="26" width="14.6640625" style="489" customWidth="1"/>
    <col min="27" max="27" width="10.33203125" style="7" customWidth="1"/>
    <col min="28" max="28" width="4" style="7" customWidth="1"/>
    <col min="29" max="30" width="11" style="7" customWidth="1"/>
    <col min="31" max="31" width="10.1640625" style="7" customWidth="1"/>
    <col min="32" max="32" width="14.6640625" style="7" customWidth="1"/>
    <col min="33" max="33" width="12.5" style="489" customWidth="1"/>
    <col min="34" max="34" width="11.5" style="489" customWidth="1"/>
    <col min="35" max="35" width="8.83203125" style="7" customWidth="1"/>
    <col min="36" max="38" width="8.83203125" style="519" customWidth="1"/>
    <col min="39" max="41" width="8.83203125" style="519"/>
    <col min="42" max="16384" width="8.83203125" style="2"/>
  </cols>
  <sheetData>
    <row r="1" spans="1:41" s="4" customFormat="1" ht="244" customHeight="1">
      <c r="A1" s="54"/>
      <c r="B1" s="486" t="s">
        <v>711</v>
      </c>
      <c r="C1" s="486"/>
      <c r="D1" s="643" t="s">
        <v>744</v>
      </c>
      <c r="E1" s="643"/>
      <c r="F1" s="643"/>
      <c r="G1" s="486"/>
      <c r="H1" s="23"/>
      <c r="I1" s="23"/>
      <c r="J1" s="484"/>
      <c r="K1" s="54"/>
      <c r="L1" s="5" t="s">
        <v>625</v>
      </c>
      <c r="M1" s="510" t="s">
        <v>0</v>
      </c>
      <c r="N1" s="510" t="s">
        <v>256</v>
      </c>
      <c r="O1" s="510" t="s">
        <v>17</v>
      </c>
      <c r="P1" s="7" t="s">
        <v>18</v>
      </c>
      <c r="Q1" s="7" t="s">
        <v>650</v>
      </c>
      <c r="R1" s="7"/>
      <c r="S1" s="637" t="s">
        <v>741</v>
      </c>
      <c r="T1" s="637"/>
      <c r="U1" s="637"/>
      <c r="V1" s="637"/>
      <c r="W1" s="637"/>
      <c r="X1" s="637"/>
      <c r="Y1" s="488"/>
      <c r="Z1" s="488"/>
      <c r="AA1" s="637" t="s">
        <v>765</v>
      </c>
      <c r="AB1" s="637"/>
      <c r="AC1" s="637"/>
      <c r="AD1" s="637"/>
      <c r="AE1" s="637"/>
      <c r="AF1" s="637"/>
      <c r="AG1" s="637"/>
      <c r="AH1" s="489"/>
      <c r="AI1" s="7"/>
      <c r="AJ1" s="519"/>
      <c r="AK1" s="519"/>
      <c r="AL1" s="519"/>
      <c r="AM1" s="519"/>
      <c r="AN1" s="519"/>
      <c r="AO1" s="519"/>
    </row>
    <row r="2" spans="1:41" s="4" customFormat="1" ht="19">
      <c r="A2" s="55" t="s">
        <v>347</v>
      </c>
      <c r="B2" s="486"/>
      <c r="C2" s="486"/>
      <c r="D2" s="502"/>
      <c r="E2" s="502"/>
      <c r="F2" s="502"/>
      <c r="G2" s="55"/>
      <c r="H2" s="23"/>
      <c r="I2" s="23"/>
      <c r="J2" s="484"/>
      <c r="K2" s="54"/>
      <c r="L2" s="237">
        <v>1</v>
      </c>
      <c r="M2" s="510">
        <v>2</v>
      </c>
      <c r="N2" s="510">
        <v>3</v>
      </c>
      <c r="O2" s="510">
        <v>4</v>
      </c>
      <c r="P2" s="7">
        <v>5</v>
      </c>
      <c r="Q2" s="7">
        <v>6</v>
      </c>
      <c r="R2" s="7"/>
      <c r="S2" s="510" t="s">
        <v>625</v>
      </c>
      <c r="T2" s="510" t="s">
        <v>0</v>
      </c>
      <c r="U2" s="510" t="s">
        <v>256</v>
      </c>
      <c r="V2" s="510" t="s">
        <v>17</v>
      </c>
      <c r="W2" s="7" t="s">
        <v>18</v>
      </c>
      <c r="X2" s="7" t="s">
        <v>650</v>
      </c>
      <c r="Y2" s="488" t="s">
        <v>767</v>
      </c>
      <c r="Z2" s="488" t="s">
        <v>768</v>
      </c>
      <c r="AA2" s="510" t="s">
        <v>625</v>
      </c>
      <c r="AB2" s="510" t="s">
        <v>0</v>
      </c>
      <c r="AC2" s="510" t="s">
        <v>256</v>
      </c>
      <c r="AD2" s="510" t="s">
        <v>17</v>
      </c>
      <c r="AE2" s="7" t="s">
        <v>18</v>
      </c>
      <c r="AF2" s="7" t="s">
        <v>650</v>
      </c>
      <c r="AG2" s="488" t="s">
        <v>767</v>
      </c>
      <c r="AH2" s="488" t="s">
        <v>768</v>
      </c>
      <c r="AI2" s="7"/>
      <c r="AJ2" s="519"/>
      <c r="AK2" s="519"/>
      <c r="AL2" s="519"/>
      <c r="AM2" s="519"/>
      <c r="AN2" s="519"/>
      <c r="AO2" s="519"/>
    </row>
    <row r="3" spans="1:41" s="4" customFormat="1" ht="19" customHeight="1">
      <c r="A3" s="55"/>
      <c r="B3" s="486"/>
      <c r="C3" s="486"/>
      <c r="D3" s="503" t="s">
        <v>741</v>
      </c>
      <c r="E3" s="502"/>
      <c r="F3" s="503" t="s">
        <v>742</v>
      </c>
      <c r="G3" s="303"/>
      <c r="H3" s="23"/>
      <c r="I3" s="23"/>
      <c r="J3" s="483" t="s">
        <v>832</v>
      </c>
      <c r="K3" s="54"/>
      <c r="L3" s="237"/>
      <c r="M3" s="510"/>
      <c r="N3" s="510"/>
      <c r="O3" s="510"/>
      <c r="P3" s="7"/>
      <c r="Q3" s="7"/>
      <c r="R3" s="493" t="s">
        <v>766</v>
      </c>
      <c r="S3" s="442">
        <f t="shared" ref="S3:X3" si="0">S4+S8+S12+S17+S21+S25</f>
        <v>89</v>
      </c>
      <c r="T3" s="442">
        <f t="shared" si="0"/>
        <v>0</v>
      </c>
      <c r="U3" s="442">
        <f t="shared" si="0"/>
        <v>0</v>
      </c>
      <c r="V3" s="442">
        <f t="shared" si="0"/>
        <v>0</v>
      </c>
      <c r="W3" s="442">
        <f t="shared" si="0"/>
        <v>0</v>
      </c>
      <c r="X3" s="442">
        <f t="shared" si="0"/>
        <v>0</v>
      </c>
      <c r="Y3" s="494" t="e">
        <f>IFERROR(V3/($T3+$U3+$V3+$W3+$X3),NA())</f>
        <v>#N/A</v>
      </c>
      <c r="Z3" s="494" t="e">
        <f>IFERROR(W3/($T3+$U3+$V3+$W3+$X3),NA())</f>
        <v>#N/A</v>
      </c>
      <c r="AA3" s="442">
        <f t="shared" ref="AA3:AF3" si="1">AA4+AA8+AA12+AA17+AA21+AA25</f>
        <v>0</v>
      </c>
      <c r="AB3" s="442">
        <f t="shared" si="1"/>
        <v>0</v>
      </c>
      <c r="AC3" s="442">
        <f t="shared" si="1"/>
        <v>0</v>
      </c>
      <c r="AD3" s="442">
        <f t="shared" si="1"/>
        <v>0</v>
      </c>
      <c r="AE3" s="442">
        <f t="shared" si="1"/>
        <v>0</v>
      </c>
      <c r="AF3" s="442">
        <f t="shared" si="1"/>
        <v>0</v>
      </c>
      <c r="AG3" s="494" t="e">
        <f>IFERROR(AD3/($AB3+$AC3+$AD3+$AE3+$AF3),NA())</f>
        <v>#N/A</v>
      </c>
      <c r="AH3" s="494" t="e">
        <f>IFERROR(AE3/($AB3+$AC3+$AD3+$AE3+$AF3),NA())</f>
        <v>#N/A</v>
      </c>
      <c r="AI3" s="7"/>
      <c r="AJ3" s="519"/>
      <c r="AK3" s="519"/>
      <c r="AL3" s="519"/>
      <c r="AM3" s="519"/>
      <c r="AN3" s="519"/>
      <c r="AO3" s="519"/>
    </row>
    <row r="4" spans="1:41" ht="24">
      <c r="A4" s="642" t="str">
        <f>CONCATENATE(Raw!A1,": ",Raw!B1)</f>
        <v>Standard 1: Institutional Commitment</v>
      </c>
      <c r="B4" s="642"/>
      <c r="C4" s="479"/>
      <c r="E4" s="496"/>
      <c r="F4" s="495"/>
      <c r="H4" s="442"/>
      <c r="I4" s="442"/>
      <c r="J4" s="480"/>
      <c r="K4" s="443"/>
      <c r="L4" s="237"/>
      <c r="M4" s="510"/>
      <c r="N4" s="510"/>
      <c r="O4" s="522"/>
      <c r="R4" s="493" t="s">
        <v>185</v>
      </c>
      <c r="S4" s="442">
        <f t="shared" ref="S4:X4" si="2">COUNTIF($D$7:$D$22,L$1)</f>
        <v>14</v>
      </c>
      <c r="T4" s="442">
        <f t="shared" si="2"/>
        <v>0</v>
      </c>
      <c r="U4" s="442">
        <f t="shared" si="2"/>
        <v>0</v>
      </c>
      <c r="V4" s="442">
        <f t="shared" si="2"/>
        <v>0</v>
      </c>
      <c r="W4" s="442">
        <f t="shared" si="2"/>
        <v>0</v>
      </c>
      <c r="X4" s="442">
        <f t="shared" si="2"/>
        <v>0</v>
      </c>
      <c r="Y4" s="494" t="e">
        <f t="shared" ref="Y4:Y28" si="3">IFERROR(V4/($T4+$U4+$V4+$W4+$X4),NA())</f>
        <v>#N/A</v>
      </c>
      <c r="Z4" s="494" t="e">
        <f t="shared" ref="Z4:Z28" si="4">IFERROR(W4/($T4+$U4+$V4+$W4+$X4),NA())</f>
        <v>#N/A</v>
      </c>
      <c r="AA4" s="442">
        <f t="shared" ref="AA4:AF4" si="5">COUNTIF($F$7:$F$22,L$1)</f>
        <v>0</v>
      </c>
      <c r="AB4" s="442">
        <f t="shared" si="5"/>
        <v>0</v>
      </c>
      <c r="AC4" s="442">
        <f t="shared" si="5"/>
        <v>0</v>
      </c>
      <c r="AD4" s="442">
        <f t="shared" si="5"/>
        <v>0</v>
      </c>
      <c r="AE4" s="442">
        <f t="shared" si="5"/>
        <v>0</v>
      </c>
      <c r="AF4" s="442">
        <f t="shared" si="5"/>
        <v>0</v>
      </c>
      <c r="AG4" s="494" t="e">
        <f t="shared" ref="AG4:AG28" si="6">IFERROR(AD4/($AB4+$AC4+$AD4+$AE4+$AF4),NA())</f>
        <v>#N/A</v>
      </c>
      <c r="AH4" s="494" t="e">
        <f t="shared" ref="AH4:AH28" si="7">IFERROR(AE4/($AB4+$AC4+$AD4+$AE4+$AF4),NA())</f>
        <v>#N/A</v>
      </c>
    </row>
    <row r="5" spans="1:41" ht="12.5" hidden="1" customHeight="1">
      <c r="A5" s="479"/>
      <c r="B5" s="479"/>
      <c r="C5" s="479"/>
      <c r="D5" s="503"/>
      <c r="E5" s="496"/>
      <c r="F5" s="496"/>
      <c r="G5" s="303"/>
      <c r="H5" s="442"/>
      <c r="I5" s="442"/>
      <c r="J5" s="481"/>
      <c r="K5" s="444"/>
      <c r="L5" s="237"/>
      <c r="M5" s="510"/>
      <c r="N5" s="510"/>
      <c r="R5" s="490" t="s">
        <v>745</v>
      </c>
      <c r="S5" s="510">
        <f t="shared" ref="S5:X5" si="8">COUNTIF($D$7:$D$12,L$1)</f>
        <v>6</v>
      </c>
      <c r="T5" s="510">
        <f t="shared" si="8"/>
        <v>0</v>
      </c>
      <c r="U5" s="510">
        <f t="shared" si="8"/>
        <v>0</v>
      </c>
      <c r="V5" s="510">
        <f t="shared" si="8"/>
        <v>0</v>
      </c>
      <c r="W5" s="510">
        <f t="shared" si="8"/>
        <v>0</v>
      </c>
      <c r="X5" s="510">
        <f t="shared" si="8"/>
        <v>0</v>
      </c>
      <c r="Y5" s="494" t="e">
        <f t="shared" si="3"/>
        <v>#N/A</v>
      </c>
      <c r="Z5" s="494" t="e">
        <f t="shared" si="4"/>
        <v>#N/A</v>
      </c>
      <c r="AA5" s="510">
        <f t="shared" ref="AA5:AF5" si="9">COUNTIF($F$7:$F$12,L$1)</f>
        <v>0</v>
      </c>
      <c r="AB5" s="510">
        <f t="shared" si="9"/>
        <v>0</v>
      </c>
      <c r="AC5" s="510">
        <f t="shared" si="9"/>
        <v>0</v>
      </c>
      <c r="AD5" s="510">
        <f t="shared" si="9"/>
        <v>0</v>
      </c>
      <c r="AE5" s="510">
        <f t="shared" si="9"/>
        <v>0</v>
      </c>
      <c r="AF5" s="510">
        <f t="shared" si="9"/>
        <v>0</v>
      </c>
      <c r="AG5" s="494" t="e">
        <f t="shared" si="6"/>
        <v>#N/A</v>
      </c>
      <c r="AH5" s="494" t="e">
        <f t="shared" si="7"/>
        <v>#N/A</v>
      </c>
    </row>
    <row r="6" spans="1:41" ht="19">
      <c r="A6" s="445" t="str">
        <f>Raw!A3</f>
        <v>Component 1A: Institutional Climate and Support</v>
      </c>
      <c r="B6" s="439"/>
      <c r="C6" s="439"/>
      <c r="D6" s="506"/>
      <c r="E6" s="497"/>
      <c r="F6" s="497"/>
      <c r="G6" s="439"/>
      <c r="H6" s="439"/>
      <c r="I6" s="439"/>
      <c r="J6" s="482"/>
      <c r="K6" s="2"/>
      <c r="L6" s="2"/>
      <c r="R6" s="490" t="s">
        <v>746</v>
      </c>
      <c r="S6" s="510">
        <f t="shared" ref="S6:X6" si="10">COUNTIF($D$14:$D$16,L$1)</f>
        <v>3</v>
      </c>
      <c r="T6" s="510">
        <f t="shared" si="10"/>
        <v>0</v>
      </c>
      <c r="U6" s="510">
        <f t="shared" si="10"/>
        <v>0</v>
      </c>
      <c r="V6" s="510">
        <f t="shared" si="10"/>
        <v>0</v>
      </c>
      <c r="W6" s="510">
        <f t="shared" si="10"/>
        <v>0</v>
      </c>
      <c r="X6" s="510">
        <f t="shared" si="10"/>
        <v>0</v>
      </c>
      <c r="Y6" s="494" t="e">
        <f t="shared" si="3"/>
        <v>#N/A</v>
      </c>
      <c r="Z6" s="494" t="e">
        <f t="shared" si="4"/>
        <v>#N/A</v>
      </c>
      <c r="AA6" s="510">
        <f t="shared" ref="AA6:AF6" si="11">COUNTIF($F$14:$F$16,L$1)</f>
        <v>0</v>
      </c>
      <c r="AB6" s="510">
        <f t="shared" si="11"/>
        <v>0</v>
      </c>
      <c r="AC6" s="510">
        <f t="shared" si="11"/>
        <v>0</v>
      </c>
      <c r="AD6" s="510">
        <f t="shared" si="11"/>
        <v>0</v>
      </c>
      <c r="AE6" s="510">
        <f t="shared" si="11"/>
        <v>0</v>
      </c>
      <c r="AF6" s="510">
        <f t="shared" si="11"/>
        <v>0</v>
      </c>
      <c r="AG6" s="494" t="e">
        <f t="shared" si="6"/>
        <v>#N/A</v>
      </c>
      <c r="AH6" s="494" t="e">
        <f t="shared" si="7"/>
        <v>#N/A</v>
      </c>
    </row>
    <row r="7" spans="1:41" ht="16">
      <c r="A7" s="446" t="str">
        <f>Raw!C5</f>
        <v>1A-1</v>
      </c>
      <c r="B7" s="447" t="str">
        <f>Raw!E5</f>
        <v>University-level support for STEM education</v>
      </c>
      <c r="C7" s="449"/>
      <c r="D7" s="504" t="str">
        <f>INDEX($L$1:$Q$1,1,H7+1)</f>
        <v>unanswered</v>
      </c>
      <c r="E7" s="498"/>
      <c r="F7" s="523"/>
      <c r="G7" s="485"/>
      <c r="H7" s="237">
        <f>'1-Institution'!I7</f>
        <v>0</v>
      </c>
      <c r="I7" s="485" t="e">
        <f t="shared" ref="I7:I12" si="12">MATCH(F7,$L$1:$Q$1,0)</f>
        <v>#N/A</v>
      </c>
      <c r="J7" s="516" t="e">
        <f>INDEX($U$63:$Z$68,I7,H7+1)</f>
        <v>#N/A</v>
      </c>
      <c r="K7" s="518" t="e">
        <f>IF(J7="-",0,_xlfn.NUMBERVALUE(J7))</f>
        <v>#N/A</v>
      </c>
      <c r="L7" s="2"/>
      <c r="R7" s="490" t="s">
        <v>747</v>
      </c>
      <c r="S7" s="510">
        <f t="shared" ref="S7:X7" si="13">COUNTIF($D$18:$D$22,L$1)</f>
        <v>5</v>
      </c>
      <c r="T7" s="510">
        <f t="shared" si="13"/>
        <v>0</v>
      </c>
      <c r="U7" s="510">
        <f t="shared" si="13"/>
        <v>0</v>
      </c>
      <c r="V7" s="510">
        <f t="shared" si="13"/>
        <v>0</v>
      </c>
      <c r="W7" s="510">
        <f t="shared" si="13"/>
        <v>0</v>
      </c>
      <c r="X7" s="510">
        <f t="shared" si="13"/>
        <v>0</v>
      </c>
      <c r="Y7" s="494" t="e">
        <f t="shared" si="3"/>
        <v>#N/A</v>
      </c>
      <c r="Z7" s="494" t="e">
        <f t="shared" si="4"/>
        <v>#N/A</v>
      </c>
      <c r="AA7" s="510">
        <f t="shared" ref="AA7:AF7" si="14">COUNTIF($F$18:$F$22,L$1)</f>
        <v>0</v>
      </c>
      <c r="AB7" s="510">
        <f t="shared" si="14"/>
        <v>0</v>
      </c>
      <c r="AC7" s="510">
        <f t="shared" si="14"/>
        <v>0</v>
      </c>
      <c r="AD7" s="510">
        <f t="shared" si="14"/>
        <v>0</v>
      </c>
      <c r="AE7" s="510">
        <f t="shared" si="14"/>
        <v>0</v>
      </c>
      <c r="AF7" s="510">
        <f t="shared" si="14"/>
        <v>0</v>
      </c>
      <c r="AG7" s="494" t="e">
        <f t="shared" si="6"/>
        <v>#N/A</v>
      </c>
      <c r="AH7" s="494" t="e">
        <f t="shared" si="7"/>
        <v>#N/A</v>
      </c>
      <c r="AO7" s="521"/>
    </row>
    <row r="8" spans="1:41" ht="16">
      <c r="A8" s="446" t="str">
        <f>Raw!C6</f>
        <v>1A-2</v>
      </c>
      <c r="B8" s="447" t="str">
        <f>Raw!E6</f>
        <v>Institutional mission of teacher education</v>
      </c>
      <c r="C8" s="449"/>
      <c r="D8" s="504" t="str">
        <f t="shared" ref="D8:D22" si="15">INDEX($L$1:$Q$1,1,H8+1)</f>
        <v>unanswered</v>
      </c>
      <c r="E8" s="498"/>
      <c r="F8" s="523"/>
      <c r="G8" s="485"/>
      <c r="H8" s="237">
        <f>'1-Institution'!I8</f>
        <v>0</v>
      </c>
      <c r="I8" s="485" t="e">
        <f t="shared" si="12"/>
        <v>#N/A</v>
      </c>
      <c r="J8" s="516" t="e">
        <f>INDEX($U$63:$Z$68,I8,H8+1)</f>
        <v>#N/A</v>
      </c>
      <c r="K8" s="518" t="e">
        <f t="shared" ref="K8:K71" si="16">IF(J8="-",0,_xlfn.NUMBERVALUE(J8))</f>
        <v>#N/A</v>
      </c>
      <c r="L8" s="2"/>
      <c r="R8" s="493" t="s">
        <v>305</v>
      </c>
      <c r="S8" s="442">
        <f t="shared" ref="S8:X8" si="17">COUNTIF($D$26:$D$48,L$1)</f>
        <v>21</v>
      </c>
      <c r="T8" s="442">
        <f t="shared" si="17"/>
        <v>0</v>
      </c>
      <c r="U8" s="442">
        <f t="shared" si="17"/>
        <v>0</v>
      </c>
      <c r="V8" s="442">
        <f t="shared" si="17"/>
        <v>0</v>
      </c>
      <c r="W8" s="442">
        <f t="shared" si="17"/>
        <v>0</v>
      </c>
      <c r="X8" s="442">
        <f t="shared" si="17"/>
        <v>0</v>
      </c>
      <c r="Y8" s="494" t="e">
        <f t="shared" si="3"/>
        <v>#N/A</v>
      </c>
      <c r="Z8" s="494" t="e">
        <f t="shared" si="4"/>
        <v>#N/A</v>
      </c>
      <c r="AA8" s="442">
        <f t="shared" ref="AA8:AF8" si="18">COUNTIF($F$26:$F$48,L$1)</f>
        <v>0</v>
      </c>
      <c r="AB8" s="442">
        <f t="shared" si="18"/>
        <v>0</v>
      </c>
      <c r="AC8" s="442">
        <f t="shared" si="18"/>
        <v>0</v>
      </c>
      <c r="AD8" s="442">
        <f t="shared" si="18"/>
        <v>0</v>
      </c>
      <c r="AE8" s="442">
        <f t="shared" si="18"/>
        <v>0</v>
      </c>
      <c r="AF8" s="442">
        <f t="shared" si="18"/>
        <v>0</v>
      </c>
      <c r="AG8" s="494" t="e">
        <f t="shared" si="6"/>
        <v>#N/A</v>
      </c>
      <c r="AH8" s="494" t="e">
        <f t="shared" si="7"/>
        <v>#N/A</v>
      </c>
      <c r="AO8" s="521"/>
    </row>
    <row r="9" spans="1:41" ht="16">
      <c r="A9" s="446" t="str">
        <f>Raw!C7</f>
        <v>1A-3</v>
      </c>
      <c r="B9" s="447" t="str">
        <f>Raw!E7</f>
        <v>Administrative recognition for physics teacher education (PTE) program</v>
      </c>
      <c r="C9" s="449"/>
      <c r="D9" s="504" t="str">
        <f t="shared" si="15"/>
        <v>unanswered</v>
      </c>
      <c r="E9" s="498"/>
      <c r="F9" s="523"/>
      <c r="G9" s="485"/>
      <c r="H9" s="237">
        <f>'1-Institution'!I9</f>
        <v>0</v>
      </c>
      <c r="I9" s="485" t="e">
        <f t="shared" si="12"/>
        <v>#N/A</v>
      </c>
      <c r="J9" s="516" t="e">
        <f t="shared" ref="J9:J71" si="19">INDEX($U$63:$Z$68,I9,H9+1)</f>
        <v>#N/A</v>
      </c>
      <c r="K9" s="518" t="e">
        <f t="shared" si="16"/>
        <v>#N/A</v>
      </c>
      <c r="L9" s="2"/>
      <c r="R9" s="490" t="s">
        <v>748</v>
      </c>
      <c r="S9" s="510">
        <f t="shared" ref="S9:X9" si="20">COUNTIF($D$26:$D$29,L$1)</f>
        <v>4</v>
      </c>
      <c r="T9" s="510">
        <f t="shared" si="20"/>
        <v>0</v>
      </c>
      <c r="U9" s="510">
        <f t="shared" si="20"/>
        <v>0</v>
      </c>
      <c r="V9" s="510">
        <f t="shared" si="20"/>
        <v>0</v>
      </c>
      <c r="W9" s="510">
        <f t="shared" si="20"/>
        <v>0</v>
      </c>
      <c r="X9" s="510">
        <f t="shared" si="20"/>
        <v>0</v>
      </c>
      <c r="Y9" s="494" t="e">
        <f t="shared" si="3"/>
        <v>#N/A</v>
      </c>
      <c r="Z9" s="494" t="e">
        <f t="shared" si="4"/>
        <v>#N/A</v>
      </c>
      <c r="AA9" s="510">
        <f t="shared" ref="AA9:AF9" si="21">COUNTIF($F$26:$F$29,L$1)</f>
        <v>0</v>
      </c>
      <c r="AB9" s="510">
        <f t="shared" si="21"/>
        <v>0</v>
      </c>
      <c r="AC9" s="510">
        <f t="shared" si="21"/>
        <v>0</v>
      </c>
      <c r="AD9" s="510">
        <f t="shared" si="21"/>
        <v>0</v>
      </c>
      <c r="AE9" s="510">
        <f t="shared" si="21"/>
        <v>0</v>
      </c>
      <c r="AF9" s="510">
        <f t="shared" si="21"/>
        <v>0</v>
      </c>
      <c r="AG9" s="494" t="e">
        <f t="shared" si="6"/>
        <v>#N/A</v>
      </c>
      <c r="AH9" s="494" t="e">
        <f t="shared" si="7"/>
        <v>#N/A</v>
      </c>
      <c r="AO9" s="521"/>
    </row>
    <row r="10" spans="1:41" ht="16">
      <c r="A10" s="448" t="str">
        <f>Raw!C8</f>
        <v>1A-4</v>
      </c>
      <c r="B10" s="449" t="str">
        <f>Raw!E8</f>
        <v>University-level support for teacher education</v>
      </c>
      <c r="C10" s="449"/>
      <c r="D10" s="504" t="str">
        <f t="shared" si="15"/>
        <v>unanswered</v>
      </c>
      <c r="E10" s="498"/>
      <c r="F10" s="523"/>
      <c r="G10" s="485"/>
      <c r="H10" s="237">
        <f>'1-Institution'!I10</f>
        <v>0</v>
      </c>
      <c r="I10" s="485" t="e">
        <f t="shared" si="12"/>
        <v>#N/A</v>
      </c>
      <c r="J10" s="516" t="e">
        <f t="shared" si="19"/>
        <v>#N/A</v>
      </c>
      <c r="K10" s="518" t="e">
        <f t="shared" si="16"/>
        <v>#N/A</v>
      </c>
      <c r="L10" s="2"/>
      <c r="R10" s="490" t="s">
        <v>749</v>
      </c>
      <c r="S10" s="510">
        <f t="shared" ref="S10:X10" si="22">COUNTIF($D$31:$D$39,L$1)</f>
        <v>9</v>
      </c>
      <c r="T10" s="510">
        <f t="shared" si="22"/>
        <v>0</v>
      </c>
      <c r="U10" s="510">
        <f t="shared" si="22"/>
        <v>0</v>
      </c>
      <c r="V10" s="510">
        <f t="shared" si="22"/>
        <v>0</v>
      </c>
      <c r="W10" s="510">
        <f t="shared" si="22"/>
        <v>0</v>
      </c>
      <c r="X10" s="510">
        <f t="shared" si="22"/>
        <v>0</v>
      </c>
      <c r="Y10" s="494" t="e">
        <f t="shared" si="3"/>
        <v>#N/A</v>
      </c>
      <c r="Z10" s="494" t="e">
        <f t="shared" si="4"/>
        <v>#N/A</v>
      </c>
      <c r="AA10" s="510">
        <f t="shared" ref="AA10:AF10" si="23">COUNTIF($F$31:$F$39,L$1)</f>
        <v>0</v>
      </c>
      <c r="AB10" s="510">
        <f t="shared" si="23"/>
        <v>0</v>
      </c>
      <c r="AC10" s="510">
        <f t="shared" si="23"/>
        <v>0</v>
      </c>
      <c r="AD10" s="510">
        <f t="shared" si="23"/>
        <v>0</v>
      </c>
      <c r="AE10" s="510">
        <f t="shared" si="23"/>
        <v>0</v>
      </c>
      <c r="AF10" s="510">
        <f t="shared" si="23"/>
        <v>0</v>
      </c>
      <c r="AG10" s="494" t="e">
        <f t="shared" si="6"/>
        <v>#N/A</v>
      </c>
      <c r="AH10" s="494" t="e">
        <f t="shared" si="7"/>
        <v>#N/A</v>
      </c>
      <c r="AO10" s="521"/>
    </row>
    <row r="11" spans="1:41" ht="16">
      <c r="A11" s="448" t="str">
        <f>Raw!C9</f>
        <v>1A-5</v>
      </c>
      <c r="B11" s="449" t="str">
        <f>Raw!E9</f>
        <v>Arts &amp; Sciences (A&amp;S)–level support for teacher education</v>
      </c>
      <c r="C11" s="449"/>
      <c r="D11" s="504" t="str">
        <f t="shared" si="15"/>
        <v>unanswered</v>
      </c>
      <c r="E11" s="498"/>
      <c r="F11" s="523"/>
      <c r="G11" s="485"/>
      <c r="H11" s="237">
        <f>'1-Institution'!I11</f>
        <v>0</v>
      </c>
      <c r="I11" s="485" t="e">
        <f t="shared" si="12"/>
        <v>#N/A</v>
      </c>
      <c r="J11" s="516" t="e">
        <f t="shared" si="19"/>
        <v>#N/A</v>
      </c>
      <c r="K11" s="518" t="e">
        <f t="shared" si="16"/>
        <v>#N/A</v>
      </c>
      <c r="L11" s="2"/>
      <c r="R11" s="490" t="s">
        <v>750</v>
      </c>
      <c r="S11" s="510">
        <f t="shared" ref="S11:X11" si="24">COUNTIF($D$41:$D$48,L$1)</f>
        <v>8</v>
      </c>
      <c r="T11" s="510">
        <f t="shared" si="24"/>
        <v>0</v>
      </c>
      <c r="U11" s="510">
        <f t="shared" si="24"/>
        <v>0</v>
      </c>
      <c r="V11" s="510">
        <f t="shared" si="24"/>
        <v>0</v>
      </c>
      <c r="W11" s="510">
        <f t="shared" si="24"/>
        <v>0</v>
      </c>
      <c r="X11" s="510">
        <f t="shared" si="24"/>
        <v>0</v>
      </c>
      <c r="Y11" s="494" t="e">
        <f t="shared" si="3"/>
        <v>#N/A</v>
      </c>
      <c r="Z11" s="494" t="e">
        <f t="shared" si="4"/>
        <v>#N/A</v>
      </c>
      <c r="AA11" s="510">
        <f t="shared" ref="AA11:AF11" si="25">COUNTIF($F$41:$F$48,L$1)</f>
        <v>0</v>
      </c>
      <c r="AB11" s="510">
        <f t="shared" si="25"/>
        <v>0</v>
      </c>
      <c r="AC11" s="510">
        <f t="shared" si="25"/>
        <v>0</v>
      </c>
      <c r="AD11" s="510">
        <f t="shared" si="25"/>
        <v>0</v>
      </c>
      <c r="AE11" s="510">
        <f t="shared" si="25"/>
        <v>0</v>
      </c>
      <c r="AF11" s="510">
        <f t="shared" si="25"/>
        <v>0</v>
      </c>
      <c r="AG11" s="494" t="e">
        <f t="shared" si="6"/>
        <v>#N/A</v>
      </c>
      <c r="AH11" s="494" t="e">
        <f t="shared" si="7"/>
        <v>#N/A</v>
      </c>
      <c r="AO11" s="521"/>
    </row>
    <row r="12" spans="1:41" ht="16">
      <c r="A12" s="448" t="str">
        <f>Raw!C10</f>
        <v>1A-6</v>
      </c>
      <c r="B12" s="449" t="str">
        <f>Raw!E10</f>
        <v>School of Education (SoE)–level support for physics teacher education</v>
      </c>
      <c r="C12" s="449"/>
      <c r="D12" s="504" t="str">
        <f t="shared" si="15"/>
        <v>unanswered</v>
      </c>
      <c r="E12" s="498"/>
      <c r="F12" s="523"/>
      <c r="G12" s="485"/>
      <c r="H12" s="237">
        <f>'1-Institution'!I12</f>
        <v>0</v>
      </c>
      <c r="I12" s="485" t="e">
        <f t="shared" si="12"/>
        <v>#N/A</v>
      </c>
      <c r="J12" s="516" t="e">
        <f t="shared" si="19"/>
        <v>#N/A</v>
      </c>
      <c r="K12" s="518" t="e">
        <f t="shared" si="16"/>
        <v>#N/A</v>
      </c>
      <c r="L12" s="2"/>
      <c r="R12" s="493" t="s">
        <v>306</v>
      </c>
      <c r="S12" s="442">
        <f t="shared" ref="S12:X12" si="26">COUNTIF($D$52:$D$73,L$1)</f>
        <v>19</v>
      </c>
      <c r="T12" s="442">
        <f t="shared" si="26"/>
        <v>0</v>
      </c>
      <c r="U12" s="442">
        <f t="shared" si="26"/>
        <v>0</v>
      </c>
      <c r="V12" s="442">
        <f t="shared" si="26"/>
        <v>0</v>
      </c>
      <c r="W12" s="442">
        <f t="shared" si="26"/>
        <v>0</v>
      </c>
      <c r="X12" s="442">
        <f t="shared" si="26"/>
        <v>0</v>
      </c>
      <c r="Y12" s="494" t="e">
        <f t="shared" si="3"/>
        <v>#N/A</v>
      </c>
      <c r="Z12" s="494" t="e">
        <f t="shared" si="4"/>
        <v>#N/A</v>
      </c>
      <c r="AA12" s="442">
        <f t="shared" ref="AA12:AF12" si="27">COUNTIF($F$52:$F$73,L$1)</f>
        <v>0</v>
      </c>
      <c r="AB12" s="442">
        <f t="shared" si="27"/>
        <v>0</v>
      </c>
      <c r="AC12" s="442">
        <f t="shared" si="27"/>
        <v>0</v>
      </c>
      <c r="AD12" s="442">
        <f t="shared" si="27"/>
        <v>0</v>
      </c>
      <c r="AE12" s="442">
        <f t="shared" si="27"/>
        <v>0</v>
      </c>
      <c r="AF12" s="442">
        <f t="shared" si="27"/>
        <v>0</v>
      </c>
      <c r="AG12" s="494" t="e">
        <f t="shared" si="6"/>
        <v>#N/A</v>
      </c>
      <c r="AH12" s="494" t="e">
        <f t="shared" si="7"/>
        <v>#N/A</v>
      </c>
      <c r="AO12" s="521"/>
    </row>
    <row r="13" spans="1:41" ht="19">
      <c r="A13" s="445" t="str">
        <f>Raw!A11</f>
        <v>Component 1B: Reward Structure</v>
      </c>
      <c r="B13" s="439"/>
      <c r="C13" s="439"/>
      <c r="D13" s="506"/>
      <c r="E13" s="497"/>
      <c r="F13" s="523"/>
      <c r="G13" s="439"/>
      <c r="H13" s="237"/>
      <c r="I13" s="485"/>
      <c r="J13" s="516"/>
      <c r="K13" s="518">
        <v>0</v>
      </c>
      <c r="L13" s="2"/>
      <c r="R13" s="490" t="s">
        <v>751</v>
      </c>
      <c r="S13" s="510">
        <f t="shared" ref="S13:X13" si="28">COUNTIF($D$52:$D$56,L$1)</f>
        <v>5</v>
      </c>
      <c r="T13" s="510">
        <f t="shared" si="28"/>
        <v>0</v>
      </c>
      <c r="U13" s="510">
        <f t="shared" si="28"/>
        <v>0</v>
      </c>
      <c r="V13" s="510">
        <f t="shared" si="28"/>
        <v>0</v>
      </c>
      <c r="W13" s="510">
        <f t="shared" si="28"/>
        <v>0</v>
      </c>
      <c r="X13" s="510">
        <f t="shared" si="28"/>
        <v>0</v>
      </c>
      <c r="Y13" s="494" t="e">
        <f t="shared" si="3"/>
        <v>#N/A</v>
      </c>
      <c r="Z13" s="494" t="e">
        <f t="shared" si="4"/>
        <v>#N/A</v>
      </c>
      <c r="AA13" s="510">
        <f t="shared" ref="AA13:AF13" si="29">COUNTIF($F$52:$F$56,L$1)</f>
        <v>0</v>
      </c>
      <c r="AB13" s="510">
        <f t="shared" si="29"/>
        <v>0</v>
      </c>
      <c r="AC13" s="510">
        <f t="shared" si="29"/>
        <v>0</v>
      </c>
      <c r="AD13" s="510">
        <f t="shared" si="29"/>
        <v>0</v>
      </c>
      <c r="AE13" s="510">
        <f t="shared" si="29"/>
        <v>0</v>
      </c>
      <c r="AF13" s="510">
        <f t="shared" si="29"/>
        <v>0</v>
      </c>
      <c r="AG13" s="494" t="e">
        <f t="shared" si="6"/>
        <v>#N/A</v>
      </c>
      <c r="AH13" s="494" t="e">
        <f t="shared" si="7"/>
        <v>#N/A</v>
      </c>
      <c r="AO13" s="521"/>
    </row>
    <row r="14" spans="1:41" ht="16">
      <c r="A14" s="450" t="str">
        <f>Raw!C13</f>
        <v>1B-1</v>
      </c>
      <c r="B14" s="451" t="str">
        <f>Raw!E13</f>
        <v>Promotion and tenure in physics</v>
      </c>
      <c r="C14" s="451"/>
      <c r="D14" s="504" t="str">
        <f t="shared" si="15"/>
        <v>unanswered</v>
      </c>
      <c r="E14" s="498"/>
      <c r="F14" s="523"/>
      <c r="G14" s="485"/>
      <c r="H14" s="237">
        <f>'1-Institution'!I21</f>
        <v>0</v>
      </c>
      <c r="I14" s="485" t="e">
        <f>MATCH(F14,$L$1:$Q$1,0)</f>
        <v>#N/A</v>
      </c>
      <c r="J14" s="516" t="e">
        <f t="shared" si="19"/>
        <v>#N/A</v>
      </c>
      <c r="K14" s="518" t="e">
        <f t="shared" si="16"/>
        <v>#N/A</v>
      </c>
      <c r="L14" s="2"/>
      <c r="R14" s="490" t="s">
        <v>752</v>
      </c>
      <c r="S14" s="510">
        <f t="shared" ref="S14:X14" si="30">COUNTIF($D$58:$D$62,L$1)</f>
        <v>5</v>
      </c>
      <c r="T14" s="510">
        <f t="shared" si="30"/>
        <v>0</v>
      </c>
      <c r="U14" s="510">
        <f t="shared" si="30"/>
        <v>0</v>
      </c>
      <c r="V14" s="510">
        <f t="shared" si="30"/>
        <v>0</v>
      </c>
      <c r="W14" s="510">
        <f t="shared" si="30"/>
        <v>0</v>
      </c>
      <c r="X14" s="510">
        <f t="shared" si="30"/>
        <v>0</v>
      </c>
      <c r="Y14" s="494" t="e">
        <f t="shared" si="3"/>
        <v>#N/A</v>
      </c>
      <c r="Z14" s="494" t="e">
        <f t="shared" si="4"/>
        <v>#N/A</v>
      </c>
      <c r="AA14" s="510">
        <f t="shared" ref="AA14:AF14" si="31">COUNTIF($F$58:$F$62,L$1)</f>
        <v>0</v>
      </c>
      <c r="AB14" s="510">
        <f t="shared" si="31"/>
        <v>0</v>
      </c>
      <c r="AC14" s="510">
        <f t="shared" si="31"/>
        <v>0</v>
      </c>
      <c r="AD14" s="510">
        <f t="shared" si="31"/>
        <v>0</v>
      </c>
      <c r="AE14" s="510">
        <f t="shared" si="31"/>
        <v>0</v>
      </c>
      <c r="AF14" s="510">
        <f t="shared" si="31"/>
        <v>0</v>
      </c>
      <c r="AG14" s="494" t="e">
        <f t="shared" si="6"/>
        <v>#N/A</v>
      </c>
      <c r="AH14" s="494" t="e">
        <f t="shared" si="7"/>
        <v>#N/A</v>
      </c>
      <c r="AO14" s="521"/>
    </row>
    <row r="15" spans="1:41" ht="16">
      <c r="A15" s="450" t="str">
        <f>Raw!C14</f>
        <v>1B-2</v>
      </c>
      <c r="B15" s="451" t="str">
        <f>Raw!E14</f>
        <v>Time for PTE program leaders to engage</v>
      </c>
      <c r="C15" s="451"/>
      <c r="D15" s="504" t="str">
        <f t="shared" si="15"/>
        <v>unanswered</v>
      </c>
      <c r="E15" s="498"/>
      <c r="F15" s="523"/>
      <c r="G15" s="485"/>
      <c r="H15" s="237">
        <f>'1-Institution'!I22</f>
        <v>0</v>
      </c>
      <c r="I15" s="485" t="e">
        <f>MATCH(F15,$L$1:$Q$1,0)</f>
        <v>#N/A</v>
      </c>
      <c r="J15" s="516" t="e">
        <f t="shared" si="19"/>
        <v>#N/A</v>
      </c>
      <c r="K15" s="518" t="e">
        <f t="shared" si="16"/>
        <v>#N/A</v>
      </c>
      <c r="L15" s="2"/>
      <c r="R15" s="490" t="s">
        <v>753</v>
      </c>
      <c r="S15" s="510">
        <f t="shared" ref="S15:X15" si="32">COUNTIF($D$64:$D$68,L$1)</f>
        <v>5</v>
      </c>
      <c r="T15" s="510">
        <f t="shared" si="32"/>
        <v>0</v>
      </c>
      <c r="U15" s="510">
        <f t="shared" si="32"/>
        <v>0</v>
      </c>
      <c r="V15" s="510">
        <f t="shared" si="32"/>
        <v>0</v>
      </c>
      <c r="W15" s="510">
        <f t="shared" si="32"/>
        <v>0</v>
      </c>
      <c r="X15" s="510">
        <f t="shared" si="32"/>
        <v>0</v>
      </c>
      <c r="Y15" s="494" t="e">
        <f t="shared" si="3"/>
        <v>#N/A</v>
      </c>
      <c r="Z15" s="494" t="e">
        <f t="shared" si="4"/>
        <v>#N/A</v>
      </c>
      <c r="AA15" s="510">
        <f t="shared" ref="AA15:AF15" si="33">COUNTIF($F$64:$F$68,L$1)</f>
        <v>0</v>
      </c>
      <c r="AB15" s="510">
        <f t="shared" si="33"/>
        <v>0</v>
      </c>
      <c r="AC15" s="510">
        <f t="shared" si="33"/>
        <v>0</v>
      </c>
      <c r="AD15" s="510">
        <f t="shared" si="33"/>
        <v>0</v>
      </c>
      <c r="AE15" s="510">
        <f t="shared" si="33"/>
        <v>0</v>
      </c>
      <c r="AF15" s="510">
        <f t="shared" si="33"/>
        <v>0</v>
      </c>
      <c r="AG15" s="494" t="e">
        <f t="shared" si="6"/>
        <v>#N/A</v>
      </c>
      <c r="AH15" s="494" t="e">
        <f t="shared" si="7"/>
        <v>#N/A</v>
      </c>
      <c r="AO15" s="521"/>
    </row>
    <row r="16" spans="1:41" ht="16">
      <c r="A16" s="450" t="str">
        <f>Raw!C15</f>
        <v>1B-3</v>
      </c>
      <c r="B16" s="451" t="str">
        <f>Raw!E15</f>
        <v>Recognition for PTE program team</v>
      </c>
      <c r="C16" s="451"/>
      <c r="D16" s="504" t="str">
        <f t="shared" si="15"/>
        <v>unanswered</v>
      </c>
      <c r="E16" s="498"/>
      <c r="F16" s="523"/>
      <c r="G16" s="485"/>
      <c r="H16" s="237">
        <f>'1-Institution'!I23</f>
        <v>0</v>
      </c>
      <c r="I16" s="485" t="e">
        <f>MATCH(F16,$L$1:$Q$1,0)</f>
        <v>#N/A</v>
      </c>
      <c r="J16" s="516" t="e">
        <f t="shared" si="19"/>
        <v>#N/A</v>
      </c>
      <c r="K16" s="518" t="e">
        <f t="shared" si="16"/>
        <v>#N/A</v>
      </c>
      <c r="L16" s="2"/>
      <c r="R16" s="490" t="s">
        <v>754</v>
      </c>
      <c r="S16" s="510">
        <f t="shared" ref="S16:X16" si="34">COUNTIF($D$70:$D$73,L$1)</f>
        <v>4</v>
      </c>
      <c r="T16" s="510">
        <f t="shared" si="34"/>
        <v>0</v>
      </c>
      <c r="U16" s="510">
        <f t="shared" si="34"/>
        <v>0</v>
      </c>
      <c r="V16" s="510">
        <f t="shared" si="34"/>
        <v>0</v>
      </c>
      <c r="W16" s="510">
        <f t="shared" si="34"/>
        <v>0</v>
      </c>
      <c r="X16" s="510">
        <f t="shared" si="34"/>
        <v>0</v>
      </c>
      <c r="Y16" s="494" t="e">
        <f t="shared" si="3"/>
        <v>#N/A</v>
      </c>
      <c r="Z16" s="494" t="e">
        <f t="shared" si="4"/>
        <v>#N/A</v>
      </c>
      <c r="AA16" s="510">
        <f t="shared" ref="AA16:AF16" si="35">COUNTIF($F$70:$F$73,L$1)</f>
        <v>0</v>
      </c>
      <c r="AB16" s="510">
        <f t="shared" si="35"/>
        <v>0</v>
      </c>
      <c r="AC16" s="510">
        <f t="shared" si="35"/>
        <v>0</v>
      </c>
      <c r="AD16" s="510">
        <f t="shared" si="35"/>
        <v>0</v>
      </c>
      <c r="AE16" s="510">
        <f t="shared" si="35"/>
        <v>0</v>
      </c>
      <c r="AF16" s="510">
        <f t="shared" si="35"/>
        <v>0</v>
      </c>
      <c r="AG16" s="494" t="e">
        <f t="shared" si="6"/>
        <v>#N/A</v>
      </c>
      <c r="AH16" s="494" t="e">
        <f t="shared" si="7"/>
        <v>#N/A</v>
      </c>
      <c r="AO16" s="521"/>
    </row>
    <row r="17" spans="1:41" ht="19">
      <c r="A17" s="445" t="str">
        <f>Raw!A16</f>
        <v xml:space="preserve">Component 1C: Resources </v>
      </c>
      <c r="B17" s="439"/>
      <c r="C17" s="439"/>
      <c r="D17" s="506"/>
      <c r="E17" s="497"/>
      <c r="F17" s="523"/>
      <c r="G17" s="439"/>
      <c r="H17" s="237"/>
      <c r="I17" s="485"/>
      <c r="J17" s="516"/>
      <c r="K17" s="518">
        <v>0</v>
      </c>
      <c r="L17" s="2"/>
      <c r="R17" s="493" t="s">
        <v>308</v>
      </c>
      <c r="S17" s="442">
        <f t="shared" ref="S17:X17" si="36">COUNTIF($D$77:$D$90,L$1)</f>
        <v>12</v>
      </c>
      <c r="T17" s="442">
        <f t="shared" si="36"/>
        <v>0</v>
      </c>
      <c r="U17" s="442">
        <f t="shared" si="36"/>
        <v>0</v>
      </c>
      <c r="V17" s="442">
        <f t="shared" si="36"/>
        <v>0</v>
      </c>
      <c r="W17" s="442">
        <f t="shared" si="36"/>
        <v>0</v>
      </c>
      <c r="X17" s="442">
        <f t="shared" si="36"/>
        <v>0</v>
      </c>
      <c r="Y17" s="494" t="e">
        <f t="shared" si="3"/>
        <v>#N/A</v>
      </c>
      <c r="Z17" s="494" t="e">
        <f t="shared" si="4"/>
        <v>#N/A</v>
      </c>
      <c r="AA17" s="442">
        <f t="shared" ref="AA17:AF17" si="37">COUNTIF($F$77:$F$90,L$1)</f>
        <v>0</v>
      </c>
      <c r="AB17" s="442">
        <f t="shared" si="37"/>
        <v>0</v>
      </c>
      <c r="AC17" s="442">
        <f t="shared" si="37"/>
        <v>0</v>
      </c>
      <c r="AD17" s="442">
        <f t="shared" si="37"/>
        <v>0</v>
      </c>
      <c r="AE17" s="442">
        <f t="shared" si="37"/>
        <v>0</v>
      </c>
      <c r="AF17" s="442">
        <f t="shared" si="37"/>
        <v>0</v>
      </c>
      <c r="AG17" s="494" t="e">
        <f t="shared" si="6"/>
        <v>#N/A</v>
      </c>
      <c r="AH17" s="494" t="e">
        <f t="shared" si="7"/>
        <v>#N/A</v>
      </c>
      <c r="AO17" s="521"/>
    </row>
    <row r="18" spans="1:41" ht="16">
      <c r="A18" s="452" t="str">
        <f>Raw!C18</f>
        <v>1C-1</v>
      </c>
      <c r="B18" s="453" t="str">
        <f>Raw!E18</f>
        <v>Engaged staff</v>
      </c>
      <c r="C18" s="451"/>
      <c r="D18" s="504" t="str">
        <f t="shared" si="15"/>
        <v>unanswered</v>
      </c>
      <c r="E18" s="498"/>
      <c r="F18" s="523"/>
      <c r="G18" s="485"/>
      <c r="H18" s="237">
        <f>'1-Institution'!I33</f>
        <v>0</v>
      </c>
      <c r="I18" s="485" t="e">
        <f>MATCH(F18,$L$1:$Q$1,0)</f>
        <v>#N/A</v>
      </c>
      <c r="J18" s="516" t="e">
        <f t="shared" si="19"/>
        <v>#N/A</v>
      </c>
      <c r="K18" s="518" t="e">
        <f t="shared" si="16"/>
        <v>#N/A</v>
      </c>
      <c r="L18" s="2"/>
      <c r="R18" s="490" t="s">
        <v>755</v>
      </c>
      <c r="S18" s="510">
        <f t="shared" ref="S18:X18" si="38">COUNTIF($D$77:$D$79,L$1)</f>
        <v>3</v>
      </c>
      <c r="T18" s="510">
        <f t="shared" si="38"/>
        <v>0</v>
      </c>
      <c r="U18" s="510">
        <f t="shared" si="38"/>
        <v>0</v>
      </c>
      <c r="V18" s="510">
        <f t="shared" si="38"/>
        <v>0</v>
      </c>
      <c r="W18" s="510">
        <f t="shared" si="38"/>
        <v>0</v>
      </c>
      <c r="X18" s="510">
        <f t="shared" si="38"/>
        <v>0</v>
      </c>
      <c r="Y18" s="494" t="e">
        <f t="shared" si="3"/>
        <v>#N/A</v>
      </c>
      <c r="Z18" s="494" t="e">
        <f t="shared" si="4"/>
        <v>#N/A</v>
      </c>
      <c r="AA18" s="510">
        <f t="shared" ref="AA18:AF18" si="39">COUNTIF($F$77:$F$79,L$1)</f>
        <v>0</v>
      </c>
      <c r="AB18" s="510">
        <f t="shared" si="39"/>
        <v>0</v>
      </c>
      <c r="AC18" s="510">
        <f t="shared" si="39"/>
        <v>0</v>
      </c>
      <c r="AD18" s="510">
        <f t="shared" si="39"/>
        <v>0</v>
      </c>
      <c r="AE18" s="510">
        <f t="shared" si="39"/>
        <v>0</v>
      </c>
      <c r="AF18" s="510">
        <f t="shared" si="39"/>
        <v>0</v>
      </c>
      <c r="AG18" s="494" t="e">
        <f t="shared" si="6"/>
        <v>#N/A</v>
      </c>
      <c r="AH18" s="494" t="e">
        <f t="shared" si="7"/>
        <v>#N/A</v>
      </c>
      <c r="AO18" s="521"/>
    </row>
    <row r="19" spans="1:41" ht="16">
      <c r="A19" s="452" t="str">
        <f>Raw!C19</f>
        <v>1C-2</v>
      </c>
      <c r="B19" s="453" t="str">
        <f>Raw!E19</f>
        <v>Institutional funding</v>
      </c>
      <c r="C19" s="451"/>
      <c r="D19" s="504" t="str">
        <f t="shared" si="15"/>
        <v>unanswered</v>
      </c>
      <c r="E19" s="498"/>
      <c r="F19" s="523"/>
      <c r="G19" s="485"/>
      <c r="H19" s="237">
        <f>'1-Institution'!I34</f>
        <v>0</v>
      </c>
      <c r="I19" s="485" t="e">
        <f>MATCH(F19,$L$1:$Q$1,0)</f>
        <v>#N/A</v>
      </c>
      <c r="J19" s="516" t="e">
        <f t="shared" si="19"/>
        <v>#N/A</v>
      </c>
      <c r="K19" s="518" t="e">
        <f t="shared" si="16"/>
        <v>#N/A</v>
      </c>
      <c r="L19" s="2"/>
      <c r="R19" s="490" t="s">
        <v>756</v>
      </c>
      <c r="S19" s="510">
        <f t="shared" ref="S19:X19" si="40">COUNTIF($D$81:$D$85,L$1)</f>
        <v>5</v>
      </c>
      <c r="T19" s="510">
        <f t="shared" si="40"/>
        <v>0</v>
      </c>
      <c r="U19" s="510">
        <f t="shared" si="40"/>
        <v>0</v>
      </c>
      <c r="V19" s="510">
        <f t="shared" si="40"/>
        <v>0</v>
      </c>
      <c r="W19" s="510">
        <f t="shared" si="40"/>
        <v>0</v>
      </c>
      <c r="X19" s="510">
        <f t="shared" si="40"/>
        <v>0</v>
      </c>
      <c r="Y19" s="494" t="e">
        <f t="shared" si="3"/>
        <v>#N/A</v>
      </c>
      <c r="Z19" s="494" t="e">
        <f t="shared" si="4"/>
        <v>#N/A</v>
      </c>
      <c r="AA19" s="510">
        <f t="shared" ref="AA19:AF19" si="41">COUNTIF($F$81:$F$85,L$1)</f>
        <v>0</v>
      </c>
      <c r="AB19" s="510">
        <f t="shared" si="41"/>
        <v>0</v>
      </c>
      <c r="AC19" s="510">
        <f t="shared" si="41"/>
        <v>0</v>
      </c>
      <c r="AD19" s="510">
        <f t="shared" si="41"/>
        <v>0</v>
      </c>
      <c r="AE19" s="510">
        <f t="shared" si="41"/>
        <v>0</v>
      </c>
      <c r="AF19" s="510">
        <f t="shared" si="41"/>
        <v>0</v>
      </c>
      <c r="AG19" s="494" t="e">
        <f t="shared" si="6"/>
        <v>#N/A</v>
      </c>
      <c r="AH19" s="494" t="e">
        <f t="shared" si="7"/>
        <v>#N/A</v>
      </c>
      <c r="AO19" s="521"/>
    </row>
    <row r="20" spans="1:41" ht="16">
      <c r="A20" s="452" t="str">
        <f>Raw!C20</f>
        <v>1C-3</v>
      </c>
      <c r="B20" s="453" t="str">
        <f>Raw!E20</f>
        <v>External funding</v>
      </c>
      <c r="C20" s="451"/>
      <c r="D20" s="504" t="str">
        <f t="shared" si="15"/>
        <v>unanswered</v>
      </c>
      <c r="E20" s="498"/>
      <c r="F20" s="523"/>
      <c r="G20" s="485"/>
      <c r="H20" s="237">
        <f>'1-Institution'!I35</f>
        <v>0</v>
      </c>
      <c r="I20" s="485" t="e">
        <f>MATCH(F20,$L$1:$Q$1,0)</f>
        <v>#N/A</v>
      </c>
      <c r="J20" s="516" t="e">
        <f t="shared" si="19"/>
        <v>#N/A</v>
      </c>
      <c r="K20" s="518" t="e">
        <f t="shared" si="16"/>
        <v>#N/A</v>
      </c>
      <c r="L20" s="2"/>
      <c r="R20" s="490" t="s">
        <v>757</v>
      </c>
      <c r="S20" s="510">
        <f t="shared" ref="S20:X20" si="42">COUNTIF($D$87:$D$90,L$1)</f>
        <v>4</v>
      </c>
      <c r="T20" s="510">
        <f t="shared" si="42"/>
        <v>0</v>
      </c>
      <c r="U20" s="510">
        <f t="shared" si="42"/>
        <v>0</v>
      </c>
      <c r="V20" s="510">
        <f t="shared" si="42"/>
        <v>0</v>
      </c>
      <c r="W20" s="510">
        <f t="shared" si="42"/>
        <v>0</v>
      </c>
      <c r="X20" s="510">
        <f t="shared" si="42"/>
        <v>0</v>
      </c>
      <c r="Y20" s="494" t="e">
        <f t="shared" si="3"/>
        <v>#N/A</v>
      </c>
      <c r="Z20" s="494" t="e">
        <f t="shared" si="4"/>
        <v>#N/A</v>
      </c>
      <c r="AA20" s="510">
        <f t="shared" ref="AA20:AF20" si="43">COUNTIF($F$87:$F$90,L$1)</f>
        <v>0</v>
      </c>
      <c r="AB20" s="510">
        <f t="shared" si="43"/>
        <v>0</v>
      </c>
      <c r="AC20" s="510">
        <f t="shared" si="43"/>
        <v>0</v>
      </c>
      <c r="AD20" s="510">
        <f t="shared" si="43"/>
        <v>0</v>
      </c>
      <c r="AE20" s="510">
        <f t="shared" si="43"/>
        <v>0</v>
      </c>
      <c r="AF20" s="510">
        <f t="shared" si="43"/>
        <v>0</v>
      </c>
      <c r="AG20" s="494" t="e">
        <f t="shared" si="6"/>
        <v>#N/A</v>
      </c>
      <c r="AH20" s="494" t="e">
        <f t="shared" si="7"/>
        <v>#N/A</v>
      </c>
      <c r="AO20" s="521"/>
    </row>
    <row r="21" spans="1:41" ht="16">
      <c r="A21" s="450" t="str">
        <f>Raw!C21</f>
        <v>1C-4</v>
      </c>
      <c r="B21" s="451" t="str">
        <f>Raw!E21</f>
        <v>Stability of program operational funding</v>
      </c>
      <c r="C21" s="451"/>
      <c r="D21" s="504" t="str">
        <f t="shared" si="15"/>
        <v>unanswered</v>
      </c>
      <c r="E21" s="498"/>
      <c r="F21" s="523"/>
      <c r="G21" s="485"/>
      <c r="H21" s="237">
        <f>'1-Institution'!I36</f>
        <v>0</v>
      </c>
      <c r="I21" s="485" t="e">
        <f>MATCH(F21,$L$1:$Q$1,0)</f>
        <v>#N/A</v>
      </c>
      <c r="J21" s="516" t="e">
        <f t="shared" si="19"/>
        <v>#N/A</v>
      </c>
      <c r="K21" s="518" t="e">
        <f t="shared" si="16"/>
        <v>#N/A</v>
      </c>
      <c r="L21" s="2"/>
      <c r="R21" s="493" t="s">
        <v>758</v>
      </c>
      <c r="S21" s="442">
        <f t="shared" ref="S21:X21" si="44">COUNTIF($D$94:$D$106,L$1)</f>
        <v>11</v>
      </c>
      <c r="T21" s="442">
        <f t="shared" si="44"/>
        <v>0</v>
      </c>
      <c r="U21" s="442">
        <f t="shared" si="44"/>
        <v>0</v>
      </c>
      <c r="V21" s="442">
        <f t="shared" si="44"/>
        <v>0</v>
      </c>
      <c r="W21" s="442">
        <f t="shared" si="44"/>
        <v>0</v>
      </c>
      <c r="X21" s="442">
        <f t="shared" si="44"/>
        <v>0</v>
      </c>
      <c r="Y21" s="494" t="e">
        <f t="shared" si="3"/>
        <v>#N/A</v>
      </c>
      <c r="Z21" s="494" t="e">
        <f t="shared" si="4"/>
        <v>#N/A</v>
      </c>
      <c r="AA21" s="442">
        <f t="shared" ref="AA21:AF21" si="45">COUNTIF($F$94:$F$106,L$1)</f>
        <v>0</v>
      </c>
      <c r="AB21" s="442">
        <f t="shared" si="45"/>
        <v>0</v>
      </c>
      <c r="AC21" s="442">
        <f t="shared" si="45"/>
        <v>0</v>
      </c>
      <c r="AD21" s="442">
        <f t="shared" si="45"/>
        <v>0</v>
      </c>
      <c r="AE21" s="442">
        <f t="shared" si="45"/>
        <v>0</v>
      </c>
      <c r="AF21" s="442">
        <f t="shared" si="45"/>
        <v>0</v>
      </c>
      <c r="AG21" s="494" t="e">
        <f t="shared" si="6"/>
        <v>#N/A</v>
      </c>
      <c r="AH21" s="494" t="e">
        <f t="shared" si="7"/>
        <v>#N/A</v>
      </c>
      <c r="AO21" s="521"/>
    </row>
    <row r="22" spans="1:41" ht="16">
      <c r="A22" s="450" t="str">
        <f>Raw!C22</f>
        <v>1C-5</v>
      </c>
      <c r="B22" s="451" t="str">
        <f>Raw!E22</f>
        <v>Program space</v>
      </c>
      <c r="C22" s="451"/>
      <c r="D22" s="504" t="str">
        <f t="shared" si="15"/>
        <v>unanswered</v>
      </c>
      <c r="E22" s="498"/>
      <c r="F22" s="523"/>
      <c r="G22" s="485"/>
      <c r="H22" s="237">
        <f>'1-Institution'!I37</f>
        <v>0</v>
      </c>
      <c r="I22" s="485" t="e">
        <f>MATCH(F22,$L$1:$Q$1,0)</f>
        <v>#N/A</v>
      </c>
      <c r="J22" s="516" t="e">
        <f t="shared" si="19"/>
        <v>#N/A</v>
      </c>
      <c r="K22" s="518" t="e">
        <f t="shared" si="16"/>
        <v>#N/A</v>
      </c>
      <c r="L22" s="2"/>
      <c r="R22" s="490" t="s">
        <v>759</v>
      </c>
      <c r="S22" s="510">
        <f t="shared" ref="S22:X22" si="46">COUNTIF($D$94:$D$95,L$1)</f>
        <v>2</v>
      </c>
      <c r="T22" s="510">
        <f t="shared" si="46"/>
        <v>0</v>
      </c>
      <c r="U22" s="510">
        <f t="shared" si="46"/>
        <v>0</v>
      </c>
      <c r="V22" s="510">
        <f t="shared" si="46"/>
        <v>0</v>
      </c>
      <c r="W22" s="510">
        <f t="shared" si="46"/>
        <v>0</v>
      </c>
      <c r="X22" s="510">
        <f t="shared" si="46"/>
        <v>0</v>
      </c>
      <c r="Y22" s="494" t="e">
        <f t="shared" si="3"/>
        <v>#N/A</v>
      </c>
      <c r="Z22" s="494" t="e">
        <f t="shared" si="4"/>
        <v>#N/A</v>
      </c>
      <c r="AA22" s="510">
        <f t="shared" ref="AA22:AF22" si="47">COUNTIF($F$94:$F$95,L$1)</f>
        <v>0</v>
      </c>
      <c r="AB22" s="510">
        <f t="shared" si="47"/>
        <v>0</v>
      </c>
      <c r="AC22" s="510">
        <f t="shared" si="47"/>
        <v>0</v>
      </c>
      <c r="AD22" s="510">
        <f t="shared" si="47"/>
        <v>0</v>
      </c>
      <c r="AE22" s="510">
        <f t="shared" si="47"/>
        <v>0</v>
      </c>
      <c r="AF22" s="510">
        <f t="shared" si="47"/>
        <v>0</v>
      </c>
      <c r="AG22" s="494" t="e">
        <f t="shared" si="6"/>
        <v>#N/A</v>
      </c>
      <c r="AH22" s="494" t="e">
        <f t="shared" si="7"/>
        <v>#N/A</v>
      </c>
      <c r="AO22" s="521"/>
    </row>
    <row r="23" spans="1:41" ht="24">
      <c r="A23" s="641" t="str">
        <f>CONCATENATE(Raw!A23,": ",Raw!B23)</f>
        <v>Standard 2: Leadership and Collaboration</v>
      </c>
      <c r="B23" s="641"/>
      <c r="C23" s="479"/>
      <c r="D23" s="507"/>
      <c r="E23" s="499"/>
      <c r="F23" s="523"/>
      <c r="G23" s="442"/>
      <c r="H23" s="237"/>
      <c r="I23" s="485"/>
      <c r="J23" s="516"/>
      <c r="K23" s="518">
        <v>0</v>
      </c>
      <c r="L23" s="2"/>
      <c r="R23" s="490" t="s">
        <v>760</v>
      </c>
      <c r="S23" s="510">
        <f t="shared" ref="S23:X23" si="48">COUNTIF($D$97:$D$101,L$1)</f>
        <v>5</v>
      </c>
      <c r="T23" s="510">
        <f t="shared" si="48"/>
        <v>0</v>
      </c>
      <c r="U23" s="510">
        <f t="shared" si="48"/>
        <v>0</v>
      </c>
      <c r="V23" s="510">
        <f t="shared" si="48"/>
        <v>0</v>
      </c>
      <c r="W23" s="510">
        <f t="shared" si="48"/>
        <v>0</v>
      </c>
      <c r="X23" s="510">
        <f t="shared" si="48"/>
        <v>0</v>
      </c>
      <c r="Y23" s="494" t="e">
        <f t="shared" si="3"/>
        <v>#N/A</v>
      </c>
      <c r="Z23" s="494" t="e">
        <f t="shared" si="4"/>
        <v>#N/A</v>
      </c>
      <c r="AA23" s="510">
        <f t="shared" ref="AA23:AF23" si="49">COUNTIF($F$97:$F$101,L$1)</f>
        <v>0</v>
      </c>
      <c r="AB23" s="510">
        <f t="shared" si="49"/>
        <v>0</v>
      </c>
      <c r="AC23" s="510">
        <f t="shared" si="49"/>
        <v>0</v>
      </c>
      <c r="AD23" s="510">
        <f t="shared" si="49"/>
        <v>0</v>
      </c>
      <c r="AE23" s="510">
        <f t="shared" si="49"/>
        <v>0</v>
      </c>
      <c r="AF23" s="510">
        <f t="shared" si="49"/>
        <v>0</v>
      </c>
      <c r="AG23" s="494" t="e">
        <f t="shared" si="6"/>
        <v>#N/A</v>
      </c>
      <c r="AH23" s="494" t="e">
        <f t="shared" si="7"/>
        <v>#N/A</v>
      </c>
      <c r="AO23" s="521"/>
    </row>
    <row r="24" spans="1:41" ht="7.75" hidden="1" customHeight="1">
      <c r="A24" s="479"/>
      <c r="B24" s="479"/>
      <c r="C24" s="479"/>
      <c r="D24" s="507"/>
      <c r="E24" s="499"/>
      <c r="F24" s="523"/>
      <c r="G24" s="442"/>
      <c r="H24" s="237"/>
      <c r="I24" s="485" t="e">
        <f>MATCH(F24,$L$1:$Q$1,0)</f>
        <v>#N/A</v>
      </c>
      <c r="J24" s="516"/>
      <c r="K24" s="518">
        <f t="shared" si="16"/>
        <v>0</v>
      </c>
      <c r="L24" s="2"/>
      <c r="R24" s="490" t="s">
        <v>761</v>
      </c>
      <c r="S24" s="510">
        <f t="shared" ref="S24:X24" si="50">COUNTIF($D$103:$D$106,L$1)</f>
        <v>4</v>
      </c>
      <c r="T24" s="510">
        <f t="shared" si="50"/>
        <v>0</v>
      </c>
      <c r="U24" s="510">
        <f t="shared" si="50"/>
        <v>0</v>
      </c>
      <c r="V24" s="510">
        <f t="shared" si="50"/>
        <v>0</v>
      </c>
      <c r="W24" s="510">
        <f t="shared" si="50"/>
        <v>0</v>
      </c>
      <c r="X24" s="510">
        <f t="shared" si="50"/>
        <v>0</v>
      </c>
      <c r="Y24" s="494" t="e">
        <f t="shared" si="3"/>
        <v>#N/A</v>
      </c>
      <c r="Z24" s="494" t="e">
        <f t="shared" si="4"/>
        <v>#N/A</v>
      </c>
      <c r="AA24" s="510">
        <f t="shared" ref="AA24:AF24" si="51">COUNTIF($F$103:$F$106,L$1)</f>
        <v>0</v>
      </c>
      <c r="AB24" s="510">
        <f t="shared" si="51"/>
        <v>0</v>
      </c>
      <c r="AC24" s="510">
        <f t="shared" si="51"/>
        <v>0</v>
      </c>
      <c r="AD24" s="510">
        <f t="shared" si="51"/>
        <v>0</v>
      </c>
      <c r="AE24" s="510">
        <f t="shared" si="51"/>
        <v>0</v>
      </c>
      <c r="AF24" s="510">
        <f t="shared" si="51"/>
        <v>0</v>
      </c>
      <c r="AG24" s="494" t="e">
        <f t="shared" si="6"/>
        <v>#N/A</v>
      </c>
      <c r="AH24" s="494" t="e">
        <f t="shared" si="7"/>
        <v>#N/A</v>
      </c>
      <c r="AO24" s="521"/>
    </row>
    <row r="25" spans="1:41" ht="19">
      <c r="A25" s="454" t="str">
        <f>Raw!A25</f>
        <v>Component 2A: Program Team Members</v>
      </c>
      <c r="B25" s="455"/>
      <c r="C25" s="455"/>
      <c r="D25" s="508"/>
      <c r="E25" s="500"/>
      <c r="F25" s="523"/>
      <c r="G25" s="441"/>
      <c r="H25" s="237"/>
      <c r="I25" s="485"/>
      <c r="J25" s="516"/>
      <c r="K25" s="518">
        <v>0</v>
      </c>
      <c r="L25" s="2"/>
      <c r="R25" s="493" t="s">
        <v>310</v>
      </c>
      <c r="S25" s="442">
        <f t="shared" ref="S25:X25" si="52">COUNTIF($D$110:$D$123,L$1)</f>
        <v>12</v>
      </c>
      <c r="T25" s="442">
        <f t="shared" si="52"/>
        <v>0</v>
      </c>
      <c r="U25" s="442">
        <f t="shared" si="52"/>
        <v>0</v>
      </c>
      <c r="V25" s="442">
        <f t="shared" si="52"/>
        <v>0</v>
      </c>
      <c r="W25" s="442">
        <f t="shared" si="52"/>
        <v>0</v>
      </c>
      <c r="X25" s="442">
        <f t="shared" si="52"/>
        <v>0</v>
      </c>
      <c r="Y25" s="494" t="e">
        <f t="shared" si="3"/>
        <v>#N/A</v>
      </c>
      <c r="Z25" s="494" t="e">
        <f t="shared" si="4"/>
        <v>#N/A</v>
      </c>
      <c r="AA25" s="442">
        <f t="shared" ref="AA25:AF25" si="53">COUNTIF($F$110:$F$123,L$1)</f>
        <v>0</v>
      </c>
      <c r="AB25" s="442">
        <f t="shared" si="53"/>
        <v>0</v>
      </c>
      <c r="AC25" s="442">
        <f t="shared" si="53"/>
        <v>0</v>
      </c>
      <c r="AD25" s="442">
        <f t="shared" si="53"/>
        <v>0</v>
      </c>
      <c r="AE25" s="442">
        <f t="shared" si="53"/>
        <v>0</v>
      </c>
      <c r="AF25" s="442">
        <f t="shared" si="53"/>
        <v>0</v>
      </c>
      <c r="AG25" s="494" t="e">
        <f t="shared" si="6"/>
        <v>#N/A</v>
      </c>
      <c r="AH25" s="494" t="e">
        <f t="shared" si="7"/>
        <v>#N/A</v>
      </c>
      <c r="AO25" s="521"/>
    </row>
    <row r="26" spans="1:41" ht="16">
      <c r="A26" s="456" t="str">
        <f>Raw!C27</f>
        <v>2A-1</v>
      </c>
      <c r="B26" s="457" t="str">
        <f>Raw!E27</f>
        <v>PTE program leaders</v>
      </c>
      <c r="C26" s="451"/>
      <c r="D26" s="504" t="str">
        <f t="shared" ref="D26:D48" si="54">INDEX($L$1:$Q$1,1,H26+1)</f>
        <v>unanswered</v>
      </c>
      <c r="E26" s="498"/>
      <c r="F26" s="523"/>
      <c r="G26" s="485"/>
      <c r="H26" s="237">
        <f>'2-Leadership'!I7</f>
        <v>0</v>
      </c>
      <c r="I26" s="485" t="e">
        <f>MATCH(F26,$L$1:$Q$1,0)</f>
        <v>#N/A</v>
      </c>
      <c r="J26" s="516" t="e">
        <f t="shared" si="19"/>
        <v>#N/A</v>
      </c>
      <c r="K26" s="518" t="e">
        <f t="shared" si="16"/>
        <v>#N/A</v>
      </c>
      <c r="L26" s="2"/>
      <c r="R26" s="490" t="s">
        <v>762</v>
      </c>
      <c r="S26" s="510">
        <f t="shared" ref="S26:X26" si="55">COUNTIF($D$110:$D$113,L$1)</f>
        <v>4</v>
      </c>
      <c r="T26" s="510">
        <f t="shared" si="55"/>
        <v>0</v>
      </c>
      <c r="U26" s="510">
        <f t="shared" si="55"/>
        <v>0</v>
      </c>
      <c r="V26" s="510">
        <f t="shared" si="55"/>
        <v>0</v>
      </c>
      <c r="W26" s="510">
        <f t="shared" si="55"/>
        <v>0</v>
      </c>
      <c r="X26" s="510">
        <f t="shared" si="55"/>
        <v>0</v>
      </c>
      <c r="Y26" s="494" t="e">
        <f t="shared" si="3"/>
        <v>#N/A</v>
      </c>
      <c r="Z26" s="494" t="e">
        <f t="shared" si="4"/>
        <v>#N/A</v>
      </c>
      <c r="AA26" s="510">
        <f t="shared" ref="AA26:AF26" si="56">COUNTIF($F$110:$F$113,L$1)</f>
        <v>0</v>
      </c>
      <c r="AB26" s="510">
        <f t="shared" si="56"/>
        <v>0</v>
      </c>
      <c r="AC26" s="510">
        <f t="shared" si="56"/>
        <v>0</v>
      </c>
      <c r="AD26" s="510">
        <f t="shared" si="56"/>
        <v>0</v>
      </c>
      <c r="AE26" s="510">
        <f t="shared" si="56"/>
        <v>0</v>
      </c>
      <c r="AF26" s="510">
        <f t="shared" si="56"/>
        <v>0</v>
      </c>
      <c r="AG26" s="494" t="e">
        <f t="shared" si="6"/>
        <v>#N/A</v>
      </c>
      <c r="AH26" s="494" t="e">
        <f t="shared" si="7"/>
        <v>#N/A</v>
      </c>
      <c r="AO26" s="521"/>
    </row>
    <row r="27" spans="1:41" ht="16">
      <c r="A27" s="456" t="str">
        <f>Raw!C28</f>
        <v>2A-2</v>
      </c>
      <c r="B27" s="457" t="str">
        <f>Raw!E28</f>
        <v>PTE program team</v>
      </c>
      <c r="C27" s="451"/>
      <c r="D27" s="504" t="str">
        <f t="shared" si="54"/>
        <v>unanswered</v>
      </c>
      <c r="E27" s="498"/>
      <c r="F27" s="523"/>
      <c r="G27" s="485"/>
      <c r="H27" s="237">
        <f>'2-Leadership'!I8</f>
        <v>0</v>
      </c>
      <c r="I27" s="485" t="e">
        <f>MATCH(F27,$L$1:$Q$1,0)</f>
        <v>#N/A</v>
      </c>
      <c r="J27" s="516" t="e">
        <f t="shared" si="19"/>
        <v>#N/A</v>
      </c>
      <c r="K27" s="518" t="e">
        <f t="shared" si="16"/>
        <v>#N/A</v>
      </c>
      <c r="L27" s="2"/>
      <c r="R27" s="490" t="s">
        <v>763</v>
      </c>
      <c r="S27" s="510">
        <f t="shared" ref="S27:X27" si="57">COUNTIF($D$115:$D$118,L$1)</f>
        <v>4</v>
      </c>
      <c r="T27" s="510">
        <f t="shared" si="57"/>
        <v>0</v>
      </c>
      <c r="U27" s="510">
        <f t="shared" si="57"/>
        <v>0</v>
      </c>
      <c r="V27" s="510">
        <f t="shared" si="57"/>
        <v>0</v>
      </c>
      <c r="W27" s="510">
        <f t="shared" si="57"/>
        <v>0</v>
      </c>
      <c r="X27" s="510">
        <f t="shared" si="57"/>
        <v>0</v>
      </c>
      <c r="Y27" s="494" t="e">
        <f t="shared" si="3"/>
        <v>#N/A</v>
      </c>
      <c r="Z27" s="494" t="e">
        <f t="shared" si="4"/>
        <v>#N/A</v>
      </c>
      <c r="AA27" s="510">
        <f t="shared" ref="AA27:AF27" si="58">COUNTIF($F$115:$F$118,L$1)</f>
        <v>0</v>
      </c>
      <c r="AB27" s="510">
        <f t="shared" si="58"/>
        <v>0</v>
      </c>
      <c r="AC27" s="510">
        <f t="shared" si="58"/>
        <v>0</v>
      </c>
      <c r="AD27" s="510">
        <f t="shared" si="58"/>
        <v>0</v>
      </c>
      <c r="AE27" s="510">
        <f t="shared" si="58"/>
        <v>0</v>
      </c>
      <c r="AF27" s="510">
        <f t="shared" si="58"/>
        <v>0</v>
      </c>
      <c r="AG27" s="494" t="e">
        <f t="shared" si="6"/>
        <v>#N/A</v>
      </c>
      <c r="AH27" s="494" t="e">
        <f t="shared" si="7"/>
        <v>#N/A</v>
      </c>
      <c r="AO27" s="521"/>
    </row>
    <row r="28" spans="1:41" ht="16">
      <c r="A28" s="456" t="str">
        <f>Raw!C29</f>
        <v>2A-3</v>
      </c>
      <c r="B28" s="457" t="str">
        <f>Raw!E29</f>
        <v xml:space="preserve">Teacher in Residence (TIR) </v>
      </c>
      <c r="C28" s="451"/>
      <c r="D28" s="504" t="str">
        <f t="shared" si="54"/>
        <v>unanswered</v>
      </c>
      <c r="E28" s="498"/>
      <c r="F28" s="523"/>
      <c r="G28" s="485"/>
      <c r="H28" s="237">
        <f>'2-Leadership'!I9</f>
        <v>0</v>
      </c>
      <c r="I28" s="485" t="e">
        <f>MATCH(F28,$L$1:$Q$1,0)</f>
        <v>#N/A</v>
      </c>
      <c r="J28" s="516" t="e">
        <f t="shared" si="19"/>
        <v>#N/A</v>
      </c>
      <c r="K28" s="518" t="e">
        <f t="shared" si="16"/>
        <v>#N/A</v>
      </c>
      <c r="L28" s="2"/>
      <c r="R28" s="490" t="s">
        <v>764</v>
      </c>
      <c r="S28" s="510">
        <f t="shared" ref="S28:X28" si="59">COUNTIF($D$120:$D$123,L$1)</f>
        <v>4</v>
      </c>
      <c r="T28" s="510">
        <f t="shared" si="59"/>
        <v>0</v>
      </c>
      <c r="U28" s="510">
        <f t="shared" si="59"/>
        <v>0</v>
      </c>
      <c r="V28" s="510">
        <f t="shared" si="59"/>
        <v>0</v>
      </c>
      <c r="W28" s="510">
        <f t="shared" si="59"/>
        <v>0</v>
      </c>
      <c r="X28" s="510">
        <f t="shared" si="59"/>
        <v>0</v>
      </c>
      <c r="Y28" s="494" t="e">
        <f t="shared" si="3"/>
        <v>#N/A</v>
      </c>
      <c r="Z28" s="494" t="e">
        <f t="shared" si="4"/>
        <v>#N/A</v>
      </c>
      <c r="AA28" s="510">
        <f t="shared" ref="AA28:AF28" si="60">COUNTIF($F$120:$F$123,L$1)</f>
        <v>0</v>
      </c>
      <c r="AB28" s="510">
        <f t="shared" si="60"/>
        <v>0</v>
      </c>
      <c r="AC28" s="510">
        <f t="shared" si="60"/>
        <v>0</v>
      </c>
      <c r="AD28" s="510">
        <f t="shared" si="60"/>
        <v>0</v>
      </c>
      <c r="AE28" s="510">
        <f t="shared" si="60"/>
        <v>0</v>
      </c>
      <c r="AF28" s="510">
        <f t="shared" si="60"/>
        <v>0</v>
      </c>
      <c r="AG28" s="494" t="e">
        <f t="shared" si="6"/>
        <v>#N/A</v>
      </c>
      <c r="AH28" s="494" t="e">
        <f t="shared" si="7"/>
        <v>#N/A</v>
      </c>
      <c r="AO28" s="521"/>
    </row>
    <row r="29" spans="1:41" ht="16">
      <c r="A29" s="450" t="str">
        <f>Raw!C30</f>
        <v>2A-4</v>
      </c>
      <c r="B29" s="451" t="str">
        <f>Raw!E30</f>
        <v xml:space="preserve">Teacher Advisory Group (TAG) </v>
      </c>
      <c r="C29" s="451"/>
      <c r="D29" s="504" t="str">
        <f t="shared" si="54"/>
        <v>unanswered</v>
      </c>
      <c r="E29" s="498"/>
      <c r="F29" s="523"/>
      <c r="G29" s="485"/>
      <c r="H29" s="237">
        <f>'2-Leadership'!I10</f>
        <v>0</v>
      </c>
      <c r="I29" s="485" t="e">
        <f>MATCH(F29,$L$1:$Q$1,0)</f>
        <v>#N/A</v>
      </c>
      <c r="J29" s="516" t="e">
        <f t="shared" si="19"/>
        <v>#N/A</v>
      </c>
      <c r="K29" s="518" t="e">
        <f t="shared" si="16"/>
        <v>#N/A</v>
      </c>
      <c r="L29" s="2"/>
      <c r="AO29" s="521"/>
    </row>
    <row r="30" spans="1:41" ht="19">
      <c r="A30" s="454" t="str">
        <f>Raw!A31</f>
        <v>Component 2B: Program Team Attributes</v>
      </c>
      <c r="B30" s="455"/>
      <c r="C30" s="455"/>
      <c r="D30" s="508"/>
      <c r="E30" s="500"/>
      <c r="F30" s="523"/>
      <c r="G30" s="441"/>
      <c r="H30" s="237"/>
      <c r="I30" s="485"/>
      <c r="J30" s="516"/>
      <c r="K30" s="518">
        <v>0</v>
      </c>
      <c r="L30" s="2"/>
      <c r="AO30" s="521"/>
    </row>
    <row r="31" spans="1:41" ht="16">
      <c r="A31" s="456" t="str">
        <f>Raw!C33</f>
        <v>2B-1</v>
      </c>
      <c r="B31" s="457" t="str">
        <f>Raw!E33</f>
        <v>Common vision among the PTE program team</v>
      </c>
      <c r="C31" s="451"/>
      <c r="D31" s="504" t="str">
        <f t="shared" si="54"/>
        <v>unanswered</v>
      </c>
      <c r="E31" s="498"/>
      <c r="F31" s="523"/>
      <c r="G31" s="485"/>
      <c r="H31" s="237">
        <f>'2-Leadership'!I19</f>
        <v>0</v>
      </c>
      <c r="I31" s="485" t="e">
        <f t="shared" ref="I31:I39" si="61">MATCH(F31,$L$1:$Q$1,0)</f>
        <v>#N/A</v>
      </c>
      <c r="J31" s="516" t="e">
        <f t="shared" si="19"/>
        <v>#N/A</v>
      </c>
      <c r="K31" s="518" t="e">
        <f t="shared" si="16"/>
        <v>#N/A</v>
      </c>
      <c r="L31" s="2"/>
      <c r="S31" s="491" t="s">
        <v>771</v>
      </c>
      <c r="T31" s="7" t="s">
        <v>772</v>
      </c>
      <c r="V31" s="7" t="s">
        <v>773</v>
      </c>
      <c r="W31" s="7" t="s">
        <v>774</v>
      </c>
      <c r="Y31" s="7" t="s">
        <v>775</v>
      </c>
      <c r="Z31" s="7" t="s">
        <v>776</v>
      </c>
      <c r="AB31" s="7" t="s">
        <v>777</v>
      </c>
      <c r="AC31" s="7" t="s">
        <v>778</v>
      </c>
      <c r="AE31" s="7" t="s">
        <v>779</v>
      </c>
      <c r="AF31" s="7" t="s">
        <v>780</v>
      </c>
      <c r="AH31" s="7" t="s">
        <v>781</v>
      </c>
      <c r="AI31" s="7" t="s">
        <v>782</v>
      </c>
      <c r="AK31" s="519" t="s">
        <v>783</v>
      </c>
      <c r="AL31" s="519" t="s">
        <v>784</v>
      </c>
      <c r="AO31" s="521"/>
    </row>
    <row r="32" spans="1:41" ht="16">
      <c r="A32" s="456" t="str">
        <f>Raw!C34</f>
        <v>2B-2</v>
      </c>
      <c r="B32" s="457" t="str">
        <f>Raw!E34</f>
        <v>Positional power</v>
      </c>
      <c r="C32" s="451"/>
      <c r="D32" s="504" t="str">
        <f t="shared" si="54"/>
        <v>unanswered</v>
      </c>
      <c r="E32" s="498"/>
      <c r="F32" s="523"/>
      <c r="G32" s="485"/>
      <c r="H32" s="237">
        <f>'2-Leadership'!I20</f>
        <v>0</v>
      </c>
      <c r="I32" s="485" t="e">
        <f t="shared" si="61"/>
        <v>#N/A</v>
      </c>
      <c r="J32" s="516" t="e">
        <f t="shared" si="19"/>
        <v>#N/A</v>
      </c>
      <c r="K32" s="518" t="e">
        <f t="shared" si="16"/>
        <v>#N/A</v>
      </c>
      <c r="L32" s="2"/>
      <c r="R32" s="7" t="s">
        <v>630</v>
      </c>
      <c r="S32" s="489" t="e">
        <f>AG3</f>
        <v>#N/A</v>
      </c>
      <c r="T32" s="489" t="e">
        <f>Y3</f>
        <v>#N/A</v>
      </c>
      <c r="U32" s="489"/>
      <c r="V32" s="489" t="e">
        <f>AG4</f>
        <v>#N/A</v>
      </c>
      <c r="W32" s="489" t="e">
        <f>Y4</f>
        <v>#N/A</v>
      </c>
      <c r="Y32" s="489" t="e">
        <f>AG8</f>
        <v>#N/A</v>
      </c>
      <c r="Z32" s="489" t="e">
        <f>Y8</f>
        <v>#N/A</v>
      </c>
      <c r="AB32" s="489" t="e">
        <f>AG12</f>
        <v>#N/A</v>
      </c>
      <c r="AC32" s="489" t="e">
        <f>Y12</f>
        <v>#N/A</v>
      </c>
      <c r="AE32" s="489" t="e">
        <f>AG17</f>
        <v>#N/A</v>
      </c>
      <c r="AF32" s="489" t="e">
        <f>Y17</f>
        <v>#N/A</v>
      </c>
      <c r="AH32" s="489" t="e">
        <f>AG21</f>
        <v>#N/A</v>
      </c>
      <c r="AI32" s="489" t="e">
        <f>Y21</f>
        <v>#N/A</v>
      </c>
      <c r="AK32" s="520" t="e">
        <f>AG25</f>
        <v>#N/A</v>
      </c>
      <c r="AL32" s="520" t="e">
        <f>Y25</f>
        <v>#N/A</v>
      </c>
      <c r="AO32" s="521"/>
    </row>
    <row r="33" spans="1:41" ht="16">
      <c r="A33" s="456" t="str">
        <f>Raw!C35</f>
        <v>2B-3</v>
      </c>
      <c r="B33" s="457" t="str">
        <f>Raw!E35</f>
        <v>Disciplinary expertise</v>
      </c>
      <c r="C33" s="451"/>
      <c r="D33" s="504" t="str">
        <f t="shared" si="54"/>
        <v>unanswered</v>
      </c>
      <c r="E33" s="498"/>
      <c r="F33" s="523"/>
      <c r="G33" s="485"/>
      <c r="H33" s="237">
        <f>'2-Leadership'!I21</f>
        <v>0</v>
      </c>
      <c r="I33" s="485" t="e">
        <f t="shared" si="61"/>
        <v>#N/A</v>
      </c>
      <c r="J33" s="516" t="e">
        <f t="shared" si="19"/>
        <v>#N/A</v>
      </c>
      <c r="K33" s="518" t="e">
        <f t="shared" si="16"/>
        <v>#N/A</v>
      </c>
      <c r="L33" s="2"/>
      <c r="R33" s="7" t="s">
        <v>631</v>
      </c>
      <c r="S33" s="489" t="e">
        <f>AH3</f>
        <v>#N/A</v>
      </c>
      <c r="T33" s="489" t="e">
        <f>Z3</f>
        <v>#N/A</v>
      </c>
      <c r="U33" s="489"/>
      <c r="V33" s="489" t="e">
        <f>AH4</f>
        <v>#N/A</v>
      </c>
      <c r="W33" s="489" t="e">
        <f>Z4</f>
        <v>#N/A</v>
      </c>
      <c r="Y33" s="489" t="e">
        <f>AH8</f>
        <v>#N/A</v>
      </c>
      <c r="Z33" s="489" t="e">
        <f>Z8</f>
        <v>#N/A</v>
      </c>
      <c r="AB33" s="489" t="e">
        <f>AH12</f>
        <v>#N/A</v>
      </c>
      <c r="AC33" s="489" t="e">
        <f>Z12</f>
        <v>#N/A</v>
      </c>
      <c r="AE33" s="489" t="e">
        <f>AH17</f>
        <v>#N/A</v>
      </c>
      <c r="AF33" s="489" t="e">
        <f>Z17</f>
        <v>#N/A</v>
      </c>
      <c r="AH33" s="489" t="e">
        <f>AH21</f>
        <v>#N/A</v>
      </c>
      <c r="AI33" s="489" t="e">
        <f>Z21</f>
        <v>#N/A</v>
      </c>
      <c r="AK33" s="520" t="e">
        <f>AH25</f>
        <v>#N/A</v>
      </c>
      <c r="AL33" s="520" t="e">
        <f>Z25</f>
        <v>#N/A</v>
      </c>
      <c r="AO33" s="521"/>
    </row>
    <row r="34" spans="1:41" ht="16">
      <c r="A34" s="456" t="str">
        <f>Raw!C36</f>
        <v>2B-4</v>
      </c>
      <c r="B34" s="457" t="str">
        <f>Raw!E36</f>
        <v>Personal motivation to improve PTE</v>
      </c>
      <c r="C34" s="451"/>
      <c r="D34" s="504" t="str">
        <f t="shared" si="54"/>
        <v>unanswered</v>
      </c>
      <c r="E34" s="498"/>
      <c r="F34" s="523"/>
      <c r="G34" s="485"/>
      <c r="H34" s="237">
        <f>'2-Leadership'!I22</f>
        <v>0</v>
      </c>
      <c r="I34" s="485" t="e">
        <f t="shared" si="61"/>
        <v>#N/A</v>
      </c>
      <c r="J34" s="516" t="e">
        <f t="shared" si="19"/>
        <v>#N/A</v>
      </c>
      <c r="K34" s="518" t="e">
        <f t="shared" si="16"/>
        <v>#N/A</v>
      </c>
      <c r="L34" s="2"/>
      <c r="AO34" s="521"/>
    </row>
    <row r="35" spans="1:41" ht="16">
      <c r="A35" s="456" t="str">
        <f>Raw!C37</f>
        <v>2B-5</v>
      </c>
      <c r="B35" s="457" t="str">
        <f>Raw!E37</f>
        <v>Integration of Teacher in Residence (TIR)</v>
      </c>
      <c r="C35" s="451"/>
      <c r="D35" s="504" t="str">
        <f t="shared" si="54"/>
        <v>unanswered</v>
      </c>
      <c r="E35" s="498"/>
      <c r="F35" s="523"/>
      <c r="G35" s="485"/>
      <c r="H35" s="237">
        <f>'2-Leadership'!I23</f>
        <v>0</v>
      </c>
      <c r="I35" s="485" t="e">
        <f t="shared" si="61"/>
        <v>#N/A</v>
      </c>
      <c r="J35" s="516" t="e">
        <f t="shared" si="19"/>
        <v>#N/A</v>
      </c>
      <c r="K35" s="518" t="e">
        <f t="shared" si="16"/>
        <v>#N/A</v>
      </c>
      <c r="L35" s="2"/>
      <c r="S35" s="491" t="s">
        <v>773</v>
      </c>
      <c r="T35" s="7" t="s">
        <v>774</v>
      </c>
      <c r="V35" s="7" t="s">
        <v>785</v>
      </c>
      <c r="W35" s="7" t="s">
        <v>786</v>
      </c>
      <c r="Y35" s="7" t="s">
        <v>787</v>
      </c>
      <c r="Z35" s="7" t="s">
        <v>788</v>
      </c>
      <c r="AB35" s="7" t="s">
        <v>789</v>
      </c>
      <c r="AC35" s="7" t="s">
        <v>790</v>
      </c>
      <c r="AO35" s="521"/>
    </row>
    <row r="36" spans="1:41" ht="16">
      <c r="A36" s="456" t="str">
        <f>Raw!C38</f>
        <v>2B-6</v>
      </c>
      <c r="B36" s="457" t="str">
        <f>Raw!E38</f>
        <v>Connections to K–12 teachers</v>
      </c>
      <c r="C36" s="451"/>
      <c r="D36" s="504" t="str">
        <f t="shared" si="54"/>
        <v>unanswered</v>
      </c>
      <c r="E36" s="498"/>
      <c r="F36" s="523"/>
      <c r="G36" s="485"/>
      <c r="H36" s="237">
        <f>'2-Leadership'!I24</f>
        <v>0</v>
      </c>
      <c r="I36" s="485" t="e">
        <f t="shared" si="61"/>
        <v>#N/A</v>
      </c>
      <c r="J36" s="516" t="e">
        <f t="shared" si="19"/>
        <v>#N/A</v>
      </c>
      <c r="K36" s="518" t="e">
        <f t="shared" si="16"/>
        <v>#N/A</v>
      </c>
      <c r="L36" s="2"/>
      <c r="R36" s="7" t="s">
        <v>630</v>
      </c>
      <c r="S36" s="489" t="e">
        <f>AG4</f>
        <v>#N/A</v>
      </c>
      <c r="T36" s="489" t="e">
        <f>Y4</f>
        <v>#N/A</v>
      </c>
      <c r="U36" s="489"/>
      <c r="V36" s="489" t="e">
        <f>AG5</f>
        <v>#N/A</v>
      </c>
      <c r="W36" s="489" t="e">
        <f>Y5</f>
        <v>#N/A</v>
      </c>
      <c r="Y36" s="489" t="e">
        <f>AG6</f>
        <v>#N/A</v>
      </c>
      <c r="Z36" s="489" t="e">
        <f>Y6</f>
        <v>#N/A</v>
      </c>
      <c r="AB36" s="489" t="e">
        <f>AG7</f>
        <v>#N/A</v>
      </c>
      <c r="AC36" s="489" t="e">
        <f>Y7</f>
        <v>#N/A</v>
      </c>
      <c r="AO36" s="521"/>
    </row>
    <row r="37" spans="1:41" ht="16">
      <c r="A37" s="456" t="str">
        <f>Raw!C39</f>
        <v>2B-7</v>
      </c>
      <c r="B37" s="457" t="str">
        <f>Raw!E39</f>
        <v>Physics Education Research (PER) expertise</v>
      </c>
      <c r="C37" s="451"/>
      <c r="D37" s="504" t="str">
        <f t="shared" si="54"/>
        <v>unanswered</v>
      </c>
      <c r="E37" s="498"/>
      <c r="F37" s="523"/>
      <c r="G37" s="485"/>
      <c r="H37" s="237">
        <f>'2-Leadership'!I25</f>
        <v>0</v>
      </c>
      <c r="I37" s="485" t="e">
        <f t="shared" si="61"/>
        <v>#N/A</v>
      </c>
      <c r="J37" s="516" t="e">
        <f t="shared" si="19"/>
        <v>#N/A</v>
      </c>
      <c r="K37" s="518" t="e">
        <f t="shared" si="16"/>
        <v>#N/A</v>
      </c>
      <c r="L37" s="2"/>
      <c r="R37" s="7" t="s">
        <v>631</v>
      </c>
      <c r="S37" s="489" t="e">
        <f>AH4</f>
        <v>#N/A</v>
      </c>
      <c r="T37" s="489" t="e">
        <f>Z4</f>
        <v>#N/A</v>
      </c>
      <c r="U37" s="489"/>
      <c r="V37" s="489" t="e">
        <f>AH5</f>
        <v>#N/A</v>
      </c>
      <c r="W37" s="489" t="e">
        <f>Z5</f>
        <v>#N/A</v>
      </c>
      <c r="Y37" s="489" t="e">
        <f>AH6</f>
        <v>#N/A</v>
      </c>
      <c r="Z37" s="489" t="e">
        <f>Z6</f>
        <v>#N/A</v>
      </c>
      <c r="AB37" s="489" t="e">
        <f>AH7</f>
        <v>#N/A</v>
      </c>
      <c r="AC37" s="489" t="e">
        <f>Z7</f>
        <v>#N/A</v>
      </c>
      <c r="AO37" s="521"/>
    </row>
    <row r="38" spans="1:41" ht="16">
      <c r="A38" s="456" t="str">
        <f>Raw!C40</f>
        <v>2B-8</v>
      </c>
      <c r="B38" s="457" t="str">
        <f>Raw!E40</f>
        <v>Professional engagement in PTE</v>
      </c>
      <c r="C38" s="451"/>
      <c r="D38" s="504" t="str">
        <f t="shared" si="54"/>
        <v>unanswered</v>
      </c>
      <c r="E38" s="498"/>
      <c r="F38" s="523"/>
      <c r="G38" s="485"/>
      <c r="H38" s="237">
        <f>'2-Leadership'!I26</f>
        <v>0</v>
      </c>
      <c r="I38" s="485" t="e">
        <f t="shared" si="61"/>
        <v>#N/A</v>
      </c>
      <c r="J38" s="516" t="e">
        <f t="shared" si="19"/>
        <v>#N/A</v>
      </c>
      <c r="K38" s="518" t="e">
        <f t="shared" si="16"/>
        <v>#N/A</v>
      </c>
      <c r="L38" s="2"/>
      <c r="AO38" s="521"/>
    </row>
    <row r="39" spans="1:41" ht="16">
      <c r="A39" s="450" t="str">
        <f>Raw!C41</f>
        <v>2B-9</v>
      </c>
      <c r="B39" s="451" t="str">
        <f>Raw!E41</f>
        <v>Reputation of PTE program team for leading change</v>
      </c>
      <c r="C39" s="451"/>
      <c r="D39" s="504" t="str">
        <f t="shared" si="54"/>
        <v>unanswered</v>
      </c>
      <c r="E39" s="498"/>
      <c r="F39" s="523"/>
      <c r="G39" s="485"/>
      <c r="H39" s="237">
        <f>'2-Leadership'!I27</f>
        <v>0</v>
      </c>
      <c r="I39" s="485" t="e">
        <f t="shared" si="61"/>
        <v>#N/A</v>
      </c>
      <c r="J39" s="516" t="e">
        <f t="shared" si="19"/>
        <v>#N/A</v>
      </c>
      <c r="K39" s="518" t="e">
        <f t="shared" si="16"/>
        <v>#N/A</v>
      </c>
      <c r="L39" s="2"/>
      <c r="S39" s="491" t="s">
        <v>775</v>
      </c>
      <c r="T39" s="7" t="s">
        <v>776</v>
      </c>
      <c r="V39" s="7" t="s">
        <v>791</v>
      </c>
      <c r="W39" s="7" t="s">
        <v>792</v>
      </c>
      <c r="Y39" s="7" t="s">
        <v>793</v>
      </c>
      <c r="Z39" s="7" t="s">
        <v>794</v>
      </c>
      <c r="AB39" s="7" t="s">
        <v>795</v>
      </c>
      <c r="AC39" s="7" t="s">
        <v>796</v>
      </c>
      <c r="AO39" s="521"/>
    </row>
    <row r="40" spans="1:41" ht="19">
      <c r="A40" s="454" t="str">
        <f>Raw!A42</f>
        <v>Component 2C: Program Collaboration</v>
      </c>
      <c r="B40" s="455"/>
      <c r="C40" s="455"/>
      <c r="D40" s="508"/>
      <c r="E40" s="500"/>
      <c r="F40" s="523"/>
      <c r="G40" s="441"/>
      <c r="H40" s="237"/>
      <c r="I40" s="485"/>
      <c r="J40" s="516"/>
      <c r="K40" s="518">
        <v>0</v>
      </c>
      <c r="L40" s="2"/>
      <c r="R40" s="7" t="s">
        <v>630</v>
      </c>
      <c r="S40" s="489" t="e">
        <f>AG8</f>
        <v>#N/A</v>
      </c>
      <c r="T40" s="489" t="e">
        <f>Y8</f>
        <v>#N/A</v>
      </c>
      <c r="U40" s="489"/>
      <c r="V40" s="489" t="e">
        <f>AG9</f>
        <v>#N/A</v>
      </c>
      <c r="W40" s="489" t="e">
        <f>Y9</f>
        <v>#N/A</v>
      </c>
      <c r="Y40" s="489" t="e">
        <f>AG10</f>
        <v>#N/A</v>
      </c>
      <c r="Z40" s="489" t="e">
        <f>Y10</f>
        <v>#N/A</v>
      </c>
      <c r="AB40" s="489" t="e">
        <f>AG11</f>
        <v>#N/A</v>
      </c>
      <c r="AC40" s="489" t="e">
        <f>Y11</f>
        <v>#N/A</v>
      </c>
      <c r="AO40" s="521"/>
    </row>
    <row r="41" spans="1:41" ht="16">
      <c r="A41" s="456" t="str">
        <f>Raw!C44</f>
        <v>2C-1</v>
      </c>
      <c r="B41" s="457" t="str">
        <f>Raw!E44</f>
        <v>Communication across units on PTE program elements</v>
      </c>
      <c r="C41" s="451"/>
      <c r="D41" s="504" t="str">
        <f t="shared" si="54"/>
        <v>unanswered</v>
      </c>
      <c r="E41" s="498"/>
      <c r="F41" s="523"/>
      <c r="G41" s="485"/>
      <c r="H41" s="237">
        <f>'2-Leadership'!I33</f>
        <v>0</v>
      </c>
      <c r="I41" s="485" t="e">
        <f t="shared" ref="I41:I48" si="62">MATCH(F41,$L$1:$Q$1,0)</f>
        <v>#N/A</v>
      </c>
      <c r="J41" s="516" t="e">
        <f t="shared" si="19"/>
        <v>#N/A</v>
      </c>
      <c r="K41" s="518" t="e">
        <f t="shared" si="16"/>
        <v>#N/A</v>
      </c>
      <c r="L41" s="2"/>
      <c r="R41" s="7" t="s">
        <v>631</v>
      </c>
      <c r="S41" s="489" t="e">
        <f>AH8</f>
        <v>#N/A</v>
      </c>
      <c r="T41" s="489" t="e">
        <f>Z8</f>
        <v>#N/A</v>
      </c>
      <c r="U41" s="489"/>
      <c r="V41" s="489" t="e">
        <f>AH9</f>
        <v>#N/A</v>
      </c>
      <c r="W41" s="489" t="e">
        <f>Z9</f>
        <v>#N/A</v>
      </c>
      <c r="Y41" s="489" t="e">
        <f>AH10</f>
        <v>#N/A</v>
      </c>
      <c r="Z41" s="489" t="e">
        <f>Z10</f>
        <v>#N/A</v>
      </c>
      <c r="AB41" s="489" t="e">
        <f>AH11</f>
        <v>#N/A</v>
      </c>
      <c r="AC41" s="489" t="e">
        <f>Z11</f>
        <v>#N/A</v>
      </c>
      <c r="AO41" s="521"/>
    </row>
    <row r="42" spans="1:41" ht="16">
      <c r="A42" s="456" t="str">
        <f>Raw!C45</f>
        <v>2C-2</v>
      </c>
      <c r="B42" s="457" t="str">
        <f>Raw!E45</f>
        <v>Negotiated roles between units</v>
      </c>
      <c r="C42" s="451"/>
      <c r="D42" s="504" t="str">
        <f t="shared" si="54"/>
        <v>unanswered</v>
      </c>
      <c r="E42" s="498"/>
      <c r="F42" s="523"/>
      <c r="G42" s="485"/>
      <c r="H42" s="237">
        <f>'2-Leadership'!I34</f>
        <v>0</v>
      </c>
      <c r="I42" s="485" t="e">
        <f t="shared" si="62"/>
        <v>#N/A</v>
      </c>
      <c r="J42" s="516" t="e">
        <f t="shared" si="19"/>
        <v>#N/A</v>
      </c>
      <c r="K42" s="518" t="e">
        <f t="shared" si="16"/>
        <v>#N/A</v>
      </c>
      <c r="L42" s="2"/>
      <c r="AO42" s="521"/>
    </row>
    <row r="43" spans="1:41" ht="16">
      <c r="A43" s="456" t="str">
        <f>Raw!C46</f>
        <v>2C-3</v>
      </c>
      <c r="B43" s="457" t="str">
        <f>Raw!E46</f>
        <v>Boundary crossers</v>
      </c>
      <c r="C43" s="451"/>
      <c r="D43" s="504" t="str">
        <f t="shared" si="54"/>
        <v>unanswered</v>
      </c>
      <c r="E43" s="498"/>
      <c r="F43" s="523"/>
      <c r="G43" s="485"/>
      <c r="H43" s="237">
        <f>'2-Leadership'!I35</f>
        <v>0</v>
      </c>
      <c r="I43" s="485" t="e">
        <f t="shared" si="62"/>
        <v>#N/A</v>
      </c>
      <c r="J43" s="516" t="e">
        <f t="shared" si="19"/>
        <v>#N/A</v>
      </c>
      <c r="K43" s="518" t="e">
        <f t="shared" si="16"/>
        <v>#N/A</v>
      </c>
      <c r="L43" s="2"/>
      <c r="S43" s="491" t="s">
        <v>777</v>
      </c>
      <c r="T43" s="7" t="s">
        <v>778</v>
      </c>
      <c r="V43" s="7" t="s">
        <v>797</v>
      </c>
      <c r="W43" s="7" t="s">
        <v>798</v>
      </c>
      <c r="Y43" s="7" t="s">
        <v>799</v>
      </c>
      <c r="Z43" s="7" t="s">
        <v>800</v>
      </c>
      <c r="AB43" s="7" t="s">
        <v>801</v>
      </c>
      <c r="AC43" s="7" t="s">
        <v>802</v>
      </c>
      <c r="AE43" s="7" t="s">
        <v>803</v>
      </c>
      <c r="AF43" s="7" t="s">
        <v>804</v>
      </c>
      <c r="AO43" s="521"/>
    </row>
    <row r="44" spans="1:41" ht="16">
      <c r="A44" s="456" t="str">
        <f>Raw!C47</f>
        <v>2C-4</v>
      </c>
      <c r="B44" s="457" t="str">
        <f>Raw!E47</f>
        <v>Collaboration with PTE mentor on student teacher placement</v>
      </c>
      <c r="C44" s="451"/>
      <c r="D44" s="504" t="str">
        <f t="shared" si="54"/>
        <v>unanswered</v>
      </c>
      <c r="E44" s="498"/>
      <c r="F44" s="523"/>
      <c r="G44" s="485"/>
      <c r="H44" s="237">
        <f>'2-Leadership'!I36</f>
        <v>0</v>
      </c>
      <c r="I44" s="485" t="e">
        <f t="shared" si="62"/>
        <v>#N/A</v>
      </c>
      <c r="J44" s="516" t="e">
        <f t="shared" si="19"/>
        <v>#N/A</v>
      </c>
      <c r="K44" s="518" t="e">
        <f t="shared" si="16"/>
        <v>#N/A</v>
      </c>
      <c r="L44" s="2"/>
      <c r="R44" s="7" t="s">
        <v>630</v>
      </c>
      <c r="S44" s="489" t="e">
        <f>AG12</f>
        <v>#N/A</v>
      </c>
      <c r="T44" s="489" t="e">
        <f>Y12</f>
        <v>#N/A</v>
      </c>
      <c r="U44" s="489"/>
      <c r="V44" s="489" t="e">
        <f>AG13</f>
        <v>#N/A</v>
      </c>
      <c r="W44" s="489" t="e">
        <f>Y13</f>
        <v>#N/A</v>
      </c>
      <c r="Y44" s="489" t="e">
        <f>AG14</f>
        <v>#N/A</v>
      </c>
      <c r="Z44" s="489" t="e">
        <f>Y14</f>
        <v>#N/A</v>
      </c>
      <c r="AB44" s="489" t="e">
        <f>AG15</f>
        <v>#N/A</v>
      </c>
      <c r="AC44" s="489" t="e">
        <f>Y15</f>
        <v>#N/A</v>
      </c>
      <c r="AE44" s="489" t="e">
        <f>AG16</f>
        <v>#N/A</v>
      </c>
      <c r="AF44" s="489" t="e">
        <f>Y16</f>
        <v>#N/A</v>
      </c>
      <c r="AO44" s="521"/>
    </row>
    <row r="45" spans="1:41" ht="16">
      <c r="A45" s="456" t="str">
        <f>Raw!C48</f>
        <v>2C-5</v>
      </c>
      <c r="B45" s="457" t="str">
        <f>Raw!E48</f>
        <v>University supervisor collaboration with PTE team</v>
      </c>
      <c r="C45" s="451"/>
      <c r="D45" s="504" t="str">
        <f t="shared" si="54"/>
        <v>unanswered</v>
      </c>
      <c r="E45" s="498"/>
      <c r="F45" s="523"/>
      <c r="G45" s="485"/>
      <c r="H45" s="237">
        <f>'2-Leadership'!I37</f>
        <v>0</v>
      </c>
      <c r="I45" s="485" t="e">
        <f t="shared" si="62"/>
        <v>#N/A</v>
      </c>
      <c r="J45" s="516" t="e">
        <f t="shared" si="19"/>
        <v>#N/A</v>
      </c>
      <c r="K45" s="518" t="e">
        <f t="shared" si="16"/>
        <v>#N/A</v>
      </c>
      <c r="L45" s="2"/>
      <c r="R45" s="7" t="s">
        <v>631</v>
      </c>
      <c r="S45" s="489" t="e">
        <f>AH12</f>
        <v>#N/A</v>
      </c>
      <c r="T45" s="489" t="e">
        <f>Z12</f>
        <v>#N/A</v>
      </c>
      <c r="U45" s="489"/>
      <c r="V45" s="489" t="e">
        <f>AH13</f>
        <v>#N/A</v>
      </c>
      <c r="W45" s="489" t="e">
        <f>Z13</f>
        <v>#N/A</v>
      </c>
      <c r="Y45" s="489" t="e">
        <f>AH14</f>
        <v>#N/A</v>
      </c>
      <c r="Z45" s="489" t="e">
        <f>Z14</f>
        <v>#N/A</v>
      </c>
      <c r="AB45" s="489" t="e">
        <f>AH15</f>
        <v>#N/A</v>
      </c>
      <c r="AC45" s="489" t="e">
        <f>Z15</f>
        <v>#N/A</v>
      </c>
      <c r="AE45" s="489" t="e">
        <f>AH16</f>
        <v>#N/A</v>
      </c>
      <c r="AF45" s="489" t="e">
        <f>Z16</f>
        <v>#N/A</v>
      </c>
      <c r="AO45" s="521"/>
    </row>
    <row r="46" spans="1:41" ht="16">
      <c r="A46" s="450" t="str">
        <f>Raw!C49</f>
        <v>2C-6</v>
      </c>
      <c r="B46" s="451" t="str">
        <f>Raw!E49</f>
        <v>Departmental representation</v>
      </c>
      <c r="C46" s="451"/>
      <c r="D46" s="504" t="str">
        <f t="shared" si="54"/>
        <v>unanswered</v>
      </c>
      <c r="E46" s="498"/>
      <c r="F46" s="523"/>
      <c r="G46" s="485"/>
      <c r="H46" s="237">
        <f>'2-Leadership'!I38</f>
        <v>0</v>
      </c>
      <c r="I46" s="485" t="e">
        <f t="shared" si="62"/>
        <v>#N/A</v>
      </c>
      <c r="J46" s="516" t="e">
        <f t="shared" si="19"/>
        <v>#N/A</v>
      </c>
      <c r="K46" s="518" t="e">
        <f t="shared" si="16"/>
        <v>#N/A</v>
      </c>
      <c r="L46" s="2"/>
      <c r="AO46" s="521"/>
    </row>
    <row r="47" spans="1:41" ht="16">
      <c r="A47" s="450" t="str">
        <f>Raw!C50</f>
        <v>2C-7</v>
      </c>
      <c r="B47" s="451" t="str">
        <f>Raw!E50</f>
        <v>Collaboration on licensure pathway for physics students</v>
      </c>
      <c r="C47" s="451"/>
      <c r="D47" s="504" t="str">
        <f t="shared" si="54"/>
        <v>unanswered</v>
      </c>
      <c r="E47" s="498"/>
      <c r="F47" s="523"/>
      <c r="G47" s="485"/>
      <c r="H47" s="237">
        <f>'2-Leadership'!I39</f>
        <v>0</v>
      </c>
      <c r="I47" s="485" t="e">
        <f t="shared" si="62"/>
        <v>#N/A</v>
      </c>
      <c r="J47" s="516" t="e">
        <f t="shared" si="19"/>
        <v>#N/A</v>
      </c>
      <c r="K47" s="518" t="e">
        <f t="shared" si="16"/>
        <v>#N/A</v>
      </c>
      <c r="L47" s="2"/>
      <c r="S47" s="491" t="s">
        <v>779</v>
      </c>
      <c r="T47" s="7" t="s">
        <v>780</v>
      </c>
      <c r="V47" s="7" t="s">
        <v>805</v>
      </c>
      <c r="W47" s="7" t="s">
        <v>806</v>
      </c>
      <c r="Y47" s="7" t="s">
        <v>807</v>
      </c>
      <c r="Z47" s="7" t="s">
        <v>808</v>
      </c>
      <c r="AB47" s="7" t="s">
        <v>809</v>
      </c>
      <c r="AC47" s="7" t="s">
        <v>810</v>
      </c>
      <c r="AO47" s="521"/>
    </row>
    <row r="48" spans="1:41" ht="16">
      <c r="A48" s="450" t="str">
        <f>Raw!C51</f>
        <v>2C-8</v>
      </c>
      <c r="B48" s="451" t="str">
        <f>Raw!E51</f>
        <v>Collaboration on advising for physics teacher candidates</v>
      </c>
      <c r="C48" s="451"/>
      <c r="D48" s="504" t="str">
        <f t="shared" si="54"/>
        <v>unanswered</v>
      </c>
      <c r="E48" s="498"/>
      <c r="F48" s="523"/>
      <c r="G48" s="485"/>
      <c r="H48" s="237">
        <f>'2-Leadership'!I40</f>
        <v>0</v>
      </c>
      <c r="I48" s="485" t="e">
        <f t="shared" si="62"/>
        <v>#N/A</v>
      </c>
      <c r="J48" s="516" t="e">
        <f t="shared" si="19"/>
        <v>#N/A</v>
      </c>
      <c r="K48" s="518" t="e">
        <f t="shared" si="16"/>
        <v>#N/A</v>
      </c>
      <c r="L48" s="2"/>
      <c r="R48" s="7" t="s">
        <v>630</v>
      </c>
      <c r="S48" s="489" t="e">
        <f>AG17</f>
        <v>#N/A</v>
      </c>
      <c r="T48" s="489" t="e">
        <f>Y17</f>
        <v>#N/A</v>
      </c>
      <c r="U48" s="489"/>
      <c r="V48" s="489" t="e">
        <f>AG18</f>
        <v>#N/A</v>
      </c>
      <c r="W48" s="489" t="e">
        <f>Y18</f>
        <v>#N/A</v>
      </c>
      <c r="Y48" s="489" t="e">
        <f>AG19</f>
        <v>#N/A</v>
      </c>
      <c r="Z48" s="489" t="e">
        <f>Y19</f>
        <v>#N/A</v>
      </c>
      <c r="AB48" s="489" t="e">
        <f>AG20</f>
        <v>#N/A</v>
      </c>
      <c r="AC48" s="489" t="e">
        <f>Y20</f>
        <v>#N/A</v>
      </c>
      <c r="AO48" s="521"/>
    </row>
    <row r="49" spans="1:41" ht="24">
      <c r="A49" s="640" t="str">
        <f>CONCATENATE(Raw!A52,": ",Raw!B52)</f>
        <v>Standard 3: Recruitment</v>
      </c>
      <c r="B49" s="640"/>
      <c r="C49" s="479"/>
      <c r="D49" s="509"/>
      <c r="E49" s="501"/>
      <c r="F49" s="523"/>
      <c r="G49" s="440"/>
      <c r="H49" s="237"/>
      <c r="I49" s="485"/>
      <c r="J49" s="516"/>
      <c r="K49" s="518">
        <v>0</v>
      </c>
      <c r="L49" s="2"/>
      <c r="R49" s="7" t="s">
        <v>631</v>
      </c>
      <c r="S49" s="489" t="e">
        <f>AH17</f>
        <v>#N/A</v>
      </c>
      <c r="T49" s="489" t="e">
        <f>Z17</f>
        <v>#N/A</v>
      </c>
      <c r="U49" s="489"/>
      <c r="V49" s="489" t="e">
        <f>AH18</f>
        <v>#N/A</v>
      </c>
      <c r="W49" s="489" t="e">
        <f>Z18</f>
        <v>#N/A</v>
      </c>
      <c r="Y49" s="489" t="e">
        <f>AH19</f>
        <v>#N/A</v>
      </c>
      <c r="Z49" s="489" t="e">
        <f>Z19</f>
        <v>#N/A</v>
      </c>
      <c r="AB49" s="489" t="e">
        <f>AH20</f>
        <v>#N/A</v>
      </c>
      <c r="AC49" s="489" t="e">
        <f>Z20</f>
        <v>#N/A</v>
      </c>
      <c r="AO49" s="521"/>
    </row>
    <row r="50" spans="1:41" ht="5.5" hidden="1" customHeight="1">
      <c r="A50" s="479"/>
      <c r="B50" s="479"/>
      <c r="C50" s="479"/>
      <c r="D50" s="509"/>
      <c r="E50" s="501"/>
      <c r="F50" s="523"/>
      <c r="G50" s="440"/>
      <c r="H50" s="237"/>
      <c r="I50" s="485" t="e">
        <f>MATCH(F50,$L$1:$Q$1,0)</f>
        <v>#N/A</v>
      </c>
      <c r="J50" s="516"/>
      <c r="K50" s="518">
        <f t="shared" si="16"/>
        <v>0</v>
      </c>
      <c r="L50" s="2"/>
      <c r="AO50" s="521"/>
    </row>
    <row r="51" spans="1:41" ht="19">
      <c r="A51" s="458" t="str">
        <f>Raw!A54</f>
        <v>Component 3A: Recruitment Opportunities</v>
      </c>
      <c r="B51" s="459"/>
      <c r="C51" s="459"/>
      <c r="D51" s="508"/>
      <c r="E51" s="500"/>
      <c r="F51" s="523"/>
      <c r="G51" s="441"/>
      <c r="H51" s="237"/>
      <c r="I51" s="485"/>
      <c r="J51" s="516"/>
      <c r="K51" s="518">
        <v>0</v>
      </c>
      <c r="L51" s="2"/>
      <c r="S51" s="491" t="s">
        <v>781</v>
      </c>
      <c r="T51" s="7" t="s">
        <v>782</v>
      </c>
      <c r="V51" s="7" t="s">
        <v>769</v>
      </c>
      <c r="W51" s="7" t="s">
        <v>819</v>
      </c>
      <c r="Y51" s="7" t="s">
        <v>818</v>
      </c>
      <c r="Z51" s="7" t="s">
        <v>815</v>
      </c>
      <c r="AB51" s="7" t="s">
        <v>812</v>
      </c>
      <c r="AC51" s="7" t="s">
        <v>811</v>
      </c>
      <c r="AO51" s="521"/>
    </row>
    <row r="52" spans="1:41" ht="16">
      <c r="A52" s="460" t="str">
        <f>Raw!C56</f>
        <v>3A-1</v>
      </c>
      <c r="B52" s="461" t="str">
        <f>Raw!E56</f>
        <v>Physics majors</v>
      </c>
      <c r="C52" s="451"/>
      <c r="D52" s="504" t="str">
        <f t="shared" ref="D52:D73" si="63">INDEX($L$1:$Q$1,1,H52+1)</f>
        <v>unanswered</v>
      </c>
      <c r="E52" s="498"/>
      <c r="F52" s="523"/>
      <c r="G52" s="485"/>
      <c r="H52" s="237">
        <f>'3-Recruitment'!I7</f>
        <v>0</v>
      </c>
      <c r="I52" s="485" t="e">
        <f>MATCH(F52,$L$1:$Q$1,0)</f>
        <v>#N/A</v>
      </c>
      <c r="J52" s="516" t="e">
        <f t="shared" si="19"/>
        <v>#N/A</v>
      </c>
      <c r="K52" s="518" t="e">
        <f t="shared" si="16"/>
        <v>#N/A</v>
      </c>
      <c r="L52" s="2"/>
      <c r="R52" s="7" t="s">
        <v>630</v>
      </c>
      <c r="S52" s="489" t="e">
        <f>AG21</f>
        <v>#N/A</v>
      </c>
      <c r="T52" s="489" t="e">
        <f>Y21</f>
        <v>#N/A</v>
      </c>
      <c r="U52" s="489"/>
      <c r="V52" s="489" t="e">
        <f>AG22</f>
        <v>#N/A</v>
      </c>
      <c r="W52" s="489" t="e">
        <f>Y22</f>
        <v>#N/A</v>
      </c>
      <c r="Y52" s="489" t="e">
        <f>AG23</f>
        <v>#N/A</v>
      </c>
      <c r="Z52" s="489" t="e">
        <f>Y23</f>
        <v>#N/A</v>
      </c>
      <c r="AB52" s="489" t="e">
        <f>AG24</f>
        <v>#N/A</v>
      </c>
      <c r="AC52" s="489" t="e">
        <f>Y24</f>
        <v>#N/A</v>
      </c>
      <c r="AO52" s="521"/>
    </row>
    <row r="53" spans="1:41" ht="16">
      <c r="A53" s="460" t="str">
        <f>Raw!C57</f>
        <v>3A-2</v>
      </c>
      <c r="B53" s="461" t="str">
        <f>Raw!E57</f>
        <v>Physics-aligned majors</v>
      </c>
      <c r="C53" s="451"/>
      <c r="D53" s="504" t="str">
        <f t="shared" si="63"/>
        <v>unanswered</v>
      </c>
      <c r="E53" s="498"/>
      <c r="F53" s="523"/>
      <c r="G53" s="485"/>
      <c r="H53" s="237">
        <f>'3-Recruitment'!I8</f>
        <v>0</v>
      </c>
      <c r="I53" s="485" t="e">
        <f>MATCH(F53,$L$1:$Q$1,0)</f>
        <v>#N/A</v>
      </c>
      <c r="J53" s="516" t="e">
        <f t="shared" si="19"/>
        <v>#N/A</v>
      </c>
      <c r="K53" s="518" t="e">
        <f t="shared" si="16"/>
        <v>#N/A</v>
      </c>
      <c r="L53" s="2"/>
      <c r="R53" s="7" t="s">
        <v>631</v>
      </c>
      <c r="S53" s="489" t="e">
        <f>AH21</f>
        <v>#N/A</v>
      </c>
      <c r="T53" s="489" t="e">
        <f>Z21</f>
        <v>#N/A</v>
      </c>
      <c r="U53" s="489"/>
      <c r="V53" s="489" t="e">
        <f>AH22</f>
        <v>#N/A</v>
      </c>
      <c r="W53" s="489" t="e">
        <f>Z22</f>
        <v>#N/A</v>
      </c>
      <c r="Y53" s="489" t="e">
        <f>AH23</f>
        <v>#N/A</v>
      </c>
      <c r="Z53" s="489" t="e">
        <f>Z23</f>
        <v>#N/A</v>
      </c>
      <c r="AB53" s="489" t="e">
        <f>AH24</f>
        <v>#N/A</v>
      </c>
      <c r="AC53" s="489" t="e">
        <f>Z24</f>
        <v>#N/A</v>
      </c>
      <c r="AO53" s="521"/>
    </row>
    <row r="54" spans="1:41" ht="16">
      <c r="A54" s="460" t="str">
        <f>Raw!C58</f>
        <v>3A-3</v>
      </c>
      <c r="B54" s="461" t="str">
        <f>Raw!E58</f>
        <v>Physics teaching advisor</v>
      </c>
      <c r="C54" s="451"/>
      <c r="D54" s="504" t="str">
        <f t="shared" si="63"/>
        <v>unanswered</v>
      </c>
      <c r="E54" s="498"/>
      <c r="F54" s="523"/>
      <c r="G54" s="485"/>
      <c r="H54" s="237">
        <f>'3-Recruitment'!I9</f>
        <v>0</v>
      </c>
      <c r="I54" s="485" t="e">
        <f>MATCH(F54,$L$1:$Q$1,0)</f>
        <v>#N/A</v>
      </c>
      <c r="J54" s="516" t="e">
        <f t="shared" si="19"/>
        <v>#N/A</v>
      </c>
      <c r="K54" s="518" t="e">
        <f t="shared" si="16"/>
        <v>#N/A</v>
      </c>
      <c r="L54" s="2"/>
      <c r="AO54" s="521"/>
    </row>
    <row r="55" spans="1:41" ht="16">
      <c r="A55" s="450" t="str">
        <f>Raw!C59</f>
        <v>3A-4</v>
      </c>
      <c r="B55" s="451" t="str">
        <f>Raw!E59</f>
        <v xml:space="preserve">Recruitment network </v>
      </c>
      <c r="C55" s="451"/>
      <c r="D55" s="504" t="str">
        <f t="shared" si="63"/>
        <v>unanswered</v>
      </c>
      <c r="E55" s="498"/>
      <c r="F55" s="523"/>
      <c r="G55" s="485"/>
      <c r="H55" s="237">
        <f>'3-Recruitment'!I10</f>
        <v>0</v>
      </c>
      <c r="I55" s="485" t="e">
        <f>MATCH(F55,$L$1:$Q$1,0)</f>
        <v>#N/A</v>
      </c>
      <c r="J55" s="516" t="e">
        <f t="shared" si="19"/>
        <v>#N/A</v>
      </c>
      <c r="K55" s="518" t="e">
        <f t="shared" si="16"/>
        <v>#N/A</v>
      </c>
      <c r="L55" s="2"/>
      <c r="S55" s="491" t="s">
        <v>783</v>
      </c>
      <c r="T55" s="7" t="s">
        <v>784</v>
      </c>
      <c r="V55" s="7" t="s">
        <v>770</v>
      </c>
      <c r="W55" s="7" t="s">
        <v>820</v>
      </c>
      <c r="Y55" s="7" t="s">
        <v>817</v>
      </c>
      <c r="Z55" s="7" t="s">
        <v>816</v>
      </c>
      <c r="AB55" s="7" t="s">
        <v>813</v>
      </c>
      <c r="AC55" s="7" t="s">
        <v>814</v>
      </c>
      <c r="AO55" s="521"/>
    </row>
    <row r="56" spans="1:41" ht="16">
      <c r="A56" s="450" t="str">
        <f>Raw!C60</f>
        <v>3A-5</v>
      </c>
      <c r="B56" s="451" t="str">
        <f>Raw!E60</f>
        <v>Program identity and reputation</v>
      </c>
      <c r="C56" s="451"/>
      <c r="D56" s="504" t="str">
        <f t="shared" si="63"/>
        <v>unanswered</v>
      </c>
      <c r="E56" s="498"/>
      <c r="F56" s="523"/>
      <c r="G56" s="485"/>
      <c r="H56" s="237">
        <f>'3-Recruitment'!I11</f>
        <v>0</v>
      </c>
      <c r="I56" s="485" t="e">
        <f>MATCH(F56,$L$1:$Q$1,0)</f>
        <v>#N/A</v>
      </c>
      <c r="J56" s="516" t="e">
        <f t="shared" si="19"/>
        <v>#N/A</v>
      </c>
      <c r="K56" s="518" t="e">
        <f t="shared" si="16"/>
        <v>#N/A</v>
      </c>
      <c r="L56" s="2"/>
      <c r="R56" s="7" t="s">
        <v>630</v>
      </c>
      <c r="S56" s="489" t="e">
        <f>AG25</f>
        <v>#N/A</v>
      </c>
      <c r="T56" s="489" t="e">
        <f>Y25</f>
        <v>#N/A</v>
      </c>
      <c r="U56" s="489"/>
      <c r="V56" s="489" t="e">
        <f>AG26</f>
        <v>#N/A</v>
      </c>
      <c r="W56" s="489" t="e">
        <f>Y26</f>
        <v>#N/A</v>
      </c>
      <c r="Y56" s="489" t="e">
        <f>AG27</f>
        <v>#N/A</v>
      </c>
      <c r="Z56" s="489" t="e">
        <f>Y27</f>
        <v>#N/A</v>
      </c>
      <c r="AB56" s="489" t="e">
        <f>AG28</f>
        <v>#N/A</v>
      </c>
      <c r="AC56" s="489" t="e">
        <f>Y28</f>
        <v>#N/A</v>
      </c>
      <c r="AO56" s="521"/>
    </row>
    <row r="57" spans="1:41" ht="19">
      <c r="A57" s="458" t="str">
        <f>Raw!A61</f>
        <v xml:space="preserve">Component 3B: Recruitment Activities </v>
      </c>
      <c r="B57" s="462"/>
      <c r="C57" s="462"/>
      <c r="D57" s="508"/>
      <c r="E57" s="500"/>
      <c r="F57" s="523"/>
      <c r="G57" s="441"/>
      <c r="H57" s="237">
        <f>'3-Recruitment'!I19</f>
        <v>0</v>
      </c>
      <c r="I57" s="485"/>
      <c r="J57" s="516"/>
      <c r="K57" s="518">
        <v>0</v>
      </c>
      <c r="L57" s="2"/>
      <c r="R57" s="7" t="s">
        <v>631</v>
      </c>
      <c r="S57" s="489" t="e">
        <f>AH25</f>
        <v>#N/A</v>
      </c>
      <c r="T57" s="489" t="e">
        <f>Z25</f>
        <v>#N/A</v>
      </c>
      <c r="U57" s="489"/>
      <c r="V57" s="489" t="e">
        <f>AH26</f>
        <v>#N/A</v>
      </c>
      <c r="W57" s="489" t="e">
        <f>Z26</f>
        <v>#N/A</v>
      </c>
      <c r="Y57" s="489" t="e">
        <f>AH27</f>
        <v>#N/A</v>
      </c>
      <c r="Z57" s="489" t="e">
        <f>Z27</f>
        <v>#N/A</v>
      </c>
      <c r="AB57" s="489" t="e">
        <f>AH28</f>
        <v>#N/A</v>
      </c>
      <c r="AC57" s="489" t="e">
        <f>Z28</f>
        <v>#N/A</v>
      </c>
      <c r="AO57" s="521"/>
    </row>
    <row r="58" spans="1:41" ht="16">
      <c r="A58" s="460" t="str">
        <f>Raw!C63</f>
        <v>3B-1</v>
      </c>
      <c r="B58" s="461" t="str">
        <f>Raw!E63</f>
        <v>Physics teaching ambassador</v>
      </c>
      <c r="C58" s="451"/>
      <c r="D58" s="504" t="str">
        <f t="shared" si="63"/>
        <v>unanswered</v>
      </c>
      <c r="E58" s="498"/>
      <c r="F58" s="523"/>
      <c r="G58" s="485"/>
      <c r="H58" s="237">
        <f>'3-Recruitment'!I19</f>
        <v>0</v>
      </c>
      <c r="I58" s="485" t="e">
        <f>MATCH(F58,$L$1:$Q$1,0)</f>
        <v>#N/A</v>
      </c>
      <c r="J58" s="516" t="e">
        <f t="shared" si="19"/>
        <v>#N/A</v>
      </c>
      <c r="K58" s="518" t="e">
        <f t="shared" si="16"/>
        <v>#N/A</v>
      </c>
      <c r="L58" s="2"/>
      <c r="AO58" s="521"/>
    </row>
    <row r="59" spans="1:41" ht="16">
      <c r="A59" s="460" t="str">
        <f>Raw!C64</f>
        <v>3B-2</v>
      </c>
      <c r="B59" s="461" t="str">
        <f>Raw!E64</f>
        <v>Accurate information about career benefits of teaching</v>
      </c>
      <c r="C59" s="451"/>
      <c r="D59" s="504" t="str">
        <f t="shared" si="63"/>
        <v>unanswered</v>
      </c>
      <c r="E59" s="498"/>
      <c r="F59" s="523"/>
      <c r="G59" s="485"/>
      <c r="H59" s="237">
        <f>'3-Recruitment'!I20</f>
        <v>0</v>
      </c>
      <c r="I59" s="485" t="e">
        <f>MATCH(F59,$L$1:$Q$1,0)</f>
        <v>#N/A</v>
      </c>
      <c r="J59" s="516" t="e">
        <f t="shared" si="19"/>
        <v>#N/A</v>
      </c>
      <c r="K59" s="518" t="e">
        <f t="shared" si="16"/>
        <v>#N/A</v>
      </c>
      <c r="L59" s="2"/>
      <c r="AO59" s="521"/>
    </row>
    <row r="60" spans="1:41" ht="16">
      <c r="A60" s="450" t="str">
        <f>Raw!C65</f>
        <v>3B-3</v>
      </c>
      <c r="B60" s="451" t="str">
        <f>Raw!E65</f>
        <v>Program promotion</v>
      </c>
      <c r="C60" s="451"/>
      <c r="D60" s="504" t="str">
        <f t="shared" si="63"/>
        <v>unanswered</v>
      </c>
      <c r="E60" s="498"/>
      <c r="F60" s="523"/>
      <c r="G60" s="485"/>
      <c r="H60" s="237">
        <f>'3-Recruitment'!I21</f>
        <v>0</v>
      </c>
      <c r="I60" s="485" t="e">
        <f>MATCH(F60,$L$1:$Q$1,0)</f>
        <v>#N/A</v>
      </c>
      <c r="J60" s="516" t="e">
        <f t="shared" si="19"/>
        <v>#N/A</v>
      </c>
      <c r="K60" s="518" t="e">
        <f t="shared" si="16"/>
        <v>#N/A</v>
      </c>
      <c r="L60" s="2"/>
      <c r="R60" s="492"/>
      <c r="S60" s="492"/>
      <c r="T60" s="492"/>
      <c r="U60" s="492" t="s">
        <v>741</v>
      </c>
      <c r="V60" s="492"/>
      <c r="W60" s="492"/>
      <c r="X60" s="492"/>
      <c r="Y60" s="492"/>
      <c r="Z60" s="492"/>
      <c r="AO60" s="521"/>
    </row>
    <row r="61" spans="1:41" ht="16">
      <c r="A61" s="450" t="str">
        <f>Raw!C66</f>
        <v>3B-4</v>
      </c>
      <c r="B61" s="451" t="str">
        <f>Raw!E66</f>
        <v>Physics faculty discuss teaching as a career option</v>
      </c>
      <c r="C61" s="451"/>
      <c r="D61" s="504" t="str">
        <f t="shared" si="63"/>
        <v>unanswered</v>
      </c>
      <c r="E61" s="498"/>
      <c r="F61" s="523"/>
      <c r="G61" s="485"/>
      <c r="H61" s="237">
        <f>'3-Recruitment'!I22</f>
        <v>0</v>
      </c>
      <c r="I61" s="485" t="e">
        <f>MATCH(F61,$L$1:$Q$1,0)</f>
        <v>#N/A</v>
      </c>
      <c r="J61" s="516" t="e">
        <f t="shared" si="19"/>
        <v>#N/A</v>
      </c>
      <c r="K61" s="518" t="e">
        <f t="shared" si="16"/>
        <v>#N/A</v>
      </c>
      <c r="L61" s="2"/>
      <c r="R61" s="492"/>
      <c r="S61" s="492"/>
      <c r="T61" s="492"/>
      <c r="U61" s="492">
        <v>1</v>
      </c>
      <c r="V61" s="492">
        <v>2</v>
      </c>
      <c r="W61" s="492">
        <v>3</v>
      </c>
      <c r="X61" s="492">
        <v>4</v>
      </c>
      <c r="Y61" s="492">
        <v>5</v>
      </c>
      <c r="Z61" s="492">
        <v>6</v>
      </c>
      <c r="AO61" s="521"/>
    </row>
    <row r="62" spans="1:41" ht="16">
      <c r="A62" s="450" t="str">
        <f>Raw!C67</f>
        <v>3B-5</v>
      </c>
      <c r="B62" s="451" t="str">
        <f>Raw!E67</f>
        <v>Physics department exposes students to diverse career options</v>
      </c>
      <c r="C62" s="451"/>
      <c r="D62" s="504" t="str">
        <f t="shared" si="63"/>
        <v>unanswered</v>
      </c>
      <c r="E62" s="498"/>
      <c r="F62" s="523"/>
      <c r="G62" s="485"/>
      <c r="H62" s="237">
        <f>'3-Recruitment'!I23</f>
        <v>0</v>
      </c>
      <c r="I62" s="485" t="e">
        <f>MATCH(F62,$L$1:$Q$1,0)</f>
        <v>#N/A</v>
      </c>
      <c r="J62" s="516" t="e">
        <f t="shared" si="19"/>
        <v>#N/A</v>
      </c>
      <c r="K62" s="518" t="e">
        <f t="shared" si="16"/>
        <v>#N/A</v>
      </c>
      <c r="L62" s="2"/>
      <c r="R62" s="492"/>
      <c r="S62" s="492"/>
      <c r="T62" s="492"/>
      <c r="U62" s="492" t="s">
        <v>821</v>
      </c>
      <c r="V62" s="492" t="s">
        <v>0</v>
      </c>
      <c r="W62" s="492" t="s">
        <v>823</v>
      </c>
      <c r="X62" s="492" t="s">
        <v>630</v>
      </c>
      <c r="Y62" s="492" t="s">
        <v>631</v>
      </c>
      <c r="Z62" s="492" t="s">
        <v>824</v>
      </c>
      <c r="AO62" s="521"/>
    </row>
    <row r="63" spans="1:41" ht="19">
      <c r="A63" s="458" t="s">
        <v>731</v>
      </c>
      <c r="B63" s="463"/>
      <c r="C63" s="463"/>
      <c r="D63" s="508"/>
      <c r="E63" s="500"/>
      <c r="F63" s="523"/>
      <c r="G63" s="441"/>
      <c r="H63" s="237"/>
      <c r="I63" s="485"/>
      <c r="J63" s="516"/>
      <c r="K63" s="518">
        <v>0</v>
      </c>
      <c r="L63" s="2"/>
      <c r="R63" s="492" t="s">
        <v>742</v>
      </c>
      <c r="S63" s="492">
        <v>1</v>
      </c>
      <c r="T63" s="492" t="s">
        <v>821</v>
      </c>
      <c r="U63" s="492" t="s">
        <v>822</v>
      </c>
      <c r="V63" s="492" t="s">
        <v>822</v>
      </c>
      <c r="W63" s="492" t="s">
        <v>822</v>
      </c>
      <c r="X63" s="492" t="s">
        <v>822</v>
      </c>
      <c r="Y63" s="492" t="s">
        <v>822</v>
      </c>
      <c r="Z63" s="492" t="s">
        <v>822</v>
      </c>
      <c r="AO63" s="521"/>
    </row>
    <row r="64" spans="1:41" ht="16">
      <c r="A64" s="460" t="str">
        <f>Raw!C70</f>
        <v>3C-1</v>
      </c>
      <c r="B64" s="461" t="str">
        <f>Raw!E70</f>
        <v>Attractiveness of early teaching experiences</v>
      </c>
      <c r="C64" s="451"/>
      <c r="D64" s="504" t="str">
        <f t="shared" si="63"/>
        <v>unanswered</v>
      </c>
      <c r="E64" s="498"/>
      <c r="F64" s="523"/>
      <c r="G64" s="485"/>
      <c r="H64" s="237">
        <f>'3-Recruitment'!I30</f>
        <v>0</v>
      </c>
      <c r="I64" s="485" t="e">
        <f>MATCH(F64,$L$1:$Q$1,0)</f>
        <v>#N/A</v>
      </c>
      <c r="J64" s="516" t="e">
        <f t="shared" si="19"/>
        <v>#N/A</v>
      </c>
      <c r="K64" s="518" t="e">
        <f t="shared" si="16"/>
        <v>#N/A</v>
      </c>
      <c r="L64" s="2"/>
      <c r="R64" s="492"/>
      <c r="S64" s="492"/>
      <c r="T64" s="492" t="s">
        <v>0</v>
      </c>
      <c r="U64" s="492" t="s">
        <v>822</v>
      </c>
      <c r="V64" s="492" t="s">
        <v>825</v>
      </c>
      <c r="W64" s="492" t="s">
        <v>826</v>
      </c>
      <c r="X64" s="492" t="s">
        <v>827</v>
      </c>
      <c r="Y64" s="492" t="s">
        <v>828</v>
      </c>
      <c r="Z64" s="492" t="s">
        <v>822</v>
      </c>
      <c r="AO64" s="521"/>
    </row>
    <row r="65" spans="1:41" ht="16">
      <c r="A65" s="460" t="str">
        <f>Raw!C71</f>
        <v>3C-2</v>
      </c>
      <c r="B65" s="461" t="str">
        <f>Raw!E71</f>
        <v>Exposure to intellectual challenge of teaching</v>
      </c>
      <c r="C65" s="451"/>
      <c r="D65" s="504" t="str">
        <f t="shared" si="63"/>
        <v>unanswered</v>
      </c>
      <c r="E65" s="498"/>
      <c r="F65" s="523"/>
      <c r="G65" s="485"/>
      <c r="H65" s="237">
        <f>'3-Recruitment'!I31</f>
        <v>0</v>
      </c>
      <c r="I65" s="485" t="e">
        <f>MATCH(F65,$L$1:$Q$1,0)</f>
        <v>#N/A</v>
      </c>
      <c r="J65" s="516" t="e">
        <f t="shared" si="19"/>
        <v>#N/A</v>
      </c>
      <c r="K65" s="518" t="e">
        <f t="shared" si="16"/>
        <v>#N/A</v>
      </c>
      <c r="L65" s="2"/>
      <c r="R65" s="492"/>
      <c r="S65" s="492">
        <v>3</v>
      </c>
      <c r="T65" s="492" t="s">
        <v>823</v>
      </c>
      <c r="U65" s="492" t="s">
        <v>822</v>
      </c>
      <c r="V65" s="492" t="s">
        <v>829</v>
      </c>
      <c r="W65" s="492" t="s">
        <v>825</v>
      </c>
      <c r="X65" s="492" t="s">
        <v>826</v>
      </c>
      <c r="Y65" s="492" t="s">
        <v>827</v>
      </c>
      <c r="Z65" s="492" t="s">
        <v>822</v>
      </c>
      <c r="AO65" s="521"/>
    </row>
    <row r="66" spans="1:41" ht="16">
      <c r="A66" s="450" t="str">
        <f>Raw!C72</f>
        <v>3C-3</v>
      </c>
      <c r="B66" s="451" t="str">
        <f>Raw!E72</f>
        <v>Availability of early teaching experiences</v>
      </c>
      <c r="C66" s="451"/>
      <c r="D66" s="504" t="str">
        <f t="shared" si="63"/>
        <v>unanswered</v>
      </c>
      <c r="E66" s="498"/>
      <c r="F66" s="523"/>
      <c r="G66" s="485"/>
      <c r="H66" s="237">
        <f>'3-Recruitment'!I32</f>
        <v>0</v>
      </c>
      <c r="I66" s="485" t="e">
        <f>MATCH(F66,$L$1:$Q$1,0)</f>
        <v>#N/A</v>
      </c>
      <c r="J66" s="516" t="e">
        <f t="shared" si="19"/>
        <v>#N/A</v>
      </c>
      <c r="K66" s="518" t="e">
        <f t="shared" si="16"/>
        <v>#N/A</v>
      </c>
      <c r="L66" s="2"/>
      <c r="R66" s="492"/>
      <c r="S66" s="492">
        <v>4</v>
      </c>
      <c r="T66" s="492" t="s">
        <v>630</v>
      </c>
      <c r="U66" s="492" t="s">
        <v>822</v>
      </c>
      <c r="V66" s="492" t="s">
        <v>830</v>
      </c>
      <c r="W66" s="492" t="s">
        <v>829</v>
      </c>
      <c r="X66" s="492" t="s">
        <v>825</v>
      </c>
      <c r="Y66" s="492" t="s">
        <v>826</v>
      </c>
      <c r="Z66" s="492" t="s">
        <v>822</v>
      </c>
      <c r="AO66" s="521"/>
    </row>
    <row r="67" spans="1:41" ht="16">
      <c r="A67" s="450" t="str">
        <f>Raw!C73</f>
        <v>3C-4</v>
      </c>
      <c r="B67" s="451" t="str">
        <f>Raw!E73</f>
        <v>Recruitment within early teaching experiences</v>
      </c>
      <c r="C67" s="451"/>
      <c r="D67" s="504" t="str">
        <f t="shared" si="63"/>
        <v>unanswered</v>
      </c>
      <c r="E67" s="498"/>
      <c r="F67" s="523"/>
      <c r="G67" s="485"/>
      <c r="H67" s="237">
        <f>'3-Recruitment'!I33</f>
        <v>0</v>
      </c>
      <c r="I67" s="485" t="e">
        <f>MATCH(F67,$L$1:$Q$1,0)</f>
        <v>#N/A</v>
      </c>
      <c r="J67" s="516" t="e">
        <f t="shared" si="19"/>
        <v>#N/A</v>
      </c>
      <c r="K67" s="518" t="e">
        <f t="shared" si="16"/>
        <v>#N/A</v>
      </c>
      <c r="L67" s="2"/>
      <c r="R67" s="492"/>
      <c r="S67" s="492">
        <v>5</v>
      </c>
      <c r="T67" s="492" t="s">
        <v>631</v>
      </c>
      <c r="U67" s="492" t="s">
        <v>822</v>
      </c>
      <c r="V67" s="492" t="s">
        <v>831</v>
      </c>
      <c r="W67" s="492" t="s">
        <v>830</v>
      </c>
      <c r="X67" s="492" t="s">
        <v>829</v>
      </c>
      <c r="Y67" s="492" t="s">
        <v>825</v>
      </c>
      <c r="Z67" s="492" t="s">
        <v>822</v>
      </c>
      <c r="AO67" s="521"/>
    </row>
    <row r="68" spans="1:41" ht="16">
      <c r="A68" s="450" t="str">
        <f>Raw!C74</f>
        <v>3C-5</v>
      </c>
      <c r="B68" s="451" t="str">
        <f>Raw!E74</f>
        <v>Exposure to K–12 teaching environments</v>
      </c>
      <c r="C68" s="451"/>
      <c r="D68" s="504" t="str">
        <f t="shared" si="63"/>
        <v>unanswered</v>
      </c>
      <c r="E68" s="498"/>
      <c r="F68" s="523"/>
      <c r="G68" s="485"/>
      <c r="H68" s="237">
        <f>'3-Recruitment'!I34</f>
        <v>0</v>
      </c>
      <c r="I68" s="485" t="e">
        <f>MATCH(F68,$L$1:$Q$1,0)</f>
        <v>#N/A</v>
      </c>
      <c r="J68" s="516" t="e">
        <f t="shared" si="19"/>
        <v>#N/A</v>
      </c>
      <c r="K68" s="518" t="e">
        <f t="shared" si="16"/>
        <v>#N/A</v>
      </c>
      <c r="L68" s="2"/>
      <c r="R68" s="492"/>
      <c r="S68" s="492">
        <v>6</v>
      </c>
      <c r="T68" s="492" t="s">
        <v>824</v>
      </c>
      <c r="U68" s="492" t="s">
        <v>822</v>
      </c>
      <c r="V68" s="492" t="s">
        <v>822</v>
      </c>
      <c r="W68" s="492" t="s">
        <v>822</v>
      </c>
      <c r="X68" s="492" t="s">
        <v>822</v>
      </c>
      <c r="Y68" s="492" t="s">
        <v>822</v>
      </c>
      <c r="Z68" s="492" t="s">
        <v>822</v>
      </c>
      <c r="AO68" s="521"/>
    </row>
    <row r="69" spans="1:41" ht="19">
      <c r="A69" s="458" t="str">
        <f>Raw!A75</f>
        <v>Component 3D: Streamlined and Accessible Program Options</v>
      </c>
      <c r="B69" s="463"/>
      <c r="C69" s="463"/>
      <c r="D69" s="508"/>
      <c r="E69" s="500"/>
      <c r="F69" s="523"/>
      <c r="G69" s="441"/>
      <c r="H69" s="237"/>
      <c r="I69" s="485"/>
      <c r="J69" s="516"/>
      <c r="K69" s="518">
        <v>0</v>
      </c>
      <c r="L69" s="2"/>
      <c r="AO69" s="521"/>
    </row>
    <row r="70" spans="1:41" ht="16">
      <c r="A70" s="460" t="str">
        <f>Raw!C77</f>
        <v>3D-1</v>
      </c>
      <c r="B70" s="461" t="str">
        <f>Raw!E77</f>
        <v>Undergraduate licensure pathway</v>
      </c>
      <c r="C70" s="451"/>
      <c r="D70" s="504" t="str">
        <f t="shared" si="63"/>
        <v>unanswered</v>
      </c>
      <c r="E70" s="498"/>
      <c r="F70" s="523"/>
      <c r="G70" s="485"/>
      <c r="H70" s="237">
        <f>'3-Recruitment'!I40</f>
        <v>0</v>
      </c>
      <c r="I70" s="485" t="e">
        <f>MATCH(F70,$L$1:$Q$1,0)</f>
        <v>#N/A</v>
      </c>
      <c r="J70" s="516" t="e">
        <f t="shared" si="19"/>
        <v>#N/A</v>
      </c>
      <c r="K70" s="518" t="e">
        <f t="shared" si="16"/>
        <v>#N/A</v>
      </c>
      <c r="L70" s="2"/>
      <c r="AO70" s="521"/>
    </row>
    <row r="71" spans="1:41" ht="16">
      <c r="A71" s="450" t="str">
        <f>Raw!C78</f>
        <v>3D-2</v>
      </c>
      <c r="B71" s="451" t="str">
        <f>Raw!E78</f>
        <v>Post-baccalaureate licensure pathway</v>
      </c>
      <c r="C71" s="451"/>
      <c r="D71" s="504" t="str">
        <f t="shared" si="63"/>
        <v>unanswered</v>
      </c>
      <c r="E71" s="498"/>
      <c r="F71" s="523"/>
      <c r="G71" s="485"/>
      <c r="H71" s="237">
        <f>'3-Recruitment'!I41</f>
        <v>0</v>
      </c>
      <c r="I71" s="485" t="e">
        <f>MATCH(F71,$L$1:$Q$1,0)</f>
        <v>#N/A</v>
      </c>
      <c r="J71" s="516" t="e">
        <f t="shared" si="19"/>
        <v>#N/A</v>
      </c>
      <c r="K71" s="518" t="e">
        <f t="shared" si="16"/>
        <v>#N/A</v>
      </c>
      <c r="L71" s="2"/>
      <c r="AO71" s="521"/>
    </row>
    <row r="72" spans="1:41" ht="16">
      <c r="A72" s="450" t="str">
        <f>Raw!C79</f>
        <v>3D-3</v>
      </c>
      <c r="B72" s="451" t="str">
        <f>Raw!E79</f>
        <v>Time to certification for physics teacher candidates</v>
      </c>
      <c r="C72" s="451"/>
      <c r="D72" s="504" t="str">
        <f t="shared" si="63"/>
        <v>unanswered</v>
      </c>
      <c r="E72" s="498"/>
      <c r="F72" s="523"/>
      <c r="G72" s="485"/>
      <c r="H72" s="237">
        <f>'3-Recruitment'!I42</f>
        <v>0</v>
      </c>
      <c r="I72" s="485" t="e">
        <f>MATCH(F72,$L$1:$Q$1,0)</f>
        <v>#N/A</v>
      </c>
      <c r="J72" s="516" t="e">
        <f t="shared" ref="J72:J123" si="64">INDEX($U$63:$Z$68,I72,H72+1)</f>
        <v>#N/A</v>
      </c>
      <c r="K72" s="518" t="e">
        <f t="shared" ref="K72:K123" si="65">IF(J72="-",0,_xlfn.NUMBERVALUE(J72))</f>
        <v>#N/A</v>
      </c>
      <c r="L72" s="2"/>
      <c r="AO72" s="521"/>
    </row>
    <row r="73" spans="1:41" ht="16">
      <c r="A73" s="450" t="str">
        <f>Raw!C80</f>
        <v>3D-4</v>
      </c>
      <c r="B73" s="451" t="str">
        <f>Raw!E80</f>
        <v>Financial support for physics teacher candidates</v>
      </c>
      <c r="C73" s="451"/>
      <c r="D73" s="504" t="str">
        <f t="shared" si="63"/>
        <v>unanswered</v>
      </c>
      <c r="E73" s="498"/>
      <c r="F73" s="523"/>
      <c r="G73" s="485"/>
      <c r="H73" s="237">
        <f>'3-Recruitment'!I43</f>
        <v>0</v>
      </c>
      <c r="I73" s="485" t="e">
        <f>MATCH(F73,$L$1:$Q$1,0)</f>
        <v>#N/A</v>
      </c>
      <c r="J73" s="516" t="e">
        <f t="shared" si="64"/>
        <v>#N/A</v>
      </c>
      <c r="K73" s="518" t="e">
        <f t="shared" si="65"/>
        <v>#N/A</v>
      </c>
      <c r="L73" s="2"/>
      <c r="AO73" s="521"/>
    </row>
    <row r="74" spans="1:41" ht="24">
      <c r="A74" s="638" t="str">
        <f>CONCATENATE(Raw!A81,": ",Raw!B81)</f>
        <v>Standard 4: Knowledge and Skills for Teaching Physics</v>
      </c>
      <c r="B74" s="638"/>
      <c r="C74" s="479"/>
      <c r="D74" s="509"/>
      <c r="E74" s="501"/>
      <c r="F74" s="523"/>
      <c r="G74" s="440"/>
      <c r="H74" s="237"/>
      <c r="I74" s="485"/>
      <c r="J74" s="516"/>
      <c r="K74" s="518">
        <v>0</v>
      </c>
      <c r="L74" s="2"/>
      <c r="AO74" s="521"/>
    </row>
    <row r="75" spans="1:41" ht="7" hidden="1" customHeight="1">
      <c r="A75" s="479"/>
      <c r="B75" s="479"/>
      <c r="C75" s="479"/>
      <c r="D75" s="509"/>
      <c r="E75" s="501"/>
      <c r="F75" s="523"/>
      <c r="G75" s="440"/>
      <c r="H75" s="237"/>
      <c r="I75" s="485" t="e">
        <f>MATCH(F75,$L$1:$Q$1,0)</f>
        <v>#N/A</v>
      </c>
      <c r="J75" s="516"/>
      <c r="K75" s="518">
        <f t="shared" si="65"/>
        <v>0</v>
      </c>
      <c r="L75" s="2"/>
      <c r="AO75" s="521"/>
    </row>
    <row r="76" spans="1:41" ht="19">
      <c r="A76" s="464" t="str">
        <f>Raw!A83</f>
        <v>Component 4A: Physics Content Knowledge</v>
      </c>
      <c r="B76" s="465"/>
      <c r="C76" s="465"/>
      <c r="D76" s="508"/>
      <c r="E76" s="500"/>
      <c r="F76" s="523"/>
      <c r="G76" s="441"/>
      <c r="H76" s="237"/>
      <c r="I76" s="485"/>
      <c r="J76" s="516"/>
      <c r="K76" s="518">
        <v>0</v>
      </c>
      <c r="L76" s="2"/>
      <c r="AO76" s="521"/>
    </row>
    <row r="77" spans="1:41" ht="16">
      <c r="A77" s="466" t="str">
        <f>Raw!C85</f>
        <v>4A-1</v>
      </c>
      <c r="B77" s="467" t="str">
        <f>Raw!E85</f>
        <v>Physics degree for physics teacher candidates</v>
      </c>
      <c r="C77" s="451"/>
      <c r="D77" s="504" t="str">
        <f t="shared" ref="D77:D90" si="66">INDEX($L$1:$Q$1,1,H77+1)</f>
        <v>unanswered</v>
      </c>
      <c r="E77" s="498"/>
      <c r="F77" s="523"/>
      <c r="G77" s="485"/>
      <c r="H77" s="237">
        <f>'4-Knowledge &amp; Skills'!I7</f>
        <v>0</v>
      </c>
      <c r="I77" s="485" t="e">
        <f>MATCH(F77,$L$1:$Q$1,0)</f>
        <v>#N/A</v>
      </c>
      <c r="J77" s="516" t="e">
        <f t="shared" si="64"/>
        <v>#N/A</v>
      </c>
      <c r="K77" s="518" t="e">
        <f t="shared" si="65"/>
        <v>#N/A</v>
      </c>
      <c r="L77" s="2"/>
      <c r="AO77" s="521"/>
    </row>
    <row r="78" spans="1:41" ht="16">
      <c r="A78" s="450" t="str">
        <f>Raw!C86</f>
        <v>4A-2</v>
      </c>
      <c r="B78" s="451" t="str">
        <f>Raw!E86</f>
        <v>Introductory physics course pedagogy</v>
      </c>
      <c r="C78" s="451"/>
      <c r="D78" s="504" t="str">
        <f t="shared" si="66"/>
        <v>unanswered</v>
      </c>
      <c r="E78" s="498"/>
      <c r="F78" s="523"/>
      <c r="G78" s="485"/>
      <c r="H78" s="237">
        <f>'4-Knowledge &amp; Skills'!I8</f>
        <v>0</v>
      </c>
      <c r="I78" s="485" t="e">
        <f>MATCH(F78,$L$1:$Q$1,0)</f>
        <v>#N/A</v>
      </c>
      <c r="J78" s="516" t="e">
        <f t="shared" si="64"/>
        <v>#N/A</v>
      </c>
      <c r="K78" s="518" t="e">
        <f t="shared" si="65"/>
        <v>#N/A</v>
      </c>
      <c r="L78" s="2"/>
      <c r="AO78" s="521"/>
    </row>
    <row r="79" spans="1:41" ht="16">
      <c r="A79" s="450" t="str">
        <f>Raw!C87</f>
        <v>4A-3</v>
      </c>
      <c r="B79" s="451" t="str">
        <f>Raw!E87</f>
        <v>Student research for teacher candidates</v>
      </c>
      <c r="C79" s="451"/>
      <c r="D79" s="504" t="str">
        <f t="shared" si="66"/>
        <v>unanswered</v>
      </c>
      <c r="E79" s="498"/>
      <c r="F79" s="523"/>
      <c r="G79" s="485"/>
      <c r="H79" s="237">
        <f>'4-Knowledge &amp; Skills'!I9</f>
        <v>0</v>
      </c>
      <c r="I79" s="485" t="e">
        <f>MATCH(F79,$L$1:$Q$1,0)</f>
        <v>#N/A</v>
      </c>
      <c r="J79" s="516" t="e">
        <f t="shared" si="64"/>
        <v>#N/A</v>
      </c>
      <c r="K79" s="518" t="e">
        <f t="shared" si="65"/>
        <v>#N/A</v>
      </c>
      <c r="L79" s="2"/>
      <c r="AO79" s="521"/>
    </row>
    <row r="80" spans="1:41" ht="19">
      <c r="A80" s="464" t="str">
        <f>Raw!A88</f>
        <v>Component 4B: Pedagogy Courses and Curriculum</v>
      </c>
      <c r="B80" s="465"/>
      <c r="C80" s="465"/>
      <c r="D80" s="508"/>
      <c r="E80" s="500"/>
      <c r="F80" s="523"/>
      <c r="G80" s="441"/>
      <c r="H80" s="237"/>
      <c r="I80" s="485"/>
      <c r="J80" s="516"/>
      <c r="K80" s="518">
        <v>0</v>
      </c>
      <c r="L80" s="2"/>
      <c r="AO80" s="521"/>
    </row>
    <row r="81" spans="1:41" ht="16">
      <c r="A81" s="450" t="str">
        <f>Raw!C90</f>
        <v>4B-1</v>
      </c>
      <c r="B81" s="451" t="str">
        <f>Raw!E90</f>
        <v>Physics pedagogy credits</v>
      </c>
      <c r="C81" s="451"/>
      <c r="D81" s="504" t="str">
        <f t="shared" si="66"/>
        <v>unanswered</v>
      </c>
      <c r="E81" s="498"/>
      <c r="F81" s="523"/>
      <c r="G81" s="485"/>
      <c r="H81" s="237">
        <f>'4-Knowledge &amp; Skills'!I17</f>
        <v>0</v>
      </c>
      <c r="I81" s="485" t="e">
        <f>MATCH(F81,$L$1:$Q$1,0)</f>
        <v>#N/A</v>
      </c>
      <c r="J81" s="516" t="e">
        <f t="shared" si="64"/>
        <v>#N/A</v>
      </c>
      <c r="K81" s="518" t="e">
        <f t="shared" si="65"/>
        <v>#N/A</v>
      </c>
      <c r="L81" s="2"/>
      <c r="AO81" s="521"/>
    </row>
    <row r="82" spans="1:41" ht="16">
      <c r="A82" s="450" t="str">
        <f>Raw!C91</f>
        <v>4B-2</v>
      </c>
      <c r="B82" s="451" t="str">
        <f>Raw!E91</f>
        <v>Scientific practices credits</v>
      </c>
      <c r="C82" s="451"/>
      <c r="D82" s="504" t="str">
        <f t="shared" si="66"/>
        <v>unanswered</v>
      </c>
      <c r="E82" s="498"/>
      <c r="F82" s="523"/>
      <c r="G82" s="485"/>
      <c r="H82" s="237">
        <f>'4-Knowledge &amp; Skills'!I18</f>
        <v>0</v>
      </c>
      <c r="I82" s="485" t="e">
        <f>MATCH(F82,$L$1:$Q$1,0)</f>
        <v>#N/A</v>
      </c>
      <c r="J82" s="516" t="e">
        <f t="shared" si="64"/>
        <v>#N/A</v>
      </c>
      <c r="K82" s="518" t="e">
        <f t="shared" si="65"/>
        <v>#N/A</v>
      </c>
      <c r="L82" s="2"/>
      <c r="AO82" s="521"/>
    </row>
    <row r="83" spans="1:41" ht="16">
      <c r="A83" s="450" t="str">
        <f>Raw!C92</f>
        <v>4B-3</v>
      </c>
      <c r="B83" s="451" t="str">
        <f>Raw!E92</f>
        <v>Disciplinary context of certification coursework</v>
      </c>
      <c r="C83" s="451"/>
      <c r="D83" s="504" t="str">
        <f t="shared" si="66"/>
        <v>unanswered</v>
      </c>
      <c r="E83" s="498"/>
      <c r="F83" s="523"/>
      <c r="G83" s="485"/>
      <c r="H83" s="237">
        <f>'4-Knowledge &amp; Skills'!I19</f>
        <v>0</v>
      </c>
      <c r="I83" s="485" t="e">
        <f>MATCH(F83,$L$1:$Q$1,0)</f>
        <v>#N/A</v>
      </c>
      <c r="J83" s="516" t="e">
        <f t="shared" si="64"/>
        <v>#N/A</v>
      </c>
      <c r="K83" s="518" t="e">
        <f t="shared" si="65"/>
        <v>#N/A</v>
      </c>
      <c r="L83" s="2"/>
      <c r="AO83" s="521"/>
    </row>
    <row r="84" spans="1:41" ht="16">
      <c r="A84" s="450" t="str">
        <f>Raw!C93</f>
        <v>4B-4</v>
      </c>
      <c r="B84" s="451" t="str">
        <f>Raw!E93</f>
        <v>Physics microteaching experiences</v>
      </c>
      <c r="C84" s="451"/>
      <c r="D84" s="504" t="str">
        <f t="shared" si="66"/>
        <v>unanswered</v>
      </c>
      <c r="E84" s="498"/>
      <c r="F84" s="523"/>
      <c r="G84" s="485"/>
      <c r="H84" s="237">
        <f>'4-Knowledge &amp; Skills'!I20</f>
        <v>0</v>
      </c>
      <c r="I84" s="485" t="e">
        <f>MATCH(F84,$L$1:$Q$1,0)</f>
        <v>#N/A</v>
      </c>
      <c r="J84" s="516" t="e">
        <f t="shared" si="64"/>
        <v>#N/A</v>
      </c>
      <c r="K84" s="518" t="e">
        <f t="shared" si="65"/>
        <v>#N/A</v>
      </c>
      <c r="L84" s="2"/>
      <c r="AO84" s="521"/>
    </row>
    <row r="85" spans="1:41" ht="16">
      <c r="A85" s="450" t="str">
        <f>Raw!C94</f>
        <v>4B-5</v>
      </c>
      <c r="B85" s="451" t="str">
        <f>Raw!E94</f>
        <v>Teaching/Learning Assistant (TA/LA) participation</v>
      </c>
      <c r="C85" s="451"/>
      <c r="D85" s="504" t="str">
        <f t="shared" si="66"/>
        <v>unanswered</v>
      </c>
      <c r="E85" s="498"/>
      <c r="F85" s="523"/>
      <c r="G85" s="485"/>
      <c r="H85" s="237">
        <f>'4-Knowledge &amp; Skills'!I21</f>
        <v>0</v>
      </c>
      <c r="I85" s="485" t="e">
        <f>MATCH(F85,$L$1:$Q$1,0)</f>
        <v>#N/A</v>
      </c>
      <c r="J85" s="516" t="e">
        <f t="shared" si="64"/>
        <v>#N/A</v>
      </c>
      <c r="K85" s="518" t="e">
        <f t="shared" si="65"/>
        <v>#N/A</v>
      </c>
      <c r="L85" s="2"/>
      <c r="AO85" s="521"/>
    </row>
    <row r="86" spans="1:41" ht="19">
      <c r="A86" s="464" t="str">
        <f>Raw!A95</f>
        <v xml:space="preserve">Component 4C: Practical K–12 School Experiences </v>
      </c>
      <c r="B86" s="468"/>
      <c r="C86" s="468"/>
      <c r="D86" s="508"/>
      <c r="E86" s="500"/>
      <c r="F86" s="523"/>
      <c r="G86" s="441"/>
      <c r="H86" s="237"/>
      <c r="I86" s="485"/>
      <c r="J86" s="516"/>
      <c r="K86" s="518">
        <v>0</v>
      </c>
      <c r="L86" s="2"/>
      <c r="AO86" s="521"/>
    </row>
    <row r="87" spans="1:41" ht="16">
      <c r="A87" s="466" t="str">
        <f>Raw!C97</f>
        <v>4C-1</v>
      </c>
      <c r="B87" s="467" t="str">
        <f>Raw!E97</f>
        <v>Number of cooperating physics teachers</v>
      </c>
      <c r="C87" s="451"/>
      <c r="D87" s="504" t="str">
        <f t="shared" si="66"/>
        <v>unanswered</v>
      </c>
      <c r="E87" s="498"/>
      <c r="F87" s="523"/>
      <c r="G87" s="485"/>
      <c r="H87" s="237">
        <f>'4-Knowledge &amp; Skills'!I31</f>
        <v>0</v>
      </c>
      <c r="I87" s="485" t="e">
        <f>MATCH(F87,$L$1:$Q$1,0)</f>
        <v>#N/A</v>
      </c>
      <c r="J87" s="516" t="e">
        <f t="shared" si="64"/>
        <v>#N/A</v>
      </c>
      <c r="K87" s="518" t="e">
        <f t="shared" si="65"/>
        <v>#N/A</v>
      </c>
      <c r="L87" s="2"/>
      <c r="AO87" s="521"/>
    </row>
    <row r="88" spans="1:41" ht="16">
      <c r="A88" s="466" t="str">
        <f>Raw!C98</f>
        <v>4C-2</v>
      </c>
      <c r="B88" s="467" t="str">
        <f>Raw!E98</f>
        <v>Quality of cooperating physics teachers</v>
      </c>
      <c r="C88" s="451"/>
      <c r="D88" s="504" t="str">
        <f t="shared" si="66"/>
        <v>unanswered</v>
      </c>
      <c r="E88" s="498"/>
      <c r="F88" s="523"/>
      <c r="G88" s="485"/>
      <c r="H88" s="237">
        <f>'4-Knowledge &amp; Skills'!I32</f>
        <v>0</v>
      </c>
      <c r="I88" s="485" t="e">
        <f>MATCH(F88,$L$1:$Q$1,0)</f>
        <v>#N/A</v>
      </c>
      <c r="J88" s="516" t="e">
        <f t="shared" si="64"/>
        <v>#N/A</v>
      </c>
      <c r="K88" s="518" t="e">
        <f t="shared" si="65"/>
        <v>#N/A</v>
      </c>
      <c r="L88" s="2"/>
      <c r="AO88" s="521"/>
    </row>
    <row r="89" spans="1:41" ht="16">
      <c r="A89" s="466" t="str">
        <f>Raw!C99</f>
        <v>4C-3</v>
      </c>
      <c r="B89" s="467" t="str">
        <f>Raw!E99</f>
        <v>Field experiences in physics</v>
      </c>
      <c r="C89" s="451"/>
      <c r="D89" s="504" t="str">
        <f t="shared" si="66"/>
        <v>unanswered</v>
      </c>
      <c r="E89" s="498"/>
      <c r="F89" s="523"/>
      <c r="G89" s="485"/>
      <c r="H89" s="237">
        <f>'4-Knowledge &amp; Skills'!I33</f>
        <v>0</v>
      </c>
      <c r="I89" s="485" t="e">
        <f>MATCH(F89,$L$1:$Q$1,0)</f>
        <v>#N/A</v>
      </c>
      <c r="J89" s="516" t="e">
        <f t="shared" si="64"/>
        <v>#N/A</v>
      </c>
      <c r="K89" s="518" t="e">
        <f t="shared" si="65"/>
        <v>#N/A</v>
      </c>
      <c r="L89" s="2"/>
      <c r="AO89" s="521"/>
    </row>
    <row r="90" spans="1:41" ht="16">
      <c r="A90" s="466" t="str">
        <f>Raw!C100</f>
        <v>4C-4</v>
      </c>
      <c r="B90" s="467" t="str">
        <f>Raw!E100</f>
        <v>Quality of university supervisor for student teaching</v>
      </c>
      <c r="C90" s="451"/>
      <c r="D90" s="504" t="str">
        <f t="shared" si="66"/>
        <v>unanswered</v>
      </c>
      <c r="E90" s="498"/>
      <c r="F90" s="523"/>
      <c r="G90" s="485"/>
      <c r="H90" s="237">
        <f>'4-Knowledge &amp; Skills'!I34</f>
        <v>0</v>
      </c>
      <c r="I90" s="485" t="e">
        <f>MATCH(F90,$L$1:$Q$1,0)</f>
        <v>#N/A</v>
      </c>
      <c r="J90" s="516" t="e">
        <f t="shared" si="64"/>
        <v>#N/A</v>
      </c>
      <c r="K90" s="518" t="e">
        <f t="shared" si="65"/>
        <v>#N/A</v>
      </c>
      <c r="L90" s="2"/>
      <c r="AO90" s="521"/>
    </row>
    <row r="91" spans="1:41" ht="24">
      <c r="A91" s="427" t="s">
        <v>743</v>
      </c>
      <c r="B91" s="373"/>
      <c r="C91" s="442"/>
      <c r="D91" s="509"/>
      <c r="E91" s="501"/>
      <c r="F91" s="523"/>
      <c r="G91" s="440"/>
      <c r="H91" s="237"/>
      <c r="I91" s="485"/>
      <c r="J91" s="516"/>
      <c r="K91" s="518">
        <v>0</v>
      </c>
      <c r="L91" s="2"/>
      <c r="AO91" s="521"/>
    </row>
    <row r="92" spans="1:41" ht="1.75" hidden="1" customHeight="1">
      <c r="A92" s="479"/>
      <c r="B92" s="442"/>
      <c r="C92" s="442"/>
      <c r="D92" s="509"/>
      <c r="E92" s="501"/>
      <c r="F92" s="523"/>
      <c r="G92" s="440"/>
      <c r="H92" s="237"/>
      <c r="I92" s="485" t="e">
        <f>MATCH(F92,$L$1:$Q$1,0)</f>
        <v>#N/A</v>
      </c>
      <c r="J92" s="516"/>
      <c r="K92" s="518">
        <f t="shared" si="65"/>
        <v>0</v>
      </c>
      <c r="L92" s="2"/>
      <c r="AO92" s="521"/>
    </row>
    <row r="93" spans="1:41" ht="19">
      <c r="A93" s="469" t="s">
        <v>729</v>
      </c>
      <c r="B93" s="470"/>
      <c r="C93" s="470"/>
      <c r="D93" s="508"/>
      <c r="E93" s="500"/>
      <c r="F93" s="523"/>
      <c r="G93" s="441"/>
      <c r="H93" s="237"/>
      <c r="I93" s="485"/>
      <c r="J93" s="516"/>
      <c r="K93" s="518">
        <v>0</v>
      </c>
      <c r="L93" s="2"/>
      <c r="AO93" s="521"/>
    </row>
    <row r="94" spans="1:41" ht="16">
      <c r="A94" s="471" t="str">
        <f>Raw!C105</f>
        <v>5A-1</v>
      </c>
      <c r="B94" s="472" t="str">
        <f>Raw!E105</f>
        <v>Student community in physics</v>
      </c>
      <c r="C94" s="451"/>
      <c r="D94" s="504" t="str">
        <f t="shared" ref="D94:D106" si="67">INDEX($L$1:$Q$1,1,H94+1)</f>
        <v>unanswered</v>
      </c>
      <c r="E94" s="498"/>
      <c r="F94" s="523"/>
      <c r="G94" s="485"/>
      <c r="H94" s="237">
        <f>'5-Mentoring'!I7</f>
        <v>0</v>
      </c>
      <c r="I94" s="485" t="e">
        <f>MATCH(F94,$L$1:$Q$1,0)</f>
        <v>#N/A</v>
      </c>
      <c r="J94" s="516" t="e">
        <f t="shared" si="64"/>
        <v>#N/A</v>
      </c>
      <c r="K94" s="518" t="e">
        <f t="shared" si="65"/>
        <v>#N/A</v>
      </c>
      <c r="L94" s="2"/>
      <c r="AO94" s="521"/>
    </row>
    <row r="95" spans="1:41" ht="16">
      <c r="A95" s="450" t="str">
        <f>Raw!C106</f>
        <v>5A-2</v>
      </c>
      <c r="B95" s="451" t="str">
        <f>Raw!E106</f>
        <v>Student advising and career mentoring in physics</v>
      </c>
      <c r="C95" s="451"/>
      <c r="D95" s="504" t="str">
        <f t="shared" si="67"/>
        <v>unanswered</v>
      </c>
      <c r="E95" s="498"/>
      <c r="F95" s="523"/>
      <c r="G95" s="485"/>
      <c r="H95" s="237">
        <f>'5-Mentoring'!I8</f>
        <v>0</v>
      </c>
      <c r="I95" s="485" t="e">
        <f>MATCH(F95,$L$1:$Q$1,0)</f>
        <v>#N/A</v>
      </c>
      <c r="J95" s="516" t="e">
        <f t="shared" si="64"/>
        <v>#N/A</v>
      </c>
      <c r="K95" s="518" t="e">
        <f t="shared" si="65"/>
        <v>#N/A</v>
      </c>
      <c r="L95" s="2"/>
      <c r="AO95" s="521"/>
    </row>
    <row r="96" spans="1:41" ht="19">
      <c r="A96" s="469" t="s">
        <v>730</v>
      </c>
      <c r="B96" s="470"/>
      <c r="C96" s="470"/>
      <c r="D96" s="508"/>
      <c r="E96" s="500"/>
      <c r="F96" s="523"/>
      <c r="G96" s="441"/>
      <c r="H96" s="237"/>
      <c r="I96" s="485"/>
      <c r="J96" s="516"/>
      <c r="K96" s="518">
        <v>0</v>
      </c>
      <c r="L96" s="2"/>
      <c r="AO96" s="521"/>
    </row>
    <row r="97" spans="1:41" ht="16">
      <c r="A97" s="471" t="str">
        <f>Raw!C109</f>
        <v>5B-1</v>
      </c>
      <c r="B97" s="472" t="str">
        <f>Raw!E109</f>
        <v>Academic advising of physics teacher candidates</v>
      </c>
      <c r="C97" s="451"/>
      <c r="D97" s="504" t="str">
        <f t="shared" si="67"/>
        <v>unanswered</v>
      </c>
      <c r="E97" s="498"/>
      <c r="F97" s="523"/>
      <c r="G97" s="485"/>
      <c r="H97" s="237">
        <f>'5-Mentoring'!I14</f>
        <v>0</v>
      </c>
      <c r="I97" s="485" t="e">
        <f>MATCH(F97,$L$1:$Q$1,0)</f>
        <v>#N/A</v>
      </c>
      <c r="J97" s="516" t="e">
        <f t="shared" si="64"/>
        <v>#N/A</v>
      </c>
      <c r="K97" s="518" t="e">
        <f t="shared" si="65"/>
        <v>#N/A</v>
      </c>
      <c r="L97" s="2"/>
      <c r="AO97" s="521"/>
    </row>
    <row r="98" spans="1:41" ht="16">
      <c r="A98" s="471" t="str">
        <f>Raw!C110</f>
        <v>5B-2</v>
      </c>
      <c r="B98" s="472" t="str">
        <f>Raw!E110</f>
        <v>PTE mentor for physics teacher candidates</v>
      </c>
      <c r="C98" s="451"/>
      <c r="D98" s="504" t="str">
        <f t="shared" si="67"/>
        <v>unanswered</v>
      </c>
      <c r="E98" s="498"/>
      <c r="F98" s="523"/>
      <c r="G98" s="485"/>
      <c r="H98" s="237">
        <f>'5-Mentoring'!I15</f>
        <v>0</v>
      </c>
      <c r="I98" s="485" t="e">
        <f>MATCH(F98,$L$1:$Q$1,0)</f>
        <v>#N/A</v>
      </c>
      <c r="J98" s="516" t="e">
        <f t="shared" si="64"/>
        <v>#N/A</v>
      </c>
      <c r="K98" s="518" t="e">
        <f t="shared" si="65"/>
        <v>#N/A</v>
      </c>
      <c r="L98" s="2"/>
      <c r="AO98" s="521"/>
    </row>
    <row r="99" spans="1:41" ht="16">
      <c r="A99" s="450" t="str">
        <f>Raw!C111</f>
        <v>5B-3</v>
      </c>
      <c r="B99" s="451" t="str">
        <f>Raw!E111</f>
        <v xml:space="preserve">Coordinated mentoring </v>
      </c>
      <c r="C99" s="451"/>
      <c r="D99" s="504" t="str">
        <f t="shared" si="67"/>
        <v>unanswered</v>
      </c>
      <c r="E99" s="498"/>
      <c r="F99" s="523"/>
      <c r="G99" s="485"/>
      <c r="H99" s="237">
        <f>'5-Mentoring'!I16</f>
        <v>0</v>
      </c>
      <c r="I99" s="485" t="e">
        <f>MATCH(F99,$L$1:$Q$1,0)</f>
        <v>#N/A</v>
      </c>
      <c r="J99" s="516" t="e">
        <f t="shared" si="64"/>
        <v>#N/A</v>
      </c>
      <c r="K99" s="518" t="e">
        <f t="shared" si="65"/>
        <v>#N/A</v>
      </c>
      <c r="L99" s="2"/>
      <c r="AO99" s="521"/>
    </row>
    <row r="100" spans="1:41" ht="16">
      <c r="A100" s="450" t="str">
        <f>Raw!C112</f>
        <v>5B-4</v>
      </c>
      <c r="B100" s="451" t="str">
        <f>Raw!E112</f>
        <v>Community of physics/STEM teacher candidates</v>
      </c>
      <c r="C100" s="451"/>
      <c r="D100" s="504" t="str">
        <f t="shared" si="67"/>
        <v>unanswered</v>
      </c>
      <c r="E100" s="498"/>
      <c r="F100" s="523"/>
      <c r="G100" s="485"/>
      <c r="H100" s="237">
        <f>'5-Mentoring'!I17</f>
        <v>0</v>
      </c>
      <c r="I100" s="485" t="e">
        <f>MATCH(F100,$L$1:$Q$1,0)</f>
        <v>#N/A</v>
      </c>
      <c r="J100" s="516" t="e">
        <f t="shared" si="64"/>
        <v>#N/A</v>
      </c>
      <c r="K100" s="518" t="e">
        <f t="shared" si="65"/>
        <v>#N/A</v>
      </c>
      <c r="L100" s="2"/>
      <c r="AO100" s="521"/>
    </row>
    <row r="101" spans="1:41" ht="16">
      <c r="A101" s="450" t="str">
        <f>Raw!C113</f>
        <v>5B-5</v>
      </c>
      <c r="B101" s="451" t="str">
        <f>Raw!E113</f>
        <v xml:space="preserve">Community with in-service teachers </v>
      </c>
      <c r="C101" s="451"/>
      <c r="D101" s="504" t="str">
        <f t="shared" si="67"/>
        <v>unanswered</v>
      </c>
      <c r="E101" s="498"/>
      <c r="F101" s="523"/>
      <c r="G101" s="485"/>
      <c r="H101" s="237">
        <f>'5-Mentoring'!I18</f>
        <v>0</v>
      </c>
      <c r="I101" s="485" t="e">
        <f>MATCH(F101,$L$1:$Q$1,0)</f>
        <v>#N/A</v>
      </c>
      <c r="J101" s="516" t="e">
        <f t="shared" si="64"/>
        <v>#N/A</v>
      </c>
      <c r="K101" s="518" t="e">
        <f t="shared" si="65"/>
        <v>#N/A</v>
      </c>
      <c r="L101" s="2"/>
      <c r="AO101" s="521"/>
    </row>
    <row r="102" spans="1:41" ht="19">
      <c r="A102" s="469" t="str">
        <f>Raw!A114</f>
        <v>Component 5C: In-service Mentoring and Professional Community</v>
      </c>
      <c r="B102" s="470"/>
      <c r="C102" s="470"/>
      <c r="D102" s="508"/>
      <c r="E102" s="500"/>
      <c r="F102" s="523"/>
      <c r="G102" s="441"/>
      <c r="H102" s="237"/>
      <c r="I102" s="485"/>
      <c r="J102" s="516"/>
      <c r="K102" s="518">
        <v>0</v>
      </c>
      <c r="L102" s="2"/>
      <c r="AO102" s="521"/>
    </row>
    <row r="103" spans="1:41" ht="16">
      <c r="A103" s="450" t="str">
        <f>Raw!C116</f>
        <v>5C-1</v>
      </c>
      <c r="B103" s="451" t="str">
        <f>Raw!E116</f>
        <v>Alumni community</v>
      </c>
      <c r="C103" s="451"/>
      <c r="D103" s="504" t="str">
        <f t="shared" si="67"/>
        <v>unanswered</v>
      </c>
      <c r="E103" s="498"/>
      <c r="F103" s="523"/>
      <c r="G103" s="485"/>
      <c r="H103" s="237">
        <f>'5-Mentoring'!I25</f>
        <v>0</v>
      </c>
      <c r="I103" s="485" t="e">
        <f>MATCH(F103,$L$1:$Q$1,0)</f>
        <v>#N/A</v>
      </c>
      <c r="J103" s="516" t="e">
        <f t="shared" si="64"/>
        <v>#N/A</v>
      </c>
      <c r="K103" s="518" t="e">
        <f t="shared" si="65"/>
        <v>#N/A</v>
      </c>
      <c r="L103" s="2"/>
      <c r="AO103" s="521"/>
    </row>
    <row r="104" spans="1:41" ht="16">
      <c r="A104" s="450" t="str">
        <f>Raw!C117</f>
        <v>5C-2</v>
      </c>
      <c r="B104" s="451" t="str">
        <f>Raw!E117</f>
        <v>Local physics teachers group</v>
      </c>
      <c r="C104" s="451"/>
      <c r="D104" s="504" t="str">
        <f t="shared" si="67"/>
        <v>unanswered</v>
      </c>
      <c r="E104" s="498"/>
      <c r="F104" s="523"/>
      <c r="G104" s="485"/>
      <c r="H104" s="237">
        <f>'5-Mentoring'!I26</f>
        <v>0</v>
      </c>
      <c r="I104" s="485" t="e">
        <f>MATCH(F104,$L$1:$Q$1,0)</f>
        <v>#N/A</v>
      </c>
      <c r="J104" s="516" t="e">
        <f t="shared" si="64"/>
        <v>#N/A</v>
      </c>
      <c r="K104" s="518" t="e">
        <f t="shared" si="65"/>
        <v>#N/A</v>
      </c>
      <c r="L104" s="2"/>
      <c r="AO104" s="521"/>
    </row>
    <row r="105" spans="1:41" ht="16">
      <c r="A105" s="450" t="str">
        <f>Raw!C118</f>
        <v>5C-3</v>
      </c>
      <c r="B105" s="451" t="str">
        <f>Raw!E118</f>
        <v>PTE mentor for beginning teachers</v>
      </c>
      <c r="C105" s="451"/>
      <c r="D105" s="504" t="str">
        <f t="shared" si="67"/>
        <v>unanswered</v>
      </c>
      <c r="E105" s="498"/>
      <c r="F105" s="523"/>
      <c r="G105" s="485"/>
      <c r="H105" s="237">
        <f>'5-Mentoring'!I27</f>
        <v>0</v>
      </c>
      <c r="I105" s="485" t="e">
        <f>MATCH(F105,$L$1:$Q$1,0)</f>
        <v>#N/A</v>
      </c>
      <c r="J105" s="516" t="e">
        <f t="shared" si="64"/>
        <v>#N/A</v>
      </c>
      <c r="K105" s="518" t="e">
        <f t="shared" si="65"/>
        <v>#N/A</v>
      </c>
      <c r="L105" s="2"/>
      <c r="AO105" s="521"/>
    </row>
    <row r="106" spans="1:41" ht="16">
      <c r="A106" s="450" t="str">
        <f>Raw!C119</f>
        <v>5C-4</v>
      </c>
      <c r="B106" s="451" t="str">
        <f>Raw!E119</f>
        <v>Professional development for in-service teachers</v>
      </c>
      <c r="C106" s="451"/>
      <c r="D106" s="504" t="str">
        <f t="shared" si="67"/>
        <v>unanswered</v>
      </c>
      <c r="E106" s="498"/>
      <c r="F106" s="523"/>
      <c r="G106" s="485"/>
      <c r="H106" s="237">
        <f>'5-Mentoring'!I28</f>
        <v>0</v>
      </c>
      <c r="I106" s="485" t="e">
        <f>MATCH(F106,$L$1:$Q$1,0)</f>
        <v>#N/A</v>
      </c>
      <c r="J106" s="516" t="e">
        <f t="shared" si="64"/>
        <v>#N/A</v>
      </c>
      <c r="K106" s="518" t="e">
        <f t="shared" si="65"/>
        <v>#N/A</v>
      </c>
      <c r="L106" s="2"/>
      <c r="AO106" s="521"/>
    </row>
    <row r="107" spans="1:41" ht="24">
      <c r="A107" s="639" t="str">
        <f>CONCATENATE(Raw!A120,": ",Raw!B120)</f>
        <v>Standard 6: Program Assessment</v>
      </c>
      <c r="B107" s="639"/>
      <c r="C107" s="479"/>
      <c r="D107" s="509"/>
      <c r="E107" s="501"/>
      <c r="F107" s="523"/>
      <c r="G107" s="440"/>
      <c r="H107" s="237"/>
      <c r="I107" s="485"/>
      <c r="J107" s="516"/>
      <c r="K107" s="518">
        <v>0</v>
      </c>
      <c r="L107" s="2"/>
      <c r="AO107" s="521"/>
    </row>
    <row r="108" spans="1:41" ht="4.5" hidden="1" customHeight="1">
      <c r="A108" s="479"/>
      <c r="B108" s="479"/>
      <c r="C108" s="479"/>
      <c r="D108" s="509"/>
      <c r="E108" s="501"/>
      <c r="F108" s="523"/>
      <c r="G108" s="440"/>
      <c r="H108" s="237"/>
      <c r="I108" s="485" t="e">
        <f>MATCH(F108,$L$1:$Q$1,0)</f>
        <v>#N/A</v>
      </c>
      <c r="J108" s="516"/>
      <c r="K108" s="518">
        <f t="shared" si="65"/>
        <v>0</v>
      </c>
      <c r="L108" s="2"/>
      <c r="AO108" s="521"/>
    </row>
    <row r="109" spans="1:41" ht="19">
      <c r="A109" s="473" t="str">
        <f>Raw!A122</f>
        <v>Component 6A: Program Outcomes</v>
      </c>
      <c r="B109" s="474"/>
      <c r="C109" s="474"/>
      <c r="D109" s="508"/>
      <c r="E109" s="500"/>
      <c r="F109" s="523"/>
      <c r="G109" s="441"/>
      <c r="H109" s="237"/>
      <c r="I109" s="485"/>
      <c r="J109" s="516"/>
      <c r="K109" s="518">
        <v>0</v>
      </c>
      <c r="L109" s="2"/>
      <c r="AO109" s="521"/>
    </row>
    <row r="110" spans="1:41" ht="16">
      <c r="A110" s="475" t="str">
        <f>Raw!C124</f>
        <v>6A-1</v>
      </c>
      <c r="B110" s="476" t="str">
        <f>Raw!E124</f>
        <v>Annual graduation from PTE program</v>
      </c>
      <c r="C110" s="451"/>
      <c r="D110" s="504" t="str">
        <f t="shared" ref="D110:D123" si="68">INDEX($L$1:$Q$1,1,H110+1)</f>
        <v>unanswered</v>
      </c>
      <c r="E110" s="498"/>
      <c r="F110" s="523"/>
      <c r="G110" s="485"/>
      <c r="H110" s="237">
        <f>'6-Assessment'!I7</f>
        <v>0</v>
      </c>
      <c r="I110" s="485" t="e">
        <f>MATCH(F110,$L$1:$Q$1,0)</f>
        <v>#N/A</v>
      </c>
      <c r="J110" s="516" t="e">
        <f t="shared" si="64"/>
        <v>#N/A</v>
      </c>
      <c r="K110" s="518" t="e">
        <f t="shared" si="65"/>
        <v>#N/A</v>
      </c>
      <c r="L110" s="2"/>
      <c r="AO110" s="521"/>
    </row>
    <row r="111" spans="1:41" ht="16">
      <c r="A111" s="475" t="str">
        <f>Raw!C125</f>
        <v>6A-2</v>
      </c>
      <c r="B111" s="476" t="str">
        <f>Raw!E125</f>
        <v>Annual recruitment in PTE program</v>
      </c>
      <c r="C111" s="451"/>
      <c r="D111" s="504" t="str">
        <f t="shared" si="68"/>
        <v>unanswered</v>
      </c>
      <c r="E111" s="498"/>
      <c r="F111" s="523"/>
      <c r="G111" s="485"/>
      <c r="H111" s="237">
        <f>'6-Assessment'!I8</f>
        <v>0</v>
      </c>
      <c r="I111" s="485" t="e">
        <f>MATCH(F111,$L$1:$Q$1,0)</f>
        <v>#N/A</v>
      </c>
      <c r="J111" s="516" t="e">
        <f t="shared" si="64"/>
        <v>#N/A</v>
      </c>
      <c r="K111" s="518" t="e">
        <f t="shared" si="65"/>
        <v>#N/A</v>
      </c>
      <c r="L111" s="2"/>
      <c r="AO111" s="521"/>
    </row>
    <row r="112" spans="1:41" ht="16">
      <c r="A112" s="450" t="str">
        <f>Raw!C126</f>
        <v>6A-3</v>
      </c>
      <c r="B112" s="451" t="str">
        <f>Raw!E126</f>
        <v>Diversity of physics teacher candidates</v>
      </c>
      <c r="C112" s="451"/>
      <c r="D112" s="504" t="str">
        <f t="shared" si="68"/>
        <v>unanswered</v>
      </c>
      <c r="E112" s="498"/>
      <c r="F112" s="523"/>
      <c r="G112" s="485"/>
      <c r="H112" s="237">
        <f>'6-Assessment'!I9</f>
        <v>0</v>
      </c>
      <c r="I112" s="485" t="e">
        <f>MATCH(F112,$L$1:$Q$1,0)</f>
        <v>#N/A</v>
      </c>
      <c r="J112" s="516" t="e">
        <f t="shared" si="64"/>
        <v>#N/A</v>
      </c>
      <c r="K112" s="518" t="e">
        <f t="shared" si="65"/>
        <v>#N/A</v>
      </c>
      <c r="L112" s="2"/>
      <c r="AO112" s="521"/>
    </row>
    <row r="113" spans="1:41" ht="16">
      <c r="A113" s="450" t="str">
        <f>Raw!C127</f>
        <v>6A-4</v>
      </c>
      <c r="B113" s="451" t="str">
        <f>Raw!E127</f>
        <v>Career persistence</v>
      </c>
      <c r="C113" s="451"/>
      <c r="D113" s="504" t="str">
        <f t="shared" si="68"/>
        <v>unanswered</v>
      </c>
      <c r="E113" s="498"/>
      <c r="F113" s="523"/>
      <c r="G113" s="485"/>
      <c r="H113" s="237">
        <f>'6-Assessment'!I10</f>
        <v>0</v>
      </c>
      <c r="I113" s="485" t="e">
        <f>MATCH(F113,$L$1:$Q$1,0)</f>
        <v>#N/A</v>
      </c>
      <c r="J113" s="516" t="e">
        <f t="shared" si="64"/>
        <v>#N/A</v>
      </c>
      <c r="K113" s="518" t="e">
        <f t="shared" si="65"/>
        <v>#N/A</v>
      </c>
      <c r="L113" s="2"/>
      <c r="AO113" s="521"/>
    </row>
    <row r="114" spans="1:41" ht="19">
      <c r="A114" s="473" t="str">
        <f>Raw!A128</f>
        <v>Component 6B: Program Evaluation and Improvement</v>
      </c>
      <c r="B114" s="477"/>
      <c r="C114" s="477"/>
      <c r="D114" s="508"/>
      <c r="E114" s="500"/>
      <c r="F114" s="523"/>
      <c r="G114" s="441"/>
      <c r="H114" s="237"/>
      <c r="I114" s="485"/>
      <c r="J114" s="516"/>
      <c r="K114" s="518">
        <v>0</v>
      </c>
      <c r="L114" s="2"/>
      <c r="AO114" s="521"/>
    </row>
    <row r="115" spans="1:41" ht="16">
      <c r="A115" s="475" t="str">
        <f>Raw!C130</f>
        <v>6B-1</v>
      </c>
      <c r="B115" s="476" t="str">
        <f>Raw!E130</f>
        <v>Tracking program metrics</v>
      </c>
      <c r="C115" s="451"/>
      <c r="D115" s="504" t="str">
        <f t="shared" si="68"/>
        <v>unanswered</v>
      </c>
      <c r="E115" s="498"/>
      <c r="F115" s="523"/>
      <c r="G115" s="485"/>
      <c r="H115" s="237">
        <f>'6-Assessment'!I16</f>
        <v>0</v>
      </c>
      <c r="I115" s="485" t="e">
        <f>MATCH(F115,$L$1:$Q$1,0)</f>
        <v>#N/A</v>
      </c>
      <c r="J115" s="516" t="e">
        <f t="shared" si="64"/>
        <v>#N/A</v>
      </c>
      <c r="K115" s="518" t="e">
        <f t="shared" si="65"/>
        <v>#N/A</v>
      </c>
      <c r="L115" s="2"/>
      <c r="AO115" s="521"/>
    </row>
    <row r="116" spans="1:41" ht="16">
      <c r="A116" s="475" t="str">
        <f>Raw!C131</f>
        <v>6B-2</v>
      </c>
      <c r="B116" s="476" t="str">
        <f>Raw!E131</f>
        <v>Feedback from stakeholders</v>
      </c>
      <c r="C116" s="451"/>
      <c r="D116" s="504" t="str">
        <f t="shared" si="68"/>
        <v>unanswered</v>
      </c>
      <c r="E116" s="498"/>
      <c r="F116" s="523"/>
      <c r="G116" s="485"/>
      <c r="H116" s="237">
        <f>'6-Assessment'!I17</f>
        <v>0</v>
      </c>
      <c r="I116" s="485" t="e">
        <f>MATCH(F116,$L$1:$Q$1,0)</f>
        <v>#N/A</v>
      </c>
      <c r="J116" s="516" t="e">
        <f t="shared" si="64"/>
        <v>#N/A</v>
      </c>
      <c r="K116" s="518" t="e">
        <f t="shared" si="65"/>
        <v>#N/A</v>
      </c>
      <c r="L116" s="2"/>
      <c r="AO116" s="521"/>
    </row>
    <row r="117" spans="1:41" ht="16">
      <c r="A117" s="450" t="str">
        <f>Raw!C132</f>
        <v>6B-3</v>
      </c>
      <c r="B117" s="451" t="str">
        <f>Raw!E132</f>
        <v>Assessing learning outcomes for physics teacher candidates</v>
      </c>
      <c r="C117" s="451"/>
      <c r="D117" s="504" t="str">
        <f t="shared" si="68"/>
        <v>unanswered</v>
      </c>
      <c r="E117" s="498"/>
      <c r="F117" s="523"/>
      <c r="G117" s="485"/>
      <c r="H117" s="237">
        <f>'6-Assessment'!I18</f>
        <v>0</v>
      </c>
      <c r="I117" s="485" t="e">
        <f>MATCH(F117,$L$1:$Q$1,0)</f>
        <v>#N/A</v>
      </c>
      <c r="J117" s="516" t="e">
        <f t="shared" si="64"/>
        <v>#N/A</v>
      </c>
      <c r="K117" s="518" t="e">
        <f t="shared" si="65"/>
        <v>#N/A</v>
      </c>
      <c r="L117" s="2"/>
      <c r="AO117" s="521"/>
    </row>
    <row r="118" spans="1:41" ht="16">
      <c r="A118" s="450" t="str">
        <f>Raw!C133</f>
        <v>6B-4</v>
      </c>
      <c r="B118" s="451" t="str">
        <f>Raw!E133</f>
        <v>Program improvement from feedback and program data</v>
      </c>
      <c r="C118" s="451"/>
      <c r="D118" s="504" t="str">
        <f t="shared" si="68"/>
        <v>unanswered</v>
      </c>
      <c r="E118" s="498"/>
      <c r="F118" s="523"/>
      <c r="G118" s="485"/>
      <c r="H118" s="237">
        <f>'6-Assessment'!I19</f>
        <v>0</v>
      </c>
      <c r="I118" s="485" t="e">
        <f>MATCH(F118,$L$1:$Q$1,0)</f>
        <v>#N/A</v>
      </c>
      <c r="J118" s="516" t="e">
        <f t="shared" si="64"/>
        <v>#N/A</v>
      </c>
      <c r="K118" s="518" t="e">
        <f t="shared" si="65"/>
        <v>#N/A</v>
      </c>
      <c r="L118" s="237"/>
      <c r="AO118" s="521"/>
    </row>
    <row r="119" spans="1:41" ht="19">
      <c r="A119" s="473" t="str">
        <f>Raw!A134</f>
        <v>Component 6C: Communication to Stakeholders</v>
      </c>
      <c r="B119" s="478"/>
      <c r="C119" s="478"/>
      <c r="D119" s="508"/>
      <c r="E119" s="500"/>
      <c r="F119" s="523"/>
      <c r="G119" s="441"/>
      <c r="H119" s="237"/>
      <c r="I119" s="485"/>
      <c r="J119" s="516"/>
      <c r="K119" s="518">
        <v>0</v>
      </c>
      <c r="AO119" s="521"/>
    </row>
    <row r="120" spans="1:41" ht="16">
      <c r="A120" s="475" t="str">
        <f>Raw!C136</f>
        <v>6C-1</v>
      </c>
      <c r="B120" s="476" t="str">
        <f>Raw!E136</f>
        <v>Communication within the university</v>
      </c>
      <c r="C120" s="451"/>
      <c r="D120" s="504" t="str">
        <f t="shared" si="68"/>
        <v>unanswered</v>
      </c>
      <c r="E120" s="498"/>
      <c r="F120" s="523"/>
      <c r="G120" s="485"/>
      <c r="H120" s="237">
        <f>'6-Assessment'!I28</f>
        <v>0</v>
      </c>
      <c r="I120" s="485" t="e">
        <f>MATCH(F120,$L$1:$Q$1,0)</f>
        <v>#N/A</v>
      </c>
      <c r="J120" s="516" t="e">
        <f t="shared" si="64"/>
        <v>#N/A</v>
      </c>
      <c r="K120" s="518" t="e">
        <f t="shared" si="65"/>
        <v>#N/A</v>
      </c>
      <c r="AO120" s="521"/>
    </row>
    <row r="121" spans="1:41" ht="16">
      <c r="A121" s="475" t="str">
        <f>Raw!C137</f>
        <v>6C-2</v>
      </c>
      <c r="B121" s="476" t="str">
        <f>Raw!E137</f>
        <v>Communication with university administrators</v>
      </c>
      <c r="C121" s="451"/>
      <c r="D121" s="504" t="str">
        <f t="shared" si="68"/>
        <v>unanswered</v>
      </c>
      <c r="E121" s="498"/>
      <c r="F121" s="523"/>
      <c r="G121" s="485"/>
      <c r="H121" s="237">
        <f>'6-Assessment'!I29</f>
        <v>0</v>
      </c>
      <c r="I121" s="485" t="e">
        <f>MATCH(F121,$L$1:$Q$1,0)</f>
        <v>#N/A</v>
      </c>
      <c r="J121" s="516" t="e">
        <f t="shared" si="64"/>
        <v>#N/A</v>
      </c>
      <c r="K121" s="518" t="e">
        <f t="shared" si="65"/>
        <v>#N/A</v>
      </c>
      <c r="AO121" s="521"/>
    </row>
    <row r="122" spans="1:41" ht="16">
      <c r="A122" s="450" t="str">
        <f>Raw!C138</f>
        <v>6C-3</v>
      </c>
      <c r="B122" s="451" t="str">
        <f>Raw!E138</f>
        <v>Publicity and advocacy</v>
      </c>
      <c r="C122" s="451"/>
      <c r="D122" s="504" t="str">
        <f t="shared" si="68"/>
        <v>unanswered</v>
      </c>
      <c r="E122" s="498"/>
      <c r="F122" s="523"/>
      <c r="G122" s="485"/>
      <c r="H122" s="237">
        <f>'6-Assessment'!I30</f>
        <v>0</v>
      </c>
      <c r="I122" s="485" t="e">
        <f>MATCH(F122,$L$1:$Q$1,0)</f>
        <v>#N/A</v>
      </c>
      <c r="J122" s="516" t="e">
        <f t="shared" si="64"/>
        <v>#N/A</v>
      </c>
      <c r="K122" s="518" t="e">
        <f t="shared" si="65"/>
        <v>#N/A</v>
      </c>
      <c r="AO122" s="521"/>
    </row>
    <row r="123" spans="1:41" ht="16">
      <c r="A123" s="450" t="str">
        <f>Raw!C139</f>
        <v>6C-4</v>
      </c>
      <c r="B123" s="451" t="str">
        <f>Raw!E139</f>
        <v>Scholarly work</v>
      </c>
      <c r="C123" s="451"/>
      <c r="D123" s="504" t="str">
        <f t="shared" si="68"/>
        <v>unanswered</v>
      </c>
      <c r="E123" s="498"/>
      <c r="F123" s="523"/>
      <c r="G123" s="485"/>
      <c r="H123" s="237">
        <f>'6-Assessment'!I31</f>
        <v>0</v>
      </c>
      <c r="I123" s="485" t="e">
        <f>MATCH(F123,$L$1:$Q$1,0)</f>
        <v>#N/A</v>
      </c>
      <c r="J123" s="516" t="e">
        <f t="shared" si="64"/>
        <v>#N/A</v>
      </c>
      <c r="K123" s="518" t="e">
        <f t="shared" si="65"/>
        <v>#N/A</v>
      </c>
      <c r="AO123" s="521"/>
    </row>
    <row r="124" spans="1:41" s="239" customFormat="1">
      <c r="A124" s="485"/>
      <c r="B124" s="4"/>
      <c r="C124" s="4"/>
      <c r="D124" s="504"/>
      <c r="E124" s="504"/>
      <c r="F124" s="504"/>
      <c r="G124" s="485"/>
      <c r="H124" s="12"/>
      <c r="I124" s="12"/>
      <c r="J124" s="98"/>
      <c r="K124" s="269"/>
      <c r="M124" s="7"/>
      <c r="N124" s="7"/>
      <c r="O124" s="7"/>
      <c r="P124" s="7"/>
      <c r="Q124" s="7"/>
      <c r="R124" s="7"/>
      <c r="S124" s="7"/>
      <c r="T124" s="7"/>
      <c r="U124" s="7"/>
      <c r="V124" s="7"/>
      <c r="W124" s="7"/>
      <c r="X124" s="7"/>
      <c r="Y124" s="489"/>
      <c r="Z124" s="489"/>
      <c r="AA124" s="7"/>
      <c r="AB124" s="7"/>
      <c r="AC124" s="7"/>
      <c r="AD124" s="7"/>
      <c r="AE124" s="7"/>
      <c r="AF124" s="7"/>
      <c r="AG124" s="489"/>
      <c r="AH124" s="489"/>
      <c r="AI124" s="7"/>
      <c r="AJ124" s="519"/>
      <c r="AK124" s="519"/>
      <c r="AL124" s="519"/>
      <c r="AM124" s="519"/>
      <c r="AN124" s="519"/>
      <c r="AO124" s="521"/>
    </row>
    <row r="125" spans="1:41" s="239" customFormat="1" ht="16" thickBot="1">
      <c r="A125" s="485"/>
      <c r="B125" s="4"/>
      <c r="C125" s="4"/>
      <c r="D125" s="504"/>
      <c r="E125" s="504"/>
      <c r="F125" s="504"/>
      <c r="G125" s="485"/>
      <c r="H125" s="12"/>
      <c r="I125" s="12"/>
      <c r="J125" s="98"/>
      <c r="K125" s="269"/>
      <c r="M125" s="7"/>
      <c r="N125" s="7"/>
      <c r="O125" s="7"/>
      <c r="P125" s="7"/>
      <c r="Q125" s="7"/>
      <c r="R125" s="7"/>
      <c r="S125" s="7"/>
      <c r="T125" s="7"/>
      <c r="U125" s="7"/>
      <c r="V125" s="7"/>
      <c r="W125" s="7"/>
      <c r="X125" s="7"/>
      <c r="Y125" s="489"/>
      <c r="Z125" s="489"/>
      <c r="AA125" s="7"/>
      <c r="AB125" s="7"/>
      <c r="AC125" s="7"/>
      <c r="AD125" s="7"/>
      <c r="AE125" s="7"/>
      <c r="AF125" s="7"/>
      <c r="AG125" s="489"/>
      <c r="AH125" s="489"/>
      <c r="AI125" s="7"/>
      <c r="AJ125" s="519"/>
      <c r="AK125" s="519"/>
      <c r="AL125" s="519"/>
      <c r="AM125" s="519"/>
      <c r="AN125" s="519"/>
      <c r="AO125" s="519"/>
    </row>
    <row r="126" spans="1:41" s="239" customFormat="1" ht="25" thickBot="1">
      <c r="A126" s="2"/>
      <c r="B126" s="2"/>
      <c r="C126" s="2"/>
      <c r="D126" s="511" t="s">
        <v>833</v>
      </c>
      <c r="E126" s="512"/>
      <c r="F126" s="513"/>
      <c r="G126" s="514"/>
      <c r="H126" s="515"/>
      <c r="I126" s="515"/>
      <c r="J126" s="517" t="e">
        <f>SUM(K7:K123)</f>
        <v>#N/A</v>
      </c>
      <c r="K126" s="269"/>
      <c r="M126" s="7"/>
      <c r="N126" s="7"/>
      <c r="O126" s="7"/>
      <c r="P126" s="7"/>
      <c r="Q126" s="7"/>
      <c r="R126" s="7"/>
      <c r="S126" s="7"/>
      <c r="T126" s="7"/>
      <c r="U126" s="7"/>
      <c r="V126" s="7"/>
      <c r="W126" s="7"/>
      <c r="X126" s="7"/>
      <c r="Y126" s="489"/>
      <c r="Z126" s="489"/>
      <c r="AA126" s="7"/>
      <c r="AB126" s="7"/>
      <c r="AC126" s="7"/>
      <c r="AD126" s="7"/>
      <c r="AE126" s="7"/>
      <c r="AF126" s="7"/>
      <c r="AG126" s="489"/>
      <c r="AH126" s="489"/>
      <c r="AI126" s="7"/>
      <c r="AJ126" s="519"/>
      <c r="AK126" s="519"/>
      <c r="AL126" s="519"/>
      <c r="AM126" s="519"/>
      <c r="AN126" s="519"/>
      <c r="AO126" s="519"/>
    </row>
    <row r="127" spans="1:41" s="239" customFormat="1">
      <c r="A127" s="2"/>
      <c r="B127" s="2"/>
      <c r="C127" s="2"/>
      <c r="D127" s="504"/>
      <c r="E127" s="504"/>
      <c r="F127" s="504"/>
      <c r="G127" s="485"/>
      <c r="H127" s="12"/>
      <c r="I127" s="12"/>
      <c r="J127" s="98"/>
      <c r="K127" s="269"/>
      <c r="M127" s="7"/>
      <c r="N127" s="7"/>
      <c r="O127" s="7"/>
      <c r="P127" s="7"/>
      <c r="Q127" s="7"/>
      <c r="R127" s="7"/>
      <c r="S127" s="7"/>
      <c r="T127" s="7"/>
      <c r="U127" s="7"/>
      <c r="V127" s="7"/>
      <c r="W127" s="7"/>
      <c r="X127" s="7"/>
      <c r="Y127" s="489"/>
      <c r="Z127" s="489"/>
      <c r="AA127" s="7"/>
      <c r="AB127" s="7"/>
      <c r="AC127" s="7"/>
      <c r="AD127" s="7"/>
      <c r="AE127" s="7"/>
      <c r="AF127" s="7"/>
      <c r="AG127" s="489"/>
      <c r="AH127" s="489"/>
      <c r="AI127" s="7"/>
      <c r="AJ127" s="519"/>
      <c r="AK127" s="519"/>
      <c r="AL127" s="519"/>
      <c r="AM127" s="519"/>
      <c r="AN127" s="519"/>
      <c r="AO127" s="519"/>
    </row>
    <row r="128" spans="1:41" s="239" customFormat="1">
      <c r="A128" s="2"/>
      <c r="B128" s="2"/>
      <c r="C128" s="2"/>
      <c r="D128" s="504"/>
      <c r="E128" s="504"/>
      <c r="F128" s="504"/>
      <c r="G128" s="485"/>
      <c r="H128" s="12"/>
      <c r="I128" s="12"/>
      <c r="J128" s="98"/>
      <c r="K128" s="269"/>
      <c r="M128" s="7"/>
      <c r="N128" s="7"/>
      <c r="O128" s="7"/>
      <c r="P128" s="7"/>
      <c r="Q128" s="7"/>
      <c r="R128" s="7"/>
      <c r="S128" s="7"/>
      <c r="T128" s="7"/>
      <c r="U128" s="7"/>
      <c r="V128" s="7"/>
      <c r="W128" s="7"/>
      <c r="X128" s="7"/>
      <c r="Y128" s="489"/>
      <c r="Z128" s="489"/>
      <c r="AA128" s="7"/>
      <c r="AB128" s="7"/>
      <c r="AC128" s="7"/>
      <c r="AD128" s="7"/>
      <c r="AE128" s="7"/>
      <c r="AF128" s="7"/>
      <c r="AG128" s="489"/>
      <c r="AH128" s="489"/>
      <c r="AI128" s="7"/>
      <c r="AJ128" s="519"/>
      <c r="AK128" s="519"/>
      <c r="AL128" s="519"/>
      <c r="AM128" s="519"/>
      <c r="AN128" s="519"/>
      <c r="AO128" s="519"/>
    </row>
    <row r="129" spans="1:41" s="239" customFormat="1">
      <c r="A129" s="2"/>
      <c r="B129" s="2"/>
      <c r="C129" s="2"/>
      <c r="D129" s="504"/>
      <c r="E129" s="504"/>
      <c r="F129" s="504"/>
      <c r="G129" s="485"/>
      <c r="H129" s="12"/>
      <c r="I129" s="12"/>
      <c r="J129" s="98"/>
      <c r="K129" s="269"/>
      <c r="M129" s="7"/>
      <c r="N129" s="7"/>
      <c r="O129" s="7"/>
      <c r="P129" s="7"/>
      <c r="Q129" s="7"/>
      <c r="R129" s="7"/>
      <c r="S129" s="7"/>
      <c r="T129" s="7"/>
      <c r="U129" s="7"/>
      <c r="V129" s="7"/>
      <c r="W129" s="7"/>
      <c r="X129" s="7"/>
      <c r="Y129" s="489"/>
      <c r="Z129" s="489"/>
      <c r="AA129" s="7"/>
      <c r="AB129" s="7"/>
      <c r="AC129" s="7"/>
      <c r="AD129" s="7"/>
      <c r="AE129" s="7"/>
      <c r="AF129" s="7"/>
      <c r="AG129" s="489"/>
      <c r="AH129" s="489"/>
      <c r="AI129" s="7"/>
      <c r="AJ129" s="519"/>
      <c r="AK129" s="519"/>
      <c r="AL129" s="519"/>
      <c r="AM129" s="519"/>
      <c r="AN129" s="519"/>
      <c r="AO129" s="519"/>
    </row>
    <row r="130" spans="1:41" s="239" customFormat="1">
      <c r="D130" s="504"/>
      <c r="E130" s="504"/>
      <c r="F130" s="504"/>
      <c r="G130" s="485"/>
      <c r="H130" s="12"/>
      <c r="I130" s="12"/>
      <c r="J130" s="98"/>
      <c r="K130" s="269"/>
      <c r="M130" s="7"/>
      <c r="N130" s="7"/>
      <c r="O130" s="7"/>
      <c r="P130" s="7"/>
      <c r="Q130" s="7"/>
      <c r="R130" s="7"/>
      <c r="S130" s="7"/>
      <c r="T130" s="7"/>
      <c r="U130" s="7"/>
      <c r="V130" s="7"/>
      <c r="W130" s="7"/>
      <c r="X130" s="7"/>
      <c r="Y130" s="489"/>
      <c r="Z130" s="489"/>
      <c r="AA130" s="7"/>
      <c r="AB130" s="7"/>
      <c r="AC130" s="7"/>
      <c r="AD130" s="7"/>
      <c r="AE130" s="7"/>
      <c r="AF130" s="7"/>
      <c r="AG130" s="489"/>
      <c r="AH130" s="489"/>
      <c r="AI130" s="7"/>
      <c r="AJ130" s="519"/>
      <c r="AK130" s="519"/>
      <c r="AL130" s="519"/>
      <c r="AM130" s="519"/>
      <c r="AN130" s="519"/>
      <c r="AO130" s="519"/>
    </row>
    <row r="131" spans="1:41" s="239" customFormat="1">
      <c r="D131" s="504"/>
      <c r="E131" s="504"/>
      <c r="F131" s="504"/>
      <c r="G131" s="485"/>
      <c r="H131" s="12"/>
      <c r="I131" s="12"/>
      <c r="J131" s="98"/>
      <c r="K131" s="269"/>
      <c r="M131" s="7"/>
      <c r="N131" s="7"/>
      <c r="O131" s="7"/>
      <c r="P131" s="7"/>
      <c r="Q131" s="7"/>
      <c r="R131" s="7"/>
      <c r="S131" s="7"/>
      <c r="T131" s="7"/>
      <c r="U131" s="7"/>
      <c r="V131" s="7"/>
      <c r="W131" s="7"/>
      <c r="X131" s="7"/>
      <c r="Y131" s="489"/>
      <c r="Z131" s="489"/>
      <c r="AA131" s="7"/>
      <c r="AB131" s="7"/>
      <c r="AC131" s="7"/>
      <c r="AD131" s="7"/>
      <c r="AE131" s="7"/>
      <c r="AF131" s="7"/>
      <c r="AG131" s="489"/>
      <c r="AH131" s="489"/>
      <c r="AI131" s="7"/>
      <c r="AJ131" s="519"/>
      <c r="AK131" s="519"/>
      <c r="AL131" s="519"/>
      <c r="AM131" s="519"/>
      <c r="AN131" s="519"/>
      <c r="AO131" s="519"/>
    </row>
    <row r="132" spans="1:41" s="239" customFormat="1">
      <c r="D132" s="504"/>
      <c r="E132" s="504"/>
      <c r="F132" s="504"/>
      <c r="G132" s="485"/>
      <c r="H132" s="12"/>
      <c r="I132" s="12"/>
      <c r="J132" s="98"/>
      <c r="K132" s="269"/>
      <c r="M132" s="7"/>
      <c r="N132" s="7"/>
      <c r="O132" s="7"/>
      <c r="P132" s="7"/>
      <c r="Q132" s="7"/>
      <c r="R132" s="7"/>
      <c r="S132" s="7"/>
      <c r="T132" s="7"/>
      <c r="U132" s="7"/>
      <c r="V132" s="7"/>
      <c r="W132" s="7"/>
      <c r="X132" s="7"/>
      <c r="Y132" s="489"/>
      <c r="Z132" s="489"/>
      <c r="AA132" s="7"/>
      <c r="AB132" s="7"/>
      <c r="AC132" s="7"/>
      <c r="AD132" s="7"/>
      <c r="AE132" s="7"/>
      <c r="AF132" s="7"/>
      <c r="AG132" s="489"/>
      <c r="AH132" s="489"/>
      <c r="AI132" s="7"/>
      <c r="AJ132" s="519"/>
      <c r="AK132" s="519"/>
      <c r="AL132" s="519"/>
      <c r="AM132" s="519"/>
      <c r="AN132" s="519"/>
      <c r="AO132" s="519"/>
    </row>
    <row r="133" spans="1:41" s="239" customFormat="1">
      <c r="D133" s="504"/>
      <c r="E133" s="504"/>
      <c r="F133" s="504"/>
      <c r="G133" s="485"/>
      <c r="H133" s="12"/>
      <c r="I133" s="12"/>
      <c r="J133" s="98"/>
      <c r="K133" s="269"/>
      <c r="M133" s="7"/>
      <c r="N133" s="7"/>
      <c r="O133" s="7"/>
      <c r="P133" s="7"/>
      <c r="Q133" s="7"/>
      <c r="R133" s="7"/>
      <c r="S133" s="7"/>
      <c r="T133" s="7"/>
      <c r="U133" s="7"/>
      <c r="V133" s="7"/>
      <c r="W133" s="7"/>
      <c r="X133" s="7"/>
      <c r="Y133" s="489"/>
      <c r="Z133" s="489"/>
      <c r="AA133" s="7"/>
      <c r="AB133" s="7"/>
      <c r="AC133" s="7"/>
      <c r="AD133" s="7"/>
      <c r="AE133" s="7"/>
      <c r="AF133" s="7"/>
      <c r="AG133" s="489"/>
      <c r="AH133" s="489"/>
      <c r="AI133" s="7"/>
      <c r="AJ133" s="519"/>
      <c r="AK133" s="519"/>
      <c r="AL133" s="519"/>
      <c r="AM133" s="519"/>
      <c r="AN133" s="519"/>
      <c r="AO133" s="519"/>
    </row>
    <row r="134" spans="1:41" s="239" customFormat="1">
      <c r="D134" s="504"/>
      <c r="E134" s="504"/>
      <c r="F134" s="504"/>
      <c r="G134" s="485"/>
      <c r="H134" s="12"/>
      <c r="I134" s="12"/>
      <c r="J134" s="98"/>
      <c r="K134" s="269"/>
      <c r="M134" s="7"/>
      <c r="N134" s="7"/>
      <c r="O134" s="7"/>
      <c r="P134" s="7"/>
      <c r="Q134" s="7"/>
      <c r="R134" s="7"/>
      <c r="S134" s="7"/>
      <c r="T134" s="7"/>
      <c r="U134" s="7"/>
      <c r="V134" s="7"/>
      <c r="W134" s="7"/>
      <c r="X134" s="7"/>
      <c r="Y134" s="489"/>
      <c r="Z134" s="489"/>
      <c r="AA134" s="7"/>
      <c r="AB134" s="7"/>
      <c r="AC134" s="7"/>
      <c r="AD134" s="7"/>
      <c r="AE134" s="7"/>
      <c r="AF134" s="7"/>
      <c r="AG134" s="489"/>
      <c r="AH134" s="489"/>
      <c r="AI134" s="7"/>
      <c r="AJ134" s="519"/>
      <c r="AK134" s="519"/>
      <c r="AL134" s="519"/>
      <c r="AM134" s="519"/>
      <c r="AN134" s="519"/>
      <c r="AO134" s="519"/>
    </row>
    <row r="135" spans="1:41" s="239" customFormat="1">
      <c r="D135" s="504"/>
      <c r="E135" s="504"/>
      <c r="F135" s="504"/>
      <c r="G135" s="485"/>
      <c r="H135" s="12"/>
      <c r="I135" s="12"/>
      <c r="J135" s="98"/>
      <c r="K135" s="269"/>
      <c r="M135" s="7"/>
      <c r="N135" s="7"/>
      <c r="O135" s="7"/>
      <c r="P135" s="7"/>
      <c r="Q135" s="7"/>
      <c r="R135" s="7"/>
      <c r="S135" s="7"/>
      <c r="T135" s="7"/>
      <c r="U135" s="7"/>
      <c r="V135" s="7"/>
      <c r="W135" s="7"/>
      <c r="X135" s="7"/>
      <c r="Y135" s="489"/>
      <c r="Z135" s="489"/>
      <c r="AA135" s="7"/>
      <c r="AB135" s="7"/>
      <c r="AC135" s="7"/>
      <c r="AD135" s="7"/>
      <c r="AE135" s="7"/>
      <c r="AF135" s="7"/>
      <c r="AG135" s="489"/>
      <c r="AH135" s="489"/>
      <c r="AI135" s="7"/>
      <c r="AJ135" s="519"/>
      <c r="AK135" s="519"/>
      <c r="AL135" s="519"/>
      <c r="AM135" s="519"/>
      <c r="AN135" s="519"/>
      <c r="AO135" s="519"/>
    </row>
    <row r="136" spans="1:41" s="239" customFormat="1">
      <c r="D136" s="504"/>
      <c r="E136" s="504"/>
      <c r="F136" s="504"/>
      <c r="G136" s="485"/>
      <c r="H136" s="12"/>
      <c r="I136" s="12"/>
      <c r="J136" s="98"/>
      <c r="K136" s="269"/>
      <c r="M136" s="7"/>
      <c r="N136" s="7"/>
      <c r="O136" s="7"/>
      <c r="P136" s="7"/>
      <c r="Q136" s="7"/>
      <c r="R136" s="7"/>
      <c r="S136" s="7"/>
      <c r="T136" s="7"/>
      <c r="U136" s="7"/>
      <c r="V136" s="7"/>
      <c r="W136" s="7"/>
      <c r="X136" s="7"/>
      <c r="Y136" s="489"/>
      <c r="Z136" s="489"/>
      <c r="AA136" s="7"/>
      <c r="AB136" s="7"/>
      <c r="AC136" s="7"/>
      <c r="AD136" s="7"/>
      <c r="AE136" s="7"/>
      <c r="AF136" s="7"/>
      <c r="AG136" s="489"/>
      <c r="AH136" s="489"/>
      <c r="AI136" s="7"/>
      <c r="AJ136" s="519"/>
      <c r="AK136" s="519"/>
      <c r="AL136" s="519"/>
      <c r="AM136" s="519"/>
      <c r="AN136" s="519"/>
      <c r="AO136" s="519"/>
    </row>
    <row r="137" spans="1:41" s="239" customFormat="1">
      <c r="D137" s="504"/>
      <c r="E137" s="504"/>
      <c r="F137" s="504"/>
      <c r="G137" s="485"/>
      <c r="H137" s="12"/>
      <c r="I137" s="12"/>
      <c r="J137" s="98"/>
      <c r="K137" s="269"/>
      <c r="M137" s="7"/>
      <c r="N137" s="7"/>
      <c r="O137" s="7"/>
      <c r="P137" s="7"/>
      <c r="Q137" s="7"/>
      <c r="R137" s="7"/>
      <c r="S137" s="7"/>
      <c r="T137" s="7"/>
      <c r="U137" s="7"/>
      <c r="V137" s="7"/>
      <c r="W137" s="7"/>
      <c r="X137" s="7"/>
      <c r="Y137" s="489"/>
      <c r="Z137" s="489"/>
      <c r="AA137" s="7"/>
      <c r="AB137" s="7"/>
      <c r="AC137" s="7"/>
      <c r="AD137" s="7"/>
      <c r="AE137" s="7"/>
      <c r="AF137" s="7"/>
      <c r="AG137" s="489"/>
      <c r="AH137" s="489"/>
      <c r="AI137" s="7"/>
      <c r="AJ137" s="519"/>
      <c r="AK137" s="519"/>
      <c r="AL137" s="519"/>
      <c r="AM137" s="519"/>
      <c r="AN137" s="519"/>
      <c r="AO137" s="519"/>
    </row>
    <row r="138" spans="1:41" s="239" customFormat="1">
      <c r="D138" s="504"/>
      <c r="E138" s="504"/>
      <c r="F138" s="504"/>
      <c r="G138" s="485"/>
      <c r="H138" s="12"/>
      <c r="I138" s="12"/>
      <c r="J138" s="98"/>
      <c r="K138" s="269"/>
      <c r="M138" s="7"/>
      <c r="N138" s="7"/>
      <c r="O138" s="7"/>
      <c r="P138" s="7"/>
      <c r="Q138" s="7"/>
      <c r="R138" s="7"/>
      <c r="S138" s="7"/>
      <c r="T138" s="7"/>
      <c r="U138" s="7"/>
      <c r="V138" s="7"/>
      <c r="W138" s="7"/>
      <c r="X138" s="7"/>
      <c r="Y138" s="489"/>
      <c r="Z138" s="489"/>
      <c r="AA138" s="7"/>
      <c r="AB138" s="7"/>
      <c r="AC138" s="7"/>
      <c r="AD138" s="7"/>
      <c r="AE138" s="7"/>
      <c r="AF138" s="7"/>
      <c r="AG138" s="489"/>
      <c r="AH138" s="489"/>
      <c r="AI138" s="7"/>
      <c r="AJ138" s="519"/>
      <c r="AK138" s="519"/>
      <c r="AL138" s="519"/>
      <c r="AM138" s="519"/>
      <c r="AN138" s="519"/>
      <c r="AO138" s="519"/>
    </row>
    <row r="139" spans="1:41" s="239" customFormat="1">
      <c r="D139" s="504"/>
      <c r="E139" s="504"/>
      <c r="F139" s="504"/>
      <c r="G139" s="485"/>
      <c r="H139" s="12"/>
      <c r="I139" s="12"/>
      <c r="J139" s="98"/>
      <c r="K139" s="269"/>
      <c r="M139" s="7"/>
      <c r="N139" s="7"/>
      <c r="O139" s="7"/>
      <c r="P139" s="7"/>
      <c r="Q139" s="7"/>
      <c r="R139" s="7"/>
      <c r="S139" s="7"/>
      <c r="T139" s="7"/>
      <c r="U139" s="7"/>
      <c r="V139" s="7"/>
      <c r="W139" s="7"/>
      <c r="X139" s="7"/>
      <c r="Y139" s="489"/>
      <c r="Z139" s="489"/>
      <c r="AA139" s="7"/>
      <c r="AB139" s="7"/>
      <c r="AC139" s="7"/>
      <c r="AD139" s="7"/>
      <c r="AE139" s="7"/>
      <c r="AF139" s="7"/>
      <c r="AG139" s="489"/>
      <c r="AH139" s="489"/>
      <c r="AI139" s="7"/>
      <c r="AJ139" s="519"/>
      <c r="AK139" s="519"/>
      <c r="AL139" s="519"/>
      <c r="AM139" s="519"/>
      <c r="AN139" s="519"/>
      <c r="AO139" s="519"/>
    </row>
    <row r="140" spans="1:41" s="239" customFormat="1">
      <c r="D140" s="504"/>
      <c r="E140" s="504"/>
      <c r="F140" s="504"/>
      <c r="G140" s="485"/>
      <c r="H140" s="12"/>
      <c r="I140" s="12"/>
      <c r="J140" s="98"/>
      <c r="K140" s="269"/>
      <c r="M140" s="7"/>
      <c r="N140" s="7"/>
      <c r="O140" s="7"/>
      <c r="P140" s="7"/>
      <c r="Q140" s="7"/>
      <c r="R140" s="7"/>
      <c r="S140" s="7"/>
      <c r="T140" s="7"/>
      <c r="U140" s="7"/>
      <c r="V140" s="7"/>
      <c r="W140" s="7"/>
      <c r="X140" s="7"/>
      <c r="Y140" s="489"/>
      <c r="Z140" s="489"/>
      <c r="AA140" s="7"/>
      <c r="AB140" s="7"/>
      <c r="AC140" s="7"/>
      <c r="AD140" s="7"/>
      <c r="AE140" s="7"/>
      <c r="AF140" s="7"/>
      <c r="AG140" s="489"/>
      <c r="AH140" s="489"/>
      <c r="AI140" s="7"/>
      <c r="AJ140" s="519"/>
      <c r="AK140" s="519"/>
      <c r="AL140" s="519"/>
      <c r="AM140" s="519"/>
      <c r="AN140" s="519"/>
      <c r="AO140" s="519"/>
    </row>
    <row r="141" spans="1:41" s="239" customFormat="1">
      <c r="D141" s="504"/>
      <c r="E141" s="504"/>
      <c r="F141" s="504"/>
      <c r="G141" s="485"/>
      <c r="H141" s="12"/>
      <c r="I141" s="12"/>
      <c r="J141" s="98"/>
      <c r="K141" s="269"/>
      <c r="M141" s="7"/>
      <c r="N141" s="7"/>
      <c r="O141" s="7"/>
      <c r="P141" s="7"/>
      <c r="Q141" s="7"/>
      <c r="R141" s="7"/>
      <c r="S141" s="7"/>
      <c r="T141" s="7"/>
      <c r="U141" s="7"/>
      <c r="V141" s="7"/>
      <c r="W141" s="7"/>
      <c r="X141" s="7"/>
      <c r="Y141" s="489"/>
      <c r="Z141" s="489"/>
      <c r="AA141" s="7"/>
      <c r="AB141" s="7"/>
      <c r="AC141" s="7"/>
      <c r="AD141" s="7"/>
      <c r="AE141" s="7"/>
      <c r="AF141" s="7"/>
      <c r="AG141" s="489"/>
      <c r="AH141" s="489"/>
      <c r="AI141" s="7"/>
      <c r="AJ141" s="519"/>
      <c r="AK141" s="519"/>
      <c r="AL141" s="519"/>
      <c r="AM141" s="519"/>
      <c r="AN141" s="519"/>
      <c r="AO141" s="519"/>
    </row>
    <row r="142" spans="1:41" s="239" customFormat="1">
      <c r="D142" s="504"/>
      <c r="E142" s="504"/>
      <c r="F142" s="504"/>
      <c r="G142" s="485"/>
      <c r="H142" s="12"/>
      <c r="I142" s="12"/>
      <c r="J142" s="98"/>
      <c r="K142" s="269"/>
      <c r="M142" s="7"/>
      <c r="N142" s="7"/>
      <c r="O142" s="7"/>
      <c r="P142" s="7"/>
      <c r="Q142" s="7"/>
      <c r="R142" s="7"/>
      <c r="S142" s="7"/>
      <c r="T142" s="7"/>
      <c r="U142" s="7"/>
      <c r="V142" s="7"/>
      <c r="W142" s="7"/>
      <c r="X142" s="7"/>
      <c r="Y142" s="489"/>
      <c r="Z142" s="489"/>
      <c r="AA142" s="7"/>
      <c r="AB142" s="7"/>
      <c r="AC142" s="7"/>
      <c r="AD142" s="7"/>
      <c r="AE142" s="7"/>
      <c r="AF142" s="7"/>
      <c r="AG142" s="489"/>
      <c r="AH142" s="489"/>
      <c r="AI142" s="7"/>
      <c r="AJ142" s="519"/>
      <c r="AK142" s="519"/>
      <c r="AL142" s="519"/>
      <c r="AM142" s="519"/>
      <c r="AN142" s="519"/>
      <c r="AO142" s="519"/>
    </row>
    <row r="143" spans="1:41" s="239" customFormat="1">
      <c r="D143" s="504"/>
      <c r="E143" s="504"/>
      <c r="F143" s="504"/>
      <c r="G143" s="485"/>
      <c r="H143" s="12"/>
      <c r="I143" s="12"/>
      <c r="J143" s="98"/>
      <c r="K143" s="269"/>
      <c r="M143" s="7"/>
      <c r="N143" s="7"/>
      <c r="O143" s="7"/>
      <c r="P143" s="7"/>
      <c r="Q143" s="7"/>
      <c r="R143" s="7"/>
      <c r="S143" s="7"/>
      <c r="T143" s="7"/>
      <c r="U143" s="7"/>
      <c r="V143" s="7"/>
      <c r="W143" s="7"/>
      <c r="X143" s="7"/>
      <c r="Y143" s="489"/>
      <c r="Z143" s="489"/>
      <c r="AA143" s="7"/>
      <c r="AB143" s="7"/>
      <c r="AC143" s="7"/>
      <c r="AD143" s="7"/>
      <c r="AE143" s="7"/>
      <c r="AF143" s="7"/>
      <c r="AG143" s="489"/>
      <c r="AH143" s="489"/>
      <c r="AI143" s="7"/>
      <c r="AJ143" s="519"/>
      <c r="AK143" s="519"/>
      <c r="AL143" s="519"/>
      <c r="AM143" s="519"/>
      <c r="AN143" s="519"/>
      <c r="AO143" s="519"/>
    </row>
    <row r="144" spans="1:41" s="239" customFormat="1">
      <c r="D144" s="504"/>
      <c r="E144" s="504"/>
      <c r="F144" s="504"/>
      <c r="G144" s="485"/>
      <c r="H144" s="12"/>
      <c r="I144" s="12"/>
      <c r="J144" s="98"/>
      <c r="K144" s="269"/>
      <c r="M144" s="7"/>
      <c r="N144" s="7"/>
      <c r="O144" s="7"/>
      <c r="P144" s="7"/>
      <c r="Q144" s="7"/>
      <c r="R144" s="7"/>
      <c r="S144" s="7"/>
      <c r="T144" s="7"/>
      <c r="U144" s="7"/>
      <c r="V144" s="7"/>
      <c r="W144" s="7"/>
      <c r="X144" s="7"/>
      <c r="Y144" s="489"/>
      <c r="Z144" s="489"/>
      <c r="AA144" s="7"/>
      <c r="AB144" s="7"/>
      <c r="AC144" s="7"/>
      <c r="AD144" s="7"/>
      <c r="AE144" s="7"/>
      <c r="AF144" s="7"/>
      <c r="AG144" s="489"/>
      <c r="AH144" s="489"/>
      <c r="AI144" s="7"/>
      <c r="AJ144" s="519"/>
      <c r="AK144" s="519"/>
      <c r="AL144" s="519"/>
      <c r="AM144" s="519"/>
      <c r="AN144" s="519"/>
      <c r="AO144" s="519"/>
    </row>
    <row r="145" spans="1:41" s="239" customFormat="1">
      <c r="D145" s="504"/>
      <c r="E145" s="504"/>
      <c r="F145" s="504"/>
      <c r="G145" s="485"/>
      <c r="H145" s="12"/>
      <c r="I145" s="12"/>
      <c r="J145" s="98"/>
      <c r="K145" s="269"/>
      <c r="M145" s="7"/>
      <c r="N145" s="7"/>
      <c r="O145" s="7"/>
      <c r="P145" s="7"/>
      <c r="Q145" s="7"/>
      <c r="R145" s="7"/>
      <c r="S145" s="7"/>
      <c r="T145" s="7"/>
      <c r="U145" s="7"/>
      <c r="V145" s="7"/>
      <c r="W145" s="7"/>
      <c r="X145" s="7"/>
      <c r="Y145" s="489"/>
      <c r="Z145" s="489"/>
      <c r="AA145" s="7"/>
      <c r="AB145" s="7"/>
      <c r="AC145" s="7"/>
      <c r="AD145" s="7"/>
      <c r="AE145" s="7"/>
      <c r="AF145" s="7"/>
      <c r="AG145" s="489"/>
      <c r="AH145" s="489"/>
      <c r="AI145" s="7"/>
      <c r="AJ145" s="519"/>
      <c r="AK145" s="519"/>
      <c r="AL145" s="519"/>
      <c r="AM145" s="519"/>
      <c r="AN145" s="519"/>
      <c r="AO145" s="519"/>
    </row>
    <row r="146" spans="1:41" s="239" customFormat="1">
      <c r="D146" s="504"/>
      <c r="E146" s="504"/>
      <c r="F146" s="504"/>
      <c r="G146" s="485"/>
      <c r="H146" s="12"/>
      <c r="I146" s="12"/>
      <c r="J146" s="98"/>
      <c r="K146" s="269"/>
      <c r="M146" s="7"/>
      <c r="N146" s="7"/>
      <c r="O146" s="7"/>
      <c r="P146" s="7"/>
      <c r="Q146" s="7"/>
      <c r="R146" s="7"/>
      <c r="S146" s="7"/>
      <c r="T146" s="7"/>
      <c r="U146" s="7"/>
      <c r="V146" s="7"/>
      <c r="W146" s="7"/>
      <c r="X146" s="7"/>
      <c r="Y146" s="489"/>
      <c r="Z146" s="489"/>
      <c r="AA146" s="7"/>
      <c r="AB146" s="7"/>
      <c r="AC146" s="7"/>
      <c r="AD146" s="7"/>
      <c r="AE146" s="7"/>
      <c r="AF146" s="7"/>
      <c r="AG146" s="489"/>
      <c r="AH146" s="489"/>
      <c r="AI146" s="7"/>
      <c r="AJ146" s="519"/>
      <c r="AK146" s="519"/>
      <c r="AL146" s="519"/>
      <c r="AM146" s="519"/>
      <c r="AN146" s="519"/>
      <c r="AO146" s="519"/>
    </row>
    <row r="147" spans="1:41" s="239" customFormat="1">
      <c r="D147" s="504"/>
      <c r="E147" s="504"/>
      <c r="F147" s="504"/>
      <c r="G147" s="485"/>
      <c r="H147" s="12"/>
      <c r="I147" s="12"/>
      <c r="J147" s="98"/>
      <c r="K147" s="269"/>
      <c r="M147" s="7"/>
      <c r="N147" s="7"/>
      <c r="O147" s="7"/>
      <c r="P147" s="7"/>
      <c r="Q147" s="7"/>
      <c r="R147" s="7"/>
      <c r="S147" s="7"/>
      <c r="T147" s="7"/>
      <c r="U147" s="7"/>
      <c r="V147" s="7"/>
      <c r="W147" s="7"/>
      <c r="X147" s="7"/>
      <c r="Y147" s="489"/>
      <c r="Z147" s="489"/>
      <c r="AA147" s="7"/>
      <c r="AB147" s="7"/>
      <c r="AC147" s="7"/>
      <c r="AD147" s="7"/>
      <c r="AE147" s="7"/>
      <c r="AF147" s="7"/>
      <c r="AG147" s="489"/>
      <c r="AH147" s="489"/>
      <c r="AI147" s="7"/>
      <c r="AJ147" s="519"/>
      <c r="AK147" s="519"/>
      <c r="AL147" s="519"/>
      <c r="AM147" s="519"/>
      <c r="AN147" s="519"/>
      <c r="AO147" s="519"/>
    </row>
    <row r="148" spans="1:41" s="239" customFormat="1">
      <c r="D148" s="504"/>
      <c r="E148" s="504"/>
      <c r="F148" s="504"/>
      <c r="G148" s="485"/>
      <c r="H148" s="12"/>
      <c r="I148" s="12"/>
      <c r="J148" s="98"/>
      <c r="K148" s="269"/>
      <c r="M148" s="7"/>
      <c r="N148" s="7"/>
      <c r="O148" s="7"/>
      <c r="P148" s="7"/>
      <c r="Q148" s="7"/>
      <c r="R148" s="7"/>
      <c r="S148" s="7"/>
      <c r="T148" s="7"/>
      <c r="U148" s="7"/>
      <c r="V148" s="7"/>
      <c r="W148" s="7"/>
      <c r="X148" s="7"/>
      <c r="Y148" s="489"/>
      <c r="Z148" s="489"/>
      <c r="AA148" s="7"/>
      <c r="AB148" s="7"/>
      <c r="AC148" s="7"/>
      <c r="AD148" s="7"/>
      <c r="AE148" s="7"/>
      <c r="AF148" s="7"/>
      <c r="AG148" s="489"/>
      <c r="AH148" s="489"/>
      <c r="AI148" s="7"/>
      <c r="AJ148" s="519"/>
      <c r="AK148" s="519"/>
      <c r="AL148" s="519"/>
      <c r="AM148" s="519"/>
      <c r="AN148" s="519"/>
      <c r="AO148" s="519"/>
    </row>
    <row r="149" spans="1:41" s="239" customFormat="1">
      <c r="D149" s="504"/>
      <c r="E149" s="504"/>
      <c r="F149" s="504"/>
      <c r="G149" s="485"/>
      <c r="H149" s="12"/>
      <c r="I149" s="12"/>
      <c r="J149" s="98"/>
      <c r="K149" s="269"/>
      <c r="M149" s="7"/>
      <c r="N149" s="7"/>
      <c r="O149" s="7"/>
      <c r="P149" s="7"/>
      <c r="Q149" s="7"/>
      <c r="R149" s="7"/>
      <c r="S149" s="7"/>
      <c r="T149" s="7"/>
      <c r="U149" s="7"/>
      <c r="V149" s="7"/>
      <c r="W149" s="7"/>
      <c r="X149" s="7"/>
      <c r="Y149" s="489"/>
      <c r="Z149" s="489"/>
      <c r="AA149" s="7"/>
      <c r="AB149" s="7"/>
      <c r="AC149" s="7"/>
      <c r="AD149" s="7"/>
      <c r="AE149" s="7"/>
      <c r="AF149" s="7"/>
      <c r="AG149" s="489"/>
      <c r="AH149" s="489"/>
      <c r="AI149" s="7"/>
      <c r="AJ149" s="519"/>
      <c r="AK149" s="519"/>
      <c r="AL149" s="519"/>
      <c r="AM149" s="519"/>
      <c r="AN149" s="519"/>
      <c r="AO149" s="519"/>
    </row>
    <row r="150" spans="1:41" s="239" customFormat="1">
      <c r="D150" s="504"/>
      <c r="E150" s="504"/>
      <c r="F150" s="504"/>
      <c r="G150" s="485"/>
      <c r="H150" s="12"/>
      <c r="I150" s="12"/>
      <c r="J150" s="98"/>
      <c r="K150" s="269"/>
      <c r="M150" s="7"/>
      <c r="N150" s="7"/>
      <c r="O150" s="7"/>
      <c r="P150" s="7"/>
      <c r="Q150" s="7"/>
      <c r="R150" s="7"/>
      <c r="S150" s="7"/>
      <c r="T150" s="7"/>
      <c r="U150" s="7"/>
      <c r="V150" s="7"/>
      <c r="W150" s="7"/>
      <c r="X150" s="7"/>
      <c r="Y150" s="489"/>
      <c r="Z150" s="489"/>
      <c r="AA150" s="7"/>
      <c r="AB150" s="7"/>
      <c r="AC150" s="7"/>
      <c r="AD150" s="7"/>
      <c r="AE150" s="7"/>
      <c r="AF150" s="7"/>
      <c r="AG150" s="489"/>
      <c r="AH150" s="489"/>
      <c r="AI150" s="7"/>
      <c r="AJ150" s="519"/>
      <c r="AK150" s="519"/>
      <c r="AL150" s="519"/>
      <c r="AM150" s="519"/>
      <c r="AN150" s="519"/>
      <c r="AO150" s="519"/>
    </row>
    <row r="151" spans="1:41" s="239" customFormat="1">
      <c r="A151" s="485"/>
      <c r="B151" s="4"/>
      <c r="C151" s="4"/>
      <c r="D151" s="504"/>
      <c r="E151" s="504"/>
      <c r="F151" s="504"/>
      <c r="G151" s="485"/>
      <c r="H151" s="12"/>
      <c r="I151" s="12"/>
      <c r="J151" s="98"/>
      <c r="K151" s="269"/>
      <c r="M151" s="7"/>
      <c r="N151" s="7"/>
      <c r="O151" s="7"/>
      <c r="P151" s="7"/>
      <c r="Q151" s="7"/>
      <c r="R151" s="7"/>
      <c r="S151" s="7"/>
      <c r="T151" s="7"/>
      <c r="U151" s="7"/>
      <c r="V151" s="7"/>
      <c r="W151" s="7"/>
      <c r="X151" s="7"/>
      <c r="Y151" s="489"/>
      <c r="Z151" s="489"/>
      <c r="AA151" s="7"/>
      <c r="AB151" s="7"/>
      <c r="AC151" s="7"/>
      <c r="AD151" s="7"/>
      <c r="AE151" s="7"/>
      <c r="AF151" s="7"/>
      <c r="AG151" s="489"/>
      <c r="AH151" s="489"/>
      <c r="AI151" s="7"/>
      <c r="AJ151" s="519"/>
      <c r="AK151" s="519"/>
      <c r="AL151" s="519"/>
      <c r="AM151" s="519"/>
      <c r="AN151" s="519"/>
      <c r="AO151" s="519"/>
    </row>
    <row r="152" spans="1:41" s="239" customFormat="1">
      <c r="A152" s="485"/>
      <c r="B152" s="4"/>
      <c r="C152" s="4"/>
      <c r="D152" s="504"/>
      <c r="E152" s="504"/>
      <c r="F152" s="504"/>
      <c r="G152" s="485"/>
      <c r="H152" s="12"/>
      <c r="I152" s="12"/>
      <c r="J152" s="98"/>
      <c r="K152" s="269"/>
      <c r="M152" s="7"/>
      <c r="N152" s="7"/>
      <c r="O152" s="7"/>
      <c r="P152" s="7"/>
      <c r="Q152" s="7"/>
      <c r="R152" s="7"/>
      <c r="S152" s="7"/>
      <c r="T152" s="7"/>
      <c r="U152" s="7"/>
      <c r="V152" s="7"/>
      <c r="W152" s="7"/>
      <c r="X152" s="7"/>
      <c r="Y152" s="489"/>
      <c r="Z152" s="489"/>
      <c r="AA152" s="7"/>
      <c r="AB152" s="7"/>
      <c r="AC152" s="7"/>
      <c r="AD152" s="7"/>
      <c r="AE152" s="7"/>
      <c r="AF152" s="7"/>
      <c r="AG152" s="489"/>
      <c r="AH152" s="489"/>
      <c r="AI152" s="7"/>
      <c r="AJ152" s="519"/>
      <c r="AK152" s="519"/>
      <c r="AL152" s="519"/>
      <c r="AM152" s="519"/>
      <c r="AN152" s="519"/>
      <c r="AO152" s="519"/>
    </row>
    <row r="153" spans="1:41" s="239" customFormat="1">
      <c r="A153" s="485"/>
      <c r="B153" s="4"/>
      <c r="C153" s="4"/>
      <c r="D153" s="504"/>
      <c r="E153" s="504"/>
      <c r="F153" s="504"/>
      <c r="G153" s="485"/>
      <c r="H153" s="12"/>
      <c r="I153" s="12"/>
      <c r="J153" s="98"/>
      <c r="K153" s="269"/>
      <c r="M153" s="7"/>
      <c r="N153" s="7"/>
      <c r="O153" s="7"/>
      <c r="P153" s="7"/>
      <c r="Q153" s="7"/>
      <c r="R153" s="7"/>
      <c r="S153" s="7"/>
      <c r="T153" s="7"/>
      <c r="U153" s="7"/>
      <c r="V153" s="7"/>
      <c r="W153" s="7"/>
      <c r="X153" s="7"/>
      <c r="Y153" s="489"/>
      <c r="Z153" s="489"/>
      <c r="AA153" s="7"/>
      <c r="AB153" s="7"/>
      <c r="AC153" s="7"/>
      <c r="AD153" s="7"/>
      <c r="AE153" s="7"/>
      <c r="AF153" s="7"/>
      <c r="AG153" s="489"/>
      <c r="AH153" s="489"/>
      <c r="AI153" s="7"/>
      <c r="AJ153" s="519"/>
      <c r="AK153" s="519"/>
      <c r="AL153" s="519"/>
      <c r="AM153" s="519"/>
      <c r="AN153" s="519"/>
      <c r="AO153" s="519"/>
    </row>
    <row r="154" spans="1:41" s="239" customFormat="1">
      <c r="A154" s="485"/>
      <c r="B154" s="4"/>
      <c r="C154" s="4"/>
      <c r="D154" s="504"/>
      <c r="E154" s="504"/>
      <c r="F154" s="504"/>
      <c r="G154" s="485"/>
      <c r="H154" s="12"/>
      <c r="I154" s="12"/>
      <c r="J154" s="98"/>
      <c r="K154" s="269"/>
      <c r="M154" s="7"/>
      <c r="N154" s="7"/>
      <c r="O154" s="7"/>
      <c r="P154" s="7"/>
      <c r="Q154" s="7"/>
      <c r="R154" s="7"/>
      <c r="S154" s="7"/>
      <c r="T154" s="7"/>
      <c r="U154" s="7"/>
      <c r="V154" s="7"/>
      <c r="W154" s="7"/>
      <c r="X154" s="7"/>
      <c r="Y154" s="489"/>
      <c r="Z154" s="489"/>
      <c r="AA154" s="7"/>
      <c r="AB154" s="7"/>
      <c r="AC154" s="7"/>
      <c r="AD154" s="7"/>
      <c r="AE154" s="7"/>
      <c r="AF154" s="7"/>
      <c r="AG154" s="489"/>
      <c r="AH154" s="489"/>
      <c r="AI154" s="7"/>
      <c r="AJ154" s="519"/>
      <c r="AK154" s="519"/>
      <c r="AL154" s="519"/>
      <c r="AM154" s="519"/>
      <c r="AN154" s="519"/>
      <c r="AO154" s="519"/>
    </row>
    <row r="155" spans="1:41" s="239" customFormat="1">
      <c r="A155" s="485"/>
      <c r="B155" s="4"/>
      <c r="C155" s="4"/>
      <c r="D155" s="504"/>
      <c r="E155" s="504"/>
      <c r="F155" s="504"/>
      <c r="G155" s="485"/>
      <c r="H155" s="12"/>
      <c r="I155" s="12"/>
      <c r="J155" s="98"/>
      <c r="K155" s="269"/>
      <c r="M155" s="7"/>
      <c r="N155" s="7"/>
      <c r="O155" s="7"/>
      <c r="P155" s="7"/>
      <c r="Q155" s="7"/>
      <c r="R155" s="7"/>
      <c r="S155" s="7"/>
      <c r="T155" s="7"/>
      <c r="U155" s="7"/>
      <c r="V155" s="7"/>
      <c r="W155" s="7"/>
      <c r="X155" s="7"/>
      <c r="Y155" s="489"/>
      <c r="Z155" s="489"/>
      <c r="AA155" s="7"/>
      <c r="AB155" s="7"/>
      <c r="AC155" s="7"/>
      <c r="AD155" s="7"/>
      <c r="AE155" s="7"/>
      <c r="AF155" s="7"/>
      <c r="AG155" s="489"/>
      <c r="AH155" s="489"/>
      <c r="AI155" s="7"/>
      <c r="AJ155" s="519"/>
      <c r="AK155" s="519"/>
      <c r="AL155" s="519"/>
      <c r="AM155" s="519"/>
      <c r="AN155" s="519"/>
      <c r="AO155" s="519"/>
    </row>
    <row r="156" spans="1:41" s="239" customFormat="1">
      <c r="A156" s="485"/>
      <c r="B156" s="4"/>
      <c r="C156" s="4"/>
      <c r="D156" s="504"/>
      <c r="E156" s="504"/>
      <c r="F156" s="504"/>
      <c r="G156" s="485"/>
      <c r="H156" s="12"/>
      <c r="I156" s="12"/>
      <c r="J156" s="98"/>
      <c r="K156" s="269"/>
      <c r="M156" s="7"/>
      <c r="N156" s="7"/>
      <c r="O156" s="7"/>
      <c r="P156" s="7"/>
      <c r="Q156" s="7"/>
      <c r="R156" s="7"/>
      <c r="S156" s="7"/>
      <c r="T156" s="7"/>
      <c r="U156" s="7"/>
      <c r="V156" s="7"/>
      <c r="W156" s="7"/>
      <c r="X156" s="7"/>
      <c r="Y156" s="489"/>
      <c r="Z156" s="489"/>
      <c r="AA156" s="7"/>
      <c r="AB156" s="7"/>
      <c r="AC156" s="7"/>
      <c r="AD156" s="7"/>
      <c r="AE156" s="7"/>
      <c r="AF156" s="7"/>
      <c r="AG156" s="489"/>
      <c r="AH156" s="489"/>
      <c r="AI156" s="7"/>
      <c r="AJ156" s="519"/>
      <c r="AK156" s="519"/>
      <c r="AL156" s="519"/>
      <c r="AM156" s="519"/>
      <c r="AN156" s="519"/>
      <c r="AO156" s="519"/>
    </row>
    <row r="157" spans="1:41" s="239" customFormat="1">
      <c r="A157" s="485"/>
      <c r="B157" s="4"/>
      <c r="C157" s="4"/>
      <c r="D157" s="504"/>
      <c r="E157" s="504"/>
      <c r="F157" s="504"/>
      <c r="G157" s="485"/>
      <c r="H157" s="12"/>
      <c r="I157" s="12"/>
      <c r="J157" s="98"/>
      <c r="K157" s="269"/>
      <c r="M157" s="7"/>
      <c r="N157" s="7"/>
      <c r="O157" s="7"/>
      <c r="P157" s="7"/>
      <c r="Q157" s="7"/>
      <c r="R157" s="7"/>
      <c r="S157" s="7"/>
      <c r="T157" s="7"/>
      <c r="U157" s="7"/>
      <c r="V157" s="7"/>
      <c r="W157" s="7"/>
      <c r="X157" s="7"/>
      <c r="Y157" s="489"/>
      <c r="Z157" s="489"/>
      <c r="AA157" s="7"/>
      <c r="AB157" s="7"/>
      <c r="AC157" s="7"/>
      <c r="AD157" s="7"/>
      <c r="AE157" s="7"/>
      <c r="AF157" s="7"/>
      <c r="AG157" s="489"/>
      <c r="AH157" s="489"/>
      <c r="AI157" s="7"/>
      <c r="AJ157" s="519"/>
      <c r="AK157" s="519"/>
      <c r="AL157" s="519"/>
      <c r="AM157" s="519"/>
      <c r="AN157" s="519"/>
      <c r="AO157" s="519"/>
    </row>
    <row r="158" spans="1:41" s="239" customFormat="1">
      <c r="A158" s="485"/>
      <c r="B158" s="4"/>
      <c r="C158" s="4"/>
      <c r="D158" s="504"/>
      <c r="E158" s="504"/>
      <c r="F158" s="504"/>
      <c r="G158" s="485"/>
      <c r="H158" s="12"/>
      <c r="I158" s="12"/>
      <c r="J158" s="98"/>
      <c r="K158" s="269"/>
      <c r="M158" s="7"/>
      <c r="N158" s="7"/>
      <c r="O158" s="7"/>
      <c r="P158" s="7"/>
      <c r="Q158" s="7"/>
      <c r="R158" s="7"/>
      <c r="S158" s="7"/>
      <c r="T158" s="7"/>
      <c r="U158" s="7"/>
      <c r="V158" s="7"/>
      <c r="W158" s="7"/>
      <c r="X158" s="7"/>
      <c r="Y158" s="489"/>
      <c r="Z158" s="489"/>
      <c r="AA158" s="7"/>
      <c r="AB158" s="7"/>
      <c r="AC158" s="7"/>
      <c r="AD158" s="7"/>
      <c r="AE158" s="7"/>
      <c r="AF158" s="7"/>
      <c r="AG158" s="489"/>
      <c r="AH158" s="489"/>
      <c r="AI158" s="7"/>
      <c r="AJ158" s="519"/>
      <c r="AK158" s="519"/>
      <c r="AL158" s="519"/>
      <c r="AM158" s="519"/>
      <c r="AN158" s="519"/>
      <c r="AO158" s="519"/>
    </row>
    <row r="159" spans="1:41" s="239" customFormat="1">
      <c r="A159" s="485"/>
      <c r="B159" s="4"/>
      <c r="C159" s="4"/>
      <c r="D159" s="504"/>
      <c r="E159" s="504"/>
      <c r="F159" s="504"/>
      <c r="G159" s="485"/>
      <c r="H159" s="12"/>
      <c r="I159" s="12"/>
      <c r="J159" s="98"/>
      <c r="K159" s="269"/>
      <c r="M159" s="7"/>
      <c r="N159" s="7"/>
      <c r="O159" s="7"/>
      <c r="P159" s="7"/>
      <c r="Q159" s="7"/>
      <c r="R159" s="7"/>
      <c r="S159" s="7"/>
      <c r="T159" s="7"/>
      <c r="U159" s="7"/>
      <c r="V159" s="7"/>
      <c r="W159" s="7"/>
      <c r="X159" s="7"/>
      <c r="Y159" s="489"/>
      <c r="Z159" s="489"/>
      <c r="AA159" s="7"/>
      <c r="AB159" s="7"/>
      <c r="AC159" s="7"/>
      <c r="AD159" s="7"/>
      <c r="AE159" s="7"/>
      <c r="AF159" s="7"/>
      <c r="AG159" s="489"/>
      <c r="AH159" s="489"/>
      <c r="AI159" s="7"/>
      <c r="AJ159" s="519"/>
      <c r="AK159" s="519"/>
      <c r="AL159" s="519"/>
      <c r="AM159" s="519"/>
      <c r="AN159" s="519"/>
      <c r="AO159" s="519"/>
    </row>
    <row r="160" spans="1:41" s="239" customFormat="1">
      <c r="A160" s="485"/>
      <c r="B160" s="4"/>
      <c r="C160" s="4"/>
      <c r="D160" s="504"/>
      <c r="E160" s="504"/>
      <c r="F160" s="504"/>
      <c r="G160" s="485"/>
      <c r="H160" s="12"/>
      <c r="I160" s="12"/>
      <c r="J160" s="98"/>
      <c r="K160" s="269"/>
      <c r="M160" s="7"/>
      <c r="N160" s="7"/>
      <c r="O160" s="7"/>
      <c r="P160" s="7"/>
      <c r="Q160" s="7"/>
      <c r="R160" s="7"/>
      <c r="S160" s="7"/>
      <c r="T160" s="7"/>
      <c r="U160" s="7"/>
      <c r="V160" s="7"/>
      <c r="W160" s="7"/>
      <c r="X160" s="7"/>
      <c r="Y160" s="489"/>
      <c r="Z160" s="489"/>
      <c r="AA160" s="7"/>
      <c r="AB160" s="7"/>
      <c r="AC160" s="7"/>
      <c r="AD160" s="7"/>
      <c r="AE160" s="7"/>
      <c r="AF160" s="7"/>
      <c r="AG160" s="489"/>
      <c r="AH160" s="489"/>
      <c r="AI160" s="7"/>
      <c r="AJ160" s="519"/>
      <c r="AK160" s="519"/>
      <c r="AL160" s="519"/>
      <c r="AM160" s="519"/>
      <c r="AN160" s="519"/>
      <c r="AO160" s="519"/>
    </row>
    <row r="161" spans="1:41" s="239" customFormat="1">
      <c r="A161" s="485"/>
      <c r="B161" s="4"/>
      <c r="C161" s="4"/>
      <c r="D161" s="504"/>
      <c r="E161" s="504"/>
      <c r="F161" s="504"/>
      <c r="G161" s="485"/>
      <c r="H161" s="12"/>
      <c r="I161" s="12"/>
      <c r="J161" s="98"/>
      <c r="K161" s="269"/>
      <c r="M161" s="7"/>
      <c r="N161" s="7"/>
      <c r="O161" s="7"/>
      <c r="P161" s="7"/>
      <c r="Q161" s="7"/>
      <c r="R161" s="7"/>
      <c r="S161" s="7"/>
      <c r="T161" s="7"/>
      <c r="U161" s="7"/>
      <c r="V161" s="7"/>
      <c r="W161" s="7"/>
      <c r="X161" s="7"/>
      <c r="Y161" s="489"/>
      <c r="Z161" s="489"/>
      <c r="AA161" s="7"/>
      <c r="AB161" s="7"/>
      <c r="AC161" s="7"/>
      <c r="AD161" s="7"/>
      <c r="AE161" s="7"/>
      <c r="AF161" s="7"/>
      <c r="AG161" s="489"/>
      <c r="AH161" s="489"/>
      <c r="AI161" s="7"/>
      <c r="AJ161" s="519"/>
      <c r="AK161" s="519"/>
      <c r="AL161" s="519"/>
      <c r="AM161" s="519"/>
      <c r="AN161" s="519"/>
      <c r="AO161" s="519"/>
    </row>
    <row r="162" spans="1:41" s="239" customFormat="1">
      <c r="A162" s="485"/>
      <c r="B162" s="4"/>
      <c r="C162" s="4"/>
      <c r="D162" s="504"/>
      <c r="E162" s="504"/>
      <c r="F162" s="504"/>
      <c r="G162" s="485"/>
      <c r="H162" s="12"/>
      <c r="I162" s="12"/>
      <c r="J162" s="98"/>
      <c r="K162" s="269"/>
      <c r="M162" s="7"/>
      <c r="N162" s="7"/>
      <c r="O162" s="7"/>
      <c r="P162" s="7"/>
      <c r="Q162" s="7"/>
      <c r="R162" s="7"/>
      <c r="S162" s="7"/>
      <c r="T162" s="7"/>
      <c r="U162" s="7"/>
      <c r="V162" s="7"/>
      <c r="W162" s="7"/>
      <c r="X162" s="7"/>
      <c r="Y162" s="489"/>
      <c r="Z162" s="489"/>
      <c r="AA162" s="7"/>
      <c r="AB162" s="7"/>
      <c r="AC162" s="7"/>
      <c r="AD162" s="7"/>
      <c r="AE162" s="7"/>
      <c r="AF162" s="7"/>
      <c r="AG162" s="489"/>
      <c r="AH162" s="489"/>
      <c r="AI162" s="7"/>
      <c r="AJ162" s="519"/>
      <c r="AK162" s="519"/>
      <c r="AL162" s="519"/>
      <c r="AM162" s="519"/>
      <c r="AN162" s="519"/>
      <c r="AO162" s="519"/>
    </row>
    <row r="163" spans="1:41" s="239" customFormat="1">
      <c r="A163" s="485"/>
      <c r="B163" s="4"/>
      <c r="C163" s="4"/>
      <c r="D163" s="504"/>
      <c r="E163" s="504"/>
      <c r="F163" s="504"/>
      <c r="G163" s="485"/>
      <c r="H163" s="12"/>
      <c r="I163" s="12"/>
      <c r="J163" s="98"/>
      <c r="K163" s="269"/>
      <c r="M163" s="7"/>
      <c r="N163" s="7"/>
      <c r="O163" s="7"/>
      <c r="P163" s="7"/>
      <c r="Q163" s="7"/>
      <c r="R163" s="7"/>
      <c r="S163" s="7"/>
      <c r="T163" s="7"/>
      <c r="U163" s="7"/>
      <c r="V163" s="7"/>
      <c r="W163" s="7"/>
      <c r="X163" s="7"/>
      <c r="Y163" s="489"/>
      <c r="Z163" s="489"/>
      <c r="AA163" s="7"/>
      <c r="AB163" s="7"/>
      <c r="AC163" s="7"/>
      <c r="AD163" s="7"/>
      <c r="AE163" s="7"/>
      <c r="AF163" s="7"/>
      <c r="AG163" s="489"/>
      <c r="AH163" s="489"/>
      <c r="AI163" s="7"/>
      <c r="AJ163" s="519"/>
      <c r="AK163" s="519"/>
      <c r="AL163" s="519"/>
      <c r="AM163" s="519"/>
      <c r="AN163" s="519"/>
      <c r="AO163" s="519"/>
    </row>
    <row r="164" spans="1:41" s="239" customFormat="1">
      <c r="A164" s="485"/>
      <c r="B164" s="4"/>
      <c r="C164" s="4"/>
      <c r="D164" s="504"/>
      <c r="E164" s="504"/>
      <c r="F164" s="504"/>
      <c r="G164" s="485"/>
      <c r="H164" s="12"/>
      <c r="I164" s="12"/>
      <c r="J164" s="98"/>
      <c r="K164" s="269"/>
      <c r="M164" s="7"/>
      <c r="N164" s="7"/>
      <c r="O164" s="7"/>
      <c r="P164" s="7"/>
      <c r="Q164" s="7"/>
      <c r="R164" s="7"/>
      <c r="S164" s="7"/>
      <c r="T164" s="7"/>
      <c r="U164" s="7"/>
      <c r="V164" s="7"/>
      <c r="W164" s="7"/>
      <c r="X164" s="7"/>
      <c r="Y164" s="489"/>
      <c r="Z164" s="489"/>
      <c r="AA164" s="7"/>
      <c r="AB164" s="7"/>
      <c r="AC164" s="7"/>
      <c r="AD164" s="7"/>
      <c r="AE164" s="7"/>
      <c r="AF164" s="7"/>
      <c r="AG164" s="489"/>
      <c r="AH164" s="489"/>
      <c r="AI164" s="7"/>
      <c r="AJ164" s="519"/>
      <c r="AK164" s="519"/>
      <c r="AL164" s="519"/>
      <c r="AM164" s="519"/>
      <c r="AN164" s="519"/>
      <c r="AO164" s="519"/>
    </row>
    <row r="165" spans="1:41" s="239" customFormat="1">
      <c r="A165" s="485"/>
      <c r="B165" s="4"/>
      <c r="C165" s="4"/>
      <c r="D165" s="504"/>
      <c r="E165" s="504"/>
      <c r="F165" s="504"/>
      <c r="G165" s="485"/>
      <c r="H165" s="12"/>
      <c r="I165" s="12"/>
      <c r="J165" s="98"/>
      <c r="K165" s="269"/>
      <c r="M165" s="7"/>
      <c r="N165" s="7"/>
      <c r="O165" s="7"/>
      <c r="P165" s="7"/>
      <c r="Q165" s="7"/>
      <c r="R165" s="7"/>
      <c r="S165" s="7"/>
      <c r="T165" s="7"/>
      <c r="U165" s="7"/>
      <c r="V165" s="7"/>
      <c r="W165" s="7"/>
      <c r="X165" s="7"/>
      <c r="Y165" s="489"/>
      <c r="Z165" s="489"/>
      <c r="AA165" s="7"/>
      <c r="AB165" s="7"/>
      <c r="AC165" s="7"/>
      <c r="AD165" s="7"/>
      <c r="AE165" s="7"/>
      <c r="AF165" s="7"/>
      <c r="AG165" s="489"/>
      <c r="AH165" s="489"/>
      <c r="AI165" s="7"/>
      <c r="AJ165" s="519"/>
      <c r="AK165" s="519"/>
      <c r="AL165" s="519"/>
      <c r="AM165" s="519"/>
      <c r="AN165" s="519"/>
      <c r="AO165" s="519"/>
    </row>
    <row r="166" spans="1:41" s="239" customFormat="1">
      <c r="A166" s="485"/>
      <c r="B166" s="4"/>
      <c r="C166" s="4"/>
      <c r="D166" s="504"/>
      <c r="E166" s="504"/>
      <c r="F166" s="504"/>
      <c r="G166" s="485"/>
      <c r="H166" s="12"/>
      <c r="I166" s="12"/>
      <c r="J166" s="98"/>
      <c r="K166" s="269"/>
      <c r="M166" s="7"/>
      <c r="N166" s="7"/>
      <c r="O166" s="7"/>
      <c r="P166" s="7"/>
      <c r="Q166" s="7"/>
      <c r="R166" s="7"/>
      <c r="S166" s="7"/>
      <c r="T166" s="7"/>
      <c r="U166" s="7"/>
      <c r="V166" s="7"/>
      <c r="W166" s="7"/>
      <c r="X166" s="7"/>
      <c r="Y166" s="489"/>
      <c r="Z166" s="489"/>
      <c r="AA166" s="7"/>
      <c r="AB166" s="7"/>
      <c r="AC166" s="7"/>
      <c r="AD166" s="7"/>
      <c r="AE166" s="7"/>
      <c r="AF166" s="7"/>
      <c r="AG166" s="489"/>
      <c r="AH166" s="489"/>
      <c r="AI166" s="7"/>
      <c r="AJ166" s="519"/>
      <c r="AK166" s="519"/>
      <c r="AL166" s="519"/>
      <c r="AM166" s="519"/>
      <c r="AN166" s="519"/>
      <c r="AO166" s="519"/>
    </row>
    <row r="167" spans="1:41" s="239" customFormat="1">
      <c r="A167" s="485"/>
      <c r="B167" s="4"/>
      <c r="C167" s="4"/>
      <c r="D167" s="504"/>
      <c r="E167" s="504"/>
      <c r="F167" s="504"/>
      <c r="G167" s="485"/>
      <c r="H167" s="12"/>
      <c r="I167" s="12"/>
      <c r="J167" s="98"/>
      <c r="K167" s="269"/>
      <c r="M167" s="7"/>
      <c r="N167" s="7"/>
      <c r="O167" s="7"/>
      <c r="P167" s="7"/>
      <c r="Q167" s="7"/>
      <c r="R167" s="7"/>
      <c r="S167" s="7"/>
      <c r="T167" s="7"/>
      <c r="U167" s="7"/>
      <c r="V167" s="7"/>
      <c r="W167" s="7"/>
      <c r="X167" s="7"/>
      <c r="Y167" s="489"/>
      <c r="Z167" s="489"/>
      <c r="AA167" s="7"/>
      <c r="AB167" s="7"/>
      <c r="AC167" s="7"/>
      <c r="AD167" s="7"/>
      <c r="AE167" s="7"/>
      <c r="AF167" s="7"/>
      <c r="AG167" s="489"/>
      <c r="AH167" s="489"/>
      <c r="AI167" s="7"/>
      <c r="AJ167" s="519"/>
      <c r="AK167" s="519"/>
      <c r="AL167" s="519"/>
      <c r="AM167" s="519"/>
      <c r="AN167" s="519"/>
      <c r="AO167" s="519"/>
    </row>
    <row r="168" spans="1:41" s="239" customFormat="1">
      <c r="A168" s="485"/>
      <c r="B168" s="4"/>
      <c r="C168" s="4"/>
      <c r="D168" s="504"/>
      <c r="E168" s="504"/>
      <c r="F168" s="504"/>
      <c r="G168" s="485"/>
      <c r="H168" s="12"/>
      <c r="I168" s="12"/>
      <c r="J168" s="98"/>
      <c r="K168" s="269"/>
      <c r="M168" s="7"/>
      <c r="N168" s="7"/>
      <c r="O168" s="7"/>
      <c r="P168" s="7"/>
      <c r="Q168" s="7"/>
      <c r="R168" s="7"/>
      <c r="S168" s="7"/>
      <c r="T168" s="7"/>
      <c r="U168" s="7"/>
      <c r="V168" s="7"/>
      <c r="W168" s="7"/>
      <c r="X168" s="7"/>
      <c r="Y168" s="489"/>
      <c r="Z168" s="489"/>
      <c r="AA168" s="7"/>
      <c r="AB168" s="7"/>
      <c r="AC168" s="7"/>
      <c r="AD168" s="7"/>
      <c r="AE168" s="7"/>
      <c r="AF168" s="7"/>
      <c r="AG168" s="489"/>
      <c r="AH168" s="489"/>
      <c r="AI168" s="7"/>
      <c r="AJ168" s="519"/>
      <c r="AK168" s="519"/>
      <c r="AL168" s="519"/>
      <c r="AM168" s="519"/>
      <c r="AN168" s="519"/>
      <c r="AO168" s="519"/>
    </row>
    <row r="169" spans="1:41" s="239" customFormat="1">
      <c r="A169" s="485"/>
      <c r="B169" s="4"/>
      <c r="C169" s="4"/>
      <c r="D169" s="504"/>
      <c r="E169" s="504"/>
      <c r="F169" s="504"/>
      <c r="G169" s="485"/>
      <c r="H169" s="12"/>
      <c r="I169" s="12"/>
      <c r="J169" s="98"/>
      <c r="K169" s="269"/>
      <c r="M169" s="7"/>
      <c r="N169" s="7"/>
      <c r="O169" s="7"/>
      <c r="P169" s="7"/>
      <c r="Q169" s="7"/>
      <c r="R169" s="7"/>
      <c r="S169" s="7"/>
      <c r="T169" s="7"/>
      <c r="U169" s="7"/>
      <c r="V169" s="7"/>
      <c r="W169" s="7"/>
      <c r="X169" s="7"/>
      <c r="Y169" s="489"/>
      <c r="Z169" s="489"/>
      <c r="AA169" s="7"/>
      <c r="AB169" s="7"/>
      <c r="AC169" s="7"/>
      <c r="AD169" s="7"/>
      <c r="AE169" s="7"/>
      <c r="AF169" s="7"/>
      <c r="AG169" s="489"/>
      <c r="AH169" s="489"/>
      <c r="AI169" s="7"/>
      <c r="AJ169" s="519"/>
      <c r="AK169" s="519"/>
      <c r="AL169" s="519"/>
      <c r="AM169" s="519"/>
      <c r="AN169" s="519"/>
      <c r="AO169" s="519"/>
    </row>
    <row r="170" spans="1:41" s="239" customFormat="1">
      <c r="A170" s="485"/>
      <c r="B170" s="4"/>
      <c r="C170" s="4"/>
      <c r="D170" s="504"/>
      <c r="E170" s="504"/>
      <c r="F170" s="504"/>
      <c r="G170" s="485"/>
      <c r="H170" s="12"/>
      <c r="I170" s="12"/>
      <c r="J170" s="98"/>
      <c r="K170" s="269"/>
      <c r="M170" s="7"/>
      <c r="N170" s="7"/>
      <c r="O170" s="7"/>
      <c r="P170" s="7"/>
      <c r="Q170" s="7"/>
      <c r="R170" s="7"/>
      <c r="S170" s="7"/>
      <c r="T170" s="7"/>
      <c r="U170" s="7"/>
      <c r="V170" s="7"/>
      <c r="W170" s="7"/>
      <c r="X170" s="7"/>
      <c r="Y170" s="489"/>
      <c r="Z170" s="489"/>
      <c r="AA170" s="7"/>
      <c r="AB170" s="7"/>
      <c r="AC170" s="7"/>
      <c r="AD170" s="7"/>
      <c r="AE170" s="7"/>
      <c r="AF170" s="7"/>
      <c r="AG170" s="489"/>
      <c r="AH170" s="489"/>
      <c r="AI170" s="7"/>
      <c r="AJ170" s="519"/>
      <c r="AK170" s="519"/>
      <c r="AL170" s="519"/>
      <c r="AM170" s="519"/>
      <c r="AN170" s="519"/>
      <c r="AO170" s="519"/>
    </row>
    <row r="171" spans="1:41" s="239" customFormat="1">
      <c r="A171" s="485"/>
      <c r="B171" s="4"/>
      <c r="C171" s="4"/>
      <c r="D171" s="504"/>
      <c r="E171" s="504"/>
      <c r="F171" s="504"/>
      <c r="G171" s="485"/>
      <c r="H171" s="12"/>
      <c r="I171" s="12"/>
      <c r="J171" s="98"/>
      <c r="K171" s="269"/>
      <c r="M171" s="7"/>
      <c r="N171" s="7"/>
      <c r="O171" s="7"/>
      <c r="P171" s="7"/>
      <c r="Q171" s="7"/>
      <c r="R171" s="7"/>
      <c r="S171" s="7"/>
      <c r="T171" s="7"/>
      <c r="U171" s="7"/>
      <c r="V171" s="7"/>
      <c r="W171" s="7"/>
      <c r="X171" s="7"/>
      <c r="Y171" s="489"/>
      <c r="Z171" s="489"/>
      <c r="AA171" s="7"/>
      <c r="AB171" s="7"/>
      <c r="AC171" s="7"/>
      <c r="AD171" s="7"/>
      <c r="AE171" s="7"/>
      <c r="AF171" s="7"/>
      <c r="AG171" s="489"/>
      <c r="AH171" s="489"/>
      <c r="AI171" s="7"/>
      <c r="AJ171" s="519"/>
      <c r="AK171" s="519"/>
      <c r="AL171" s="519"/>
      <c r="AM171" s="519"/>
      <c r="AN171" s="519"/>
      <c r="AO171" s="519"/>
    </row>
    <row r="172" spans="1:41" s="239" customFormat="1">
      <c r="A172" s="485"/>
      <c r="B172" s="4"/>
      <c r="C172" s="4"/>
      <c r="D172" s="504"/>
      <c r="E172" s="504"/>
      <c r="F172" s="504"/>
      <c r="G172" s="485"/>
      <c r="H172" s="12"/>
      <c r="I172" s="12"/>
      <c r="J172" s="98"/>
      <c r="K172" s="269"/>
      <c r="M172" s="7"/>
      <c r="N172" s="7"/>
      <c r="O172" s="7"/>
      <c r="P172" s="7"/>
      <c r="Q172" s="7"/>
      <c r="R172" s="7"/>
      <c r="S172" s="7"/>
      <c r="T172" s="7"/>
      <c r="U172" s="7"/>
      <c r="V172" s="7"/>
      <c r="W172" s="7"/>
      <c r="X172" s="7"/>
      <c r="Y172" s="489"/>
      <c r="Z172" s="489"/>
      <c r="AA172" s="7"/>
      <c r="AB172" s="7"/>
      <c r="AC172" s="7"/>
      <c r="AD172" s="7"/>
      <c r="AE172" s="7"/>
      <c r="AF172" s="7"/>
      <c r="AG172" s="489"/>
      <c r="AH172" s="489"/>
      <c r="AI172" s="7"/>
      <c r="AJ172" s="519"/>
      <c r="AK172" s="519"/>
      <c r="AL172" s="519"/>
      <c r="AM172" s="519"/>
      <c r="AN172" s="519"/>
      <c r="AO172" s="519"/>
    </row>
    <row r="173" spans="1:41" s="239" customFormat="1">
      <c r="A173" s="485"/>
      <c r="B173" s="4"/>
      <c r="C173" s="4"/>
      <c r="D173" s="504"/>
      <c r="E173" s="504"/>
      <c r="F173" s="504"/>
      <c r="G173" s="485"/>
      <c r="H173" s="12"/>
      <c r="I173" s="12"/>
      <c r="J173" s="98"/>
      <c r="K173" s="269"/>
      <c r="M173" s="7"/>
      <c r="N173" s="7"/>
      <c r="O173" s="7"/>
      <c r="P173" s="7"/>
      <c r="Q173" s="7"/>
      <c r="R173" s="7"/>
      <c r="S173" s="7"/>
      <c r="T173" s="7"/>
      <c r="U173" s="7"/>
      <c r="V173" s="7"/>
      <c r="W173" s="7"/>
      <c r="X173" s="7"/>
      <c r="Y173" s="489"/>
      <c r="Z173" s="489"/>
      <c r="AA173" s="7"/>
      <c r="AB173" s="7"/>
      <c r="AC173" s="7"/>
      <c r="AD173" s="7"/>
      <c r="AE173" s="7"/>
      <c r="AF173" s="7"/>
      <c r="AG173" s="489"/>
      <c r="AH173" s="489"/>
      <c r="AI173" s="7"/>
      <c r="AJ173" s="519"/>
      <c r="AK173" s="519"/>
      <c r="AL173" s="519"/>
      <c r="AM173" s="519"/>
      <c r="AN173" s="519"/>
      <c r="AO173" s="519"/>
    </row>
    <row r="174" spans="1:41" s="239" customFormat="1">
      <c r="A174" s="485"/>
      <c r="B174" s="4"/>
      <c r="C174" s="4"/>
      <c r="D174" s="504"/>
      <c r="E174" s="504"/>
      <c r="F174" s="504"/>
      <c r="G174" s="485"/>
      <c r="H174" s="12"/>
      <c r="I174" s="12"/>
      <c r="J174" s="98"/>
      <c r="K174" s="269"/>
      <c r="M174" s="7"/>
      <c r="N174" s="7"/>
      <c r="O174" s="7"/>
      <c r="P174" s="7"/>
      <c r="Q174" s="7"/>
      <c r="R174" s="7"/>
      <c r="S174" s="7"/>
      <c r="T174" s="7"/>
      <c r="U174" s="7"/>
      <c r="V174" s="7"/>
      <c r="W174" s="7"/>
      <c r="X174" s="7"/>
      <c r="Y174" s="489"/>
      <c r="Z174" s="489"/>
      <c r="AA174" s="7"/>
      <c r="AB174" s="7"/>
      <c r="AC174" s="7"/>
      <c r="AD174" s="7"/>
      <c r="AE174" s="7"/>
      <c r="AF174" s="7"/>
      <c r="AG174" s="489"/>
      <c r="AH174" s="489"/>
      <c r="AI174" s="7"/>
      <c r="AJ174" s="519"/>
      <c r="AK174" s="519"/>
      <c r="AL174" s="519"/>
      <c r="AM174" s="519"/>
      <c r="AN174" s="519"/>
      <c r="AO174" s="519"/>
    </row>
    <row r="175" spans="1:41" s="239" customFormat="1">
      <c r="A175" s="485"/>
      <c r="B175" s="4"/>
      <c r="C175" s="4"/>
      <c r="D175" s="504"/>
      <c r="E175" s="504"/>
      <c r="F175" s="504"/>
      <c r="G175" s="485"/>
      <c r="H175" s="12"/>
      <c r="I175" s="12"/>
      <c r="J175" s="98"/>
      <c r="K175" s="269"/>
      <c r="M175" s="7"/>
      <c r="N175" s="7"/>
      <c r="O175" s="7"/>
      <c r="P175" s="7"/>
      <c r="Q175" s="7"/>
      <c r="R175" s="7"/>
      <c r="S175" s="7"/>
      <c r="T175" s="7"/>
      <c r="U175" s="7"/>
      <c r="V175" s="7"/>
      <c r="W175" s="7"/>
      <c r="X175" s="7"/>
      <c r="Y175" s="489"/>
      <c r="Z175" s="489"/>
      <c r="AA175" s="7"/>
      <c r="AB175" s="7"/>
      <c r="AC175" s="7"/>
      <c r="AD175" s="7"/>
      <c r="AE175" s="7"/>
      <c r="AF175" s="7"/>
      <c r="AG175" s="489"/>
      <c r="AH175" s="489"/>
      <c r="AI175" s="7"/>
      <c r="AJ175" s="519"/>
      <c r="AK175" s="519"/>
      <c r="AL175" s="519"/>
      <c r="AM175" s="519"/>
      <c r="AN175" s="519"/>
      <c r="AO175" s="519"/>
    </row>
    <row r="176" spans="1:41" s="239" customFormat="1">
      <c r="A176" s="485"/>
      <c r="B176" s="4"/>
      <c r="C176" s="4"/>
      <c r="D176" s="504"/>
      <c r="E176" s="504"/>
      <c r="F176" s="504"/>
      <c r="G176" s="485"/>
      <c r="H176" s="12"/>
      <c r="I176" s="12"/>
      <c r="J176" s="98"/>
      <c r="K176" s="269"/>
      <c r="M176" s="7"/>
      <c r="N176" s="7"/>
      <c r="O176" s="7"/>
      <c r="P176" s="7"/>
      <c r="Q176" s="7"/>
      <c r="R176" s="7"/>
      <c r="S176" s="7"/>
      <c r="T176" s="7"/>
      <c r="U176" s="7"/>
      <c r="V176" s="7"/>
      <c r="W176" s="7"/>
      <c r="X176" s="7"/>
      <c r="Y176" s="489"/>
      <c r="Z176" s="489"/>
      <c r="AA176" s="7"/>
      <c r="AB176" s="7"/>
      <c r="AC176" s="7"/>
      <c r="AD176" s="7"/>
      <c r="AE176" s="7"/>
      <c r="AF176" s="7"/>
      <c r="AG176" s="489"/>
      <c r="AH176" s="489"/>
      <c r="AI176" s="7"/>
      <c r="AJ176" s="519"/>
      <c r="AK176" s="519"/>
      <c r="AL176" s="519"/>
      <c r="AM176" s="519"/>
      <c r="AN176" s="519"/>
      <c r="AO176" s="519"/>
    </row>
    <row r="177" spans="1:41" s="239" customFormat="1">
      <c r="A177" s="485"/>
      <c r="B177" s="4"/>
      <c r="C177" s="4"/>
      <c r="D177" s="504"/>
      <c r="E177" s="504"/>
      <c r="F177" s="504"/>
      <c r="G177" s="485"/>
      <c r="H177" s="12"/>
      <c r="I177" s="12"/>
      <c r="J177" s="98"/>
      <c r="K177" s="269"/>
      <c r="M177" s="7"/>
      <c r="N177" s="7"/>
      <c r="O177" s="7"/>
      <c r="P177" s="7"/>
      <c r="Q177" s="7"/>
      <c r="R177" s="7"/>
      <c r="S177" s="7"/>
      <c r="T177" s="7"/>
      <c r="U177" s="7"/>
      <c r="V177" s="7"/>
      <c r="W177" s="7"/>
      <c r="X177" s="7"/>
      <c r="Y177" s="489"/>
      <c r="Z177" s="489"/>
      <c r="AA177" s="7"/>
      <c r="AB177" s="7"/>
      <c r="AC177" s="7"/>
      <c r="AD177" s="7"/>
      <c r="AE177" s="7"/>
      <c r="AF177" s="7"/>
      <c r="AG177" s="489"/>
      <c r="AH177" s="489"/>
      <c r="AI177" s="7"/>
      <c r="AJ177" s="519"/>
      <c r="AK177" s="519"/>
      <c r="AL177" s="519"/>
      <c r="AM177" s="519"/>
      <c r="AN177" s="519"/>
      <c r="AO177" s="519"/>
    </row>
    <row r="178" spans="1:41" s="239" customFormat="1">
      <c r="A178" s="485"/>
      <c r="B178" s="4"/>
      <c r="C178" s="4"/>
      <c r="D178" s="504"/>
      <c r="E178" s="504"/>
      <c r="F178" s="504"/>
      <c r="G178" s="485"/>
      <c r="H178" s="12"/>
      <c r="I178" s="12"/>
      <c r="J178" s="98"/>
      <c r="K178" s="269"/>
      <c r="M178" s="7"/>
      <c r="N178" s="7"/>
      <c r="O178" s="7"/>
      <c r="P178" s="7"/>
      <c r="Q178" s="7"/>
      <c r="R178" s="7"/>
      <c r="S178" s="7"/>
      <c r="T178" s="7"/>
      <c r="U178" s="7"/>
      <c r="V178" s="7"/>
      <c r="W178" s="7"/>
      <c r="X178" s="7"/>
      <c r="Y178" s="489"/>
      <c r="Z178" s="489"/>
      <c r="AA178" s="7"/>
      <c r="AB178" s="7"/>
      <c r="AC178" s="7"/>
      <c r="AD178" s="7"/>
      <c r="AE178" s="7"/>
      <c r="AF178" s="7"/>
      <c r="AG178" s="489"/>
      <c r="AH178" s="489"/>
      <c r="AI178" s="7"/>
      <c r="AJ178" s="519"/>
      <c r="AK178" s="519"/>
      <c r="AL178" s="519"/>
      <c r="AM178" s="519"/>
      <c r="AN178" s="519"/>
      <c r="AO178" s="519"/>
    </row>
    <row r="179" spans="1:41" s="239" customFormat="1">
      <c r="A179" s="485"/>
      <c r="B179" s="4"/>
      <c r="C179" s="4"/>
      <c r="D179" s="504"/>
      <c r="E179" s="504"/>
      <c r="F179" s="504"/>
      <c r="G179" s="485"/>
      <c r="H179" s="12"/>
      <c r="I179" s="12"/>
      <c r="J179" s="98"/>
      <c r="K179" s="269"/>
      <c r="M179" s="7"/>
      <c r="N179" s="7"/>
      <c r="O179" s="7"/>
      <c r="P179" s="7"/>
      <c r="Q179" s="7"/>
      <c r="R179" s="7"/>
      <c r="S179" s="7"/>
      <c r="T179" s="7"/>
      <c r="U179" s="7"/>
      <c r="V179" s="7"/>
      <c r="W179" s="7"/>
      <c r="X179" s="7"/>
      <c r="Y179" s="489"/>
      <c r="Z179" s="489"/>
      <c r="AA179" s="7"/>
      <c r="AB179" s="7"/>
      <c r="AC179" s="7"/>
      <c r="AD179" s="7"/>
      <c r="AE179" s="7"/>
      <c r="AF179" s="7"/>
      <c r="AG179" s="489"/>
      <c r="AH179" s="489"/>
      <c r="AI179" s="7"/>
      <c r="AJ179" s="519"/>
      <c r="AK179" s="519"/>
      <c r="AL179" s="519"/>
      <c r="AM179" s="519"/>
      <c r="AN179" s="519"/>
      <c r="AO179" s="519"/>
    </row>
    <row r="180" spans="1:41" s="239" customFormat="1">
      <c r="A180" s="485"/>
      <c r="B180" s="4"/>
      <c r="C180" s="4"/>
      <c r="D180" s="504"/>
      <c r="E180" s="504"/>
      <c r="F180" s="504"/>
      <c r="G180" s="485"/>
      <c r="H180" s="12"/>
      <c r="I180" s="12"/>
      <c r="J180" s="98"/>
      <c r="K180" s="269"/>
      <c r="M180" s="7"/>
      <c r="N180" s="7"/>
      <c r="O180" s="7"/>
      <c r="P180" s="7"/>
      <c r="Q180" s="7"/>
      <c r="R180" s="7"/>
      <c r="S180" s="7"/>
      <c r="T180" s="7"/>
      <c r="U180" s="7"/>
      <c r="V180" s="7"/>
      <c r="W180" s="7"/>
      <c r="X180" s="7"/>
      <c r="Y180" s="489"/>
      <c r="Z180" s="489"/>
      <c r="AA180" s="7"/>
      <c r="AB180" s="7"/>
      <c r="AC180" s="7"/>
      <c r="AD180" s="7"/>
      <c r="AE180" s="7"/>
      <c r="AF180" s="7"/>
      <c r="AG180" s="489"/>
      <c r="AH180" s="489"/>
      <c r="AI180" s="7"/>
      <c r="AJ180" s="519"/>
      <c r="AK180" s="519"/>
      <c r="AL180" s="519"/>
      <c r="AM180" s="519"/>
      <c r="AN180" s="519"/>
      <c r="AO180" s="519"/>
    </row>
    <row r="181" spans="1:41" s="239" customFormat="1">
      <c r="A181" s="485"/>
      <c r="B181" s="4"/>
      <c r="C181" s="4"/>
      <c r="D181" s="504"/>
      <c r="E181" s="504"/>
      <c r="F181" s="504"/>
      <c r="G181" s="485"/>
      <c r="H181" s="12"/>
      <c r="I181" s="12"/>
      <c r="J181" s="98"/>
      <c r="K181" s="269"/>
      <c r="M181" s="7"/>
      <c r="N181" s="7"/>
      <c r="O181" s="7"/>
      <c r="P181" s="7"/>
      <c r="Q181" s="7"/>
      <c r="R181" s="7"/>
      <c r="S181" s="7"/>
      <c r="T181" s="7"/>
      <c r="U181" s="7"/>
      <c r="V181" s="7"/>
      <c r="W181" s="7"/>
      <c r="X181" s="7"/>
      <c r="Y181" s="489"/>
      <c r="Z181" s="489"/>
      <c r="AA181" s="7"/>
      <c r="AB181" s="7"/>
      <c r="AC181" s="7"/>
      <c r="AD181" s="7"/>
      <c r="AE181" s="7"/>
      <c r="AF181" s="7"/>
      <c r="AG181" s="489"/>
      <c r="AH181" s="489"/>
      <c r="AI181" s="7"/>
      <c r="AJ181" s="519"/>
      <c r="AK181" s="519"/>
      <c r="AL181" s="519"/>
      <c r="AM181" s="519"/>
      <c r="AN181" s="519"/>
      <c r="AO181" s="519"/>
    </row>
    <row r="182" spans="1:41" s="239" customFormat="1">
      <c r="A182" s="485"/>
      <c r="B182" s="4"/>
      <c r="C182" s="4"/>
      <c r="D182" s="504"/>
      <c r="E182" s="504"/>
      <c r="F182" s="504"/>
      <c r="G182" s="485"/>
      <c r="H182" s="12"/>
      <c r="I182" s="12"/>
      <c r="J182" s="98"/>
      <c r="K182" s="269"/>
      <c r="M182" s="7"/>
      <c r="N182" s="7"/>
      <c r="O182" s="7"/>
      <c r="P182" s="7"/>
      <c r="Q182" s="7"/>
      <c r="R182" s="7"/>
      <c r="S182" s="7"/>
      <c r="T182" s="7"/>
      <c r="U182" s="7"/>
      <c r="V182" s="7"/>
      <c r="W182" s="7"/>
      <c r="X182" s="7"/>
      <c r="Y182" s="489"/>
      <c r="Z182" s="489"/>
      <c r="AA182" s="7"/>
      <c r="AB182" s="7"/>
      <c r="AC182" s="7"/>
      <c r="AD182" s="7"/>
      <c r="AE182" s="7"/>
      <c r="AF182" s="7"/>
      <c r="AG182" s="489"/>
      <c r="AH182" s="489"/>
      <c r="AI182" s="7"/>
      <c r="AJ182" s="519"/>
      <c r="AK182" s="519"/>
      <c r="AL182" s="519"/>
      <c r="AM182" s="519"/>
      <c r="AN182" s="519"/>
      <c r="AO182" s="519"/>
    </row>
    <row r="183" spans="1:41" s="239" customFormat="1">
      <c r="A183" s="485"/>
      <c r="B183" s="4"/>
      <c r="C183" s="4"/>
      <c r="D183" s="504"/>
      <c r="E183" s="504"/>
      <c r="F183" s="504"/>
      <c r="G183" s="485"/>
      <c r="H183" s="12"/>
      <c r="I183" s="12"/>
      <c r="J183" s="98"/>
      <c r="K183" s="269"/>
      <c r="M183" s="7"/>
      <c r="N183" s="7"/>
      <c r="O183" s="7"/>
      <c r="P183" s="7"/>
      <c r="Q183" s="7"/>
      <c r="R183" s="7"/>
      <c r="S183" s="7"/>
      <c r="T183" s="7"/>
      <c r="U183" s="7"/>
      <c r="V183" s="7"/>
      <c r="W183" s="7"/>
      <c r="X183" s="7"/>
      <c r="Y183" s="489"/>
      <c r="Z183" s="489"/>
      <c r="AA183" s="7"/>
      <c r="AB183" s="7"/>
      <c r="AC183" s="7"/>
      <c r="AD183" s="7"/>
      <c r="AE183" s="7"/>
      <c r="AF183" s="7"/>
      <c r="AG183" s="489"/>
      <c r="AH183" s="489"/>
      <c r="AI183" s="7"/>
      <c r="AJ183" s="519"/>
      <c r="AK183" s="519"/>
      <c r="AL183" s="519"/>
      <c r="AM183" s="519"/>
      <c r="AN183" s="519"/>
      <c r="AO183" s="519"/>
    </row>
    <row r="184" spans="1:41" s="239" customFormat="1">
      <c r="A184" s="485"/>
      <c r="B184" s="4"/>
      <c r="C184" s="4"/>
      <c r="D184" s="504"/>
      <c r="E184" s="504"/>
      <c r="F184" s="504"/>
      <c r="G184" s="485"/>
      <c r="H184" s="12"/>
      <c r="I184" s="12"/>
      <c r="J184" s="98"/>
      <c r="K184" s="269"/>
      <c r="M184" s="7"/>
      <c r="N184" s="7"/>
      <c r="O184" s="7"/>
      <c r="P184" s="7"/>
      <c r="Q184" s="7"/>
      <c r="R184" s="7"/>
      <c r="S184" s="7"/>
      <c r="T184" s="7"/>
      <c r="U184" s="7"/>
      <c r="V184" s="7"/>
      <c r="W184" s="7"/>
      <c r="X184" s="7"/>
      <c r="Y184" s="489"/>
      <c r="Z184" s="489"/>
      <c r="AA184" s="7"/>
      <c r="AB184" s="7"/>
      <c r="AC184" s="7"/>
      <c r="AD184" s="7"/>
      <c r="AE184" s="7"/>
      <c r="AF184" s="7"/>
      <c r="AG184" s="489"/>
      <c r="AH184" s="489"/>
      <c r="AI184" s="7"/>
      <c r="AJ184" s="519"/>
      <c r="AK184" s="519"/>
      <c r="AL184" s="519"/>
      <c r="AM184" s="519"/>
      <c r="AN184" s="519"/>
      <c r="AO184" s="519"/>
    </row>
    <row r="185" spans="1:41" s="239" customFormat="1">
      <c r="A185" s="485"/>
      <c r="B185" s="4"/>
      <c r="C185" s="4"/>
      <c r="D185" s="504"/>
      <c r="E185" s="504"/>
      <c r="F185" s="504"/>
      <c r="G185" s="485"/>
      <c r="H185" s="12"/>
      <c r="I185" s="12"/>
      <c r="J185" s="98"/>
      <c r="K185" s="269"/>
      <c r="M185" s="7"/>
      <c r="N185" s="7"/>
      <c r="O185" s="7"/>
      <c r="P185" s="7"/>
      <c r="Q185" s="7"/>
      <c r="R185" s="7"/>
      <c r="S185" s="7"/>
      <c r="T185" s="7"/>
      <c r="U185" s="7"/>
      <c r="V185" s="7"/>
      <c r="W185" s="7"/>
      <c r="X185" s="7"/>
      <c r="Y185" s="489"/>
      <c r="Z185" s="489"/>
      <c r="AA185" s="7"/>
      <c r="AB185" s="7"/>
      <c r="AC185" s="7"/>
      <c r="AD185" s="7"/>
      <c r="AE185" s="7"/>
      <c r="AF185" s="7"/>
      <c r="AG185" s="489"/>
      <c r="AH185" s="489"/>
      <c r="AI185" s="7"/>
      <c r="AJ185" s="519"/>
      <c r="AK185" s="519"/>
      <c r="AL185" s="519"/>
      <c r="AM185" s="519"/>
      <c r="AN185" s="519"/>
      <c r="AO185" s="519"/>
    </row>
    <row r="186" spans="1:41" s="239" customFormat="1">
      <c r="A186" s="485"/>
      <c r="B186" s="4"/>
      <c r="C186" s="4"/>
      <c r="D186" s="504"/>
      <c r="E186" s="504"/>
      <c r="F186" s="504"/>
      <c r="G186" s="485"/>
      <c r="H186" s="12"/>
      <c r="I186" s="12"/>
      <c r="J186" s="98"/>
      <c r="K186" s="269"/>
      <c r="M186" s="7"/>
      <c r="N186" s="7"/>
      <c r="O186" s="7"/>
      <c r="P186" s="7"/>
      <c r="Q186" s="7"/>
      <c r="R186" s="7"/>
      <c r="S186" s="7"/>
      <c r="T186" s="7"/>
      <c r="U186" s="7"/>
      <c r="V186" s="7"/>
      <c r="W186" s="7"/>
      <c r="X186" s="7"/>
      <c r="Y186" s="489"/>
      <c r="Z186" s="489"/>
      <c r="AA186" s="7"/>
      <c r="AB186" s="7"/>
      <c r="AC186" s="7"/>
      <c r="AD186" s="7"/>
      <c r="AE186" s="7"/>
      <c r="AF186" s="7"/>
      <c r="AG186" s="489"/>
      <c r="AH186" s="489"/>
      <c r="AI186" s="7"/>
      <c r="AJ186" s="519"/>
      <c r="AK186" s="519"/>
      <c r="AL186" s="519"/>
      <c r="AM186" s="519"/>
      <c r="AN186" s="519"/>
      <c r="AO186" s="519"/>
    </row>
    <row r="187" spans="1:41" s="239" customFormat="1">
      <c r="A187" s="485"/>
      <c r="B187" s="4"/>
      <c r="C187" s="4"/>
      <c r="D187" s="504"/>
      <c r="E187" s="504"/>
      <c r="F187" s="504"/>
      <c r="G187" s="485"/>
      <c r="H187" s="12"/>
      <c r="I187" s="12"/>
      <c r="J187" s="98"/>
      <c r="K187" s="269"/>
      <c r="M187" s="7"/>
      <c r="N187" s="7"/>
      <c r="O187" s="7"/>
      <c r="P187" s="7"/>
      <c r="Q187" s="7"/>
      <c r="R187" s="7"/>
      <c r="S187" s="7"/>
      <c r="T187" s="7"/>
      <c r="U187" s="7"/>
      <c r="V187" s="7"/>
      <c r="W187" s="7"/>
      <c r="X187" s="7"/>
      <c r="Y187" s="489"/>
      <c r="Z187" s="489"/>
      <c r="AA187" s="7"/>
      <c r="AB187" s="7"/>
      <c r="AC187" s="7"/>
      <c r="AD187" s="7"/>
      <c r="AE187" s="7"/>
      <c r="AF187" s="7"/>
      <c r="AG187" s="489"/>
      <c r="AH187" s="489"/>
      <c r="AI187" s="7"/>
      <c r="AJ187" s="519"/>
      <c r="AK187" s="519"/>
      <c r="AL187" s="519"/>
      <c r="AM187" s="519"/>
      <c r="AN187" s="519"/>
      <c r="AO187" s="519"/>
    </row>
    <row r="188" spans="1:41" s="239" customFormat="1">
      <c r="A188" s="485"/>
      <c r="B188" s="4"/>
      <c r="C188" s="4"/>
      <c r="D188" s="504"/>
      <c r="E188" s="504"/>
      <c r="F188" s="504"/>
      <c r="G188" s="485"/>
      <c r="H188" s="12"/>
      <c r="I188" s="12"/>
      <c r="J188" s="98"/>
      <c r="K188" s="269"/>
      <c r="M188" s="7"/>
      <c r="N188" s="7"/>
      <c r="O188" s="7"/>
      <c r="P188" s="7"/>
      <c r="Q188" s="7"/>
      <c r="R188" s="7"/>
      <c r="S188" s="7"/>
      <c r="T188" s="7"/>
      <c r="U188" s="7"/>
      <c r="V188" s="7"/>
      <c r="W188" s="7"/>
      <c r="X188" s="7"/>
      <c r="Y188" s="489"/>
      <c r="Z188" s="489"/>
      <c r="AA188" s="7"/>
      <c r="AB188" s="7"/>
      <c r="AC188" s="7"/>
      <c r="AD188" s="7"/>
      <c r="AE188" s="7"/>
      <c r="AF188" s="7"/>
      <c r="AG188" s="489"/>
      <c r="AH188" s="489"/>
      <c r="AI188" s="7"/>
      <c r="AJ188" s="519"/>
      <c r="AK188" s="519"/>
      <c r="AL188" s="519"/>
      <c r="AM188" s="519"/>
      <c r="AN188" s="519"/>
      <c r="AO188" s="519"/>
    </row>
    <row r="189" spans="1:41" s="239" customFormat="1">
      <c r="A189" s="485"/>
      <c r="B189" s="4"/>
      <c r="C189" s="4"/>
      <c r="D189" s="504"/>
      <c r="E189" s="504"/>
      <c r="F189" s="504"/>
      <c r="G189" s="485"/>
      <c r="H189" s="12"/>
      <c r="I189" s="12"/>
      <c r="J189" s="98"/>
      <c r="K189" s="269"/>
      <c r="M189" s="7"/>
      <c r="N189" s="7"/>
      <c r="O189" s="7"/>
      <c r="P189" s="7"/>
      <c r="Q189" s="7"/>
      <c r="R189" s="7"/>
      <c r="S189" s="7"/>
      <c r="T189" s="7"/>
      <c r="U189" s="7"/>
      <c r="V189" s="7"/>
      <c r="W189" s="7"/>
      <c r="X189" s="7"/>
      <c r="Y189" s="489"/>
      <c r="Z189" s="489"/>
      <c r="AA189" s="7"/>
      <c r="AB189" s="7"/>
      <c r="AC189" s="7"/>
      <c r="AD189" s="7"/>
      <c r="AE189" s="7"/>
      <c r="AF189" s="7"/>
      <c r="AG189" s="489"/>
      <c r="AH189" s="489"/>
      <c r="AI189" s="7"/>
      <c r="AJ189" s="519"/>
      <c r="AK189" s="519"/>
      <c r="AL189" s="519"/>
      <c r="AM189" s="519"/>
      <c r="AN189" s="519"/>
      <c r="AO189" s="519"/>
    </row>
    <row r="190" spans="1:41" s="239" customFormat="1">
      <c r="A190" s="485"/>
      <c r="B190" s="4"/>
      <c r="C190" s="4"/>
      <c r="D190" s="504"/>
      <c r="E190" s="504"/>
      <c r="F190" s="504"/>
      <c r="G190" s="485"/>
      <c r="H190" s="12"/>
      <c r="I190" s="12"/>
      <c r="J190" s="98"/>
      <c r="K190" s="269"/>
      <c r="M190" s="7"/>
      <c r="N190" s="7"/>
      <c r="O190" s="7"/>
      <c r="P190" s="7"/>
      <c r="Q190" s="7"/>
      <c r="R190" s="7"/>
      <c r="S190" s="7"/>
      <c r="T190" s="7"/>
      <c r="U190" s="7"/>
      <c r="V190" s="7"/>
      <c r="W190" s="7"/>
      <c r="X190" s="7"/>
      <c r="Y190" s="489"/>
      <c r="Z190" s="489"/>
      <c r="AA190" s="7"/>
      <c r="AB190" s="7"/>
      <c r="AC190" s="7"/>
      <c r="AD190" s="7"/>
      <c r="AE190" s="7"/>
      <c r="AF190" s="7"/>
      <c r="AG190" s="489"/>
      <c r="AH190" s="489"/>
      <c r="AI190" s="7"/>
      <c r="AJ190" s="519"/>
      <c r="AK190" s="519"/>
      <c r="AL190" s="519"/>
      <c r="AM190" s="519"/>
      <c r="AN190" s="519"/>
      <c r="AO190" s="519"/>
    </row>
    <row r="191" spans="1:41" s="239" customFormat="1">
      <c r="A191" s="485"/>
      <c r="B191" s="4"/>
      <c r="C191" s="4"/>
      <c r="D191" s="504"/>
      <c r="E191" s="504"/>
      <c r="F191" s="504"/>
      <c r="G191" s="485"/>
      <c r="H191" s="12"/>
      <c r="I191" s="12"/>
      <c r="J191" s="98"/>
      <c r="K191" s="269"/>
      <c r="M191" s="7"/>
      <c r="N191" s="7"/>
      <c r="O191" s="7"/>
      <c r="P191" s="7"/>
      <c r="Q191" s="7"/>
      <c r="R191" s="7"/>
      <c r="S191" s="7"/>
      <c r="T191" s="7"/>
      <c r="U191" s="7"/>
      <c r="V191" s="7"/>
      <c r="W191" s="7"/>
      <c r="X191" s="7"/>
      <c r="Y191" s="489"/>
      <c r="Z191" s="489"/>
      <c r="AA191" s="7"/>
      <c r="AB191" s="7"/>
      <c r="AC191" s="7"/>
      <c r="AD191" s="7"/>
      <c r="AE191" s="7"/>
      <c r="AF191" s="7"/>
      <c r="AG191" s="489"/>
      <c r="AH191" s="489"/>
      <c r="AI191" s="7"/>
      <c r="AJ191" s="519"/>
      <c r="AK191" s="519"/>
      <c r="AL191" s="519"/>
      <c r="AM191" s="519"/>
      <c r="AN191" s="519"/>
      <c r="AO191" s="519"/>
    </row>
    <row r="192" spans="1:41" s="239" customFormat="1">
      <c r="A192" s="485"/>
      <c r="B192" s="4"/>
      <c r="C192" s="4"/>
      <c r="D192" s="504"/>
      <c r="E192" s="504"/>
      <c r="F192" s="504"/>
      <c r="G192" s="485"/>
      <c r="H192" s="12"/>
      <c r="I192" s="12"/>
      <c r="J192" s="98"/>
      <c r="K192" s="269"/>
      <c r="M192" s="7"/>
      <c r="N192" s="7"/>
      <c r="O192" s="7"/>
      <c r="P192" s="7"/>
      <c r="Q192" s="7"/>
      <c r="R192" s="7"/>
      <c r="S192" s="7"/>
      <c r="T192" s="7"/>
      <c r="U192" s="7"/>
      <c r="V192" s="7"/>
      <c r="W192" s="7"/>
      <c r="X192" s="7"/>
      <c r="Y192" s="489"/>
      <c r="Z192" s="489"/>
      <c r="AA192" s="7"/>
      <c r="AB192" s="7"/>
      <c r="AC192" s="7"/>
      <c r="AD192" s="7"/>
      <c r="AE192" s="7"/>
      <c r="AF192" s="7"/>
      <c r="AG192" s="489"/>
      <c r="AH192" s="489"/>
      <c r="AI192" s="7"/>
      <c r="AJ192" s="519"/>
      <c r="AK192" s="519"/>
      <c r="AL192" s="519"/>
      <c r="AM192" s="519"/>
      <c r="AN192" s="519"/>
      <c r="AO192" s="519"/>
    </row>
    <row r="193" spans="1:41" s="239" customFormat="1">
      <c r="A193" s="485"/>
      <c r="B193" s="4"/>
      <c r="C193" s="4"/>
      <c r="D193" s="504"/>
      <c r="E193" s="504"/>
      <c r="F193" s="504"/>
      <c r="G193" s="485"/>
      <c r="H193" s="12"/>
      <c r="I193" s="12"/>
      <c r="J193" s="98"/>
      <c r="K193" s="269"/>
      <c r="M193" s="7"/>
      <c r="N193" s="7"/>
      <c r="O193" s="7"/>
      <c r="P193" s="7"/>
      <c r="Q193" s="7"/>
      <c r="R193" s="7"/>
      <c r="S193" s="7"/>
      <c r="T193" s="7"/>
      <c r="U193" s="7"/>
      <c r="V193" s="7"/>
      <c r="W193" s="7"/>
      <c r="X193" s="7"/>
      <c r="Y193" s="489"/>
      <c r="Z193" s="489"/>
      <c r="AA193" s="7"/>
      <c r="AB193" s="7"/>
      <c r="AC193" s="7"/>
      <c r="AD193" s="7"/>
      <c r="AE193" s="7"/>
      <c r="AF193" s="7"/>
      <c r="AG193" s="489"/>
      <c r="AH193" s="489"/>
      <c r="AI193" s="7"/>
      <c r="AJ193" s="519"/>
      <c r="AK193" s="519"/>
      <c r="AL193" s="519"/>
      <c r="AM193" s="519"/>
      <c r="AN193" s="519"/>
      <c r="AO193" s="519"/>
    </row>
    <row r="194" spans="1:41" s="239" customFormat="1">
      <c r="A194" s="485"/>
      <c r="B194" s="4"/>
      <c r="C194" s="4"/>
      <c r="D194" s="504"/>
      <c r="E194" s="504"/>
      <c r="F194" s="504"/>
      <c r="G194" s="485"/>
      <c r="H194" s="12"/>
      <c r="I194" s="12"/>
      <c r="J194" s="98"/>
      <c r="K194" s="269"/>
      <c r="M194" s="7"/>
      <c r="N194" s="7"/>
      <c r="O194" s="7"/>
      <c r="P194" s="7"/>
      <c r="Q194" s="7"/>
      <c r="R194" s="7"/>
      <c r="S194" s="7"/>
      <c r="T194" s="7"/>
      <c r="U194" s="7"/>
      <c r="V194" s="7"/>
      <c r="W194" s="7"/>
      <c r="X194" s="7"/>
      <c r="Y194" s="489"/>
      <c r="Z194" s="489"/>
      <c r="AA194" s="7"/>
      <c r="AB194" s="7"/>
      <c r="AC194" s="7"/>
      <c r="AD194" s="7"/>
      <c r="AE194" s="7"/>
      <c r="AF194" s="7"/>
      <c r="AG194" s="489"/>
      <c r="AH194" s="489"/>
      <c r="AI194" s="7"/>
      <c r="AJ194" s="519"/>
      <c r="AK194" s="519"/>
      <c r="AL194" s="519"/>
      <c r="AM194" s="519"/>
      <c r="AN194" s="519"/>
      <c r="AO194" s="519"/>
    </row>
    <row r="195" spans="1:41" s="239" customFormat="1">
      <c r="A195" s="485"/>
      <c r="B195" s="4"/>
      <c r="C195" s="4"/>
      <c r="D195" s="504"/>
      <c r="E195" s="504"/>
      <c r="F195" s="504"/>
      <c r="G195" s="485"/>
      <c r="H195" s="12"/>
      <c r="I195" s="12"/>
      <c r="J195" s="98"/>
      <c r="K195" s="269"/>
      <c r="M195" s="7"/>
      <c r="N195" s="7"/>
      <c r="O195" s="7"/>
      <c r="P195" s="7"/>
      <c r="Q195" s="7"/>
      <c r="R195" s="7"/>
      <c r="S195" s="7"/>
      <c r="T195" s="7"/>
      <c r="U195" s="7"/>
      <c r="V195" s="7"/>
      <c r="W195" s="7"/>
      <c r="X195" s="7"/>
      <c r="Y195" s="489"/>
      <c r="Z195" s="489"/>
      <c r="AA195" s="7"/>
      <c r="AB195" s="7"/>
      <c r="AC195" s="7"/>
      <c r="AD195" s="7"/>
      <c r="AE195" s="7"/>
      <c r="AF195" s="7"/>
      <c r="AG195" s="489"/>
      <c r="AH195" s="489"/>
      <c r="AI195" s="7"/>
      <c r="AJ195" s="519"/>
      <c r="AK195" s="519"/>
      <c r="AL195" s="519"/>
      <c r="AM195" s="519"/>
      <c r="AN195" s="519"/>
      <c r="AO195" s="519"/>
    </row>
    <row r="196" spans="1:41" s="239" customFormat="1">
      <c r="A196" s="485"/>
      <c r="B196" s="4"/>
      <c r="C196" s="4"/>
      <c r="D196" s="504"/>
      <c r="E196" s="504"/>
      <c r="F196" s="504"/>
      <c r="G196" s="485"/>
      <c r="H196" s="12"/>
      <c r="I196" s="12"/>
      <c r="J196" s="98"/>
      <c r="K196" s="269"/>
      <c r="M196" s="7"/>
      <c r="N196" s="7"/>
      <c r="O196" s="7"/>
      <c r="P196" s="7"/>
      <c r="Q196" s="7"/>
      <c r="R196" s="7"/>
      <c r="S196" s="7"/>
      <c r="T196" s="7"/>
      <c r="U196" s="7"/>
      <c r="V196" s="7"/>
      <c r="W196" s="7"/>
      <c r="X196" s="7"/>
      <c r="Y196" s="489"/>
      <c r="Z196" s="489"/>
      <c r="AA196" s="7"/>
      <c r="AB196" s="7"/>
      <c r="AC196" s="7"/>
      <c r="AD196" s="7"/>
      <c r="AE196" s="7"/>
      <c r="AF196" s="7"/>
      <c r="AG196" s="489"/>
      <c r="AH196" s="489"/>
      <c r="AI196" s="7"/>
      <c r="AJ196" s="519"/>
      <c r="AK196" s="519"/>
      <c r="AL196" s="519"/>
      <c r="AM196" s="519"/>
      <c r="AN196" s="519"/>
      <c r="AO196" s="519"/>
    </row>
    <row r="197" spans="1:41" s="239" customFormat="1">
      <c r="A197" s="485"/>
      <c r="B197" s="4"/>
      <c r="C197" s="4"/>
      <c r="D197" s="504"/>
      <c r="E197" s="504"/>
      <c r="F197" s="504"/>
      <c r="G197" s="485"/>
      <c r="H197" s="12"/>
      <c r="I197" s="12"/>
      <c r="J197" s="98"/>
      <c r="K197" s="269"/>
      <c r="M197" s="7"/>
      <c r="N197" s="7"/>
      <c r="O197" s="7"/>
      <c r="P197" s="7"/>
      <c r="Q197" s="7"/>
      <c r="R197" s="7"/>
      <c r="S197" s="7"/>
      <c r="T197" s="7"/>
      <c r="U197" s="7"/>
      <c r="V197" s="7"/>
      <c r="W197" s="7"/>
      <c r="X197" s="7"/>
      <c r="Y197" s="489"/>
      <c r="Z197" s="489"/>
      <c r="AA197" s="7"/>
      <c r="AB197" s="7"/>
      <c r="AC197" s="7"/>
      <c r="AD197" s="7"/>
      <c r="AE197" s="7"/>
      <c r="AF197" s="7"/>
      <c r="AG197" s="489"/>
      <c r="AH197" s="489"/>
      <c r="AI197" s="7"/>
      <c r="AJ197" s="519"/>
      <c r="AK197" s="519"/>
      <c r="AL197" s="519"/>
      <c r="AM197" s="519"/>
      <c r="AN197" s="519"/>
      <c r="AO197" s="519"/>
    </row>
    <row r="198" spans="1:41" s="239" customFormat="1">
      <c r="A198" s="485"/>
      <c r="B198" s="4"/>
      <c r="C198" s="4"/>
      <c r="D198" s="504"/>
      <c r="E198" s="504"/>
      <c r="F198" s="504"/>
      <c r="G198" s="485"/>
      <c r="H198" s="12"/>
      <c r="I198" s="12"/>
      <c r="J198" s="98"/>
      <c r="K198" s="269"/>
      <c r="M198" s="7"/>
      <c r="N198" s="7"/>
      <c r="O198" s="7"/>
      <c r="P198" s="7"/>
      <c r="Q198" s="7"/>
      <c r="R198" s="7"/>
      <c r="S198" s="7"/>
      <c r="T198" s="7"/>
      <c r="U198" s="7"/>
      <c r="V198" s="7"/>
      <c r="W198" s="7"/>
      <c r="X198" s="7"/>
      <c r="Y198" s="489"/>
      <c r="Z198" s="489"/>
      <c r="AA198" s="7"/>
      <c r="AB198" s="7"/>
      <c r="AC198" s="7"/>
      <c r="AD198" s="7"/>
      <c r="AE198" s="7"/>
      <c r="AF198" s="7"/>
      <c r="AG198" s="489"/>
      <c r="AH198" s="489"/>
      <c r="AI198" s="7"/>
      <c r="AJ198" s="519"/>
      <c r="AK198" s="519"/>
      <c r="AL198" s="519"/>
      <c r="AM198" s="519"/>
      <c r="AN198" s="519"/>
      <c r="AO198" s="519"/>
    </row>
    <row r="199" spans="1:41" s="239" customFormat="1">
      <c r="A199" s="485"/>
      <c r="B199" s="4"/>
      <c r="C199" s="4"/>
      <c r="D199" s="504"/>
      <c r="E199" s="504"/>
      <c r="F199" s="504"/>
      <c r="G199" s="485"/>
      <c r="H199" s="12"/>
      <c r="I199" s="12"/>
      <c r="J199" s="98"/>
      <c r="K199" s="269"/>
      <c r="M199" s="7"/>
      <c r="N199" s="7"/>
      <c r="O199" s="7"/>
      <c r="P199" s="7"/>
      <c r="Q199" s="7"/>
      <c r="R199" s="7"/>
      <c r="S199" s="7"/>
      <c r="T199" s="7"/>
      <c r="U199" s="7"/>
      <c r="V199" s="7"/>
      <c r="W199" s="7"/>
      <c r="X199" s="7"/>
      <c r="Y199" s="489"/>
      <c r="Z199" s="489"/>
      <c r="AA199" s="7"/>
      <c r="AB199" s="7"/>
      <c r="AC199" s="7"/>
      <c r="AD199" s="7"/>
      <c r="AE199" s="7"/>
      <c r="AF199" s="7"/>
      <c r="AG199" s="489"/>
      <c r="AH199" s="489"/>
      <c r="AI199" s="7"/>
      <c r="AJ199" s="519"/>
      <c r="AK199" s="519"/>
      <c r="AL199" s="519"/>
      <c r="AM199" s="519"/>
      <c r="AN199" s="519"/>
      <c r="AO199" s="519"/>
    </row>
    <row r="200" spans="1:41" s="239" customFormat="1">
      <c r="A200" s="485"/>
      <c r="B200" s="4"/>
      <c r="C200" s="4"/>
      <c r="D200" s="504"/>
      <c r="E200" s="504"/>
      <c r="F200" s="504"/>
      <c r="G200" s="485"/>
      <c r="H200" s="12"/>
      <c r="I200" s="12"/>
      <c r="J200" s="98"/>
      <c r="K200" s="269"/>
      <c r="M200" s="7"/>
      <c r="N200" s="7"/>
      <c r="O200" s="7"/>
      <c r="P200" s="7"/>
      <c r="Q200" s="7"/>
      <c r="R200" s="7"/>
      <c r="S200" s="7"/>
      <c r="T200" s="7"/>
      <c r="U200" s="7"/>
      <c r="V200" s="7"/>
      <c r="W200" s="7"/>
      <c r="X200" s="7"/>
      <c r="Y200" s="489"/>
      <c r="Z200" s="489"/>
      <c r="AA200" s="7"/>
      <c r="AB200" s="7"/>
      <c r="AC200" s="7"/>
      <c r="AD200" s="7"/>
      <c r="AE200" s="7"/>
      <c r="AF200" s="7"/>
      <c r="AG200" s="489"/>
      <c r="AH200" s="489"/>
      <c r="AI200" s="7"/>
      <c r="AJ200" s="519"/>
      <c r="AK200" s="519"/>
      <c r="AL200" s="519"/>
      <c r="AM200" s="519"/>
      <c r="AN200" s="519"/>
      <c r="AO200" s="519"/>
    </row>
    <row r="201" spans="1:41" s="239" customFormat="1">
      <c r="A201" s="485"/>
      <c r="B201" s="4"/>
      <c r="C201" s="4"/>
      <c r="D201" s="504"/>
      <c r="E201" s="504"/>
      <c r="F201" s="504"/>
      <c r="G201" s="485"/>
      <c r="H201" s="12"/>
      <c r="I201" s="12"/>
      <c r="J201" s="98"/>
      <c r="K201" s="269"/>
      <c r="M201" s="7"/>
      <c r="N201" s="7"/>
      <c r="O201" s="7"/>
      <c r="P201" s="7"/>
      <c r="Q201" s="7"/>
      <c r="R201" s="7"/>
      <c r="S201" s="7"/>
      <c r="T201" s="7"/>
      <c r="U201" s="7"/>
      <c r="V201" s="7"/>
      <c r="W201" s="7"/>
      <c r="X201" s="7"/>
      <c r="Y201" s="489"/>
      <c r="Z201" s="489"/>
      <c r="AA201" s="7"/>
      <c r="AB201" s="7"/>
      <c r="AC201" s="7"/>
      <c r="AD201" s="7"/>
      <c r="AE201" s="7"/>
      <c r="AF201" s="7"/>
      <c r="AG201" s="489"/>
      <c r="AH201" s="489"/>
      <c r="AI201" s="7"/>
      <c r="AJ201" s="519"/>
      <c r="AK201" s="519"/>
      <c r="AL201" s="519"/>
      <c r="AM201" s="519"/>
      <c r="AN201" s="519"/>
      <c r="AO201" s="519"/>
    </row>
    <row r="202" spans="1:41" s="239" customFormat="1">
      <c r="A202" s="485"/>
      <c r="B202" s="4"/>
      <c r="C202" s="4"/>
      <c r="D202" s="504"/>
      <c r="E202" s="504"/>
      <c r="F202" s="504"/>
      <c r="G202" s="485"/>
      <c r="H202" s="12"/>
      <c r="I202" s="12"/>
      <c r="J202" s="98"/>
      <c r="K202" s="269"/>
      <c r="M202" s="7"/>
      <c r="N202" s="7"/>
      <c r="O202" s="7"/>
      <c r="P202" s="7"/>
      <c r="Q202" s="7"/>
      <c r="R202" s="7"/>
      <c r="S202" s="7"/>
      <c r="T202" s="7"/>
      <c r="U202" s="7"/>
      <c r="V202" s="7"/>
      <c r="W202" s="7"/>
      <c r="X202" s="7"/>
      <c r="Y202" s="489"/>
      <c r="Z202" s="489"/>
      <c r="AA202" s="7"/>
      <c r="AB202" s="7"/>
      <c r="AC202" s="7"/>
      <c r="AD202" s="7"/>
      <c r="AE202" s="7"/>
      <c r="AF202" s="7"/>
      <c r="AG202" s="489"/>
      <c r="AH202" s="489"/>
      <c r="AI202" s="7"/>
      <c r="AJ202" s="519"/>
      <c r="AK202" s="519"/>
      <c r="AL202" s="519"/>
      <c r="AM202" s="519"/>
      <c r="AN202" s="519"/>
      <c r="AO202" s="519"/>
    </row>
    <row r="203" spans="1:41" s="239" customFormat="1">
      <c r="A203" s="485"/>
      <c r="B203" s="4"/>
      <c r="C203" s="4"/>
      <c r="D203" s="504"/>
      <c r="E203" s="504"/>
      <c r="F203" s="504"/>
      <c r="G203" s="485"/>
      <c r="H203" s="12"/>
      <c r="I203" s="12"/>
      <c r="J203" s="98"/>
      <c r="K203" s="269"/>
      <c r="M203" s="7"/>
      <c r="N203" s="7"/>
      <c r="O203" s="7"/>
      <c r="P203" s="7"/>
      <c r="Q203" s="7"/>
      <c r="R203" s="7"/>
      <c r="S203" s="7"/>
      <c r="T203" s="7"/>
      <c r="U203" s="7"/>
      <c r="V203" s="7"/>
      <c r="W203" s="7"/>
      <c r="X203" s="7"/>
      <c r="Y203" s="489"/>
      <c r="Z203" s="489"/>
      <c r="AA203" s="7"/>
      <c r="AB203" s="7"/>
      <c r="AC203" s="7"/>
      <c r="AD203" s="7"/>
      <c r="AE203" s="7"/>
      <c r="AF203" s="7"/>
      <c r="AG203" s="489"/>
      <c r="AH203" s="489"/>
      <c r="AI203" s="7"/>
      <c r="AJ203" s="519"/>
      <c r="AK203" s="519"/>
      <c r="AL203" s="519"/>
      <c r="AM203" s="519"/>
      <c r="AN203" s="519"/>
      <c r="AO203" s="519"/>
    </row>
    <row r="204" spans="1:41" s="239" customFormat="1">
      <c r="A204" s="485"/>
      <c r="B204" s="4"/>
      <c r="C204" s="4"/>
      <c r="D204" s="504"/>
      <c r="E204" s="504"/>
      <c r="F204" s="504"/>
      <c r="G204" s="485"/>
      <c r="H204" s="12"/>
      <c r="I204" s="12"/>
      <c r="J204" s="98"/>
      <c r="K204" s="269"/>
      <c r="M204" s="7"/>
      <c r="N204" s="7"/>
      <c r="O204" s="7"/>
      <c r="P204" s="7"/>
      <c r="Q204" s="7"/>
      <c r="R204" s="7"/>
      <c r="S204" s="7"/>
      <c r="T204" s="7"/>
      <c r="U204" s="7"/>
      <c r="V204" s="7"/>
      <c r="W204" s="7"/>
      <c r="X204" s="7"/>
      <c r="Y204" s="489"/>
      <c r="Z204" s="489"/>
      <c r="AA204" s="7"/>
      <c r="AB204" s="7"/>
      <c r="AC204" s="7"/>
      <c r="AD204" s="7"/>
      <c r="AE204" s="7"/>
      <c r="AF204" s="7"/>
      <c r="AG204" s="489"/>
      <c r="AH204" s="489"/>
      <c r="AI204" s="7"/>
      <c r="AJ204" s="519"/>
      <c r="AK204" s="519"/>
      <c r="AL204" s="519"/>
      <c r="AM204" s="519"/>
      <c r="AN204" s="519"/>
      <c r="AO204" s="519"/>
    </row>
    <row r="205" spans="1:41" s="239" customFormat="1">
      <c r="A205" s="485"/>
      <c r="B205" s="4"/>
      <c r="C205" s="4"/>
      <c r="D205" s="504"/>
      <c r="E205" s="504"/>
      <c r="F205" s="504"/>
      <c r="G205" s="485"/>
      <c r="H205" s="12"/>
      <c r="I205" s="12"/>
      <c r="J205" s="98"/>
      <c r="K205" s="269"/>
      <c r="M205" s="7"/>
      <c r="N205" s="7"/>
      <c r="O205" s="7"/>
      <c r="P205" s="7"/>
      <c r="Q205" s="7"/>
      <c r="R205" s="7"/>
      <c r="S205" s="7"/>
      <c r="T205" s="7"/>
      <c r="U205" s="7"/>
      <c r="V205" s="7"/>
      <c r="W205" s="7"/>
      <c r="X205" s="7"/>
      <c r="Y205" s="489"/>
      <c r="Z205" s="489"/>
      <c r="AA205" s="7"/>
      <c r="AB205" s="7"/>
      <c r="AC205" s="7"/>
      <c r="AD205" s="7"/>
      <c r="AE205" s="7"/>
      <c r="AF205" s="7"/>
      <c r="AG205" s="489"/>
      <c r="AH205" s="489"/>
      <c r="AI205" s="7"/>
      <c r="AJ205" s="519"/>
      <c r="AK205" s="519"/>
      <c r="AL205" s="519"/>
      <c r="AM205" s="519"/>
      <c r="AN205" s="519"/>
      <c r="AO205" s="519"/>
    </row>
    <row r="206" spans="1:41" s="239" customFormat="1">
      <c r="A206" s="485"/>
      <c r="B206" s="4"/>
      <c r="C206" s="4"/>
      <c r="D206" s="504"/>
      <c r="E206" s="504"/>
      <c r="F206" s="504"/>
      <c r="G206" s="485"/>
      <c r="H206" s="12"/>
      <c r="I206" s="12"/>
      <c r="J206" s="98"/>
      <c r="K206" s="269"/>
      <c r="M206" s="7"/>
      <c r="N206" s="7"/>
      <c r="O206" s="7"/>
      <c r="P206" s="7"/>
      <c r="Q206" s="7"/>
      <c r="R206" s="7"/>
      <c r="S206" s="7"/>
      <c r="T206" s="7"/>
      <c r="U206" s="7"/>
      <c r="V206" s="7"/>
      <c r="W206" s="7"/>
      <c r="X206" s="7"/>
      <c r="Y206" s="489"/>
      <c r="Z206" s="489"/>
      <c r="AA206" s="7"/>
      <c r="AB206" s="7"/>
      <c r="AC206" s="7"/>
      <c r="AD206" s="7"/>
      <c r="AE206" s="7"/>
      <c r="AF206" s="7"/>
      <c r="AG206" s="489"/>
      <c r="AH206" s="489"/>
      <c r="AI206" s="7"/>
      <c r="AJ206" s="519"/>
      <c r="AK206" s="519"/>
      <c r="AL206" s="519"/>
      <c r="AM206" s="519"/>
      <c r="AN206" s="519"/>
      <c r="AO206" s="519"/>
    </row>
    <row r="207" spans="1:41" s="239" customFormat="1">
      <c r="A207" s="485"/>
      <c r="B207" s="4"/>
      <c r="C207" s="4"/>
      <c r="D207" s="504"/>
      <c r="E207" s="504"/>
      <c r="F207" s="504"/>
      <c r="G207" s="485"/>
      <c r="H207" s="12"/>
      <c r="I207" s="12"/>
      <c r="J207" s="98"/>
      <c r="K207" s="269"/>
      <c r="M207" s="7"/>
      <c r="N207" s="7"/>
      <c r="O207" s="7"/>
      <c r="P207" s="7"/>
      <c r="Q207" s="7"/>
      <c r="R207" s="7"/>
      <c r="S207" s="7"/>
      <c r="T207" s="7"/>
      <c r="U207" s="7"/>
      <c r="V207" s="7"/>
      <c r="W207" s="7"/>
      <c r="X207" s="7"/>
      <c r="Y207" s="489"/>
      <c r="Z207" s="489"/>
      <c r="AA207" s="7"/>
      <c r="AB207" s="7"/>
      <c r="AC207" s="7"/>
      <c r="AD207" s="7"/>
      <c r="AE207" s="7"/>
      <c r="AF207" s="7"/>
      <c r="AG207" s="489"/>
      <c r="AH207" s="489"/>
      <c r="AI207" s="7"/>
      <c r="AJ207" s="519"/>
      <c r="AK207" s="519"/>
      <c r="AL207" s="519"/>
      <c r="AM207" s="519"/>
      <c r="AN207" s="519"/>
      <c r="AO207" s="519"/>
    </row>
    <row r="208" spans="1:41" s="239" customFormat="1">
      <c r="A208" s="485"/>
      <c r="B208" s="4"/>
      <c r="C208" s="4"/>
      <c r="D208" s="504"/>
      <c r="E208" s="504"/>
      <c r="F208" s="504"/>
      <c r="G208" s="485"/>
      <c r="H208" s="12"/>
      <c r="I208" s="12"/>
      <c r="J208" s="98"/>
      <c r="K208" s="269"/>
      <c r="M208" s="7"/>
      <c r="N208" s="7"/>
      <c r="O208" s="7"/>
      <c r="P208" s="7"/>
      <c r="Q208" s="7"/>
      <c r="R208" s="7"/>
      <c r="S208" s="7"/>
      <c r="T208" s="7"/>
      <c r="U208" s="7"/>
      <c r="V208" s="7"/>
      <c r="W208" s="7"/>
      <c r="X208" s="7"/>
      <c r="Y208" s="489"/>
      <c r="Z208" s="489"/>
      <c r="AA208" s="7"/>
      <c r="AB208" s="7"/>
      <c r="AC208" s="7"/>
      <c r="AD208" s="7"/>
      <c r="AE208" s="7"/>
      <c r="AF208" s="7"/>
      <c r="AG208" s="489"/>
      <c r="AH208" s="489"/>
      <c r="AI208" s="7"/>
      <c r="AJ208" s="519"/>
      <c r="AK208" s="519"/>
      <c r="AL208" s="519"/>
      <c r="AM208" s="519"/>
      <c r="AN208" s="519"/>
      <c r="AO208" s="519"/>
    </row>
    <row r="209" spans="1:41" s="239" customFormat="1">
      <c r="A209" s="485"/>
      <c r="B209" s="4"/>
      <c r="C209" s="4"/>
      <c r="D209" s="504"/>
      <c r="E209" s="504"/>
      <c r="F209" s="504"/>
      <c r="G209" s="485"/>
      <c r="H209" s="12"/>
      <c r="I209" s="12"/>
      <c r="J209" s="98"/>
      <c r="K209" s="269"/>
      <c r="M209" s="7"/>
      <c r="N209" s="7"/>
      <c r="O209" s="7"/>
      <c r="P209" s="7"/>
      <c r="Q209" s="7"/>
      <c r="R209" s="7"/>
      <c r="S209" s="7"/>
      <c r="T209" s="7"/>
      <c r="U209" s="7"/>
      <c r="V209" s="7"/>
      <c r="W209" s="7"/>
      <c r="X209" s="7"/>
      <c r="Y209" s="489"/>
      <c r="Z209" s="489"/>
      <c r="AA209" s="7"/>
      <c r="AB209" s="7"/>
      <c r="AC209" s="7"/>
      <c r="AD209" s="7"/>
      <c r="AE209" s="7"/>
      <c r="AF209" s="7"/>
      <c r="AG209" s="489"/>
      <c r="AH209" s="489"/>
      <c r="AI209" s="7"/>
      <c r="AJ209" s="519"/>
      <c r="AK209" s="519"/>
      <c r="AL209" s="519"/>
      <c r="AM209" s="519"/>
      <c r="AN209" s="519"/>
      <c r="AO209" s="519"/>
    </row>
    <row r="210" spans="1:41" s="239" customFormat="1">
      <c r="A210" s="485"/>
      <c r="B210" s="4"/>
      <c r="C210" s="4"/>
      <c r="D210" s="504"/>
      <c r="E210" s="504"/>
      <c r="F210" s="504"/>
      <c r="G210" s="485"/>
      <c r="H210" s="12"/>
      <c r="I210" s="12"/>
      <c r="J210" s="98"/>
      <c r="K210" s="269"/>
      <c r="M210" s="7"/>
      <c r="N210" s="7"/>
      <c r="O210" s="7"/>
      <c r="P210" s="7"/>
      <c r="Q210" s="7"/>
      <c r="R210" s="7"/>
      <c r="S210" s="7"/>
      <c r="T210" s="7"/>
      <c r="U210" s="7"/>
      <c r="V210" s="7"/>
      <c r="W210" s="7"/>
      <c r="X210" s="7"/>
      <c r="Y210" s="489"/>
      <c r="Z210" s="489"/>
      <c r="AA210" s="7"/>
      <c r="AB210" s="7"/>
      <c r="AC210" s="7"/>
      <c r="AD210" s="7"/>
      <c r="AE210" s="7"/>
      <c r="AF210" s="7"/>
      <c r="AG210" s="489"/>
      <c r="AH210" s="489"/>
      <c r="AI210" s="7"/>
      <c r="AJ210" s="519"/>
      <c r="AK210" s="519"/>
      <c r="AL210" s="519"/>
      <c r="AM210" s="519"/>
      <c r="AN210" s="519"/>
      <c r="AO210" s="519"/>
    </row>
    <row r="211" spans="1:41" s="239" customFormat="1">
      <c r="A211" s="485"/>
      <c r="B211" s="4"/>
      <c r="C211" s="4"/>
      <c r="D211" s="504"/>
      <c r="E211" s="504"/>
      <c r="F211" s="504"/>
      <c r="G211" s="485"/>
      <c r="H211" s="12"/>
      <c r="I211" s="12"/>
      <c r="J211" s="98"/>
      <c r="K211" s="269"/>
      <c r="M211" s="7"/>
      <c r="N211" s="7"/>
      <c r="O211" s="7"/>
      <c r="P211" s="7"/>
      <c r="Q211" s="7"/>
      <c r="R211" s="7"/>
      <c r="S211" s="7"/>
      <c r="T211" s="7"/>
      <c r="U211" s="7"/>
      <c r="V211" s="7"/>
      <c r="W211" s="7"/>
      <c r="X211" s="7"/>
      <c r="Y211" s="489"/>
      <c r="Z211" s="489"/>
      <c r="AA211" s="7"/>
      <c r="AB211" s="7"/>
      <c r="AC211" s="7"/>
      <c r="AD211" s="7"/>
      <c r="AE211" s="7"/>
      <c r="AF211" s="7"/>
      <c r="AG211" s="489"/>
      <c r="AH211" s="489"/>
      <c r="AI211" s="7"/>
      <c r="AJ211" s="519"/>
      <c r="AK211" s="519"/>
      <c r="AL211" s="519"/>
      <c r="AM211" s="519"/>
      <c r="AN211" s="519"/>
      <c r="AO211" s="519"/>
    </row>
    <row r="212" spans="1:41" s="239" customFormat="1">
      <c r="A212" s="485"/>
      <c r="B212" s="4"/>
      <c r="C212" s="4"/>
      <c r="D212" s="504"/>
      <c r="E212" s="504"/>
      <c r="F212" s="504"/>
      <c r="G212" s="485"/>
      <c r="H212" s="12"/>
      <c r="I212" s="12"/>
      <c r="J212" s="98"/>
      <c r="K212" s="269"/>
      <c r="M212" s="7"/>
      <c r="N212" s="7"/>
      <c r="O212" s="7"/>
      <c r="P212" s="7"/>
      <c r="Q212" s="7"/>
      <c r="R212" s="7"/>
      <c r="S212" s="7"/>
      <c r="T212" s="7"/>
      <c r="U212" s="7"/>
      <c r="V212" s="7"/>
      <c r="W212" s="7"/>
      <c r="X212" s="7"/>
      <c r="Y212" s="489"/>
      <c r="Z212" s="489"/>
      <c r="AA212" s="7"/>
      <c r="AB212" s="7"/>
      <c r="AC212" s="7"/>
      <c r="AD212" s="7"/>
      <c r="AE212" s="7"/>
      <c r="AF212" s="7"/>
      <c r="AG212" s="489"/>
      <c r="AH212" s="489"/>
      <c r="AI212" s="7"/>
      <c r="AJ212" s="519"/>
      <c r="AK212" s="519"/>
      <c r="AL212" s="519"/>
      <c r="AM212" s="519"/>
      <c r="AN212" s="519"/>
      <c r="AO212" s="519"/>
    </row>
    <row r="213" spans="1:41" s="239" customFormat="1">
      <c r="A213" s="485"/>
      <c r="B213" s="4"/>
      <c r="C213" s="4"/>
      <c r="D213" s="504"/>
      <c r="E213" s="504"/>
      <c r="F213" s="504"/>
      <c r="G213" s="485"/>
      <c r="H213" s="12"/>
      <c r="I213" s="12"/>
      <c r="J213" s="98"/>
      <c r="K213" s="269"/>
      <c r="M213" s="7"/>
      <c r="N213" s="7"/>
      <c r="O213" s="7"/>
      <c r="P213" s="7"/>
      <c r="Q213" s="7"/>
      <c r="R213" s="7"/>
      <c r="S213" s="7"/>
      <c r="T213" s="7"/>
      <c r="U213" s="7"/>
      <c r="V213" s="7"/>
      <c r="W213" s="7"/>
      <c r="X213" s="7"/>
      <c r="Y213" s="489"/>
      <c r="Z213" s="489"/>
      <c r="AA213" s="7"/>
      <c r="AB213" s="7"/>
      <c r="AC213" s="7"/>
      <c r="AD213" s="7"/>
      <c r="AE213" s="7"/>
      <c r="AF213" s="7"/>
      <c r="AG213" s="489"/>
      <c r="AH213" s="489"/>
      <c r="AI213" s="7"/>
      <c r="AJ213" s="519"/>
      <c r="AK213" s="519"/>
      <c r="AL213" s="519"/>
      <c r="AM213" s="519"/>
      <c r="AN213" s="519"/>
      <c r="AO213" s="519"/>
    </row>
    <row r="214" spans="1:41" s="239" customFormat="1">
      <c r="A214" s="485"/>
      <c r="B214" s="4"/>
      <c r="C214" s="4"/>
      <c r="D214" s="504"/>
      <c r="E214" s="504"/>
      <c r="F214" s="504"/>
      <c r="G214" s="485"/>
      <c r="H214" s="12"/>
      <c r="I214" s="12"/>
      <c r="J214" s="98"/>
      <c r="K214" s="269"/>
      <c r="M214" s="7"/>
      <c r="N214" s="7"/>
      <c r="O214" s="7"/>
      <c r="P214" s="7"/>
      <c r="Q214" s="7"/>
      <c r="R214" s="7"/>
      <c r="S214" s="7"/>
      <c r="T214" s="7"/>
      <c r="U214" s="7"/>
      <c r="V214" s="7"/>
      <c r="W214" s="7"/>
      <c r="X214" s="7"/>
      <c r="Y214" s="489"/>
      <c r="Z214" s="489"/>
      <c r="AA214" s="7"/>
      <c r="AB214" s="7"/>
      <c r="AC214" s="7"/>
      <c r="AD214" s="7"/>
      <c r="AE214" s="7"/>
      <c r="AF214" s="7"/>
      <c r="AG214" s="489"/>
      <c r="AH214" s="489"/>
      <c r="AI214" s="7"/>
      <c r="AJ214" s="519"/>
      <c r="AK214" s="519"/>
      <c r="AL214" s="519"/>
      <c r="AM214" s="519"/>
      <c r="AN214" s="519"/>
      <c r="AO214" s="519"/>
    </row>
    <row r="215" spans="1:41" s="239" customFormat="1">
      <c r="A215" s="485"/>
      <c r="B215" s="4"/>
      <c r="C215" s="4"/>
      <c r="D215" s="504"/>
      <c r="E215" s="504"/>
      <c r="F215" s="504"/>
      <c r="G215" s="485"/>
      <c r="H215" s="12"/>
      <c r="I215" s="12"/>
      <c r="J215" s="98"/>
      <c r="K215" s="269"/>
      <c r="M215" s="7"/>
      <c r="N215" s="7"/>
      <c r="O215" s="7"/>
      <c r="P215" s="7"/>
      <c r="Q215" s="7"/>
      <c r="R215" s="7"/>
      <c r="S215" s="7"/>
      <c r="T215" s="7"/>
      <c r="U215" s="7"/>
      <c r="V215" s="7"/>
      <c r="W215" s="7"/>
      <c r="X215" s="7"/>
      <c r="Y215" s="489"/>
      <c r="Z215" s="489"/>
      <c r="AA215" s="7"/>
      <c r="AB215" s="7"/>
      <c r="AC215" s="7"/>
      <c r="AD215" s="7"/>
      <c r="AE215" s="7"/>
      <c r="AF215" s="7"/>
      <c r="AG215" s="489"/>
      <c r="AH215" s="489"/>
      <c r="AI215" s="7"/>
      <c r="AJ215" s="519"/>
      <c r="AK215" s="519"/>
      <c r="AL215" s="519"/>
      <c r="AM215" s="519"/>
      <c r="AN215" s="519"/>
      <c r="AO215" s="519"/>
    </row>
    <row r="216" spans="1:41" s="239" customFormat="1">
      <c r="A216" s="485"/>
      <c r="B216" s="4"/>
      <c r="C216" s="4"/>
      <c r="D216" s="504"/>
      <c r="E216" s="504"/>
      <c r="F216" s="504"/>
      <c r="G216" s="485"/>
      <c r="H216" s="12"/>
      <c r="I216" s="12"/>
      <c r="J216" s="98"/>
      <c r="K216" s="269"/>
      <c r="M216" s="7"/>
      <c r="N216" s="7"/>
      <c r="O216" s="7"/>
      <c r="P216" s="7"/>
      <c r="Q216" s="7"/>
      <c r="R216" s="7"/>
      <c r="S216" s="7"/>
      <c r="T216" s="7"/>
      <c r="U216" s="7"/>
      <c r="V216" s="7"/>
      <c r="W216" s="7"/>
      <c r="X216" s="7"/>
      <c r="Y216" s="489"/>
      <c r="Z216" s="489"/>
      <c r="AA216" s="7"/>
      <c r="AB216" s="7"/>
      <c r="AC216" s="7"/>
      <c r="AD216" s="7"/>
      <c r="AE216" s="7"/>
      <c r="AF216" s="7"/>
      <c r="AG216" s="489"/>
      <c r="AH216" s="489"/>
      <c r="AI216" s="7"/>
      <c r="AJ216" s="519"/>
      <c r="AK216" s="519"/>
      <c r="AL216" s="519"/>
      <c r="AM216" s="519"/>
      <c r="AN216" s="519"/>
      <c r="AO216" s="519"/>
    </row>
    <row r="217" spans="1:41" s="239" customFormat="1">
      <c r="A217" s="485"/>
      <c r="B217" s="4"/>
      <c r="C217" s="4"/>
      <c r="D217" s="504"/>
      <c r="E217" s="504"/>
      <c r="F217" s="504"/>
      <c r="G217" s="485"/>
      <c r="H217" s="12"/>
      <c r="I217" s="12"/>
      <c r="J217" s="98"/>
      <c r="K217" s="269"/>
      <c r="M217" s="7"/>
      <c r="N217" s="7"/>
      <c r="O217" s="7"/>
      <c r="P217" s="7"/>
      <c r="Q217" s="7"/>
      <c r="R217" s="7"/>
      <c r="S217" s="7"/>
      <c r="T217" s="7"/>
      <c r="U217" s="7"/>
      <c r="V217" s="7"/>
      <c r="W217" s="7"/>
      <c r="X217" s="7"/>
      <c r="Y217" s="489"/>
      <c r="Z217" s="489"/>
      <c r="AA217" s="7"/>
      <c r="AB217" s="7"/>
      <c r="AC217" s="7"/>
      <c r="AD217" s="7"/>
      <c r="AE217" s="7"/>
      <c r="AF217" s="7"/>
      <c r="AG217" s="489"/>
      <c r="AH217" s="489"/>
      <c r="AI217" s="7"/>
      <c r="AJ217" s="519"/>
      <c r="AK217" s="519"/>
      <c r="AL217" s="519"/>
      <c r="AM217" s="519"/>
      <c r="AN217" s="519"/>
      <c r="AO217" s="519"/>
    </row>
    <row r="218" spans="1:41" s="239" customFormat="1">
      <c r="A218" s="485"/>
      <c r="B218" s="4"/>
      <c r="C218" s="4"/>
      <c r="D218" s="504"/>
      <c r="E218" s="504"/>
      <c r="F218" s="504"/>
      <c r="G218" s="485"/>
      <c r="H218" s="12"/>
      <c r="I218" s="12"/>
      <c r="J218" s="98"/>
      <c r="K218" s="269"/>
      <c r="M218" s="7"/>
      <c r="N218" s="7"/>
      <c r="O218" s="7"/>
      <c r="P218" s="7"/>
      <c r="Q218" s="7"/>
      <c r="R218" s="7"/>
      <c r="S218" s="7"/>
      <c r="T218" s="7"/>
      <c r="U218" s="7"/>
      <c r="V218" s="7"/>
      <c r="W218" s="7"/>
      <c r="X218" s="7"/>
      <c r="Y218" s="489"/>
      <c r="Z218" s="489"/>
      <c r="AA218" s="7"/>
      <c r="AB218" s="7"/>
      <c r="AC218" s="7"/>
      <c r="AD218" s="7"/>
      <c r="AE218" s="7"/>
      <c r="AF218" s="7"/>
      <c r="AG218" s="489"/>
      <c r="AH218" s="489"/>
      <c r="AI218" s="7"/>
      <c r="AJ218" s="519"/>
      <c r="AK218" s="519"/>
      <c r="AL218" s="519"/>
      <c r="AM218" s="519"/>
      <c r="AN218" s="519"/>
      <c r="AO218" s="519"/>
    </row>
    <row r="219" spans="1:41" s="239" customFormat="1">
      <c r="A219" s="485"/>
      <c r="B219" s="4"/>
      <c r="C219" s="4"/>
      <c r="D219" s="504"/>
      <c r="E219" s="504"/>
      <c r="F219" s="504"/>
      <c r="G219" s="485"/>
      <c r="H219" s="12"/>
      <c r="I219" s="12"/>
      <c r="J219" s="98"/>
      <c r="K219" s="269"/>
      <c r="M219" s="7"/>
      <c r="N219" s="7"/>
      <c r="O219" s="7"/>
      <c r="P219" s="7"/>
      <c r="Q219" s="7"/>
      <c r="R219" s="7"/>
      <c r="S219" s="7"/>
      <c r="T219" s="7"/>
      <c r="U219" s="7"/>
      <c r="V219" s="7"/>
      <c r="W219" s="7"/>
      <c r="X219" s="7"/>
      <c r="Y219" s="489"/>
      <c r="Z219" s="489"/>
      <c r="AA219" s="7"/>
      <c r="AB219" s="7"/>
      <c r="AC219" s="7"/>
      <c r="AD219" s="7"/>
      <c r="AE219" s="7"/>
      <c r="AF219" s="7"/>
      <c r="AG219" s="489"/>
      <c r="AH219" s="489"/>
      <c r="AI219" s="7"/>
      <c r="AJ219" s="519"/>
      <c r="AK219" s="519"/>
      <c r="AL219" s="519"/>
      <c r="AM219" s="519"/>
      <c r="AN219" s="519"/>
      <c r="AO219" s="519"/>
    </row>
    <row r="220" spans="1:41" s="239" customFormat="1">
      <c r="A220" s="485"/>
      <c r="B220" s="4"/>
      <c r="C220" s="4"/>
      <c r="D220" s="504"/>
      <c r="E220" s="504"/>
      <c r="F220" s="504"/>
      <c r="G220" s="485"/>
      <c r="H220" s="12"/>
      <c r="I220" s="12"/>
      <c r="J220" s="98"/>
      <c r="K220" s="269"/>
      <c r="M220" s="7"/>
      <c r="N220" s="7"/>
      <c r="O220" s="7"/>
      <c r="P220" s="7"/>
      <c r="Q220" s="7"/>
      <c r="R220" s="7"/>
      <c r="S220" s="7"/>
      <c r="T220" s="7"/>
      <c r="U220" s="7"/>
      <c r="V220" s="7"/>
      <c r="W220" s="7"/>
      <c r="X220" s="7"/>
      <c r="Y220" s="489"/>
      <c r="Z220" s="489"/>
      <c r="AA220" s="7"/>
      <c r="AB220" s="7"/>
      <c r="AC220" s="7"/>
      <c r="AD220" s="7"/>
      <c r="AE220" s="7"/>
      <c r="AF220" s="7"/>
      <c r="AG220" s="489"/>
      <c r="AH220" s="489"/>
      <c r="AI220" s="7"/>
      <c r="AJ220" s="519"/>
      <c r="AK220" s="519"/>
      <c r="AL220" s="519"/>
      <c r="AM220" s="519"/>
      <c r="AN220" s="519"/>
      <c r="AO220" s="519"/>
    </row>
    <row r="221" spans="1:41" s="239" customFormat="1">
      <c r="A221" s="485"/>
      <c r="B221" s="4"/>
      <c r="C221" s="4"/>
      <c r="D221" s="504"/>
      <c r="E221" s="504"/>
      <c r="F221" s="504"/>
      <c r="G221" s="485"/>
      <c r="H221" s="12"/>
      <c r="I221" s="12"/>
      <c r="J221" s="98"/>
      <c r="K221" s="269"/>
      <c r="M221" s="7"/>
      <c r="N221" s="7"/>
      <c r="O221" s="7"/>
      <c r="P221" s="7"/>
      <c r="Q221" s="7"/>
      <c r="R221" s="7"/>
      <c r="S221" s="7"/>
      <c r="T221" s="7"/>
      <c r="U221" s="7"/>
      <c r="V221" s="7"/>
      <c r="W221" s="7"/>
      <c r="X221" s="7"/>
      <c r="Y221" s="489"/>
      <c r="Z221" s="489"/>
      <c r="AA221" s="7"/>
      <c r="AB221" s="7"/>
      <c r="AC221" s="7"/>
      <c r="AD221" s="7"/>
      <c r="AE221" s="7"/>
      <c r="AF221" s="7"/>
      <c r="AG221" s="489"/>
      <c r="AH221" s="489"/>
      <c r="AI221" s="7"/>
      <c r="AJ221" s="519"/>
      <c r="AK221" s="519"/>
      <c r="AL221" s="519"/>
      <c r="AM221" s="519"/>
      <c r="AN221" s="519"/>
      <c r="AO221" s="519"/>
    </row>
    <row r="222" spans="1:41" s="239" customFormat="1">
      <c r="A222" s="485"/>
      <c r="B222" s="4"/>
      <c r="C222" s="4"/>
      <c r="D222" s="504"/>
      <c r="E222" s="504"/>
      <c r="F222" s="504"/>
      <c r="G222" s="485"/>
      <c r="H222" s="12"/>
      <c r="I222" s="12"/>
      <c r="J222" s="98"/>
      <c r="K222" s="269"/>
      <c r="M222" s="7"/>
      <c r="N222" s="7"/>
      <c r="O222" s="7"/>
      <c r="P222" s="7"/>
      <c r="Q222" s="7"/>
      <c r="R222" s="7"/>
      <c r="S222" s="7"/>
      <c r="T222" s="7"/>
      <c r="U222" s="7"/>
      <c r="V222" s="7"/>
      <c r="W222" s="7"/>
      <c r="X222" s="7"/>
      <c r="Y222" s="489"/>
      <c r="Z222" s="489"/>
      <c r="AA222" s="7"/>
      <c r="AB222" s="7"/>
      <c r="AC222" s="7"/>
      <c r="AD222" s="7"/>
      <c r="AE222" s="7"/>
      <c r="AF222" s="7"/>
      <c r="AG222" s="489"/>
      <c r="AH222" s="489"/>
      <c r="AI222" s="7"/>
      <c r="AJ222" s="519"/>
      <c r="AK222" s="519"/>
      <c r="AL222" s="519"/>
      <c r="AM222" s="519"/>
      <c r="AN222" s="519"/>
      <c r="AO222" s="519"/>
    </row>
    <row r="223" spans="1:41" s="239" customFormat="1">
      <c r="A223" s="485"/>
      <c r="B223" s="4"/>
      <c r="C223" s="4"/>
      <c r="D223" s="504"/>
      <c r="E223" s="504"/>
      <c r="F223" s="504"/>
      <c r="G223" s="485"/>
      <c r="H223" s="12"/>
      <c r="I223" s="12"/>
      <c r="J223" s="98"/>
      <c r="K223" s="269"/>
      <c r="M223" s="7"/>
      <c r="N223" s="7"/>
      <c r="O223" s="7"/>
      <c r="P223" s="7"/>
      <c r="Q223" s="7"/>
      <c r="R223" s="7"/>
      <c r="S223" s="7"/>
      <c r="T223" s="7"/>
      <c r="U223" s="7"/>
      <c r="V223" s="7"/>
      <c r="W223" s="7"/>
      <c r="X223" s="7"/>
      <c r="Y223" s="489"/>
      <c r="Z223" s="489"/>
      <c r="AA223" s="7"/>
      <c r="AB223" s="7"/>
      <c r="AC223" s="7"/>
      <c r="AD223" s="7"/>
      <c r="AE223" s="7"/>
      <c r="AF223" s="7"/>
      <c r="AG223" s="489"/>
      <c r="AH223" s="489"/>
      <c r="AI223" s="7"/>
      <c r="AJ223" s="519"/>
      <c r="AK223" s="519"/>
      <c r="AL223" s="519"/>
      <c r="AM223" s="519"/>
      <c r="AN223" s="519"/>
      <c r="AO223" s="519"/>
    </row>
    <row r="224" spans="1:41" s="239" customFormat="1">
      <c r="A224" s="485"/>
      <c r="B224" s="4"/>
      <c r="C224" s="4"/>
      <c r="D224" s="504"/>
      <c r="E224" s="504"/>
      <c r="F224" s="504"/>
      <c r="G224" s="485"/>
      <c r="H224" s="12"/>
      <c r="I224" s="12"/>
      <c r="J224" s="98"/>
      <c r="K224" s="269"/>
      <c r="M224" s="7"/>
      <c r="N224" s="7"/>
      <c r="O224" s="7"/>
      <c r="P224" s="7"/>
      <c r="Q224" s="7"/>
      <c r="R224" s="7"/>
      <c r="S224" s="7"/>
      <c r="T224" s="7"/>
      <c r="U224" s="7"/>
      <c r="V224" s="7"/>
      <c r="W224" s="7"/>
      <c r="X224" s="7"/>
      <c r="Y224" s="489"/>
      <c r="Z224" s="489"/>
      <c r="AA224" s="7"/>
      <c r="AB224" s="7"/>
      <c r="AC224" s="7"/>
      <c r="AD224" s="7"/>
      <c r="AE224" s="7"/>
      <c r="AF224" s="7"/>
      <c r="AG224" s="489"/>
      <c r="AH224" s="489"/>
      <c r="AI224" s="7"/>
      <c r="AJ224" s="519"/>
      <c r="AK224" s="519"/>
      <c r="AL224" s="519"/>
      <c r="AM224" s="519"/>
      <c r="AN224" s="519"/>
      <c r="AO224" s="519"/>
    </row>
    <row r="225" spans="1:41" s="239" customFormat="1">
      <c r="A225" s="485"/>
      <c r="B225" s="4"/>
      <c r="C225" s="4"/>
      <c r="D225" s="504"/>
      <c r="E225" s="504"/>
      <c r="F225" s="504"/>
      <c r="G225" s="485"/>
      <c r="H225" s="12"/>
      <c r="I225" s="12"/>
      <c r="J225" s="98"/>
      <c r="K225" s="269"/>
      <c r="M225" s="7"/>
      <c r="N225" s="7"/>
      <c r="O225" s="7"/>
      <c r="P225" s="7"/>
      <c r="Q225" s="7"/>
      <c r="R225" s="7"/>
      <c r="S225" s="7"/>
      <c r="T225" s="7"/>
      <c r="U225" s="7"/>
      <c r="V225" s="7"/>
      <c r="W225" s="7"/>
      <c r="X225" s="7"/>
      <c r="Y225" s="489"/>
      <c r="Z225" s="489"/>
      <c r="AA225" s="7"/>
      <c r="AB225" s="7"/>
      <c r="AC225" s="7"/>
      <c r="AD225" s="7"/>
      <c r="AE225" s="7"/>
      <c r="AF225" s="7"/>
      <c r="AG225" s="489"/>
      <c r="AH225" s="489"/>
      <c r="AI225" s="7"/>
      <c r="AJ225" s="519"/>
      <c r="AK225" s="519"/>
      <c r="AL225" s="519"/>
      <c r="AM225" s="519"/>
      <c r="AN225" s="519"/>
      <c r="AO225" s="519"/>
    </row>
    <row r="226" spans="1:41" s="239" customFormat="1">
      <c r="A226" s="485"/>
      <c r="B226" s="4"/>
      <c r="C226" s="4"/>
      <c r="D226" s="504"/>
      <c r="E226" s="504"/>
      <c r="F226" s="504"/>
      <c r="G226" s="485"/>
      <c r="H226" s="12"/>
      <c r="I226" s="12"/>
      <c r="J226" s="98"/>
      <c r="K226" s="269"/>
      <c r="M226" s="7"/>
      <c r="N226" s="7"/>
      <c r="O226" s="7"/>
      <c r="P226" s="7"/>
      <c r="Q226" s="7"/>
      <c r="R226" s="7"/>
      <c r="S226" s="7"/>
      <c r="T226" s="7"/>
      <c r="U226" s="7"/>
      <c r="V226" s="7"/>
      <c r="W226" s="7"/>
      <c r="X226" s="7"/>
      <c r="Y226" s="489"/>
      <c r="Z226" s="489"/>
      <c r="AA226" s="7"/>
      <c r="AB226" s="7"/>
      <c r="AC226" s="7"/>
      <c r="AD226" s="7"/>
      <c r="AE226" s="7"/>
      <c r="AF226" s="7"/>
      <c r="AG226" s="489"/>
      <c r="AH226" s="489"/>
      <c r="AI226" s="7"/>
      <c r="AJ226" s="519"/>
      <c r="AK226" s="519"/>
      <c r="AL226" s="519"/>
      <c r="AM226" s="519"/>
      <c r="AN226" s="519"/>
      <c r="AO226" s="519"/>
    </row>
    <row r="227" spans="1:41" s="239" customFormat="1">
      <c r="A227" s="485"/>
      <c r="B227" s="4"/>
      <c r="C227" s="4"/>
      <c r="D227" s="504"/>
      <c r="E227" s="504"/>
      <c r="F227" s="504"/>
      <c r="G227" s="485"/>
      <c r="H227" s="12"/>
      <c r="I227" s="12"/>
      <c r="J227" s="98"/>
      <c r="K227" s="269"/>
      <c r="M227" s="7"/>
      <c r="N227" s="7"/>
      <c r="O227" s="7"/>
      <c r="P227" s="7"/>
      <c r="Q227" s="7"/>
      <c r="R227" s="7"/>
      <c r="S227" s="7"/>
      <c r="T227" s="7"/>
      <c r="U227" s="7"/>
      <c r="V227" s="7"/>
      <c r="W227" s="7"/>
      <c r="X227" s="7"/>
      <c r="Y227" s="489"/>
      <c r="Z227" s="489"/>
      <c r="AA227" s="7"/>
      <c r="AB227" s="7"/>
      <c r="AC227" s="7"/>
      <c r="AD227" s="7"/>
      <c r="AE227" s="7"/>
      <c r="AF227" s="7"/>
      <c r="AG227" s="489"/>
      <c r="AH227" s="489"/>
      <c r="AI227" s="7"/>
      <c r="AJ227" s="519"/>
      <c r="AK227" s="519"/>
      <c r="AL227" s="519"/>
      <c r="AM227" s="519"/>
      <c r="AN227" s="519"/>
      <c r="AO227" s="519"/>
    </row>
    <row r="228" spans="1:41" s="239" customFormat="1">
      <c r="A228" s="485"/>
      <c r="B228" s="4"/>
      <c r="C228" s="4"/>
      <c r="D228" s="504"/>
      <c r="E228" s="504"/>
      <c r="F228" s="504"/>
      <c r="G228" s="485"/>
      <c r="H228" s="12"/>
      <c r="I228" s="12"/>
      <c r="J228" s="98"/>
      <c r="K228" s="269"/>
      <c r="M228" s="7"/>
      <c r="N228" s="7"/>
      <c r="O228" s="7"/>
      <c r="P228" s="7"/>
      <c r="Q228" s="7"/>
      <c r="R228" s="7"/>
      <c r="S228" s="7"/>
      <c r="T228" s="7"/>
      <c r="U228" s="7"/>
      <c r="V228" s="7"/>
      <c r="W228" s="7"/>
      <c r="X228" s="7"/>
      <c r="Y228" s="489"/>
      <c r="Z228" s="489"/>
      <c r="AA228" s="7"/>
      <c r="AB228" s="7"/>
      <c r="AC228" s="7"/>
      <c r="AD228" s="7"/>
      <c r="AE228" s="7"/>
      <c r="AF228" s="7"/>
      <c r="AG228" s="489"/>
      <c r="AH228" s="489"/>
      <c r="AI228" s="7"/>
      <c r="AJ228" s="519"/>
      <c r="AK228" s="519"/>
      <c r="AL228" s="519"/>
      <c r="AM228" s="519"/>
      <c r="AN228" s="519"/>
      <c r="AO228" s="519"/>
    </row>
    <row r="229" spans="1:41" s="239" customFormat="1">
      <c r="A229" s="485"/>
      <c r="B229" s="4"/>
      <c r="C229" s="4"/>
      <c r="D229" s="504"/>
      <c r="E229" s="504"/>
      <c r="F229" s="504"/>
      <c r="G229" s="485"/>
      <c r="H229" s="12"/>
      <c r="I229" s="12"/>
      <c r="J229" s="98"/>
      <c r="K229" s="269"/>
      <c r="M229" s="7"/>
      <c r="N229" s="7"/>
      <c r="O229" s="7"/>
      <c r="P229" s="7"/>
      <c r="Q229" s="7"/>
      <c r="R229" s="7"/>
      <c r="S229" s="7"/>
      <c r="T229" s="7"/>
      <c r="U229" s="7"/>
      <c r="V229" s="7"/>
      <c r="W229" s="7"/>
      <c r="X229" s="7"/>
      <c r="Y229" s="489"/>
      <c r="Z229" s="489"/>
      <c r="AA229" s="7"/>
      <c r="AB229" s="7"/>
      <c r="AC229" s="7"/>
      <c r="AD229" s="7"/>
      <c r="AE229" s="7"/>
      <c r="AF229" s="7"/>
      <c r="AG229" s="489"/>
      <c r="AH229" s="489"/>
      <c r="AI229" s="7"/>
      <c r="AJ229" s="519"/>
      <c r="AK229" s="519"/>
      <c r="AL229" s="519"/>
      <c r="AM229" s="519"/>
      <c r="AN229" s="519"/>
      <c r="AO229" s="519"/>
    </row>
    <row r="230" spans="1:41" s="239" customFormat="1">
      <c r="A230" s="485"/>
      <c r="B230" s="4"/>
      <c r="C230" s="4"/>
      <c r="D230" s="504"/>
      <c r="E230" s="504"/>
      <c r="F230" s="504"/>
      <c r="G230" s="485"/>
      <c r="H230" s="12"/>
      <c r="I230" s="12"/>
      <c r="J230" s="98"/>
      <c r="K230" s="269"/>
      <c r="M230" s="7"/>
      <c r="N230" s="7"/>
      <c r="O230" s="7"/>
      <c r="P230" s="7"/>
      <c r="Q230" s="7"/>
      <c r="R230" s="7"/>
      <c r="S230" s="7"/>
      <c r="T230" s="7"/>
      <c r="U230" s="7"/>
      <c r="V230" s="7"/>
      <c r="W230" s="7"/>
      <c r="X230" s="7"/>
      <c r="Y230" s="489"/>
      <c r="Z230" s="489"/>
      <c r="AA230" s="7"/>
      <c r="AB230" s="7"/>
      <c r="AC230" s="7"/>
      <c r="AD230" s="7"/>
      <c r="AE230" s="7"/>
      <c r="AF230" s="7"/>
      <c r="AG230" s="489"/>
      <c r="AH230" s="489"/>
      <c r="AI230" s="7"/>
      <c r="AJ230" s="519"/>
      <c r="AK230" s="519"/>
      <c r="AL230" s="519"/>
      <c r="AM230" s="519"/>
      <c r="AN230" s="519"/>
      <c r="AO230" s="519"/>
    </row>
    <row r="231" spans="1:41" s="239" customFormat="1">
      <c r="A231" s="485"/>
      <c r="B231" s="4"/>
      <c r="C231" s="4"/>
      <c r="D231" s="504"/>
      <c r="E231" s="504"/>
      <c r="F231" s="504"/>
      <c r="G231" s="485"/>
      <c r="H231" s="12"/>
      <c r="I231" s="12"/>
      <c r="J231" s="98"/>
      <c r="K231" s="269"/>
      <c r="M231" s="7"/>
      <c r="N231" s="7"/>
      <c r="O231" s="7"/>
      <c r="P231" s="7"/>
      <c r="Q231" s="7"/>
      <c r="R231" s="7"/>
      <c r="S231" s="7"/>
      <c r="T231" s="7"/>
      <c r="U231" s="7"/>
      <c r="V231" s="7"/>
      <c r="W231" s="7"/>
      <c r="X231" s="7"/>
      <c r="Y231" s="489"/>
      <c r="Z231" s="489"/>
      <c r="AA231" s="7"/>
      <c r="AB231" s="7"/>
      <c r="AC231" s="7"/>
      <c r="AD231" s="7"/>
      <c r="AE231" s="7"/>
      <c r="AF231" s="7"/>
      <c r="AG231" s="489"/>
      <c r="AH231" s="489"/>
      <c r="AI231" s="7"/>
      <c r="AJ231" s="519"/>
      <c r="AK231" s="519"/>
      <c r="AL231" s="519"/>
      <c r="AM231" s="519"/>
      <c r="AN231" s="519"/>
      <c r="AO231" s="519"/>
    </row>
    <row r="232" spans="1:41" s="239" customFormat="1">
      <c r="A232" s="485"/>
      <c r="B232" s="4"/>
      <c r="C232" s="4"/>
      <c r="D232" s="504"/>
      <c r="E232" s="504"/>
      <c r="F232" s="504"/>
      <c r="G232" s="485"/>
      <c r="H232" s="12"/>
      <c r="I232" s="12"/>
      <c r="J232" s="98"/>
      <c r="K232" s="269"/>
      <c r="M232" s="7"/>
      <c r="N232" s="7"/>
      <c r="O232" s="7"/>
      <c r="P232" s="7"/>
      <c r="Q232" s="7"/>
      <c r="R232" s="7"/>
      <c r="S232" s="7"/>
      <c r="T232" s="7"/>
      <c r="U232" s="7"/>
      <c r="V232" s="7"/>
      <c r="W232" s="7"/>
      <c r="X232" s="7"/>
      <c r="Y232" s="489"/>
      <c r="Z232" s="489"/>
      <c r="AA232" s="7"/>
      <c r="AB232" s="7"/>
      <c r="AC232" s="7"/>
      <c r="AD232" s="7"/>
      <c r="AE232" s="7"/>
      <c r="AF232" s="7"/>
      <c r="AG232" s="489"/>
      <c r="AH232" s="489"/>
      <c r="AI232" s="7"/>
      <c r="AJ232" s="519"/>
      <c r="AK232" s="519"/>
      <c r="AL232" s="519"/>
      <c r="AM232" s="519"/>
      <c r="AN232" s="519"/>
      <c r="AO232" s="519"/>
    </row>
    <row r="233" spans="1:41" s="239" customFormat="1">
      <c r="A233" s="485"/>
      <c r="B233" s="4"/>
      <c r="C233" s="4"/>
      <c r="D233" s="504"/>
      <c r="E233" s="504"/>
      <c r="F233" s="504"/>
      <c r="G233" s="485"/>
      <c r="H233" s="12"/>
      <c r="I233" s="12"/>
      <c r="J233" s="98"/>
      <c r="K233" s="269"/>
      <c r="M233" s="7"/>
      <c r="N233" s="7"/>
      <c r="O233" s="7"/>
      <c r="P233" s="7"/>
      <c r="Q233" s="7"/>
      <c r="R233" s="7"/>
      <c r="S233" s="7"/>
      <c r="T233" s="7"/>
      <c r="U233" s="7"/>
      <c r="V233" s="7"/>
      <c r="W233" s="7"/>
      <c r="X233" s="7"/>
      <c r="Y233" s="489"/>
      <c r="Z233" s="489"/>
      <c r="AA233" s="7"/>
      <c r="AB233" s="7"/>
      <c r="AC233" s="7"/>
      <c r="AD233" s="7"/>
      <c r="AE233" s="7"/>
      <c r="AF233" s="7"/>
      <c r="AG233" s="489"/>
      <c r="AH233" s="489"/>
      <c r="AI233" s="7"/>
      <c r="AJ233" s="519"/>
      <c r="AK233" s="519"/>
      <c r="AL233" s="519"/>
      <c r="AM233" s="519"/>
      <c r="AN233" s="519"/>
      <c r="AO233" s="519"/>
    </row>
    <row r="234" spans="1:41" s="239" customFormat="1">
      <c r="A234" s="485"/>
      <c r="B234" s="4"/>
      <c r="C234" s="4"/>
      <c r="D234" s="504"/>
      <c r="E234" s="504"/>
      <c r="F234" s="504"/>
      <c r="G234" s="485"/>
      <c r="H234" s="12"/>
      <c r="I234" s="12"/>
      <c r="J234" s="98"/>
      <c r="K234" s="269"/>
      <c r="M234" s="7"/>
      <c r="N234" s="7"/>
      <c r="O234" s="7"/>
      <c r="P234" s="7"/>
      <c r="Q234" s="7"/>
      <c r="R234" s="7"/>
      <c r="S234" s="7"/>
      <c r="T234" s="7"/>
      <c r="U234" s="7"/>
      <c r="V234" s="7"/>
      <c r="W234" s="7"/>
      <c r="X234" s="7"/>
      <c r="Y234" s="489"/>
      <c r="Z234" s="489"/>
      <c r="AA234" s="7"/>
      <c r="AB234" s="7"/>
      <c r="AC234" s="7"/>
      <c r="AD234" s="7"/>
      <c r="AE234" s="7"/>
      <c r="AF234" s="7"/>
      <c r="AG234" s="489"/>
      <c r="AH234" s="489"/>
      <c r="AI234" s="7"/>
      <c r="AJ234" s="519"/>
      <c r="AK234" s="519"/>
      <c r="AL234" s="519"/>
      <c r="AM234" s="519"/>
      <c r="AN234" s="519"/>
      <c r="AO234" s="519"/>
    </row>
    <row r="235" spans="1:41" s="239" customFormat="1">
      <c r="A235" s="485"/>
      <c r="B235" s="4"/>
      <c r="C235" s="4"/>
      <c r="D235" s="504"/>
      <c r="E235" s="504"/>
      <c r="F235" s="504"/>
      <c r="G235" s="485"/>
      <c r="H235" s="12"/>
      <c r="I235" s="12"/>
      <c r="J235" s="98"/>
      <c r="K235" s="269"/>
      <c r="M235" s="7"/>
      <c r="N235" s="7"/>
      <c r="O235" s="7"/>
      <c r="P235" s="7"/>
      <c r="Q235" s="7"/>
      <c r="R235" s="7"/>
      <c r="S235" s="7"/>
      <c r="T235" s="7"/>
      <c r="U235" s="7"/>
      <c r="V235" s="7"/>
      <c r="W235" s="7"/>
      <c r="X235" s="7"/>
      <c r="Y235" s="489"/>
      <c r="Z235" s="489"/>
      <c r="AA235" s="7"/>
      <c r="AB235" s="7"/>
      <c r="AC235" s="7"/>
      <c r="AD235" s="7"/>
      <c r="AE235" s="7"/>
      <c r="AF235" s="7"/>
      <c r="AG235" s="489"/>
      <c r="AH235" s="489"/>
      <c r="AI235" s="7"/>
      <c r="AJ235" s="519"/>
      <c r="AK235" s="519"/>
      <c r="AL235" s="519"/>
      <c r="AM235" s="519"/>
      <c r="AN235" s="519"/>
      <c r="AO235" s="519"/>
    </row>
    <row r="236" spans="1:41" s="239" customFormat="1">
      <c r="A236" s="485"/>
      <c r="B236" s="4"/>
      <c r="C236" s="4"/>
      <c r="D236" s="504"/>
      <c r="E236" s="504"/>
      <c r="F236" s="504"/>
      <c r="G236" s="485"/>
      <c r="H236" s="12"/>
      <c r="I236" s="12"/>
      <c r="J236" s="98"/>
      <c r="K236" s="269"/>
      <c r="M236" s="7"/>
      <c r="N236" s="7"/>
      <c r="O236" s="7"/>
      <c r="P236" s="7"/>
      <c r="Q236" s="7"/>
      <c r="R236" s="7"/>
      <c r="S236" s="7"/>
      <c r="T236" s="7"/>
      <c r="U236" s="7"/>
      <c r="V236" s="7"/>
      <c r="W236" s="7"/>
      <c r="X236" s="7"/>
      <c r="Y236" s="489"/>
      <c r="Z236" s="489"/>
      <c r="AA236" s="7"/>
      <c r="AB236" s="7"/>
      <c r="AC236" s="7"/>
      <c r="AD236" s="7"/>
      <c r="AE236" s="7"/>
      <c r="AF236" s="7"/>
      <c r="AG236" s="489"/>
      <c r="AH236" s="489"/>
      <c r="AI236" s="7"/>
      <c r="AJ236" s="519"/>
      <c r="AK236" s="519"/>
      <c r="AL236" s="519"/>
      <c r="AM236" s="519"/>
      <c r="AN236" s="519"/>
      <c r="AO236" s="519"/>
    </row>
    <row r="237" spans="1:41">
      <c r="A237" s="485"/>
      <c r="B237" s="4"/>
      <c r="C237" s="4"/>
      <c r="D237" s="504"/>
      <c r="E237" s="504"/>
      <c r="F237" s="504"/>
      <c r="G237" s="485"/>
      <c r="H237" s="12"/>
      <c r="I237" s="12"/>
      <c r="J237" s="98"/>
    </row>
    <row r="238" spans="1:41">
      <c r="A238" s="485"/>
      <c r="B238" s="4"/>
      <c r="C238" s="4"/>
      <c r="D238" s="504"/>
      <c r="E238" s="504"/>
      <c r="F238" s="504"/>
      <c r="G238" s="485"/>
      <c r="H238" s="12"/>
      <c r="I238" s="12"/>
      <c r="J238" s="98"/>
    </row>
    <row r="239" spans="1:41">
      <c r="A239" s="485"/>
      <c r="B239" s="4"/>
      <c r="C239" s="4"/>
      <c r="D239" s="504"/>
      <c r="E239" s="504"/>
      <c r="F239" s="504"/>
      <c r="G239" s="485"/>
      <c r="H239" s="12"/>
      <c r="I239" s="12"/>
      <c r="J239" s="98"/>
    </row>
    <row r="240" spans="1:41">
      <c r="A240" s="485"/>
      <c r="B240" s="4"/>
      <c r="C240" s="4"/>
      <c r="D240" s="504"/>
      <c r="E240" s="504"/>
      <c r="F240" s="504"/>
      <c r="G240" s="485"/>
      <c r="H240" s="12"/>
      <c r="I240" s="12"/>
      <c r="J240" s="98"/>
    </row>
    <row r="241" spans="1:10">
      <c r="A241" s="485"/>
      <c r="B241" s="4"/>
      <c r="C241" s="4"/>
      <c r="D241" s="504"/>
      <c r="E241" s="504"/>
      <c r="F241" s="504"/>
      <c r="G241" s="485"/>
      <c r="H241" s="12"/>
      <c r="I241" s="12"/>
      <c r="J241" s="98"/>
    </row>
    <row r="242" spans="1:10">
      <c r="A242" s="485"/>
      <c r="B242" s="4"/>
      <c r="C242" s="4"/>
      <c r="D242" s="504"/>
      <c r="E242" s="504"/>
      <c r="F242" s="504"/>
      <c r="G242" s="485"/>
      <c r="H242" s="12"/>
      <c r="I242" s="12"/>
      <c r="J242" s="98"/>
    </row>
  </sheetData>
  <sheetProtection sheet="1" objects="1" scenarios="1"/>
  <mergeCells count="8">
    <mergeCell ref="S1:X1"/>
    <mergeCell ref="AA1:AG1"/>
    <mergeCell ref="A74:B74"/>
    <mergeCell ref="A107:B107"/>
    <mergeCell ref="A49:B49"/>
    <mergeCell ref="A23:B23"/>
    <mergeCell ref="A4:B4"/>
    <mergeCell ref="D1:F1"/>
  </mergeCells>
  <conditionalFormatting sqref="D93:E93">
    <cfRule type="expression" dxfId="344" priority="271" stopIfTrue="1">
      <formula>D93&lt;0.25</formula>
    </cfRule>
    <cfRule type="expression" dxfId="343" priority="272" stopIfTrue="1">
      <formula>D93&lt;0.5</formula>
    </cfRule>
    <cfRule type="expression" dxfId="342" priority="273" stopIfTrue="1">
      <formula>D93&lt;0.75</formula>
    </cfRule>
    <cfRule type="expression" dxfId="341" priority="274">
      <formula>D93&gt;=0.75</formula>
    </cfRule>
  </conditionalFormatting>
  <conditionalFormatting sqref="G93">
    <cfRule type="expression" dxfId="340" priority="251" stopIfTrue="1">
      <formula>G93&lt;0.25</formula>
    </cfRule>
    <cfRule type="expression" dxfId="339" priority="252" stopIfTrue="1">
      <formula>G93&lt;0.5</formula>
    </cfRule>
    <cfRule type="expression" dxfId="338" priority="253" stopIfTrue="1">
      <formula>G93&lt;0.75</formula>
    </cfRule>
    <cfRule type="expression" dxfId="337" priority="254">
      <formula>G93&gt;=0.75</formula>
    </cfRule>
  </conditionalFormatting>
  <conditionalFormatting sqref="D7">
    <cfRule type="expression" dxfId="336" priority="244" stopIfTrue="1">
      <formula>H7=2</formula>
    </cfRule>
    <cfRule type="expression" dxfId="335" priority="245" stopIfTrue="1">
      <formula>H7=3</formula>
    </cfRule>
    <cfRule type="expression" dxfId="334" priority="246" stopIfTrue="1">
      <formula>H7=4</formula>
    </cfRule>
  </conditionalFormatting>
  <conditionalFormatting sqref="G8:G12">
    <cfRule type="expression" dxfId="333" priority="211" stopIfTrue="1">
      <formula>J8=3</formula>
    </cfRule>
    <cfRule type="expression" dxfId="332" priority="212" stopIfTrue="1">
      <formula>J8=4</formula>
    </cfRule>
    <cfRule type="expression" dxfId="331" priority="213" stopIfTrue="1">
      <formula>J8=5</formula>
    </cfRule>
  </conditionalFormatting>
  <conditionalFormatting sqref="G14:G16">
    <cfRule type="expression" dxfId="330" priority="208" stopIfTrue="1">
      <formula>J14=3</formula>
    </cfRule>
    <cfRule type="expression" dxfId="329" priority="209" stopIfTrue="1">
      <formula>J14=4</formula>
    </cfRule>
    <cfRule type="expression" dxfId="328" priority="210" stopIfTrue="1">
      <formula>J14=5</formula>
    </cfRule>
  </conditionalFormatting>
  <conditionalFormatting sqref="G18:G22">
    <cfRule type="expression" dxfId="327" priority="205" stopIfTrue="1">
      <formula>J18=3</formula>
    </cfRule>
    <cfRule type="expression" dxfId="326" priority="206" stopIfTrue="1">
      <formula>J18=4</formula>
    </cfRule>
    <cfRule type="expression" dxfId="325" priority="207" stopIfTrue="1">
      <formula>J18=5</formula>
    </cfRule>
  </conditionalFormatting>
  <conditionalFormatting sqref="F7">
    <cfRule type="expression" dxfId="324" priority="223" stopIfTrue="1">
      <formula>I7=3</formula>
    </cfRule>
    <cfRule type="expression" dxfId="323" priority="224" stopIfTrue="1">
      <formula>I7=4</formula>
    </cfRule>
    <cfRule type="expression" dxfId="322" priority="225" stopIfTrue="1">
      <formula>I7=5</formula>
    </cfRule>
  </conditionalFormatting>
  <conditionalFormatting sqref="D8:D12">
    <cfRule type="expression" dxfId="321" priority="196" stopIfTrue="1">
      <formula>H8=2</formula>
    </cfRule>
    <cfRule type="expression" dxfId="320" priority="197" stopIfTrue="1">
      <formula>H8=3</formula>
    </cfRule>
    <cfRule type="expression" dxfId="319" priority="198" stopIfTrue="1">
      <formula>H8=4</formula>
    </cfRule>
  </conditionalFormatting>
  <conditionalFormatting sqref="D14:D16">
    <cfRule type="expression" dxfId="318" priority="190" stopIfTrue="1">
      <formula>H14=2</formula>
    </cfRule>
    <cfRule type="expression" dxfId="317" priority="191" stopIfTrue="1">
      <formula>H14=3</formula>
    </cfRule>
    <cfRule type="expression" dxfId="316" priority="192" stopIfTrue="1">
      <formula>H14=4</formula>
    </cfRule>
  </conditionalFormatting>
  <conditionalFormatting sqref="D18:D22">
    <cfRule type="expression" dxfId="315" priority="184" stopIfTrue="1">
      <formula>H18=2</formula>
    </cfRule>
    <cfRule type="expression" dxfId="314" priority="185" stopIfTrue="1">
      <formula>H18=3</formula>
    </cfRule>
    <cfRule type="expression" dxfId="313" priority="186" stopIfTrue="1">
      <formula>H18=4</formula>
    </cfRule>
  </conditionalFormatting>
  <conditionalFormatting sqref="D26">
    <cfRule type="expression" dxfId="312" priority="178" stopIfTrue="1">
      <formula>H26=2</formula>
    </cfRule>
    <cfRule type="expression" dxfId="311" priority="179" stopIfTrue="1">
      <formula>H26=3</formula>
    </cfRule>
    <cfRule type="expression" dxfId="310" priority="180" stopIfTrue="1">
      <formula>H26=4</formula>
    </cfRule>
  </conditionalFormatting>
  <conditionalFormatting sqref="D27:D29">
    <cfRule type="expression" dxfId="309" priority="172" stopIfTrue="1">
      <formula>H27=2</formula>
    </cfRule>
    <cfRule type="expression" dxfId="308" priority="173" stopIfTrue="1">
      <formula>H27=3</formula>
    </cfRule>
    <cfRule type="expression" dxfId="307" priority="174" stopIfTrue="1">
      <formula>H27=4</formula>
    </cfRule>
  </conditionalFormatting>
  <conditionalFormatting sqref="D31:D39">
    <cfRule type="expression" dxfId="306" priority="166" stopIfTrue="1">
      <formula>H31=2</formula>
    </cfRule>
    <cfRule type="expression" dxfId="305" priority="167" stopIfTrue="1">
      <formula>H31=3</formula>
    </cfRule>
    <cfRule type="expression" dxfId="304" priority="168" stopIfTrue="1">
      <formula>H31=4</formula>
    </cfRule>
  </conditionalFormatting>
  <conditionalFormatting sqref="D41:D48">
    <cfRule type="expression" dxfId="303" priority="160" stopIfTrue="1">
      <formula>H41=2</formula>
    </cfRule>
    <cfRule type="expression" dxfId="302" priority="161" stopIfTrue="1">
      <formula>H41=3</formula>
    </cfRule>
    <cfRule type="expression" dxfId="301" priority="162" stopIfTrue="1">
      <formula>H41=4</formula>
    </cfRule>
  </conditionalFormatting>
  <conditionalFormatting sqref="D52">
    <cfRule type="expression" dxfId="300" priority="154" stopIfTrue="1">
      <formula>H52=2</formula>
    </cfRule>
    <cfRule type="expression" dxfId="299" priority="155" stopIfTrue="1">
      <formula>H52=3</formula>
    </cfRule>
    <cfRule type="expression" dxfId="298" priority="156" stopIfTrue="1">
      <formula>H52=4</formula>
    </cfRule>
  </conditionalFormatting>
  <conditionalFormatting sqref="D53:D56">
    <cfRule type="expression" dxfId="297" priority="148" stopIfTrue="1">
      <formula>H53=2</formula>
    </cfRule>
    <cfRule type="expression" dxfId="296" priority="149" stopIfTrue="1">
      <formula>H53=3</formula>
    </cfRule>
    <cfRule type="expression" dxfId="295" priority="150" stopIfTrue="1">
      <formula>H53=4</formula>
    </cfRule>
  </conditionalFormatting>
  <conditionalFormatting sqref="D58:D62">
    <cfRule type="expression" dxfId="294" priority="142" stopIfTrue="1">
      <formula>H58=2</formula>
    </cfRule>
    <cfRule type="expression" dxfId="293" priority="143" stopIfTrue="1">
      <formula>H58=3</formula>
    </cfRule>
    <cfRule type="expression" dxfId="292" priority="144" stopIfTrue="1">
      <formula>H58=4</formula>
    </cfRule>
  </conditionalFormatting>
  <conditionalFormatting sqref="D64:D68">
    <cfRule type="expression" dxfId="291" priority="136" stopIfTrue="1">
      <formula>H64=2</formula>
    </cfRule>
    <cfRule type="expression" dxfId="290" priority="137" stopIfTrue="1">
      <formula>H64=3</formula>
    </cfRule>
    <cfRule type="expression" dxfId="289" priority="138" stopIfTrue="1">
      <formula>H64=4</formula>
    </cfRule>
  </conditionalFormatting>
  <conditionalFormatting sqref="D70:D73">
    <cfRule type="expression" dxfId="288" priority="130" stopIfTrue="1">
      <formula>H70=2</formula>
    </cfRule>
    <cfRule type="expression" dxfId="287" priority="131" stopIfTrue="1">
      <formula>H70=3</formula>
    </cfRule>
    <cfRule type="expression" dxfId="286" priority="132" stopIfTrue="1">
      <formula>H70=4</formula>
    </cfRule>
  </conditionalFormatting>
  <conditionalFormatting sqref="D77">
    <cfRule type="expression" dxfId="285" priority="124" stopIfTrue="1">
      <formula>H77=2</formula>
    </cfRule>
    <cfRule type="expression" dxfId="284" priority="125" stopIfTrue="1">
      <formula>H77=3</formula>
    </cfRule>
    <cfRule type="expression" dxfId="283" priority="126" stopIfTrue="1">
      <formula>H77=4</formula>
    </cfRule>
  </conditionalFormatting>
  <conditionalFormatting sqref="D78:D79">
    <cfRule type="expression" dxfId="282" priority="118" stopIfTrue="1">
      <formula>H78=2</formula>
    </cfRule>
    <cfRule type="expression" dxfId="281" priority="119" stopIfTrue="1">
      <formula>H78=3</formula>
    </cfRule>
    <cfRule type="expression" dxfId="280" priority="120" stopIfTrue="1">
      <formula>H78=4</formula>
    </cfRule>
  </conditionalFormatting>
  <conditionalFormatting sqref="D81:D85">
    <cfRule type="expression" dxfId="279" priority="112" stopIfTrue="1">
      <formula>H81=2</formula>
    </cfRule>
    <cfRule type="expression" dxfId="278" priority="113" stopIfTrue="1">
      <formula>H81=3</formula>
    </cfRule>
    <cfRule type="expression" dxfId="277" priority="114" stopIfTrue="1">
      <formula>H81=4</formula>
    </cfRule>
  </conditionalFormatting>
  <conditionalFormatting sqref="D87:D90">
    <cfRule type="expression" dxfId="276" priority="106" stopIfTrue="1">
      <formula>H87=2</formula>
    </cfRule>
    <cfRule type="expression" dxfId="275" priority="107" stopIfTrue="1">
      <formula>H87=3</formula>
    </cfRule>
    <cfRule type="expression" dxfId="274" priority="108" stopIfTrue="1">
      <formula>H87=4</formula>
    </cfRule>
  </conditionalFormatting>
  <conditionalFormatting sqref="D94">
    <cfRule type="expression" dxfId="273" priority="100" stopIfTrue="1">
      <formula>H94=2</formula>
    </cfRule>
    <cfRule type="expression" dxfId="272" priority="101" stopIfTrue="1">
      <formula>H94=3</formula>
    </cfRule>
    <cfRule type="expression" dxfId="271" priority="102" stopIfTrue="1">
      <formula>H94=4</formula>
    </cfRule>
  </conditionalFormatting>
  <conditionalFormatting sqref="D95">
    <cfRule type="expression" dxfId="270" priority="94" stopIfTrue="1">
      <formula>H95=2</formula>
    </cfRule>
    <cfRule type="expression" dxfId="269" priority="95" stopIfTrue="1">
      <formula>H95=3</formula>
    </cfRule>
    <cfRule type="expression" dxfId="268" priority="96" stopIfTrue="1">
      <formula>H95=4</formula>
    </cfRule>
  </conditionalFormatting>
  <conditionalFormatting sqref="D97:D101">
    <cfRule type="expression" dxfId="267" priority="88" stopIfTrue="1">
      <formula>H97=2</formula>
    </cfRule>
    <cfRule type="expression" dxfId="266" priority="89" stopIfTrue="1">
      <formula>H97=3</formula>
    </cfRule>
    <cfRule type="expression" dxfId="265" priority="90" stopIfTrue="1">
      <formula>H97=4</formula>
    </cfRule>
  </conditionalFormatting>
  <conditionalFormatting sqref="D103:D106">
    <cfRule type="expression" dxfId="264" priority="82" stopIfTrue="1">
      <formula>H103=2</formula>
    </cfRule>
    <cfRule type="expression" dxfId="263" priority="83" stopIfTrue="1">
      <formula>H103=3</formula>
    </cfRule>
    <cfRule type="expression" dxfId="262" priority="84" stopIfTrue="1">
      <formula>H103=4</formula>
    </cfRule>
  </conditionalFormatting>
  <conditionalFormatting sqref="D110">
    <cfRule type="expression" dxfId="261" priority="76" stopIfTrue="1">
      <formula>H110=2</formula>
    </cfRule>
    <cfRule type="expression" dxfId="260" priority="77" stopIfTrue="1">
      <formula>H110=3</formula>
    </cfRule>
    <cfRule type="expression" dxfId="259" priority="78" stopIfTrue="1">
      <formula>H110=4</formula>
    </cfRule>
  </conditionalFormatting>
  <conditionalFormatting sqref="D111:D113">
    <cfRule type="expression" dxfId="258" priority="70" stopIfTrue="1">
      <formula>H111=2</formula>
    </cfRule>
    <cfRule type="expression" dxfId="257" priority="71" stopIfTrue="1">
      <formula>H111=3</formula>
    </cfRule>
    <cfRule type="expression" dxfId="256" priority="72" stopIfTrue="1">
      <formula>H111=4</formula>
    </cfRule>
  </conditionalFormatting>
  <conditionalFormatting sqref="D115:D118">
    <cfRule type="expression" dxfId="255" priority="64" stopIfTrue="1">
      <formula>H115=2</formula>
    </cfRule>
    <cfRule type="expression" dxfId="254" priority="65" stopIfTrue="1">
      <formula>H115=3</formula>
    </cfRule>
    <cfRule type="expression" dxfId="253" priority="66" stopIfTrue="1">
      <formula>H115=4</formula>
    </cfRule>
  </conditionalFormatting>
  <conditionalFormatting sqref="D120:D123">
    <cfRule type="expression" dxfId="252" priority="58" stopIfTrue="1">
      <formula>H120=2</formula>
    </cfRule>
    <cfRule type="expression" dxfId="251" priority="59" stopIfTrue="1">
      <formula>H120=3</formula>
    </cfRule>
    <cfRule type="expression" dxfId="250" priority="60" stopIfTrue="1">
      <formula>H120=4</formula>
    </cfRule>
  </conditionalFormatting>
  <conditionalFormatting sqref="F8:F22">
    <cfRule type="expression" dxfId="249" priority="31" stopIfTrue="1">
      <formula>I8=3</formula>
    </cfRule>
    <cfRule type="expression" dxfId="248" priority="32" stopIfTrue="1">
      <formula>I8=4</formula>
    </cfRule>
    <cfRule type="expression" dxfId="247" priority="33" stopIfTrue="1">
      <formula>I8=5</formula>
    </cfRule>
  </conditionalFormatting>
  <conditionalFormatting sqref="F26">
    <cfRule type="expression" dxfId="246" priority="28" stopIfTrue="1">
      <formula>I26=3</formula>
    </cfRule>
    <cfRule type="expression" dxfId="245" priority="29" stopIfTrue="1">
      <formula>I26=4</formula>
    </cfRule>
    <cfRule type="expression" dxfId="244" priority="30" stopIfTrue="1">
      <formula>I26=5</formula>
    </cfRule>
  </conditionalFormatting>
  <conditionalFormatting sqref="F27:F48">
    <cfRule type="expression" dxfId="243" priority="25" stopIfTrue="1">
      <formula>I27=3</formula>
    </cfRule>
    <cfRule type="expression" dxfId="242" priority="26" stopIfTrue="1">
      <formula>I27=4</formula>
    </cfRule>
    <cfRule type="expression" dxfId="241" priority="27" stopIfTrue="1">
      <formula>I27=5</formula>
    </cfRule>
  </conditionalFormatting>
  <conditionalFormatting sqref="F52">
    <cfRule type="expression" dxfId="240" priority="22" stopIfTrue="1">
      <formula>I52=3</formula>
    </cfRule>
    <cfRule type="expression" dxfId="239" priority="23" stopIfTrue="1">
      <formula>I52=4</formula>
    </cfRule>
    <cfRule type="expression" dxfId="238" priority="24" stopIfTrue="1">
      <formula>I52=5</formula>
    </cfRule>
  </conditionalFormatting>
  <conditionalFormatting sqref="F53:F73">
    <cfRule type="expression" dxfId="237" priority="19" stopIfTrue="1">
      <formula>I53=3</formula>
    </cfRule>
    <cfRule type="expression" dxfId="236" priority="20" stopIfTrue="1">
      <formula>I53=4</formula>
    </cfRule>
    <cfRule type="expression" dxfId="235" priority="21" stopIfTrue="1">
      <formula>I53=5</formula>
    </cfRule>
  </conditionalFormatting>
  <conditionalFormatting sqref="F77">
    <cfRule type="expression" dxfId="234" priority="16" stopIfTrue="1">
      <formula>I77=3</formula>
    </cfRule>
    <cfRule type="expression" dxfId="233" priority="17" stopIfTrue="1">
      <formula>I77=4</formula>
    </cfRule>
    <cfRule type="expression" dxfId="232" priority="18" stopIfTrue="1">
      <formula>I77=5</formula>
    </cfRule>
  </conditionalFormatting>
  <conditionalFormatting sqref="F78:F90">
    <cfRule type="expression" dxfId="231" priority="13" stopIfTrue="1">
      <formula>I78=3</formula>
    </cfRule>
    <cfRule type="expression" dxfId="230" priority="14" stopIfTrue="1">
      <formula>I78=4</formula>
    </cfRule>
    <cfRule type="expression" dxfId="229" priority="15" stopIfTrue="1">
      <formula>I78=5</formula>
    </cfRule>
  </conditionalFormatting>
  <conditionalFormatting sqref="F94">
    <cfRule type="expression" dxfId="228" priority="10" stopIfTrue="1">
      <formula>I94=3</formula>
    </cfRule>
    <cfRule type="expression" dxfId="227" priority="11" stopIfTrue="1">
      <formula>I94=4</formula>
    </cfRule>
    <cfRule type="expression" dxfId="226" priority="12" stopIfTrue="1">
      <formula>I94=5</formula>
    </cfRule>
  </conditionalFormatting>
  <conditionalFormatting sqref="F95:F106">
    <cfRule type="expression" dxfId="225" priority="7" stopIfTrue="1">
      <formula>I95=3</formula>
    </cfRule>
    <cfRule type="expression" dxfId="224" priority="8" stopIfTrue="1">
      <formula>I95=4</formula>
    </cfRule>
    <cfRule type="expression" dxfId="223" priority="9" stopIfTrue="1">
      <formula>I95=5</formula>
    </cfRule>
  </conditionalFormatting>
  <conditionalFormatting sqref="F110">
    <cfRule type="expression" dxfId="222" priority="4" stopIfTrue="1">
      <formula>I110=3</formula>
    </cfRule>
    <cfRule type="expression" dxfId="221" priority="5" stopIfTrue="1">
      <formula>I110=4</formula>
    </cfRule>
    <cfRule type="expression" dxfId="220" priority="6" stopIfTrue="1">
      <formula>I110=5</formula>
    </cfRule>
  </conditionalFormatting>
  <conditionalFormatting sqref="F111:F123">
    <cfRule type="expression" dxfId="219" priority="1" stopIfTrue="1">
      <formula>I111=3</formula>
    </cfRule>
    <cfRule type="expression" dxfId="218" priority="2" stopIfTrue="1">
      <formula>I111=4</formula>
    </cfRule>
    <cfRule type="expression" dxfId="217" priority="3" stopIfTrue="1">
      <formula>I111=5</formula>
    </cfRule>
  </conditionalFormatting>
  <pageMargins left="0.25" right="0.25" top="0.75" bottom="0.75" header="0.3" footer="0.3"/>
  <pageSetup scale="20" fitToHeight="0" orientation="landscape"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J146"/>
  <sheetViews>
    <sheetView topLeftCell="I79" workbookViewId="0">
      <selection activeCell="I91" sqref="I91"/>
    </sheetView>
  </sheetViews>
  <sheetFormatPr baseColWidth="10" defaultColWidth="8.83203125" defaultRowHeight="15"/>
  <cols>
    <col min="1" max="1" width="18.5" style="198" customWidth="1"/>
    <col min="2" max="2" width="23.83203125" style="198" bestFit="1" customWidth="1"/>
    <col min="3" max="3" width="4.33203125" style="198" bestFit="1" customWidth="1"/>
    <col min="4" max="4" width="8.83203125" style="198" bestFit="1" customWidth="1"/>
    <col min="5" max="5" width="62.5" style="198" bestFit="1" customWidth="1"/>
    <col min="6" max="6" width="3.1640625" style="198" bestFit="1" customWidth="1"/>
    <col min="7" max="7" width="149.33203125" style="198" bestFit="1" customWidth="1"/>
    <col min="8" max="8" width="153.5" style="198" bestFit="1" customWidth="1"/>
    <col min="9" max="9" width="209.6640625" style="198" bestFit="1" customWidth="1"/>
    <col min="10" max="10" width="21.33203125" style="198" bestFit="1" customWidth="1"/>
    <col min="11" max="16384" width="8.83203125" style="198"/>
  </cols>
  <sheetData>
    <row r="1" spans="1:10" ht="25">
      <c r="A1" s="197" t="s">
        <v>185</v>
      </c>
      <c r="B1" s="198" t="s">
        <v>186</v>
      </c>
    </row>
    <row r="2" spans="1:10" ht="18">
      <c r="A2" s="199" t="s">
        <v>15</v>
      </c>
    </row>
    <row r="3" spans="1:10" ht="18">
      <c r="A3" s="200" t="s">
        <v>390</v>
      </c>
    </row>
    <row r="4" spans="1:10">
      <c r="A4" s="201" t="s">
        <v>658</v>
      </c>
    </row>
    <row r="5" spans="1:10" ht="28">
      <c r="C5" s="198" t="s">
        <v>1</v>
      </c>
      <c r="D5" s="202" t="s">
        <v>187</v>
      </c>
      <c r="E5" s="202" t="s">
        <v>526</v>
      </c>
      <c r="F5" s="203" t="s">
        <v>0</v>
      </c>
      <c r="G5" s="198" t="s">
        <v>188</v>
      </c>
      <c r="H5" s="198" t="s">
        <v>189</v>
      </c>
      <c r="I5" s="198" t="s">
        <v>190</v>
      </c>
      <c r="J5" s="198" t="s">
        <v>624</v>
      </c>
    </row>
    <row r="6" spans="1:10" ht="28">
      <c r="C6" s="198" t="s">
        <v>2</v>
      </c>
      <c r="D6" s="202" t="s">
        <v>187</v>
      </c>
      <c r="E6" s="202" t="s">
        <v>200</v>
      </c>
      <c r="F6" s="203" t="s">
        <v>0</v>
      </c>
      <c r="G6" s="198" t="s">
        <v>112</v>
      </c>
      <c r="H6" s="198" t="s">
        <v>191</v>
      </c>
      <c r="I6" s="198" t="s">
        <v>389</v>
      </c>
      <c r="J6" s="198" t="s">
        <v>624</v>
      </c>
    </row>
    <row r="7" spans="1:10" ht="28">
      <c r="C7" s="198" t="s">
        <v>3</v>
      </c>
      <c r="D7" s="202" t="s">
        <v>187</v>
      </c>
      <c r="E7" s="202" t="s">
        <v>527</v>
      </c>
      <c r="F7" s="203" t="s">
        <v>0</v>
      </c>
      <c r="G7" s="198" t="s">
        <v>192</v>
      </c>
      <c r="H7" s="198" t="s">
        <v>193</v>
      </c>
      <c r="I7" s="198" t="s">
        <v>194</v>
      </c>
      <c r="J7" s="198" t="s">
        <v>624</v>
      </c>
    </row>
    <row r="8" spans="1:10">
      <c r="C8" s="198" t="s">
        <v>4</v>
      </c>
      <c r="D8" s="202"/>
      <c r="E8" s="202" t="s">
        <v>528</v>
      </c>
      <c r="F8" s="203" t="s">
        <v>0</v>
      </c>
      <c r="G8" s="198" t="s">
        <v>195</v>
      </c>
      <c r="H8" s="198" t="s">
        <v>196</v>
      </c>
      <c r="I8" s="198" t="s">
        <v>197</v>
      </c>
      <c r="J8" s="198" t="s">
        <v>624</v>
      </c>
    </row>
    <row r="9" spans="1:10">
      <c r="C9" s="198" t="s">
        <v>19</v>
      </c>
      <c r="D9" s="202"/>
      <c r="E9" s="202" t="s">
        <v>529</v>
      </c>
      <c r="F9" s="203" t="s">
        <v>0</v>
      </c>
      <c r="G9" s="198" t="s">
        <v>715</v>
      </c>
      <c r="H9" s="198" t="s">
        <v>198</v>
      </c>
      <c r="I9" s="198" t="s">
        <v>199</v>
      </c>
      <c r="J9" s="198" t="s">
        <v>624</v>
      </c>
    </row>
    <row r="10" spans="1:10">
      <c r="C10" s="198" t="s">
        <v>20</v>
      </c>
      <c r="D10" s="202"/>
      <c r="E10" s="202" t="s">
        <v>530</v>
      </c>
      <c r="F10" s="203" t="s">
        <v>0</v>
      </c>
      <c r="G10" s="198" t="s">
        <v>659</v>
      </c>
      <c r="H10" s="198" t="s">
        <v>660</v>
      </c>
      <c r="I10" s="198" t="s">
        <v>661</v>
      </c>
      <c r="J10" s="198" t="s">
        <v>624</v>
      </c>
    </row>
    <row r="11" spans="1:10" ht="18">
      <c r="A11" s="200" t="s">
        <v>388</v>
      </c>
    </row>
    <row r="12" spans="1:10">
      <c r="A12" s="204" t="s">
        <v>201</v>
      </c>
    </row>
    <row r="13" spans="1:10">
      <c r="C13" s="198" t="s">
        <v>5</v>
      </c>
      <c r="D13" s="202"/>
      <c r="E13" s="202" t="s">
        <v>21</v>
      </c>
      <c r="F13" s="203" t="s">
        <v>0</v>
      </c>
      <c r="G13" s="198" t="s">
        <v>202</v>
      </c>
      <c r="H13" s="198" t="s">
        <v>203</v>
      </c>
      <c r="I13" s="198" t="s">
        <v>204</v>
      </c>
      <c r="J13" s="198" t="s">
        <v>624</v>
      </c>
    </row>
    <row r="14" spans="1:10">
      <c r="C14" s="198" t="s">
        <v>6</v>
      </c>
      <c r="D14" s="202"/>
      <c r="E14" s="202" t="s">
        <v>531</v>
      </c>
      <c r="F14" s="203" t="s">
        <v>0</v>
      </c>
      <c r="G14" s="198" t="s">
        <v>387</v>
      </c>
      <c r="H14" s="198" t="s">
        <v>571</v>
      </c>
      <c r="I14" s="198" t="s">
        <v>570</v>
      </c>
      <c r="J14" s="198" t="s">
        <v>624</v>
      </c>
    </row>
    <row r="15" spans="1:10">
      <c r="C15" s="198" t="s">
        <v>22</v>
      </c>
      <c r="D15" s="202"/>
      <c r="E15" s="202" t="s">
        <v>532</v>
      </c>
      <c r="F15" s="203" t="s">
        <v>0</v>
      </c>
      <c r="G15" s="198" t="s">
        <v>572</v>
      </c>
      <c r="H15" s="198" t="s">
        <v>573</v>
      </c>
      <c r="I15" s="198" t="s">
        <v>386</v>
      </c>
      <c r="J15" s="198" t="s">
        <v>624</v>
      </c>
    </row>
    <row r="16" spans="1:10" ht="18">
      <c r="A16" s="200" t="s">
        <v>385</v>
      </c>
    </row>
    <row r="17" spans="1:10">
      <c r="A17" s="204" t="s">
        <v>384</v>
      </c>
    </row>
    <row r="18" spans="1:10" ht="28">
      <c r="C18" s="198" t="s">
        <v>7</v>
      </c>
      <c r="D18" s="202" t="s">
        <v>187</v>
      </c>
      <c r="E18" s="202" t="s">
        <v>533</v>
      </c>
      <c r="F18" s="203" t="s">
        <v>0</v>
      </c>
      <c r="G18" s="198" t="s">
        <v>205</v>
      </c>
      <c r="H18" s="198" t="s">
        <v>662</v>
      </c>
      <c r="I18" s="198" t="s">
        <v>383</v>
      </c>
      <c r="J18" s="198" t="s">
        <v>624</v>
      </c>
    </row>
    <row r="19" spans="1:10" ht="28">
      <c r="C19" s="198" t="s">
        <v>8</v>
      </c>
      <c r="D19" s="202" t="s">
        <v>187</v>
      </c>
      <c r="E19" s="202" t="s">
        <v>534</v>
      </c>
      <c r="F19" s="203" t="s">
        <v>0</v>
      </c>
      <c r="G19" s="198" t="s">
        <v>113</v>
      </c>
      <c r="H19" s="198" t="s">
        <v>663</v>
      </c>
      <c r="I19" s="198" t="s">
        <v>206</v>
      </c>
      <c r="J19" s="198" t="s">
        <v>624</v>
      </c>
    </row>
    <row r="20" spans="1:10" ht="28">
      <c r="C20" s="198" t="s">
        <v>9</v>
      </c>
      <c r="D20" s="202" t="s">
        <v>187</v>
      </c>
      <c r="E20" s="202" t="s">
        <v>10</v>
      </c>
      <c r="F20" s="203" t="s">
        <v>0</v>
      </c>
      <c r="G20" s="198" t="s">
        <v>114</v>
      </c>
      <c r="H20" s="198" t="s">
        <v>664</v>
      </c>
      <c r="I20" s="198" t="s">
        <v>115</v>
      </c>
      <c r="J20" s="198" t="s">
        <v>624</v>
      </c>
    </row>
    <row r="21" spans="1:10">
      <c r="C21" s="198" t="s">
        <v>11</v>
      </c>
      <c r="D21" s="202"/>
      <c r="E21" s="202" t="s">
        <v>535</v>
      </c>
      <c r="F21" s="203" t="s">
        <v>0</v>
      </c>
      <c r="G21" s="198" t="s">
        <v>207</v>
      </c>
      <c r="H21" s="198" t="s">
        <v>208</v>
      </c>
      <c r="I21" s="198" t="s">
        <v>209</v>
      </c>
      <c r="J21" s="198" t="s">
        <v>624</v>
      </c>
    </row>
    <row r="22" spans="1:10">
      <c r="C22" s="198" t="s">
        <v>12</v>
      </c>
      <c r="D22" s="202"/>
      <c r="E22" s="202" t="s">
        <v>13</v>
      </c>
      <c r="F22" s="203" t="s">
        <v>0</v>
      </c>
      <c r="G22" s="198" t="s">
        <v>116</v>
      </c>
      <c r="H22" s="198" t="s">
        <v>117</v>
      </c>
      <c r="I22" s="198" t="s">
        <v>118</v>
      </c>
      <c r="J22" s="198" t="s">
        <v>624</v>
      </c>
    </row>
    <row r="23" spans="1:10" ht="25">
      <c r="A23" s="197" t="s">
        <v>305</v>
      </c>
      <c r="B23" s="198" t="s">
        <v>365</v>
      </c>
      <c r="D23" s="205"/>
    </row>
    <row r="24" spans="1:10" ht="18">
      <c r="A24" s="199" t="s">
        <v>23</v>
      </c>
    </row>
    <row r="25" spans="1:10" ht="18">
      <c r="A25" s="200" t="s">
        <v>655</v>
      </c>
    </row>
    <row r="26" spans="1:10">
      <c r="A26" s="206" t="s">
        <v>418</v>
      </c>
    </row>
    <row r="27" spans="1:10" ht="28">
      <c r="C27" s="198" t="s">
        <v>24</v>
      </c>
      <c r="D27" s="202" t="s">
        <v>187</v>
      </c>
      <c r="E27" s="202" t="s">
        <v>341</v>
      </c>
      <c r="F27" s="198" t="s">
        <v>0</v>
      </c>
      <c r="G27" s="203" t="s">
        <v>210</v>
      </c>
      <c r="H27" s="198" t="s">
        <v>211</v>
      </c>
      <c r="I27" s="198" t="s">
        <v>212</v>
      </c>
      <c r="J27" s="198" t="s">
        <v>624</v>
      </c>
    </row>
    <row r="28" spans="1:10" ht="28">
      <c r="C28" s="198" t="s">
        <v>25</v>
      </c>
      <c r="D28" s="202" t="s">
        <v>187</v>
      </c>
      <c r="E28" s="202" t="s">
        <v>342</v>
      </c>
      <c r="F28" s="198" t="s">
        <v>0</v>
      </c>
      <c r="G28" s="203" t="s">
        <v>213</v>
      </c>
      <c r="H28" s="198" t="s">
        <v>214</v>
      </c>
      <c r="I28" s="198" t="s">
        <v>215</v>
      </c>
      <c r="J28" s="198" t="s">
        <v>624</v>
      </c>
    </row>
    <row r="29" spans="1:10" ht="28">
      <c r="C29" s="198" t="s">
        <v>26</v>
      </c>
      <c r="D29" s="202" t="s">
        <v>187</v>
      </c>
      <c r="E29" s="202" t="s">
        <v>417</v>
      </c>
      <c r="F29" s="198" t="s">
        <v>0</v>
      </c>
      <c r="G29" s="203" t="s">
        <v>216</v>
      </c>
      <c r="H29" s="198" t="s">
        <v>217</v>
      </c>
      <c r="I29" s="198" t="s">
        <v>119</v>
      </c>
      <c r="J29" s="198" t="s">
        <v>624</v>
      </c>
    </row>
    <row r="30" spans="1:10">
      <c r="C30" s="198" t="s">
        <v>27</v>
      </c>
      <c r="D30" s="202"/>
      <c r="E30" s="202" t="s">
        <v>416</v>
      </c>
      <c r="F30" s="198" t="s">
        <v>0</v>
      </c>
      <c r="G30" s="203" t="s">
        <v>218</v>
      </c>
      <c r="H30" s="198" t="s">
        <v>219</v>
      </c>
      <c r="I30" s="198" t="s">
        <v>220</v>
      </c>
      <c r="J30" s="198" t="s">
        <v>624</v>
      </c>
    </row>
    <row r="31" spans="1:10" ht="18">
      <c r="A31" s="200" t="s">
        <v>656</v>
      </c>
    </row>
    <row r="32" spans="1:10">
      <c r="A32" s="206" t="s">
        <v>419</v>
      </c>
    </row>
    <row r="33" spans="1:10" ht="28">
      <c r="C33" s="198" t="s">
        <v>28</v>
      </c>
      <c r="D33" s="202" t="s">
        <v>187</v>
      </c>
      <c r="E33" s="202" t="s">
        <v>536</v>
      </c>
      <c r="F33" s="198" t="s">
        <v>0</v>
      </c>
      <c r="G33" s="203" t="s">
        <v>224</v>
      </c>
      <c r="H33" s="198" t="s">
        <v>225</v>
      </c>
      <c r="I33" s="198" t="s">
        <v>415</v>
      </c>
      <c r="J33" s="198" t="s">
        <v>624</v>
      </c>
    </row>
    <row r="34" spans="1:10" ht="28">
      <c r="C34" s="198" t="s">
        <v>29</v>
      </c>
      <c r="D34" s="202" t="s">
        <v>187</v>
      </c>
      <c r="E34" s="202" t="s">
        <v>30</v>
      </c>
      <c r="F34" s="198" t="s">
        <v>0</v>
      </c>
      <c r="G34" s="203" t="s">
        <v>414</v>
      </c>
      <c r="H34" s="198" t="s">
        <v>413</v>
      </c>
      <c r="I34" s="198" t="s">
        <v>412</v>
      </c>
      <c r="J34" s="198" t="s">
        <v>624</v>
      </c>
    </row>
    <row r="35" spans="1:10" ht="28">
      <c r="C35" s="198" t="s">
        <v>31</v>
      </c>
      <c r="D35" s="202" t="s">
        <v>187</v>
      </c>
      <c r="E35" s="202" t="s">
        <v>32</v>
      </c>
      <c r="F35" s="198" t="s">
        <v>0</v>
      </c>
      <c r="G35" s="203" t="s">
        <v>226</v>
      </c>
      <c r="H35" s="198" t="s">
        <v>227</v>
      </c>
      <c r="I35" s="198" t="s">
        <v>228</v>
      </c>
      <c r="J35" s="198" t="s">
        <v>624</v>
      </c>
    </row>
    <row r="36" spans="1:10" ht="28">
      <c r="C36" s="198" t="s">
        <v>33</v>
      </c>
      <c r="D36" s="202" t="s">
        <v>187</v>
      </c>
      <c r="E36" s="202" t="s">
        <v>221</v>
      </c>
      <c r="F36" s="198" t="s">
        <v>0</v>
      </c>
      <c r="G36" s="203" t="s">
        <v>843</v>
      </c>
      <c r="H36" s="198" t="s">
        <v>844</v>
      </c>
      <c r="I36" s="198" t="s">
        <v>411</v>
      </c>
      <c r="J36" s="198" t="s">
        <v>624</v>
      </c>
    </row>
    <row r="37" spans="1:10" ht="28">
      <c r="C37" s="198" t="s">
        <v>35</v>
      </c>
      <c r="D37" s="202" t="s">
        <v>187</v>
      </c>
      <c r="E37" s="202" t="s">
        <v>34</v>
      </c>
      <c r="F37" s="198" t="s">
        <v>0</v>
      </c>
      <c r="G37" s="203" t="s">
        <v>229</v>
      </c>
      <c r="H37" s="198" t="s">
        <v>574</v>
      </c>
      <c r="I37" s="198" t="s">
        <v>575</v>
      </c>
      <c r="J37" s="198" t="s">
        <v>624</v>
      </c>
    </row>
    <row r="38" spans="1:10" ht="28">
      <c r="C38" s="198" t="s">
        <v>36</v>
      </c>
      <c r="D38" s="202" t="s">
        <v>187</v>
      </c>
      <c r="E38" s="202" t="s">
        <v>410</v>
      </c>
      <c r="F38" s="198" t="s">
        <v>0</v>
      </c>
      <c r="G38" s="203" t="s">
        <v>409</v>
      </c>
      <c r="H38" s="198" t="s">
        <v>408</v>
      </c>
      <c r="I38" s="198" t="s">
        <v>407</v>
      </c>
      <c r="J38" s="198" t="s">
        <v>624</v>
      </c>
    </row>
    <row r="39" spans="1:10" ht="28">
      <c r="C39" s="198" t="s">
        <v>37</v>
      </c>
      <c r="D39" s="202" t="s">
        <v>187</v>
      </c>
      <c r="E39" s="202" t="s">
        <v>222</v>
      </c>
      <c r="F39" s="198" t="s">
        <v>0</v>
      </c>
      <c r="G39" s="203" t="s">
        <v>230</v>
      </c>
      <c r="H39" s="198" t="s">
        <v>120</v>
      </c>
      <c r="I39" s="198" t="s">
        <v>231</v>
      </c>
      <c r="J39" s="198" t="s">
        <v>624</v>
      </c>
    </row>
    <row r="40" spans="1:10" ht="28">
      <c r="C40" s="198" t="s">
        <v>72</v>
      </c>
      <c r="D40" s="202" t="s">
        <v>187</v>
      </c>
      <c r="E40" s="202" t="s">
        <v>223</v>
      </c>
      <c r="F40" s="198" t="s">
        <v>0</v>
      </c>
      <c r="G40" s="203" t="s">
        <v>232</v>
      </c>
      <c r="H40" s="198" t="s">
        <v>233</v>
      </c>
      <c r="I40" s="198" t="s">
        <v>406</v>
      </c>
      <c r="J40" s="198" t="s">
        <v>624</v>
      </c>
    </row>
    <row r="41" spans="1:10">
      <c r="C41" s="198" t="s">
        <v>73</v>
      </c>
      <c r="D41" s="202"/>
      <c r="E41" s="202" t="s">
        <v>405</v>
      </c>
      <c r="F41" s="198" t="s">
        <v>0</v>
      </c>
      <c r="G41" s="203" t="s">
        <v>121</v>
      </c>
      <c r="H41" s="198" t="s">
        <v>122</v>
      </c>
      <c r="I41" s="198" t="s">
        <v>123</v>
      </c>
      <c r="J41" s="198" t="s">
        <v>624</v>
      </c>
    </row>
    <row r="42" spans="1:10" ht="18">
      <c r="A42" s="200" t="s">
        <v>657</v>
      </c>
      <c r="D42" s="207"/>
    </row>
    <row r="43" spans="1:10">
      <c r="A43" s="204" t="s">
        <v>404</v>
      </c>
      <c r="D43" s="207"/>
    </row>
    <row r="44" spans="1:10" ht="28">
      <c r="C44" s="198" t="s">
        <v>38</v>
      </c>
      <c r="D44" s="202" t="s">
        <v>187</v>
      </c>
      <c r="E44" s="202" t="s">
        <v>537</v>
      </c>
      <c r="F44" s="203" t="s">
        <v>0</v>
      </c>
      <c r="G44" s="198" t="s">
        <v>403</v>
      </c>
      <c r="H44" s="198" t="s">
        <v>402</v>
      </c>
      <c r="I44" s="198" t="s">
        <v>401</v>
      </c>
      <c r="J44" s="198" t="s">
        <v>624</v>
      </c>
    </row>
    <row r="45" spans="1:10" ht="28">
      <c r="C45" s="198" t="s">
        <v>39</v>
      </c>
      <c r="D45" s="202" t="s">
        <v>187</v>
      </c>
      <c r="E45" s="202" t="s">
        <v>40</v>
      </c>
      <c r="F45" s="203" t="s">
        <v>0</v>
      </c>
      <c r="G45" s="198" t="s">
        <v>400</v>
      </c>
      <c r="H45" s="198" t="s">
        <v>234</v>
      </c>
      <c r="I45" s="198" t="s">
        <v>235</v>
      </c>
      <c r="J45" s="198" t="s">
        <v>624</v>
      </c>
    </row>
    <row r="46" spans="1:10" ht="28">
      <c r="C46" s="198" t="s">
        <v>41</v>
      </c>
      <c r="D46" s="202" t="s">
        <v>187</v>
      </c>
      <c r="E46" s="202" t="s">
        <v>538</v>
      </c>
      <c r="F46" s="203" t="s">
        <v>0</v>
      </c>
      <c r="G46" s="198" t="s">
        <v>124</v>
      </c>
      <c r="H46" s="198" t="s">
        <v>236</v>
      </c>
      <c r="I46" s="198" t="s">
        <v>125</v>
      </c>
      <c r="J46" s="198" t="s">
        <v>624</v>
      </c>
    </row>
    <row r="47" spans="1:10" ht="28">
      <c r="C47" s="198" t="s">
        <v>42</v>
      </c>
      <c r="D47" s="202" t="s">
        <v>187</v>
      </c>
      <c r="E47" s="202" t="s">
        <v>539</v>
      </c>
      <c r="F47" s="203" t="s">
        <v>0</v>
      </c>
      <c r="G47" s="198" t="s">
        <v>238</v>
      </c>
      <c r="H47" s="198" t="s">
        <v>399</v>
      </c>
      <c r="I47" s="198" t="s">
        <v>239</v>
      </c>
      <c r="J47" s="198" t="s">
        <v>624</v>
      </c>
    </row>
    <row r="48" spans="1:10" ht="28">
      <c r="C48" s="198" t="s">
        <v>43</v>
      </c>
      <c r="D48" s="202" t="s">
        <v>187</v>
      </c>
      <c r="E48" s="202" t="s">
        <v>540</v>
      </c>
      <c r="F48" s="203" t="s">
        <v>0</v>
      </c>
      <c r="G48" s="198" t="s">
        <v>272</v>
      </c>
      <c r="H48" s="198" t="s">
        <v>273</v>
      </c>
      <c r="I48" s="198" t="s">
        <v>274</v>
      </c>
      <c r="J48" s="198" t="s">
        <v>624</v>
      </c>
    </row>
    <row r="49" spans="1:10">
      <c r="C49" s="198" t="s">
        <v>44</v>
      </c>
      <c r="D49" s="202"/>
      <c r="E49" s="202" t="s">
        <v>138</v>
      </c>
      <c r="F49" s="203" t="s">
        <v>0</v>
      </c>
      <c r="G49" s="198" t="s">
        <v>398</v>
      </c>
      <c r="H49" s="198" t="s">
        <v>397</v>
      </c>
      <c r="I49" s="198" t="s">
        <v>665</v>
      </c>
      <c r="J49" s="198" t="s">
        <v>624</v>
      </c>
    </row>
    <row r="50" spans="1:10">
      <c r="C50" s="198" t="s">
        <v>45</v>
      </c>
      <c r="D50" s="202"/>
      <c r="E50" s="202" t="s">
        <v>541</v>
      </c>
      <c r="F50" s="203" t="s">
        <v>0</v>
      </c>
      <c r="G50" s="198" t="s">
        <v>396</v>
      </c>
      <c r="H50" s="198" t="s">
        <v>395</v>
      </c>
      <c r="I50" s="198" t="s">
        <v>394</v>
      </c>
      <c r="J50" s="198" t="s">
        <v>624</v>
      </c>
    </row>
    <row r="51" spans="1:10">
      <c r="C51" s="198" t="s">
        <v>137</v>
      </c>
      <c r="D51" s="202"/>
      <c r="E51" s="202" t="s">
        <v>393</v>
      </c>
      <c r="F51" s="203" t="s">
        <v>0</v>
      </c>
      <c r="G51" s="198" t="s">
        <v>392</v>
      </c>
      <c r="H51" s="198" t="s">
        <v>391</v>
      </c>
      <c r="I51" s="198" t="s">
        <v>237</v>
      </c>
      <c r="J51" s="198" t="s">
        <v>624</v>
      </c>
    </row>
    <row r="52" spans="1:10" ht="25">
      <c r="A52" s="197" t="s">
        <v>306</v>
      </c>
      <c r="B52" s="198" t="s">
        <v>307</v>
      </c>
      <c r="D52" s="207"/>
    </row>
    <row r="53" spans="1:10" ht="18">
      <c r="A53" s="199" t="s">
        <v>312</v>
      </c>
      <c r="D53" s="207"/>
    </row>
    <row r="54" spans="1:10" ht="18">
      <c r="A54" s="200" t="s">
        <v>420</v>
      </c>
      <c r="D54" s="207"/>
    </row>
    <row r="55" spans="1:10">
      <c r="A55" s="208" t="s">
        <v>421</v>
      </c>
      <c r="D55" s="207"/>
    </row>
    <row r="56" spans="1:10" ht="28">
      <c r="C56" s="198" t="s">
        <v>74</v>
      </c>
      <c r="D56" s="202" t="s">
        <v>187</v>
      </c>
      <c r="E56" s="202" t="s">
        <v>542</v>
      </c>
      <c r="F56" s="203" t="s">
        <v>0</v>
      </c>
      <c r="G56" s="198" t="s">
        <v>846</v>
      </c>
      <c r="H56" s="198" t="s">
        <v>847</v>
      </c>
      <c r="I56" s="198" t="s">
        <v>848</v>
      </c>
      <c r="J56" s="198" t="s">
        <v>624</v>
      </c>
    </row>
    <row r="57" spans="1:10" ht="28">
      <c r="C57" s="198" t="s">
        <v>77</v>
      </c>
      <c r="D57" s="202" t="s">
        <v>187</v>
      </c>
      <c r="E57" s="202" t="s">
        <v>543</v>
      </c>
      <c r="F57" s="203" t="s">
        <v>0</v>
      </c>
      <c r="G57" s="198" t="s">
        <v>133</v>
      </c>
      <c r="H57" s="198" t="s">
        <v>240</v>
      </c>
      <c r="I57" s="198" t="s">
        <v>241</v>
      </c>
      <c r="J57" s="198" t="s">
        <v>624</v>
      </c>
    </row>
    <row r="58" spans="1:10" ht="28">
      <c r="C58" s="198" t="s">
        <v>78</v>
      </c>
      <c r="D58" s="202" t="s">
        <v>187</v>
      </c>
      <c r="E58" s="202" t="s">
        <v>82</v>
      </c>
      <c r="F58" s="203" t="s">
        <v>0</v>
      </c>
      <c r="G58" s="198" t="s">
        <v>422</v>
      </c>
      <c r="H58" s="198" t="s">
        <v>423</v>
      </c>
      <c r="I58" s="198" t="s">
        <v>666</v>
      </c>
      <c r="J58" s="198" t="s">
        <v>624</v>
      </c>
    </row>
    <row r="59" spans="1:10">
      <c r="C59" s="198" t="s">
        <v>75</v>
      </c>
      <c r="D59" s="202"/>
      <c r="E59" s="202" t="s">
        <v>242</v>
      </c>
      <c r="F59" s="203" t="s">
        <v>0</v>
      </c>
      <c r="G59" s="198" t="s">
        <v>424</v>
      </c>
      <c r="H59" s="198" t="s">
        <v>576</v>
      </c>
      <c r="I59" s="198" t="s">
        <v>425</v>
      </c>
      <c r="J59" s="198" t="s">
        <v>624</v>
      </c>
    </row>
    <row r="60" spans="1:10" ht="28">
      <c r="A60" s="209"/>
      <c r="C60" s="198" t="s">
        <v>426</v>
      </c>
      <c r="D60" s="202"/>
      <c r="E60" s="202" t="s">
        <v>76</v>
      </c>
      <c r="F60" s="210" t="s">
        <v>0</v>
      </c>
      <c r="G60" s="211" t="s">
        <v>243</v>
      </c>
      <c r="H60" s="211" t="s">
        <v>134</v>
      </c>
      <c r="I60" s="211" t="s">
        <v>135</v>
      </c>
      <c r="J60" s="198" t="s">
        <v>624</v>
      </c>
    </row>
    <row r="61" spans="1:10" ht="18">
      <c r="A61" s="209" t="s">
        <v>427</v>
      </c>
      <c r="D61" s="202"/>
      <c r="E61" s="202"/>
      <c r="F61" s="210"/>
      <c r="G61" s="211"/>
      <c r="H61" s="211"/>
      <c r="I61" s="211"/>
    </row>
    <row r="62" spans="1:10">
      <c r="A62" s="198" t="s">
        <v>79</v>
      </c>
      <c r="D62" s="202"/>
      <c r="E62" s="202"/>
      <c r="F62" s="203"/>
    </row>
    <row r="63" spans="1:10" ht="28">
      <c r="C63" s="198" t="s">
        <v>95</v>
      </c>
      <c r="D63" s="202" t="s">
        <v>187</v>
      </c>
      <c r="E63" s="202" t="s">
        <v>84</v>
      </c>
      <c r="F63" s="203" t="s">
        <v>0</v>
      </c>
      <c r="G63" s="198" t="s">
        <v>667</v>
      </c>
      <c r="H63" s="198" t="s">
        <v>668</v>
      </c>
      <c r="I63" s="198" t="s">
        <v>669</v>
      </c>
      <c r="J63" s="198" t="s">
        <v>624</v>
      </c>
    </row>
    <row r="64" spans="1:10" ht="28">
      <c r="C64" s="198" t="s">
        <v>80</v>
      </c>
      <c r="D64" s="202" t="s">
        <v>187</v>
      </c>
      <c r="E64" s="202" t="s">
        <v>544</v>
      </c>
      <c r="F64" s="203" t="s">
        <v>0</v>
      </c>
      <c r="G64" s="198" t="s">
        <v>428</v>
      </c>
      <c r="H64" s="198" t="s">
        <v>429</v>
      </c>
      <c r="I64" s="198" t="s">
        <v>670</v>
      </c>
      <c r="J64" s="198" t="s">
        <v>624</v>
      </c>
    </row>
    <row r="65" spans="1:10">
      <c r="C65" s="198" t="s">
        <v>81</v>
      </c>
      <c r="D65" s="202"/>
      <c r="E65" s="202" t="s">
        <v>545</v>
      </c>
      <c r="F65" s="203" t="s">
        <v>0</v>
      </c>
      <c r="G65" s="198" t="s">
        <v>368</v>
      </c>
      <c r="H65" s="198" t="s">
        <v>369</v>
      </c>
      <c r="I65" s="198" t="s">
        <v>244</v>
      </c>
      <c r="J65" s="198" t="s">
        <v>624</v>
      </c>
    </row>
    <row r="66" spans="1:10">
      <c r="C66" s="198" t="s">
        <v>96</v>
      </c>
      <c r="D66" s="202"/>
      <c r="E66" s="202" t="s">
        <v>430</v>
      </c>
      <c r="F66" s="203" t="s">
        <v>0</v>
      </c>
      <c r="G66" s="198" t="s">
        <v>431</v>
      </c>
      <c r="H66" s="198" t="s">
        <v>432</v>
      </c>
      <c r="I66" s="198" t="s">
        <v>433</v>
      </c>
      <c r="J66" s="198" t="s">
        <v>624</v>
      </c>
    </row>
    <row r="67" spans="1:10" ht="18">
      <c r="A67" s="200"/>
      <c r="C67" s="198" t="s">
        <v>83</v>
      </c>
      <c r="D67" s="205"/>
      <c r="E67" s="229" t="s">
        <v>434</v>
      </c>
      <c r="F67" s="198" t="s">
        <v>0</v>
      </c>
      <c r="G67" s="198" t="s">
        <v>435</v>
      </c>
      <c r="H67" s="198" t="s">
        <v>436</v>
      </c>
      <c r="I67" s="198" t="s">
        <v>437</v>
      </c>
      <c r="J67" s="198" t="s">
        <v>624</v>
      </c>
    </row>
    <row r="68" spans="1:10" ht="18">
      <c r="A68" s="209" t="s">
        <v>438</v>
      </c>
      <c r="D68" s="207"/>
    </row>
    <row r="69" spans="1:10">
      <c r="A69" s="246" t="s">
        <v>439</v>
      </c>
      <c r="D69" s="202"/>
      <c r="E69" s="202"/>
      <c r="F69" s="203"/>
    </row>
    <row r="70" spans="1:10" ht="28">
      <c r="C70" s="198" t="s">
        <v>97</v>
      </c>
      <c r="D70" s="202" t="s">
        <v>187</v>
      </c>
      <c r="E70" s="202" t="s">
        <v>343</v>
      </c>
      <c r="F70" s="203" t="s">
        <v>0</v>
      </c>
      <c r="G70" s="198" t="s">
        <v>671</v>
      </c>
      <c r="H70" s="198" t="s">
        <v>245</v>
      </c>
      <c r="I70" s="198" t="s">
        <v>672</v>
      </c>
      <c r="J70" s="198" t="s">
        <v>624</v>
      </c>
    </row>
    <row r="71" spans="1:10" ht="28">
      <c r="C71" s="198" t="s">
        <v>85</v>
      </c>
      <c r="D71" s="202" t="s">
        <v>187</v>
      </c>
      <c r="E71" s="202" t="s">
        <v>88</v>
      </c>
      <c r="F71" s="203" t="s">
        <v>0</v>
      </c>
      <c r="G71" s="198" t="s">
        <v>246</v>
      </c>
      <c r="H71" s="198" t="s">
        <v>247</v>
      </c>
      <c r="I71" s="198" t="s">
        <v>248</v>
      </c>
      <c r="J71" s="198" t="s">
        <v>624</v>
      </c>
    </row>
    <row r="72" spans="1:10">
      <c r="C72" s="198" t="s">
        <v>86</v>
      </c>
      <c r="D72" s="202"/>
      <c r="E72" s="202" t="s">
        <v>344</v>
      </c>
      <c r="F72" s="203" t="s">
        <v>0</v>
      </c>
      <c r="G72" s="198" t="s">
        <v>249</v>
      </c>
      <c r="H72" s="198" t="s">
        <v>250</v>
      </c>
      <c r="I72" s="198" t="s">
        <v>251</v>
      </c>
      <c r="J72" s="198" t="s">
        <v>624</v>
      </c>
    </row>
    <row r="73" spans="1:10">
      <c r="C73" s="198" t="s">
        <v>87</v>
      </c>
      <c r="D73" s="202"/>
      <c r="E73" s="202" t="s">
        <v>345</v>
      </c>
      <c r="F73" s="203" t="s">
        <v>0</v>
      </c>
      <c r="G73" s="198" t="s">
        <v>440</v>
      </c>
      <c r="H73" s="198" t="s">
        <v>441</v>
      </c>
      <c r="I73" s="198" t="s">
        <v>442</v>
      </c>
      <c r="J73" s="198" t="s">
        <v>624</v>
      </c>
    </row>
    <row r="74" spans="1:10" ht="18">
      <c r="A74" s="209"/>
      <c r="C74" s="198" t="s">
        <v>89</v>
      </c>
      <c r="D74" s="207"/>
      <c r="E74" s="229" t="s">
        <v>370</v>
      </c>
      <c r="F74" s="198" t="s">
        <v>0</v>
      </c>
      <c r="G74" s="198" t="s">
        <v>673</v>
      </c>
      <c r="H74" s="198" t="s">
        <v>674</v>
      </c>
      <c r="I74" s="198" t="s">
        <v>675</v>
      </c>
      <c r="J74" s="198" t="s">
        <v>624</v>
      </c>
    </row>
    <row r="75" spans="1:10" ht="18">
      <c r="A75" s="273" t="s">
        <v>443</v>
      </c>
      <c r="D75" s="207"/>
    </row>
    <row r="76" spans="1:10">
      <c r="A76" s="198" t="s">
        <v>90</v>
      </c>
      <c r="D76" s="202"/>
      <c r="E76" s="202"/>
      <c r="F76" s="203"/>
    </row>
    <row r="77" spans="1:10" ht="28">
      <c r="C77" s="198" t="s">
        <v>91</v>
      </c>
      <c r="D77" s="202" t="s">
        <v>187</v>
      </c>
      <c r="E77" s="202" t="s">
        <v>546</v>
      </c>
      <c r="F77" s="203" t="s">
        <v>0</v>
      </c>
      <c r="G77" s="198" t="s">
        <v>712</v>
      </c>
      <c r="H77" s="198" t="s">
        <v>444</v>
      </c>
      <c r="I77" s="198" t="s">
        <v>252</v>
      </c>
      <c r="J77" s="198" t="s">
        <v>624</v>
      </c>
    </row>
    <row r="78" spans="1:10">
      <c r="C78" s="198" t="s">
        <v>92</v>
      </c>
      <c r="D78" s="202"/>
      <c r="E78" s="202" t="s">
        <v>547</v>
      </c>
      <c r="F78" s="203" t="s">
        <v>0</v>
      </c>
      <c r="G78" s="198" t="s">
        <v>852</v>
      </c>
      <c r="H78" s="198" t="s">
        <v>853</v>
      </c>
      <c r="I78" s="198" t="s">
        <v>854</v>
      </c>
      <c r="J78" s="198" t="s">
        <v>624</v>
      </c>
    </row>
    <row r="79" spans="1:10">
      <c r="C79" s="198" t="s">
        <v>93</v>
      </c>
      <c r="D79" s="202"/>
      <c r="E79" s="202" t="s">
        <v>548</v>
      </c>
      <c r="F79" s="203" t="s">
        <v>0</v>
      </c>
      <c r="G79" s="198" t="s">
        <v>445</v>
      </c>
      <c r="H79" s="198" t="s">
        <v>676</v>
      </c>
      <c r="I79" s="198" t="s">
        <v>446</v>
      </c>
      <c r="J79" s="198" t="s">
        <v>624</v>
      </c>
    </row>
    <row r="80" spans="1:10">
      <c r="C80" s="198" t="s">
        <v>94</v>
      </c>
      <c r="D80" s="202"/>
      <c r="E80" s="202" t="s">
        <v>253</v>
      </c>
      <c r="F80" s="203" t="s">
        <v>0</v>
      </c>
      <c r="G80" s="198" t="s">
        <v>371</v>
      </c>
      <c r="H80" s="198" t="s">
        <v>254</v>
      </c>
      <c r="I80" s="198" t="s">
        <v>255</v>
      </c>
      <c r="J80" s="198" t="s">
        <v>624</v>
      </c>
    </row>
    <row r="81" spans="1:10" ht="25">
      <c r="A81" s="213" t="s">
        <v>308</v>
      </c>
      <c r="B81" s="198" t="s">
        <v>309</v>
      </c>
      <c r="D81" s="205"/>
    </row>
    <row r="82" spans="1:10">
      <c r="A82" s="214" t="s">
        <v>447</v>
      </c>
      <c r="D82" s="207"/>
    </row>
    <row r="83" spans="1:10" ht="18">
      <c r="A83" s="209" t="s">
        <v>98</v>
      </c>
      <c r="D83" s="207"/>
    </row>
    <row r="84" spans="1:10">
      <c r="A84" s="206" t="s">
        <v>448</v>
      </c>
      <c r="D84" s="207"/>
    </row>
    <row r="85" spans="1:10" ht="28">
      <c r="C85" s="198" t="s">
        <v>99</v>
      </c>
      <c r="D85" s="202" t="s">
        <v>187</v>
      </c>
      <c r="E85" s="202" t="s">
        <v>549</v>
      </c>
      <c r="F85" s="203" t="s">
        <v>0</v>
      </c>
      <c r="G85" s="198" t="s">
        <v>257</v>
      </c>
      <c r="H85" s="198" t="s">
        <v>258</v>
      </c>
      <c r="I85" s="198" t="s">
        <v>259</v>
      </c>
      <c r="J85" s="198" t="s">
        <v>624</v>
      </c>
    </row>
    <row r="86" spans="1:10">
      <c r="C86" s="198" t="s">
        <v>100</v>
      </c>
      <c r="D86" s="202"/>
      <c r="E86" s="202" t="s">
        <v>260</v>
      </c>
      <c r="F86" s="203" t="s">
        <v>0</v>
      </c>
      <c r="G86" s="198" t="s">
        <v>856</v>
      </c>
      <c r="H86" s="198" t="s">
        <v>857</v>
      </c>
      <c r="I86" s="198" t="s">
        <v>858</v>
      </c>
      <c r="J86" s="198" t="s">
        <v>624</v>
      </c>
    </row>
    <row r="87" spans="1:10">
      <c r="C87" s="198" t="s">
        <v>110</v>
      </c>
      <c r="D87" s="202"/>
      <c r="E87" s="202" t="s">
        <v>101</v>
      </c>
      <c r="F87" s="203" t="s">
        <v>0</v>
      </c>
      <c r="G87" s="198" t="s">
        <v>261</v>
      </c>
      <c r="H87" s="198" t="s">
        <v>262</v>
      </c>
      <c r="I87" s="198" t="s">
        <v>263</v>
      </c>
      <c r="J87" s="198" t="s">
        <v>624</v>
      </c>
    </row>
    <row r="88" spans="1:10" ht="18">
      <c r="A88" s="247" t="s">
        <v>568</v>
      </c>
      <c r="D88" s="207"/>
    </row>
    <row r="89" spans="1:10" ht="16">
      <c r="A89" s="201" t="s">
        <v>449</v>
      </c>
      <c r="D89" s="205"/>
    </row>
    <row r="90" spans="1:10">
      <c r="C90" s="198" t="s">
        <v>102</v>
      </c>
      <c r="D90" s="202"/>
      <c r="E90" s="202" t="s">
        <v>346</v>
      </c>
      <c r="F90" s="203" t="s">
        <v>0</v>
      </c>
      <c r="G90" s="198" t="s">
        <v>859</v>
      </c>
      <c r="H90" s="198" t="s">
        <v>860</v>
      </c>
      <c r="I90" s="198" t="s">
        <v>861</v>
      </c>
      <c r="J90" s="198" t="s">
        <v>624</v>
      </c>
    </row>
    <row r="91" spans="1:10">
      <c r="C91" s="198" t="s">
        <v>111</v>
      </c>
      <c r="D91" s="202"/>
      <c r="E91" s="202" t="s">
        <v>550</v>
      </c>
      <c r="F91" s="203" t="s">
        <v>0</v>
      </c>
      <c r="G91" s="198" t="s">
        <v>372</v>
      </c>
      <c r="H91" s="198" t="s">
        <v>373</v>
      </c>
      <c r="I91" s="198" t="s">
        <v>264</v>
      </c>
      <c r="J91" s="198" t="s">
        <v>624</v>
      </c>
    </row>
    <row r="92" spans="1:10">
      <c r="C92" s="198" t="s">
        <v>103</v>
      </c>
      <c r="D92" s="202"/>
      <c r="E92" s="202" t="s">
        <v>142</v>
      </c>
      <c r="F92" s="203" t="s">
        <v>0</v>
      </c>
      <c r="G92" s="198" t="s">
        <v>265</v>
      </c>
      <c r="H92" s="198" t="s">
        <v>136</v>
      </c>
      <c r="I92" s="198" t="s">
        <v>450</v>
      </c>
      <c r="J92" s="198" t="s">
        <v>624</v>
      </c>
    </row>
    <row r="93" spans="1:10">
      <c r="C93" s="198" t="s">
        <v>104</v>
      </c>
      <c r="D93" s="202"/>
      <c r="E93" s="202" t="s">
        <v>551</v>
      </c>
      <c r="F93" s="203" t="s">
        <v>0</v>
      </c>
      <c r="G93" s="198" t="s">
        <v>266</v>
      </c>
      <c r="H93" s="198" t="s">
        <v>267</v>
      </c>
      <c r="I93" s="198" t="s">
        <v>268</v>
      </c>
      <c r="J93" s="198" t="s">
        <v>624</v>
      </c>
    </row>
    <row r="94" spans="1:10">
      <c r="C94" s="198" t="s">
        <v>105</v>
      </c>
      <c r="D94" s="202"/>
      <c r="E94" s="202" t="s">
        <v>552</v>
      </c>
      <c r="F94" s="203" t="s">
        <v>0</v>
      </c>
      <c r="G94" s="198" t="s">
        <v>269</v>
      </c>
      <c r="H94" s="198" t="s">
        <v>270</v>
      </c>
      <c r="I94" s="198" t="s">
        <v>271</v>
      </c>
      <c r="J94" s="198" t="s">
        <v>624</v>
      </c>
    </row>
    <row r="95" spans="1:10" ht="18">
      <c r="A95" s="215" t="s">
        <v>569</v>
      </c>
      <c r="D95" s="202"/>
      <c r="E95" s="202"/>
      <c r="F95" s="203"/>
    </row>
    <row r="96" spans="1:10">
      <c r="A96" s="246" t="s">
        <v>459</v>
      </c>
      <c r="D96" s="202"/>
      <c r="E96" s="202"/>
      <c r="F96" s="203"/>
    </row>
    <row r="97" spans="1:10" ht="18">
      <c r="A97" s="215"/>
      <c r="C97" s="198" t="s">
        <v>106</v>
      </c>
      <c r="D97" s="205" t="s">
        <v>187</v>
      </c>
      <c r="E97" s="198" t="s">
        <v>553</v>
      </c>
      <c r="F97" s="198" t="s">
        <v>0</v>
      </c>
      <c r="G97" s="198" t="s">
        <v>451</v>
      </c>
      <c r="H97" s="198" t="s">
        <v>452</v>
      </c>
      <c r="I97" s="198" t="s">
        <v>453</v>
      </c>
      <c r="J97" s="198" t="s">
        <v>624</v>
      </c>
    </row>
    <row r="98" spans="1:10" ht="16">
      <c r="A98" s="212"/>
      <c r="C98" s="198" t="s">
        <v>107</v>
      </c>
      <c r="D98" s="205" t="s">
        <v>187</v>
      </c>
      <c r="E98" s="198" t="s">
        <v>554</v>
      </c>
      <c r="F98" s="198" t="s">
        <v>0</v>
      </c>
      <c r="G98" s="198" t="s">
        <v>454</v>
      </c>
      <c r="H98" s="198" t="s">
        <v>455</v>
      </c>
      <c r="I98" s="198" t="s">
        <v>717</v>
      </c>
      <c r="J98" s="198" t="s">
        <v>624</v>
      </c>
    </row>
    <row r="99" spans="1:10" ht="28">
      <c r="C99" s="198" t="s">
        <v>108</v>
      </c>
      <c r="D99" s="202" t="s">
        <v>187</v>
      </c>
      <c r="E99" s="202" t="s">
        <v>555</v>
      </c>
      <c r="F99" s="203" t="s">
        <v>0</v>
      </c>
      <c r="G99" s="198" t="s">
        <v>456</v>
      </c>
      <c r="H99" s="198" t="s">
        <v>457</v>
      </c>
      <c r="I99" s="198" t="s">
        <v>678</v>
      </c>
      <c r="J99" s="198" t="s">
        <v>624</v>
      </c>
    </row>
    <row r="100" spans="1:10" ht="28">
      <c r="C100" s="198" t="s">
        <v>109</v>
      </c>
      <c r="D100" s="202" t="s">
        <v>187</v>
      </c>
      <c r="E100" s="202" t="s">
        <v>556</v>
      </c>
      <c r="F100" s="203" t="s">
        <v>0</v>
      </c>
      <c r="G100" s="198" t="s">
        <v>275</v>
      </c>
      <c r="H100" s="198" t="s">
        <v>374</v>
      </c>
      <c r="I100" s="198" t="s">
        <v>458</v>
      </c>
      <c r="J100" s="198" t="s">
        <v>624</v>
      </c>
    </row>
    <row r="101" spans="1:10" ht="25">
      <c r="A101" s="213" t="s">
        <v>677</v>
      </c>
      <c r="B101" s="198" t="s">
        <v>460</v>
      </c>
      <c r="D101" s="202"/>
      <c r="E101" s="202"/>
      <c r="F101" s="203"/>
    </row>
    <row r="102" spans="1:10">
      <c r="A102" s="198" t="s">
        <v>461</v>
      </c>
      <c r="D102" s="202"/>
      <c r="E102" s="202"/>
      <c r="F102" s="203"/>
    </row>
    <row r="103" spans="1:10" ht="18">
      <c r="A103" s="215" t="s">
        <v>462</v>
      </c>
      <c r="D103" s="205"/>
    </row>
    <row r="104" spans="1:10" ht="16">
      <c r="A104" s="208" t="s">
        <v>682</v>
      </c>
      <c r="D104" s="205"/>
    </row>
    <row r="105" spans="1:10" ht="28">
      <c r="C105" s="198" t="s">
        <v>70</v>
      </c>
      <c r="D105" s="202" t="s">
        <v>187</v>
      </c>
      <c r="E105" s="202" t="s">
        <v>46</v>
      </c>
      <c r="F105" s="203" t="s">
        <v>0</v>
      </c>
      <c r="G105" s="198" t="s">
        <v>276</v>
      </c>
      <c r="H105" s="198" t="s">
        <v>277</v>
      </c>
      <c r="I105" s="198" t="s">
        <v>139</v>
      </c>
      <c r="J105" s="198" t="s">
        <v>624</v>
      </c>
    </row>
    <row r="106" spans="1:10">
      <c r="C106" s="198" t="s">
        <v>71</v>
      </c>
      <c r="D106" s="202"/>
      <c r="E106" s="202" t="s">
        <v>557</v>
      </c>
      <c r="F106" s="203" t="s">
        <v>0</v>
      </c>
      <c r="G106" s="198" t="s">
        <v>126</v>
      </c>
      <c r="H106" s="198" t="s">
        <v>127</v>
      </c>
      <c r="I106" s="198" t="s">
        <v>278</v>
      </c>
      <c r="J106" s="198" t="s">
        <v>624</v>
      </c>
    </row>
    <row r="107" spans="1:10">
      <c r="A107" s="198" t="s">
        <v>463</v>
      </c>
      <c r="D107" s="202"/>
      <c r="E107" s="202"/>
      <c r="F107" s="203"/>
    </row>
    <row r="108" spans="1:10">
      <c r="A108" s="198" t="s">
        <v>464</v>
      </c>
      <c r="D108" s="202"/>
      <c r="E108" s="202"/>
      <c r="F108" s="203"/>
    </row>
    <row r="109" spans="1:10" ht="28">
      <c r="C109" s="198" t="s">
        <v>47</v>
      </c>
      <c r="D109" s="202" t="s">
        <v>187</v>
      </c>
      <c r="E109" s="202" t="s">
        <v>558</v>
      </c>
      <c r="F109" s="203" t="s">
        <v>0</v>
      </c>
      <c r="G109" s="198" t="s">
        <v>465</v>
      </c>
      <c r="H109" s="198" t="s">
        <v>466</v>
      </c>
      <c r="I109" s="198" t="s">
        <v>467</v>
      </c>
      <c r="J109" s="198" t="s">
        <v>624</v>
      </c>
    </row>
    <row r="110" spans="1:10" ht="25">
      <c r="A110" s="197"/>
      <c r="C110" s="198" t="s">
        <v>48</v>
      </c>
      <c r="D110" s="198" t="s">
        <v>187</v>
      </c>
      <c r="E110" s="198" t="s">
        <v>559</v>
      </c>
      <c r="F110" s="198" t="s">
        <v>0</v>
      </c>
      <c r="G110" s="198" t="s">
        <v>468</v>
      </c>
      <c r="H110" s="198" t="s">
        <v>469</v>
      </c>
      <c r="I110" s="198" t="s">
        <v>470</v>
      </c>
      <c r="J110" s="198" t="s">
        <v>624</v>
      </c>
    </row>
    <row r="111" spans="1:10" ht="18">
      <c r="A111" s="199"/>
      <c r="C111" s="198" t="s">
        <v>49</v>
      </c>
      <c r="E111" s="198" t="s">
        <v>471</v>
      </c>
      <c r="F111" s="198" t="s">
        <v>0</v>
      </c>
      <c r="G111" s="198" t="s">
        <v>472</v>
      </c>
      <c r="H111" s="198" t="s">
        <v>473</v>
      </c>
      <c r="I111" s="198" t="s">
        <v>474</v>
      </c>
      <c r="J111" s="198" t="s">
        <v>624</v>
      </c>
    </row>
    <row r="112" spans="1:10" ht="18">
      <c r="A112" s="215"/>
      <c r="C112" s="198" t="s">
        <v>50</v>
      </c>
      <c r="E112" s="198" t="s">
        <v>560</v>
      </c>
      <c r="F112" s="198" t="s">
        <v>0</v>
      </c>
      <c r="G112" s="198" t="s">
        <v>475</v>
      </c>
      <c r="H112" s="198" t="s">
        <v>476</v>
      </c>
      <c r="I112" s="198" t="s">
        <v>279</v>
      </c>
      <c r="J112" s="198" t="s">
        <v>624</v>
      </c>
    </row>
    <row r="113" spans="1:10">
      <c r="A113" s="201"/>
      <c r="C113" s="198" t="s">
        <v>477</v>
      </c>
      <c r="E113" s="198" t="s">
        <v>478</v>
      </c>
      <c r="F113" s="198" t="s">
        <v>0</v>
      </c>
      <c r="G113" s="198" t="s">
        <v>281</v>
      </c>
      <c r="H113" s="198" t="s">
        <v>282</v>
      </c>
      <c r="I113" s="198" t="s">
        <v>283</v>
      </c>
      <c r="J113" s="198" t="s">
        <v>624</v>
      </c>
    </row>
    <row r="114" spans="1:10">
      <c r="A114" s="198" t="s">
        <v>378</v>
      </c>
      <c r="D114" s="202"/>
      <c r="E114" s="202"/>
      <c r="F114" s="203"/>
    </row>
    <row r="115" spans="1:10">
      <c r="A115" s="198" t="s">
        <v>479</v>
      </c>
      <c r="D115" s="202"/>
      <c r="E115" s="202"/>
      <c r="F115" s="203"/>
    </row>
    <row r="116" spans="1:10" ht="18">
      <c r="A116" s="215"/>
      <c r="C116" s="198" t="s">
        <v>51</v>
      </c>
      <c r="D116" s="207"/>
      <c r="E116" s="198" t="s">
        <v>284</v>
      </c>
      <c r="F116" s="198" t="s">
        <v>0</v>
      </c>
      <c r="G116" s="198" t="s">
        <v>140</v>
      </c>
      <c r="H116" s="198" t="s">
        <v>141</v>
      </c>
      <c r="I116" s="198" t="s">
        <v>128</v>
      </c>
      <c r="J116" s="198" t="s">
        <v>624</v>
      </c>
    </row>
    <row r="117" spans="1:10">
      <c r="A117" s="201"/>
      <c r="C117" s="198" t="s">
        <v>52</v>
      </c>
      <c r="D117" s="207"/>
      <c r="E117" s="198" t="s">
        <v>480</v>
      </c>
      <c r="F117" s="198" t="s">
        <v>0</v>
      </c>
      <c r="G117" s="198" t="s">
        <v>481</v>
      </c>
      <c r="H117" s="198" t="s">
        <v>713</v>
      </c>
      <c r="I117" s="198" t="s">
        <v>714</v>
      </c>
      <c r="J117" s="198" t="s">
        <v>624</v>
      </c>
    </row>
    <row r="118" spans="1:10">
      <c r="C118" s="198" t="s">
        <v>53</v>
      </c>
      <c r="D118" s="202"/>
      <c r="E118" s="202" t="s">
        <v>561</v>
      </c>
      <c r="F118" s="203" t="s">
        <v>0</v>
      </c>
      <c r="G118" s="198" t="s">
        <v>285</v>
      </c>
      <c r="H118" s="198" t="s">
        <v>375</v>
      </c>
      <c r="I118" s="198" t="s">
        <v>376</v>
      </c>
      <c r="J118" s="198" t="s">
        <v>624</v>
      </c>
    </row>
    <row r="119" spans="1:10">
      <c r="C119" s="198" t="s">
        <v>482</v>
      </c>
      <c r="D119" s="202"/>
      <c r="E119" s="202" t="s">
        <v>286</v>
      </c>
      <c r="F119" s="203" t="s">
        <v>0</v>
      </c>
      <c r="G119" s="198" t="s">
        <v>287</v>
      </c>
      <c r="H119" s="198" t="s">
        <v>377</v>
      </c>
      <c r="I119" s="198" t="s">
        <v>288</v>
      </c>
      <c r="J119" s="198" t="s">
        <v>624</v>
      </c>
    </row>
    <row r="120" spans="1:10" ht="25">
      <c r="A120" s="213" t="s">
        <v>310</v>
      </c>
      <c r="B120" s="198" t="s">
        <v>311</v>
      </c>
      <c r="D120" s="202"/>
      <c r="E120" s="202"/>
      <c r="F120" s="203"/>
    </row>
    <row r="121" spans="1:10">
      <c r="A121" s="198" t="s">
        <v>54</v>
      </c>
      <c r="D121" s="202"/>
      <c r="E121" s="202"/>
      <c r="F121" s="203"/>
    </row>
    <row r="122" spans="1:10" ht="18">
      <c r="A122" s="200" t="s">
        <v>483</v>
      </c>
    </row>
    <row r="123" spans="1:10">
      <c r="A123" s="204" t="s">
        <v>289</v>
      </c>
    </row>
    <row r="124" spans="1:10" ht="28">
      <c r="C124" s="198" t="s">
        <v>55</v>
      </c>
      <c r="D124" s="202" t="s">
        <v>187</v>
      </c>
      <c r="E124" s="202" t="s">
        <v>290</v>
      </c>
      <c r="F124" s="203" t="s">
        <v>0</v>
      </c>
      <c r="G124" s="203" t="s">
        <v>291</v>
      </c>
      <c r="H124" s="198" t="s">
        <v>484</v>
      </c>
      <c r="I124" s="198" t="s">
        <v>485</v>
      </c>
      <c r="J124" s="198" t="s">
        <v>624</v>
      </c>
    </row>
    <row r="125" spans="1:10" ht="28">
      <c r="C125" s="198" t="s">
        <v>56</v>
      </c>
      <c r="D125" s="202" t="s">
        <v>187</v>
      </c>
      <c r="E125" s="202" t="s">
        <v>292</v>
      </c>
      <c r="F125" s="203" t="s">
        <v>0</v>
      </c>
      <c r="G125" s="203" t="s">
        <v>379</v>
      </c>
      <c r="H125" s="198" t="s">
        <v>380</v>
      </c>
      <c r="I125" s="198" t="s">
        <v>293</v>
      </c>
      <c r="J125" s="198" t="s">
        <v>624</v>
      </c>
    </row>
    <row r="126" spans="1:10">
      <c r="C126" s="198" t="s">
        <v>57</v>
      </c>
      <c r="D126" s="202"/>
      <c r="E126" s="202" t="s">
        <v>294</v>
      </c>
      <c r="F126" s="203" t="s">
        <v>0</v>
      </c>
      <c r="G126" s="203" t="s">
        <v>486</v>
      </c>
      <c r="H126" s="198" t="s">
        <v>685</v>
      </c>
      <c r="I126" s="198" t="s">
        <v>686</v>
      </c>
      <c r="J126" s="198" t="s">
        <v>624</v>
      </c>
    </row>
    <row r="127" spans="1:10" ht="25">
      <c r="A127" s="197"/>
      <c r="C127" s="198" t="s">
        <v>58</v>
      </c>
      <c r="E127" s="198" t="s">
        <v>562</v>
      </c>
      <c r="F127" s="198" t="s">
        <v>0</v>
      </c>
      <c r="G127" s="198" t="s">
        <v>295</v>
      </c>
      <c r="H127" s="198" t="s">
        <v>687</v>
      </c>
      <c r="I127" s="198" t="s">
        <v>296</v>
      </c>
      <c r="J127" s="198" t="s">
        <v>624</v>
      </c>
    </row>
    <row r="128" spans="1:10" ht="18">
      <c r="A128" s="200" t="s">
        <v>487</v>
      </c>
    </row>
    <row r="129" spans="1:10" ht="24">
      <c r="A129" s="216" t="s">
        <v>488</v>
      </c>
    </row>
    <row r="130" spans="1:10">
      <c r="A130" s="204"/>
      <c r="C130" s="198" t="s">
        <v>59</v>
      </c>
      <c r="D130" s="198" t="s">
        <v>187</v>
      </c>
      <c r="E130" s="198" t="s">
        <v>563</v>
      </c>
      <c r="F130" s="198" t="s">
        <v>0</v>
      </c>
      <c r="G130" s="198" t="s">
        <v>489</v>
      </c>
      <c r="H130" s="198" t="s">
        <v>490</v>
      </c>
      <c r="I130" s="198" t="s">
        <v>491</v>
      </c>
      <c r="J130" s="198" t="s">
        <v>624</v>
      </c>
    </row>
    <row r="131" spans="1:10" ht="28">
      <c r="C131" s="198" t="s">
        <v>60</v>
      </c>
      <c r="D131" s="202" t="s">
        <v>187</v>
      </c>
      <c r="E131" s="198" t="s">
        <v>564</v>
      </c>
      <c r="F131" s="198" t="s">
        <v>0</v>
      </c>
      <c r="G131" s="198" t="s">
        <v>299</v>
      </c>
      <c r="H131" s="198" t="s">
        <v>683</v>
      </c>
      <c r="I131" s="198" t="s">
        <v>492</v>
      </c>
      <c r="J131" s="198" t="s">
        <v>624</v>
      </c>
    </row>
    <row r="132" spans="1:10">
      <c r="C132" s="198" t="s">
        <v>61</v>
      </c>
      <c r="D132" s="202"/>
      <c r="E132" s="198" t="s">
        <v>565</v>
      </c>
      <c r="F132" s="198" t="s">
        <v>0</v>
      </c>
      <c r="G132" s="198" t="s">
        <v>297</v>
      </c>
      <c r="H132" s="198" t="s">
        <v>298</v>
      </c>
      <c r="I132" s="198" t="s">
        <v>493</v>
      </c>
      <c r="J132" s="198" t="s">
        <v>624</v>
      </c>
    </row>
    <row r="133" spans="1:10">
      <c r="C133" s="198" t="s">
        <v>62</v>
      </c>
      <c r="D133" s="202"/>
      <c r="E133" s="198" t="s">
        <v>566</v>
      </c>
      <c r="F133" s="198" t="s">
        <v>0</v>
      </c>
      <c r="G133" s="198" t="s">
        <v>300</v>
      </c>
      <c r="H133" s="198" t="s">
        <v>301</v>
      </c>
      <c r="I133" s="198" t="s">
        <v>129</v>
      </c>
      <c r="J133" s="198" t="s">
        <v>624</v>
      </c>
    </row>
    <row r="134" spans="1:10" ht="18">
      <c r="A134" s="200" t="s">
        <v>494</v>
      </c>
      <c r="D134" s="202"/>
      <c r="G134" s="217"/>
      <c r="H134" s="217"/>
    </row>
    <row r="135" spans="1:10" ht="18">
      <c r="A135" s="215" t="s">
        <v>63</v>
      </c>
      <c r="D135" s="207"/>
    </row>
    <row r="136" spans="1:10">
      <c r="A136" s="204"/>
      <c r="C136" s="198" t="s">
        <v>64</v>
      </c>
      <c r="D136" s="207" t="s">
        <v>187</v>
      </c>
      <c r="E136" s="198" t="s">
        <v>302</v>
      </c>
      <c r="F136" s="198" t="s">
        <v>0</v>
      </c>
      <c r="G136" s="198" t="s">
        <v>132</v>
      </c>
      <c r="H136" s="198" t="s">
        <v>303</v>
      </c>
      <c r="I136" s="198" t="s">
        <v>304</v>
      </c>
      <c r="J136" s="198" t="s">
        <v>624</v>
      </c>
    </row>
    <row r="137" spans="1:10" ht="28">
      <c r="C137" s="198" t="s">
        <v>66</v>
      </c>
      <c r="D137" s="202" t="s">
        <v>187</v>
      </c>
      <c r="E137" s="202" t="s">
        <v>65</v>
      </c>
      <c r="F137" s="203" t="s">
        <v>0</v>
      </c>
      <c r="G137" s="211" t="s">
        <v>130</v>
      </c>
      <c r="H137" s="211" t="s">
        <v>131</v>
      </c>
      <c r="I137" s="211" t="s">
        <v>495</v>
      </c>
      <c r="J137" s="198" t="s">
        <v>624</v>
      </c>
    </row>
    <row r="138" spans="1:10">
      <c r="C138" s="198" t="s">
        <v>67</v>
      </c>
      <c r="D138" s="202"/>
      <c r="E138" s="202" t="s">
        <v>567</v>
      </c>
      <c r="F138" s="203" t="s">
        <v>0</v>
      </c>
      <c r="G138" s="218" t="s">
        <v>496</v>
      </c>
      <c r="H138" s="211" t="s">
        <v>732</v>
      </c>
      <c r="I138" s="211" t="s">
        <v>497</v>
      </c>
      <c r="J138" s="198" t="s">
        <v>624</v>
      </c>
    </row>
    <row r="139" spans="1:10">
      <c r="C139" s="198" t="s">
        <v>69</v>
      </c>
      <c r="D139" s="202"/>
      <c r="E139" s="202" t="s">
        <v>68</v>
      </c>
      <c r="F139" s="203" t="s">
        <v>0</v>
      </c>
      <c r="G139" s="218" t="s">
        <v>498</v>
      </c>
      <c r="H139" s="211" t="s">
        <v>499</v>
      </c>
      <c r="I139" s="211" t="s">
        <v>500</v>
      </c>
      <c r="J139" s="198" t="s">
        <v>624</v>
      </c>
    </row>
    <row r="140" spans="1:10">
      <c r="D140" s="202"/>
      <c r="E140" s="202"/>
      <c r="F140" s="203"/>
      <c r="G140" s="211"/>
      <c r="H140" s="211"/>
      <c r="I140" s="211"/>
    </row>
    <row r="141" spans="1:10" ht="18">
      <c r="A141" s="200"/>
      <c r="D141" s="207"/>
    </row>
    <row r="142" spans="1:10">
      <c r="A142" s="204"/>
    </row>
    <row r="143" spans="1:10">
      <c r="D143" s="202"/>
      <c r="E143" s="202"/>
      <c r="F143" s="203"/>
      <c r="G143" s="211"/>
      <c r="H143" s="211"/>
      <c r="I143" s="211"/>
    </row>
    <row r="144" spans="1:10">
      <c r="D144" s="202"/>
      <c r="E144" s="202"/>
      <c r="F144" s="203"/>
      <c r="G144" s="218"/>
      <c r="H144" s="211"/>
      <c r="I144" s="211"/>
    </row>
    <row r="145" spans="4:9">
      <c r="D145" s="202"/>
      <c r="E145" s="202"/>
      <c r="F145" s="203"/>
      <c r="G145" s="218"/>
      <c r="H145" s="211"/>
      <c r="I145" s="211"/>
    </row>
    <row r="146" spans="4:9">
      <c r="D146" s="202"/>
      <c r="E146" s="202"/>
      <c r="F146" s="203"/>
      <c r="G146" s="211"/>
      <c r="H146" s="211"/>
      <c r="I146" s="211"/>
    </row>
  </sheetData>
  <conditionalFormatting sqref="D63:D64">
    <cfRule type="uniqueValues" dxfId="216" priority="10"/>
  </conditionalFormatting>
  <conditionalFormatting sqref="D71">
    <cfRule type="uniqueValues" dxfId="215" priority="8"/>
  </conditionalFormatting>
  <conditionalFormatting sqref="D78">
    <cfRule type="uniqueValues" dxfId="214" priority="5"/>
  </conditionalFormatting>
  <conditionalFormatting sqref="D87">
    <cfRule type="uniqueValues" dxfId="213" priority="3"/>
  </conditionalFormatting>
  <conditionalFormatting sqref="D92 D95">
    <cfRule type="uniqueValues" dxfId="212" priority="2"/>
  </conditionalFormatting>
  <pageMargins left="0.7" right="0.7" top="0.75" bottom="0.75" header="0.3" footer="0.3"/>
  <pageSetup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dimension ref="A1:S158"/>
  <sheetViews>
    <sheetView workbookViewId="0"/>
  </sheetViews>
  <sheetFormatPr baseColWidth="10" defaultColWidth="8.83203125" defaultRowHeight="15"/>
  <cols>
    <col min="1" max="1" width="76.83203125" style="2" bestFit="1" customWidth="1"/>
    <col min="2" max="2" width="4.83203125" style="2" hidden="1" customWidth="1"/>
    <col min="3" max="3" width="13.1640625" style="9" customWidth="1"/>
    <col min="4" max="4" width="10.83203125" style="2" hidden="1" customWidth="1"/>
    <col min="5" max="5" width="13.1640625" style="9" customWidth="1"/>
    <col min="6" max="6" width="10.83203125" style="2" hidden="1" customWidth="1"/>
    <col min="7" max="7" width="13.1640625" style="9" customWidth="1"/>
    <col min="8" max="8" width="10.83203125" style="2" hidden="1" customWidth="1"/>
    <col min="9" max="9" width="13.1640625" style="9" customWidth="1"/>
    <col min="10" max="10" width="6.33203125" style="2" hidden="1" customWidth="1"/>
    <col min="11" max="11" width="1.6640625" style="2" customWidth="1"/>
    <col min="12" max="12" width="13.1640625" style="261" customWidth="1"/>
    <col min="13" max="13" width="1.5" style="2" customWidth="1"/>
    <col min="14" max="14" width="13.1640625" style="261" customWidth="1"/>
    <col min="15" max="15" width="1.6640625" style="2" customWidth="1"/>
    <col min="16" max="16" width="8.83203125" style="2" customWidth="1"/>
    <col min="17" max="17" width="11" style="2" customWidth="1"/>
    <col min="18" max="18" width="10.1640625" style="2" customWidth="1"/>
    <col min="19" max="16384" width="8.83203125" style="2"/>
  </cols>
  <sheetData>
    <row r="1" spans="1:19" s="4" customFormat="1" ht="33" thickBot="1">
      <c r="A1" s="14"/>
      <c r="B1" s="15"/>
      <c r="C1" s="240" t="s">
        <v>0</v>
      </c>
      <c r="D1" s="15"/>
      <c r="E1" s="240" t="s">
        <v>256</v>
      </c>
      <c r="F1" s="15"/>
      <c r="G1" s="240" t="s">
        <v>17</v>
      </c>
      <c r="H1" s="15"/>
      <c r="I1" s="240" t="s">
        <v>18</v>
      </c>
      <c r="J1" s="14"/>
      <c r="K1" s="23"/>
      <c r="L1" s="254" t="s">
        <v>625</v>
      </c>
      <c r="M1" s="32"/>
      <c r="N1" s="262" t="s">
        <v>650</v>
      </c>
      <c r="O1" s="23"/>
      <c r="P1" s="5"/>
      <c r="Q1" s="5"/>
      <c r="R1" s="5"/>
    </row>
    <row r="2" spans="1:19" s="20" customFormat="1" ht="25" thickBot="1">
      <c r="A2" s="105" t="s">
        <v>161</v>
      </c>
      <c r="B2" s="16">
        <f>B4+B10+B16+B23+B29+B35</f>
        <v>0</v>
      </c>
      <c r="C2" s="18" t="str">
        <f>IFERROR(B2/$J2,"-")</f>
        <v>-</v>
      </c>
      <c r="D2" s="16">
        <f>D4+D10+D16+D23+D29+D35</f>
        <v>0</v>
      </c>
      <c r="E2" s="18" t="str">
        <f>IFERROR(D2/$J2,"-")</f>
        <v>-</v>
      </c>
      <c r="F2" s="16">
        <f>F4+F10+F16+F23+F29+F35</f>
        <v>0</v>
      </c>
      <c r="G2" s="18" t="str">
        <f>IFERROR(F2/$J2,"-")</f>
        <v>-</v>
      </c>
      <c r="H2" s="16">
        <f>H4+H10+H16+H23+H29+H35</f>
        <v>0</v>
      </c>
      <c r="I2" s="18" t="str">
        <f>IFERROR(H2/$J2,"-")</f>
        <v>-</v>
      </c>
      <c r="J2" s="16">
        <f t="shared" ref="J2:J16" si="0">SUM(H2,F2,D2,B2)</f>
        <v>0</v>
      </c>
      <c r="K2" s="35"/>
      <c r="L2" s="255">
        <f>L4+L10+L16+L23+L29+L35</f>
        <v>89</v>
      </c>
      <c r="M2" s="35"/>
      <c r="N2" s="255">
        <f>N4+N10+N16+N23+N29+N35</f>
        <v>0</v>
      </c>
      <c r="O2" s="35"/>
      <c r="P2" s="42" t="s">
        <v>162</v>
      </c>
      <c r="Q2" s="43"/>
      <c r="R2" s="43"/>
      <c r="S2" s="44"/>
    </row>
    <row r="3" spans="1:19" s="20" customFormat="1" ht="25" customHeight="1" thickBot="1">
      <c r="A3" s="30"/>
      <c r="B3" s="16"/>
      <c r="C3" s="18"/>
      <c r="D3" s="16"/>
      <c r="E3" s="18"/>
      <c r="F3" s="16"/>
      <c r="G3" s="18"/>
      <c r="H3" s="16"/>
      <c r="I3" s="18"/>
      <c r="J3" s="16"/>
      <c r="K3" s="35"/>
      <c r="L3" s="256"/>
      <c r="M3" s="35"/>
      <c r="N3" s="256"/>
      <c r="O3" s="35"/>
      <c r="P3" s="644" t="s">
        <v>163</v>
      </c>
      <c r="Q3" s="645"/>
      <c r="R3" s="645"/>
      <c r="S3" s="646"/>
    </row>
    <row r="4" spans="1:19" s="22" customFormat="1" ht="20" thickBot="1">
      <c r="A4" s="104" t="str">
        <f>CONCATENATE(Raw!A1,": ",Raw!B1)</f>
        <v>Standard 1: Institutional Commitment</v>
      </c>
      <c r="B4" s="28">
        <f>B6+B7+B8</f>
        <v>0</v>
      </c>
      <c r="C4" s="29" t="str">
        <f>IFERROR(B4/$J4,"-")</f>
        <v>-</v>
      </c>
      <c r="D4" s="28">
        <f>D6+D7+D8</f>
        <v>0</v>
      </c>
      <c r="E4" s="29" t="str">
        <f>IFERROR(D4/$J4,"-")</f>
        <v>-</v>
      </c>
      <c r="F4" s="28">
        <f>F6+F7+F8</f>
        <v>0</v>
      </c>
      <c r="G4" s="29" t="str">
        <f>IFERROR(F4/$J4,"-")</f>
        <v>-</v>
      </c>
      <c r="H4" s="28">
        <f>H6+H7+H8</f>
        <v>0</v>
      </c>
      <c r="I4" s="29" t="str">
        <f>IFERROR(H4/$J4,"-")</f>
        <v>-</v>
      </c>
      <c r="J4" s="28">
        <f t="shared" si="0"/>
        <v>0</v>
      </c>
      <c r="K4" s="33"/>
      <c r="L4" s="257">
        <f>L6+L7+L8</f>
        <v>14</v>
      </c>
      <c r="M4" s="33"/>
      <c r="N4" s="257">
        <f>N6+N7+N8</f>
        <v>0</v>
      </c>
      <c r="O4" s="33"/>
      <c r="P4" s="647"/>
      <c r="Q4" s="648"/>
      <c r="R4" s="648"/>
      <c r="S4" s="649"/>
    </row>
    <row r="5" spans="1:19" s="22" customFormat="1" ht="9.25" customHeight="1" thickBot="1">
      <c r="A5" s="27"/>
      <c r="B5" s="28"/>
      <c r="C5" s="29"/>
      <c r="D5" s="28"/>
      <c r="E5" s="29"/>
      <c r="F5" s="28"/>
      <c r="G5" s="29"/>
      <c r="H5" s="28"/>
      <c r="I5" s="29"/>
      <c r="J5" s="28"/>
      <c r="K5" s="33"/>
      <c r="L5" s="258"/>
      <c r="M5" s="33"/>
      <c r="N5" s="258"/>
      <c r="O5" s="33"/>
      <c r="P5" s="647"/>
      <c r="Q5" s="648"/>
      <c r="R5" s="648"/>
      <c r="S5" s="649"/>
    </row>
    <row r="6" spans="1:19" s="4" customFormat="1" ht="14.5" customHeight="1" thickBot="1">
      <c r="A6" s="172" t="str">
        <f>Raw!A3</f>
        <v>Component 1A: Institutional Climate and Support</v>
      </c>
      <c r="B6" s="24">
        <f>COUNTIF(Res1A,1)</f>
        <v>0</v>
      </c>
      <c r="C6" s="25" t="str">
        <f>IFERROR(B6/$J6,"-")</f>
        <v>-</v>
      </c>
      <c r="D6" s="24">
        <f>COUNTIF(Res1A,2)</f>
        <v>0</v>
      </c>
      <c r="E6" s="25" t="str">
        <f>IFERROR(D6/$J6,"-")</f>
        <v>-</v>
      </c>
      <c r="F6" s="24">
        <f>COUNTIF(Res1A,3)</f>
        <v>0</v>
      </c>
      <c r="G6" s="25" t="str">
        <f>IFERROR(F6/$J6,"-")</f>
        <v>-</v>
      </c>
      <c r="H6" s="24">
        <f>COUNTIF(Res1A,4)</f>
        <v>0</v>
      </c>
      <c r="I6" s="25" t="str">
        <f>IFERROR(H6/$J6,"-")</f>
        <v>-</v>
      </c>
      <c r="J6" s="24">
        <f t="shared" si="0"/>
        <v>0</v>
      </c>
      <c r="K6" s="23"/>
      <c r="L6" s="259">
        <f>COUNTIF(Res1A,0)</f>
        <v>6</v>
      </c>
      <c r="M6" s="23"/>
      <c r="N6" s="259">
        <f>COUNTIF(Res1A,5)</f>
        <v>0</v>
      </c>
      <c r="O6" s="23"/>
      <c r="P6" s="647"/>
      <c r="Q6" s="648"/>
      <c r="R6" s="648"/>
      <c r="S6" s="649"/>
    </row>
    <row r="7" spans="1:19" s="4" customFormat="1" ht="14.5" customHeight="1" thickBot="1">
      <c r="A7" s="172" t="str">
        <f>Raw!A11</f>
        <v>Component 1B: Reward Structure</v>
      </c>
      <c r="B7" s="24">
        <f>COUNTIF(Res1B,1)</f>
        <v>0</v>
      </c>
      <c r="C7" s="25" t="str">
        <f>IFERROR(B7/$J7,"-")</f>
        <v>-</v>
      </c>
      <c r="D7" s="24">
        <f>COUNTIF(Res1B,2)</f>
        <v>0</v>
      </c>
      <c r="E7" s="25" t="str">
        <f>IFERROR(D7/$J7,"-")</f>
        <v>-</v>
      </c>
      <c r="F7" s="24">
        <f>COUNTIF(Res1B,3)</f>
        <v>0</v>
      </c>
      <c r="G7" s="25" t="str">
        <f>IFERROR(F7/$J7,"-")</f>
        <v>-</v>
      </c>
      <c r="H7" s="24">
        <f>COUNTIF(Res1B,4)</f>
        <v>0</v>
      </c>
      <c r="I7" s="25" t="str">
        <f>IFERROR(H7/$J7,"-")</f>
        <v>-</v>
      </c>
      <c r="J7" s="24">
        <f t="shared" si="0"/>
        <v>0</v>
      </c>
      <c r="K7" s="23"/>
      <c r="L7" s="259">
        <f>COUNTIF(Res1B,0)</f>
        <v>3</v>
      </c>
      <c r="M7" s="23"/>
      <c r="N7" s="259">
        <f>COUNTIF(Res1B,5)</f>
        <v>0</v>
      </c>
      <c r="O7" s="23"/>
      <c r="P7" s="647"/>
      <c r="Q7" s="648"/>
      <c r="R7" s="648"/>
      <c r="S7" s="649"/>
    </row>
    <row r="8" spans="1:19" s="4" customFormat="1" ht="16.5" customHeight="1" thickBot="1">
      <c r="A8" s="172" t="str">
        <f>Raw!A16</f>
        <v xml:space="preserve">Component 1C: Resources </v>
      </c>
      <c r="B8" s="24">
        <f>COUNTIF(Res1C,1)</f>
        <v>0</v>
      </c>
      <c r="C8" s="25" t="str">
        <f>IFERROR(B8/$J8,"-")</f>
        <v>-</v>
      </c>
      <c r="D8" s="24">
        <f>COUNTIF(Res1C,2)</f>
        <v>0</v>
      </c>
      <c r="E8" s="25" t="str">
        <f>IFERROR(D8/$J8,"-")</f>
        <v>-</v>
      </c>
      <c r="F8" s="24">
        <f>COUNTIF(Res1C,3)</f>
        <v>0</v>
      </c>
      <c r="G8" s="25" t="str">
        <f>IFERROR(F8/$J8,"-")</f>
        <v>-</v>
      </c>
      <c r="H8" s="24">
        <f>COUNTIF(Res1C,4)</f>
        <v>0</v>
      </c>
      <c r="I8" s="25" t="str">
        <f>IFERROR(H8/$J8,"-")</f>
        <v>-</v>
      </c>
      <c r="J8" s="24">
        <f t="shared" si="0"/>
        <v>0</v>
      </c>
      <c r="K8" s="23"/>
      <c r="L8" s="259">
        <f>COUNTIF(Res1C,0)</f>
        <v>5</v>
      </c>
      <c r="M8" s="23"/>
      <c r="N8" s="259">
        <f>COUNTIF(Res1C,5)</f>
        <v>0</v>
      </c>
      <c r="O8" s="23"/>
      <c r="P8" s="647"/>
      <c r="Q8" s="648"/>
      <c r="R8" s="648"/>
      <c r="S8" s="649"/>
    </row>
    <row r="9" spans="1:19" s="4" customFormat="1" ht="16" customHeight="1" thickBot="1">
      <c r="A9" s="17"/>
      <c r="B9" s="24"/>
      <c r="C9" s="25"/>
      <c r="D9" s="24"/>
      <c r="E9" s="25"/>
      <c r="F9" s="24"/>
      <c r="G9" s="25"/>
      <c r="H9" s="24"/>
      <c r="I9" s="25"/>
      <c r="J9" s="24"/>
      <c r="K9" s="23"/>
      <c r="L9" s="259"/>
      <c r="M9" s="23"/>
      <c r="N9" s="259"/>
      <c r="O9" s="23"/>
      <c r="P9" s="647"/>
      <c r="Q9" s="648"/>
      <c r="R9" s="648"/>
      <c r="S9" s="649"/>
    </row>
    <row r="10" spans="1:19" s="22" customFormat="1" ht="20" thickBot="1">
      <c r="A10" s="103" t="str">
        <f>CONCATENATE(Raw!A23,": ",Raw!B23)</f>
        <v>Standard 2: Leadership and Collaboration</v>
      </c>
      <c r="B10" s="28">
        <f>B12+B13+B14</f>
        <v>0</v>
      </c>
      <c r="C10" s="29" t="str">
        <f>IFERROR(B10/$J10,"-")</f>
        <v>-</v>
      </c>
      <c r="D10" s="28">
        <f>D12+D13+D14</f>
        <v>0</v>
      </c>
      <c r="E10" s="29" t="str">
        <f>IFERROR(D10/$J10,"-")</f>
        <v>-</v>
      </c>
      <c r="F10" s="28">
        <f>F12+F13+F14</f>
        <v>0</v>
      </c>
      <c r="G10" s="29" t="str">
        <f>IFERROR(F10/$J10,"-")</f>
        <v>-</v>
      </c>
      <c r="H10" s="28">
        <f>H12+H13+H14</f>
        <v>0</v>
      </c>
      <c r="I10" s="29" t="str">
        <f>IFERROR(H10/$J10,"-")</f>
        <v>-</v>
      </c>
      <c r="J10" s="28">
        <f t="shared" si="0"/>
        <v>0</v>
      </c>
      <c r="K10" s="33"/>
      <c r="L10" s="257">
        <f>L12+L13+L14</f>
        <v>21</v>
      </c>
      <c r="M10" s="33"/>
      <c r="N10" s="257">
        <f>N12+N13+N14</f>
        <v>0</v>
      </c>
      <c r="O10" s="33"/>
      <c r="P10" s="647"/>
      <c r="Q10" s="648"/>
      <c r="R10" s="648"/>
      <c r="S10" s="649"/>
    </row>
    <row r="11" spans="1:19" s="22" customFormat="1" ht="9.25" customHeight="1" thickBot="1">
      <c r="A11" s="27"/>
      <c r="B11" s="28"/>
      <c r="C11" s="29"/>
      <c r="D11" s="28"/>
      <c r="E11" s="29"/>
      <c r="F11" s="28"/>
      <c r="G11" s="29"/>
      <c r="H11" s="28"/>
      <c r="I11" s="29"/>
      <c r="J11" s="28"/>
      <c r="K11" s="33"/>
      <c r="L11" s="258"/>
      <c r="M11" s="33"/>
      <c r="N11" s="258"/>
      <c r="O11" s="33"/>
      <c r="P11" s="647"/>
      <c r="Q11" s="648"/>
      <c r="R11" s="648"/>
      <c r="S11" s="649"/>
    </row>
    <row r="12" spans="1:19" s="4" customFormat="1" ht="16" thickBot="1">
      <c r="A12" s="172" t="str">
        <f>Raw!A25</f>
        <v>Component 2A: Program Team Members</v>
      </c>
      <c r="B12" s="24">
        <f>COUNTIF(Res2A,1)</f>
        <v>0</v>
      </c>
      <c r="C12" s="25" t="str">
        <f>IFERROR(B12/$J12,"-")</f>
        <v>-</v>
      </c>
      <c r="D12" s="24">
        <f>COUNTIF(Res2A,2)</f>
        <v>0</v>
      </c>
      <c r="E12" s="25" t="str">
        <f>IFERROR(D12/$J12,"-")</f>
        <v>-</v>
      </c>
      <c r="F12" s="24">
        <f>COUNTIF(Res2A,3)</f>
        <v>0</v>
      </c>
      <c r="G12" s="25" t="str">
        <f>IFERROR(F12/$J12,"-")</f>
        <v>-</v>
      </c>
      <c r="H12" s="24">
        <f>COUNTIF(Res2A,4)</f>
        <v>0</v>
      </c>
      <c r="I12" s="25" t="str">
        <f>IFERROR(H12/$J12,"-")</f>
        <v>-</v>
      </c>
      <c r="J12" s="24">
        <f t="shared" si="0"/>
        <v>0</v>
      </c>
      <c r="K12" s="23"/>
      <c r="L12" s="259">
        <f>COUNTIF(Res2A,0)</f>
        <v>4</v>
      </c>
      <c r="M12" s="23"/>
      <c r="N12" s="259">
        <f>COUNTIF(Res2A,5)</f>
        <v>0</v>
      </c>
      <c r="O12" s="23"/>
      <c r="P12" s="647"/>
      <c r="Q12" s="648"/>
      <c r="R12" s="648"/>
      <c r="S12" s="649"/>
    </row>
    <row r="13" spans="1:19" s="4" customFormat="1" ht="16" thickBot="1">
      <c r="A13" s="172" t="str">
        <f>Raw!A31</f>
        <v>Component 2B: Program Team Attributes</v>
      </c>
      <c r="B13" s="24">
        <f>COUNTIF(Res2B,1)</f>
        <v>0</v>
      </c>
      <c r="C13" s="25" t="str">
        <f>IFERROR(B13/$J13,"-")</f>
        <v>-</v>
      </c>
      <c r="D13" s="24">
        <f>COUNTIF(Res2B,2)</f>
        <v>0</v>
      </c>
      <c r="E13" s="25" t="str">
        <f>IFERROR(D13/$J13,"-")</f>
        <v>-</v>
      </c>
      <c r="F13" s="24">
        <f>COUNTIF(Res2B,3)</f>
        <v>0</v>
      </c>
      <c r="G13" s="25" t="str">
        <f>IFERROR(F13/$J13,"-")</f>
        <v>-</v>
      </c>
      <c r="H13" s="24">
        <f>COUNTIF(Res2B,4)</f>
        <v>0</v>
      </c>
      <c r="I13" s="25" t="str">
        <f>IFERROR(H13/$J13,"-")</f>
        <v>-</v>
      </c>
      <c r="J13" s="24">
        <f t="shared" si="0"/>
        <v>0</v>
      </c>
      <c r="K13" s="23"/>
      <c r="L13" s="259">
        <f>COUNTIF(Res2B,0)</f>
        <v>9</v>
      </c>
      <c r="M13" s="23"/>
      <c r="N13" s="259">
        <f>COUNTIF(Res2B,5)</f>
        <v>0</v>
      </c>
      <c r="O13" s="23"/>
      <c r="P13" s="650"/>
      <c r="Q13" s="651"/>
      <c r="R13" s="651"/>
      <c r="S13" s="652"/>
    </row>
    <row r="14" spans="1:19" s="4" customFormat="1" ht="16" customHeight="1" thickBot="1">
      <c r="A14" s="172" t="str">
        <f>Raw!A42</f>
        <v>Component 2C: Program Collaboration</v>
      </c>
      <c r="B14" s="24">
        <f>COUNTIF(Res2C,1)</f>
        <v>0</v>
      </c>
      <c r="C14" s="25" t="str">
        <f>IFERROR(B14/$J14,"-")</f>
        <v>-</v>
      </c>
      <c r="D14" s="24">
        <f>COUNTIF(Res2C,2)</f>
        <v>0</v>
      </c>
      <c r="E14" s="25" t="str">
        <f>IFERROR(D14/$J14,"-")</f>
        <v>-</v>
      </c>
      <c r="F14" s="24">
        <f>COUNTIF(Res2C,3)</f>
        <v>0</v>
      </c>
      <c r="G14" s="25" t="str">
        <f>IFERROR(F14/$J14,"-")</f>
        <v>-</v>
      </c>
      <c r="H14" s="24">
        <f>COUNTIF(Res2C,4)</f>
        <v>0</v>
      </c>
      <c r="I14" s="25" t="str">
        <f>IFERROR(H14/$J14,"-")</f>
        <v>-</v>
      </c>
      <c r="J14" s="24">
        <f t="shared" si="0"/>
        <v>0</v>
      </c>
      <c r="K14" s="23"/>
      <c r="L14" s="259">
        <f>COUNTIF(Res2C,0)</f>
        <v>8</v>
      </c>
      <c r="M14" s="23"/>
      <c r="N14" s="259">
        <f>COUNTIF(Res2C,5)</f>
        <v>0</v>
      </c>
      <c r="O14" s="23"/>
    </row>
    <row r="15" spans="1:19" s="4" customFormat="1" ht="16" thickBot="1">
      <c r="A15" s="17"/>
      <c r="B15" s="24"/>
      <c r="C15" s="25"/>
      <c r="D15" s="24"/>
      <c r="E15" s="25"/>
      <c r="F15" s="24"/>
      <c r="G15" s="25"/>
      <c r="H15" s="24"/>
      <c r="I15" s="25"/>
      <c r="J15" s="24"/>
      <c r="K15" s="23"/>
      <c r="L15" s="259"/>
      <c r="M15" s="23"/>
      <c r="N15" s="259"/>
      <c r="O15" s="23"/>
    </row>
    <row r="16" spans="1:19" s="22" customFormat="1" ht="20" thickBot="1">
      <c r="A16" s="102" t="str">
        <f>CONCATENATE(Raw!A52,": ",Raw!B52)</f>
        <v>Standard 3: Recruitment</v>
      </c>
      <c r="B16" s="28">
        <f>B18+B19+B20+B21</f>
        <v>0</v>
      </c>
      <c r="C16" s="29" t="str">
        <f>IFERROR(B16/$J16,"-")</f>
        <v>-</v>
      </c>
      <c r="D16" s="28">
        <f>D18+D19+D20+D21</f>
        <v>0</v>
      </c>
      <c r="E16" s="29" t="str">
        <f>IFERROR(D16/$J16,"-")</f>
        <v>-</v>
      </c>
      <c r="F16" s="28">
        <f>F18+F19+F20+F21</f>
        <v>0</v>
      </c>
      <c r="G16" s="29" t="str">
        <f>IFERROR(F16/$J16,"-")</f>
        <v>-</v>
      </c>
      <c r="H16" s="28">
        <f>H18+H19+H20+H21</f>
        <v>0</v>
      </c>
      <c r="I16" s="29" t="str">
        <f>IFERROR(H16/$J16,"-")</f>
        <v>-</v>
      </c>
      <c r="J16" s="28">
        <f t="shared" si="0"/>
        <v>0</v>
      </c>
      <c r="K16" s="33"/>
      <c r="L16" s="257">
        <f>L18+L19+L20+L21</f>
        <v>19</v>
      </c>
      <c r="M16" s="33"/>
      <c r="N16" s="257">
        <f>N18+N19+N20+N21</f>
        <v>0</v>
      </c>
      <c r="O16" s="33"/>
    </row>
    <row r="17" spans="1:18" s="22" customFormat="1" ht="8" customHeight="1" thickBot="1">
      <c r="A17" s="27"/>
      <c r="B17" s="28"/>
      <c r="C17" s="29"/>
      <c r="D17" s="28"/>
      <c r="E17" s="29"/>
      <c r="F17" s="28"/>
      <c r="G17" s="29"/>
      <c r="H17" s="28"/>
      <c r="I17" s="29"/>
      <c r="J17" s="28"/>
      <c r="K17" s="33"/>
      <c r="L17" s="258"/>
      <c r="M17" s="33"/>
      <c r="N17" s="258"/>
      <c r="O17" s="33"/>
    </row>
    <row r="18" spans="1:18" s="4" customFormat="1" ht="16" thickBot="1">
      <c r="A18" s="172" t="str">
        <f>Raw!A54</f>
        <v>Component 3A: Recruitment Opportunities</v>
      </c>
      <c r="B18" s="24">
        <f>COUNTIF(Res3A,1)</f>
        <v>0</v>
      </c>
      <c r="C18" s="25" t="str">
        <f>IFERROR(B18/$J18,"-")</f>
        <v>-</v>
      </c>
      <c r="D18" s="24">
        <f>COUNTIF(Res3A,2)</f>
        <v>0</v>
      </c>
      <c r="E18" s="25" t="str">
        <f>IFERROR(D18/$J18,"-")</f>
        <v>-</v>
      </c>
      <c r="F18" s="24">
        <f>COUNTIF(Res3A,3)</f>
        <v>0</v>
      </c>
      <c r="G18" s="25" t="str">
        <f>IFERROR(F18/$J18,"-")</f>
        <v>-</v>
      </c>
      <c r="H18" s="24">
        <f>COUNTIF(Res3A,4)</f>
        <v>0</v>
      </c>
      <c r="I18" s="25" t="str">
        <f>IFERROR(H18/$J18,"-")</f>
        <v>-</v>
      </c>
      <c r="J18" s="24">
        <f t="shared" ref="J18:J27" si="1">SUM(H18,F18,D18,B18)</f>
        <v>0</v>
      </c>
      <c r="K18" s="23"/>
      <c r="L18" s="259">
        <f>COUNTIF(Res3A,0)</f>
        <v>5</v>
      </c>
      <c r="M18" s="23"/>
      <c r="N18" s="259">
        <f>COUNTIF(Res3A,5)</f>
        <v>0</v>
      </c>
      <c r="O18" s="23"/>
    </row>
    <row r="19" spans="1:18" s="4" customFormat="1" ht="16" thickBot="1">
      <c r="A19" s="172" t="str">
        <f>Raw!A61</f>
        <v xml:space="preserve">Component 3B: Recruitment Activities </v>
      </c>
      <c r="B19" s="24">
        <f>COUNTIF(Res3B,1)</f>
        <v>0</v>
      </c>
      <c r="C19" s="25" t="str">
        <f>IFERROR(B19/$J19,"-")</f>
        <v>-</v>
      </c>
      <c r="D19" s="24">
        <f>COUNTIF(Res3B,2)</f>
        <v>0</v>
      </c>
      <c r="E19" s="25" t="str">
        <f>IFERROR(D19/$J19,"-")</f>
        <v>-</v>
      </c>
      <c r="F19" s="24">
        <f>COUNTIF(Res3B,3)</f>
        <v>0</v>
      </c>
      <c r="G19" s="25" t="str">
        <f>IFERROR(F19/$J19,"-")</f>
        <v>-</v>
      </c>
      <c r="H19" s="24">
        <f>COUNTIF(Res3B,4)</f>
        <v>0</v>
      </c>
      <c r="I19" s="25" t="str">
        <f>IFERROR(H19/$J19,"-")</f>
        <v>-</v>
      </c>
      <c r="J19" s="24">
        <f t="shared" si="1"/>
        <v>0</v>
      </c>
      <c r="K19" s="23"/>
      <c r="L19" s="259">
        <f>COUNTIF(Res3B,0)</f>
        <v>5</v>
      </c>
      <c r="M19" s="23"/>
      <c r="N19" s="259">
        <f>COUNTIF(Res3B,5)</f>
        <v>0</v>
      </c>
      <c r="O19" s="23"/>
    </row>
    <row r="20" spans="1:18" s="4" customFormat="1" ht="16" thickBot="1">
      <c r="A20" s="172" t="str">
        <f>Raw!A68</f>
        <v>Component 3C: Early Teaching Experiences for Recruiting Teacher Candidates</v>
      </c>
      <c r="B20" s="24">
        <f>COUNTIF(Res3C,1)</f>
        <v>0</v>
      </c>
      <c r="C20" s="25" t="str">
        <f>IFERROR(B20/$J20,"-")</f>
        <v>-</v>
      </c>
      <c r="D20" s="24">
        <f>COUNTIF(Res3C,2)</f>
        <v>0</v>
      </c>
      <c r="E20" s="25" t="str">
        <f>IFERROR(D20/$J20,"-")</f>
        <v>-</v>
      </c>
      <c r="F20" s="24">
        <f>COUNTIF(Res3C,3)</f>
        <v>0</v>
      </c>
      <c r="G20" s="25" t="str">
        <f>IFERROR(F20/$J20,"-")</f>
        <v>-</v>
      </c>
      <c r="H20" s="24">
        <f>COUNTIF(Res3C,4)</f>
        <v>0</v>
      </c>
      <c r="I20" s="25" t="str">
        <f>IFERROR(H20/$J20,"-")</f>
        <v>-</v>
      </c>
      <c r="J20" s="24">
        <f t="shared" si="1"/>
        <v>0</v>
      </c>
      <c r="K20" s="23"/>
      <c r="L20" s="259">
        <f>COUNTIF(Res3C,0)</f>
        <v>5</v>
      </c>
      <c r="M20" s="23"/>
      <c r="N20" s="259">
        <f>COUNTIF(Res3C,5)</f>
        <v>0</v>
      </c>
      <c r="O20" s="23"/>
    </row>
    <row r="21" spans="1:18" s="4" customFormat="1" ht="14.5" customHeight="1" thickBot="1">
      <c r="A21" s="172" t="str">
        <f>Raw!A75</f>
        <v>Component 3D: Streamlined and Accessible Program Options</v>
      </c>
      <c r="B21" s="24">
        <f>COUNTIF(Res3D,1)</f>
        <v>0</v>
      </c>
      <c r="C21" s="25" t="str">
        <f>IFERROR(B21/$J21,"-")</f>
        <v>-</v>
      </c>
      <c r="D21" s="24">
        <f>COUNTIF(Res3D,2)</f>
        <v>0</v>
      </c>
      <c r="E21" s="25" t="str">
        <f>IFERROR(D21/$J21,"-")</f>
        <v>-</v>
      </c>
      <c r="F21" s="24">
        <f>COUNTIF(Res3D,3)</f>
        <v>0</v>
      </c>
      <c r="G21" s="25" t="str">
        <f>IFERROR(F21/$J21,"-")</f>
        <v>-</v>
      </c>
      <c r="H21" s="24">
        <f>COUNTIF(Res3D,4)</f>
        <v>0</v>
      </c>
      <c r="I21" s="25" t="str">
        <f>IFERROR(H21/$J21,"-")</f>
        <v>-</v>
      </c>
      <c r="J21" s="24">
        <f t="shared" si="1"/>
        <v>0</v>
      </c>
      <c r="K21" s="23"/>
      <c r="L21" s="259">
        <f>COUNTIF(Res3D,0)</f>
        <v>4</v>
      </c>
      <c r="M21" s="23"/>
      <c r="N21" s="259">
        <f>COUNTIF(Res3D,5)</f>
        <v>0</v>
      </c>
      <c r="O21" s="23"/>
      <c r="P21" s="32"/>
    </row>
    <row r="22" spans="1:18" s="4" customFormat="1" ht="18.5" customHeight="1" thickBot="1">
      <c r="A22" s="17"/>
      <c r="B22" s="24"/>
      <c r="C22" s="25"/>
      <c r="D22" s="24"/>
      <c r="E22" s="25"/>
      <c r="F22" s="24"/>
      <c r="G22" s="25"/>
      <c r="H22" s="24"/>
      <c r="I22" s="25"/>
      <c r="J22" s="24"/>
      <c r="K22" s="23"/>
      <c r="L22" s="259"/>
      <c r="M22" s="23"/>
      <c r="N22" s="259"/>
      <c r="O22" s="23"/>
      <c r="P22" s="32"/>
    </row>
    <row r="23" spans="1:18" s="22" customFormat="1" ht="20" thickBot="1">
      <c r="A23" s="101" t="str">
        <f>CONCATENATE(Raw!A81,": ",Raw!B81)</f>
        <v>Standard 4: Knowledge and Skills for Teaching Physics</v>
      </c>
      <c r="B23" s="28">
        <f>B25+B26+B27</f>
        <v>0</v>
      </c>
      <c r="C23" s="29" t="str">
        <f>IFERROR(B23/$J23,"-")</f>
        <v>-</v>
      </c>
      <c r="D23" s="28">
        <f>D25+D26+D27</f>
        <v>0</v>
      </c>
      <c r="E23" s="29" t="str">
        <f>IFERROR(D23/$J23,"-")</f>
        <v>-</v>
      </c>
      <c r="F23" s="28">
        <f>F25+F26+F27</f>
        <v>0</v>
      </c>
      <c r="G23" s="29" t="str">
        <f>IFERROR(F23/$J23,"-")</f>
        <v>-</v>
      </c>
      <c r="H23" s="28">
        <f>H25+H26+H27</f>
        <v>0</v>
      </c>
      <c r="I23" s="29" t="str">
        <f>IFERROR(H23/$J23,"-")</f>
        <v>-</v>
      </c>
      <c r="J23" s="28">
        <f>SUM(H23,F23,D23,B23)</f>
        <v>0</v>
      </c>
      <c r="K23" s="33"/>
      <c r="L23" s="257">
        <f>L25+L26+L27</f>
        <v>12</v>
      </c>
      <c r="M23" s="33"/>
      <c r="N23" s="257">
        <f>N25+N26+N27</f>
        <v>0</v>
      </c>
      <c r="O23" s="33"/>
      <c r="P23" s="33"/>
    </row>
    <row r="24" spans="1:18" s="22" customFormat="1" ht="8" customHeight="1" thickBot="1">
      <c r="A24" s="27"/>
      <c r="B24" s="28"/>
      <c r="C24" s="29"/>
      <c r="D24" s="28"/>
      <c r="E24" s="29"/>
      <c r="F24" s="28"/>
      <c r="G24" s="29"/>
      <c r="H24" s="28"/>
      <c r="I24" s="29"/>
      <c r="J24" s="28"/>
      <c r="K24" s="33"/>
      <c r="L24" s="258"/>
      <c r="M24" s="33"/>
      <c r="N24" s="258"/>
      <c r="O24" s="33"/>
      <c r="P24" s="33"/>
    </row>
    <row r="25" spans="1:18" s="4" customFormat="1" ht="16" thickBot="1">
      <c r="A25" s="172" t="str">
        <f>Raw!A83</f>
        <v>Component 4A: Physics Content Knowledge</v>
      </c>
      <c r="B25" s="24">
        <f>COUNTIF(Res4A,1)</f>
        <v>0</v>
      </c>
      <c r="C25" s="25" t="str">
        <f>IFERROR(B25/$J25,"-")</f>
        <v>-</v>
      </c>
      <c r="D25" s="24">
        <f>COUNTIF(Res4A,2)</f>
        <v>0</v>
      </c>
      <c r="E25" s="25" t="str">
        <f>IFERROR(D25/$J25,"-")</f>
        <v>-</v>
      </c>
      <c r="F25" s="24">
        <f>COUNTIF(Res4A,3)</f>
        <v>0</v>
      </c>
      <c r="G25" s="25" t="str">
        <f>IFERROR(F25/$J25,"-")</f>
        <v>-</v>
      </c>
      <c r="H25" s="24">
        <f>COUNTIF(Res4A,4)</f>
        <v>0</v>
      </c>
      <c r="I25" s="25" t="str">
        <f>IFERROR(H25/$J25,"-")</f>
        <v>-</v>
      </c>
      <c r="J25" s="24">
        <f t="shared" si="1"/>
        <v>0</v>
      </c>
      <c r="K25" s="23"/>
      <c r="L25" s="259">
        <f>COUNTIF(Res4A,0)</f>
        <v>3</v>
      </c>
      <c r="M25" s="23"/>
      <c r="N25" s="259">
        <f>COUNTIF(Res4A,5)</f>
        <v>0</v>
      </c>
      <c r="O25" s="23"/>
      <c r="P25" s="23"/>
    </row>
    <row r="26" spans="1:18" s="4" customFormat="1" ht="16" thickBot="1">
      <c r="A26" s="172" t="str">
        <f>Raw!A88</f>
        <v>Component 4B: Pedagogy Courses and Curriculum</v>
      </c>
      <c r="B26" s="24">
        <f>COUNTIF(Res4B,1)</f>
        <v>0</v>
      </c>
      <c r="C26" s="25" t="str">
        <f>IFERROR(B26/$J26,"-")</f>
        <v>-</v>
      </c>
      <c r="D26" s="24">
        <f>COUNTIF(Res4B,2)</f>
        <v>0</v>
      </c>
      <c r="E26" s="25" t="str">
        <f>IFERROR(D26/$J26,"-")</f>
        <v>-</v>
      </c>
      <c r="F26" s="24">
        <f>COUNTIF(Res4B,3)</f>
        <v>0</v>
      </c>
      <c r="G26" s="25" t="str">
        <f>IFERROR(F26/$J26,"-")</f>
        <v>-</v>
      </c>
      <c r="H26" s="24">
        <f>COUNTIF(Res4B,4)</f>
        <v>0</v>
      </c>
      <c r="I26" s="25" t="str">
        <f>IFERROR(H26/$J26,"-")</f>
        <v>-</v>
      </c>
      <c r="J26" s="24">
        <f t="shared" si="1"/>
        <v>0</v>
      </c>
      <c r="K26" s="23"/>
      <c r="L26" s="259">
        <f>COUNTIF(Res4B,0)</f>
        <v>5</v>
      </c>
      <c r="M26" s="23"/>
      <c r="N26" s="259">
        <f>COUNTIF(Res4B,5)</f>
        <v>0</v>
      </c>
      <c r="O26" s="23"/>
      <c r="P26" s="23"/>
    </row>
    <row r="27" spans="1:18" s="4" customFormat="1" ht="16" thickBot="1">
      <c r="A27" s="172" t="str">
        <f>Raw!A95</f>
        <v xml:space="preserve">Component 4C: Practical K–12 School Experiences </v>
      </c>
      <c r="B27" s="24">
        <f>COUNTIF(Res4C,1)</f>
        <v>0</v>
      </c>
      <c r="C27" s="25" t="str">
        <f>IFERROR(B27/$J27,"-")</f>
        <v>-</v>
      </c>
      <c r="D27" s="24">
        <f>COUNTIF(Res4C,2)</f>
        <v>0</v>
      </c>
      <c r="E27" s="25" t="str">
        <f>IFERROR(D27/$J27,"-")</f>
        <v>-</v>
      </c>
      <c r="F27" s="24">
        <f>COUNTIF(Res4C,3)</f>
        <v>0</v>
      </c>
      <c r="G27" s="25" t="str">
        <f>IFERROR(F27/$J27,"-")</f>
        <v>-</v>
      </c>
      <c r="H27" s="24">
        <f>COUNTIF(Res4C,4)</f>
        <v>0</v>
      </c>
      <c r="I27" s="25" t="str">
        <f>IFERROR(H27/$J27,"-")</f>
        <v>-</v>
      </c>
      <c r="J27" s="24">
        <f t="shared" si="1"/>
        <v>0</v>
      </c>
      <c r="K27" s="23"/>
      <c r="L27" s="259">
        <f>COUNTIF(Res4C,0)</f>
        <v>4</v>
      </c>
      <c r="M27" s="23"/>
      <c r="N27" s="259">
        <f>COUNTIF(Res4C,5)</f>
        <v>0</v>
      </c>
      <c r="O27" s="23"/>
      <c r="P27" s="23"/>
    </row>
    <row r="28" spans="1:18" s="4" customFormat="1" ht="17.75" customHeight="1" thickBot="1">
      <c r="A28" s="17"/>
      <c r="B28" s="24"/>
      <c r="C28" s="25"/>
      <c r="D28" s="24"/>
      <c r="E28" s="25"/>
      <c r="F28" s="24"/>
      <c r="G28" s="25"/>
      <c r="H28" s="24"/>
      <c r="I28" s="25"/>
      <c r="J28" s="24"/>
      <c r="K28" s="23"/>
      <c r="L28" s="259"/>
      <c r="M28" s="23"/>
      <c r="N28" s="259"/>
      <c r="O28" s="23"/>
      <c r="P28" s="32"/>
    </row>
    <row r="29" spans="1:18" s="22" customFormat="1" ht="20" thickBot="1">
      <c r="A29" s="99" t="str">
        <f>CONCATENATE(Raw!A101,": ",Raw!B101)</f>
        <v>Standard 5: Mentoring, Community, and Professional Support</v>
      </c>
      <c r="B29" s="28">
        <f>B31+B32+B33</f>
        <v>0</v>
      </c>
      <c r="C29" s="29" t="str">
        <f>IFERROR(B29/$J29,"-")</f>
        <v>-</v>
      </c>
      <c r="D29" s="28">
        <f>D31+D32+D33</f>
        <v>0</v>
      </c>
      <c r="E29" s="29" t="str">
        <f>IFERROR(D29/$J29,"-")</f>
        <v>-</v>
      </c>
      <c r="F29" s="28">
        <f>F31+F32+F33</f>
        <v>0</v>
      </c>
      <c r="G29" s="29" t="str">
        <f>IFERROR(F29/$J29,"-")</f>
        <v>-</v>
      </c>
      <c r="H29" s="28">
        <f>H31+H32+H33</f>
        <v>0</v>
      </c>
      <c r="I29" s="29" t="str">
        <f>IFERROR(H29/$J29,"-")</f>
        <v>-</v>
      </c>
      <c r="J29" s="28">
        <f t="shared" ref="J29:J39" si="2">SUM(H29,F29,D29,B29)</f>
        <v>0</v>
      </c>
      <c r="K29" s="33"/>
      <c r="L29" s="257">
        <f>L31+L32+L33</f>
        <v>11</v>
      </c>
      <c r="M29" s="33"/>
      <c r="N29" s="257">
        <f>N31+N32+N33</f>
        <v>0</v>
      </c>
      <c r="O29" s="33"/>
      <c r="P29" s="34"/>
      <c r="Q29" s="21"/>
      <c r="R29" s="21"/>
    </row>
    <row r="30" spans="1:18" s="22" customFormat="1" ht="8" customHeight="1" thickBot="1">
      <c r="A30" s="27"/>
      <c r="B30" s="28"/>
      <c r="C30" s="29"/>
      <c r="D30" s="28"/>
      <c r="E30" s="29"/>
      <c r="F30" s="28"/>
      <c r="G30" s="29"/>
      <c r="H30" s="28"/>
      <c r="I30" s="29"/>
      <c r="J30" s="28"/>
      <c r="K30" s="33"/>
      <c r="L30" s="258"/>
      <c r="M30" s="33"/>
      <c r="N30" s="258"/>
      <c r="O30" s="33"/>
      <c r="P30" s="34"/>
      <c r="Q30" s="21"/>
      <c r="R30" s="21"/>
    </row>
    <row r="31" spans="1:18" s="4" customFormat="1" ht="15" customHeight="1" thickBot="1">
      <c r="A31" s="173" t="str">
        <f>Raw!A103</f>
        <v>Component 5A: Mentoring and Community Support Toward a Physics Degree</v>
      </c>
      <c r="B31" s="24">
        <f>COUNTIF(Res5A,1)</f>
        <v>0</v>
      </c>
      <c r="C31" s="25" t="str">
        <f>IFERROR(B31/$J31,"-")</f>
        <v>-</v>
      </c>
      <c r="D31" s="24">
        <f>COUNTIF(Res5A,2)</f>
        <v>0</v>
      </c>
      <c r="E31" s="25" t="str">
        <f>IFERROR(D31/$J31,"-")</f>
        <v>-</v>
      </c>
      <c r="F31" s="24">
        <f>COUNTIF(Res5A,3)</f>
        <v>0</v>
      </c>
      <c r="G31" s="25" t="str">
        <f>IFERROR(F31/$J31,"-")</f>
        <v>-</v>
      </c>
      <c r="H31" s="24">
        <f>COUNTIF(Res5A,4)</f>
        <v>0</v>
      </c>
      <c r="I31" s="25" t="str">
        <f>IFERROR(H31/$J31,"-")</f>
        <v>-</v>
      </c>
      <c r="J31" s="24">
        <f t="shared" si="2"/>
        <v>0</v>
      </c>
      <c r="K31" s="23"/>
      <c r="L31" s="259">
        <f>COUNTIF(Res5A,0)</f>
        <v>2</v>
      </c>
      <c r="M31" s="23"/>
      <c r="N31" s="259">
        <f>COUNTIF(Res5A,5)</f>
        <v>0</v>
      </c>
      <c r="O31" s="23"/>
      <c r="P31" s="23"/>
    </row>
    <row r="32" spans="1:18" s="4" customFormat="1" ht="15" customHeight="1" thickBot="1">
      <c r="A32" s="173" t="str">
        <f>Raw!A107</f>
        <v>Component 5B: Mentoring and Community Support Toward Becoming a Physics Teacher</v>
      </c>
      <c r="B32" s="24">
        <f>COUNTIF(Res5B,1)</f>
        <v>0</v>
      </c>
      <c r="C32" s="25" t="str">
        <f>IFERROR(B32/$J32,"-")</f>
        <v>-</v>
      </c>
      <c r="D32" s="24">
        <f>COUNTIF(Res5B,2)</f>
        <v>0</v>
      </c>
      <c r="E32" s="25" t="str">
        <f>IFERROR(D32/$J32,"-")</f>
        <v>-</v>
      </c>
      <c r="F32" s="24">
        <f>COUNTIF(Res5B,3)</f>
        <v>0</v>
      </c>
      <c r="G32" s="25" t="str">
        <f>IFERROR(F32/$J32,"-")</f>
        <v>-</v>
      </c>
      <c r="H32" s="24">
        <f>COUNTIF(Res5B,4)</f>
        <v>0</v>
      </c>
      <c r="I32" s="25" t="str">
        <f>IFERROR(H32/$J32,"-")</f>
        <v>-</v>
      </c>
      <c r="J32" s="24">
        <f t="shared" si="2"/>
        <v>0</v>
      </c>
      <c r="K32" s="23"/>
      <c r="L32" s="259">
        <f>COUNTIF(Res5B,0)</f>
        <v>5</v>
      </c>
      <c r="M32" s="23"/>
      <c r="N32" s="259">
        <f>COUNTIF(Res5B,5)</f>
        <v>0</v>
      </c>
      <c r="O32" s="23"/>
      <c r="P32" s="23"/>
    </row>
    <row r="33" spans="1:18" s="4" customFormat="1" ht="15" customHeight="1" thickBot="1">
      <c r="A33" s="173" t="str">
        <f>Raw!A114</f>
        <v>Component 5C: In-service Mentoring and Professional Community</v>
      </c>
      <c r="B33" s="24">
        <f>COUNTIF(Res5C,1)</f>
        <v>0</v>
      </c>
      <c r="C33" s="25" t="str">
        <f>IFERROR(B33/$J33,"-")</f>
        <v>-</v>
      </c>
      <c r="D33" s="24">
        <f>COUNTIF(Res5C,2)</f>
        <v>0</v>
      </c>
      <c r="E33" s="25" t="str">
        <f>IFERROR(D33/$J33,"-")</f>
        <v>-</v>
      </c>
      <c r="F33" s="24">
        <f>COUNTIF(Res5C,3)</f>
        <v>0</v>
      </c>
      <c r="G33" s="25" t="str">
        <f>IFERROR(F33/$J33,"-")</f>
        <v>-</v>
      </c>
      <c r="H33" s="24">
        <f>COUNTIF(Res5C,4)</f>
        <v>0</v>
      </c>
      <c r="I33" s="25" t="str">
        <f>IFERROR(H33/$J33,"-")</f>
        <v>-</v>
      </c>
      <c r="J33" s="24">
        <f t="shared" si="2"/>
        <v>0</v>
      </c>
      <c r="K33" s="23"/>
      <c r="L33" s="259">
        <f>COUNTIF(Res5C,0)</f>
        <v>4</v>
      </c>
      <c r="M33" s="23"/>
      <c r="N33" s="259">
        <f>COUNTIF(Res5C,5)</f>
        <v>0</v>
      </c>
      <c r="O33" s="23"/>
      <c r="P33" s="32"/>
    </row>
    <row r="34" spans="1:18" s="4" customFormat="1" ht="19" customHeight="1" thickBot="1">
      <c r="A34" s="26"/>
      <c r="B34" s="24"/>
      <c r="C34" s="25"/>
      <c r="D34" s="24"/>
      <c r="E34" s="25"/>
      <c r="F34" s="24"/>
      <c r="G34" s="25"/>
      <c r="H34" s="24"/>
      <c r="I34" s="25"/>
      <c r="J34" s="24"/>
      <c r="K34" s="23"/>
      <c r="L34" s="259"/>
      <c r="M34" s="23"/>
      <c r="N34" s="259"/>
      <c r="O34" s="23"/>
      <c r="P34" s="32"/>
    </row>
    <row r="35" spans="1:18" s="22" customFormat="1" ht="20" thickBot="1">
      <c r="A35" s="100" t="str">
        <f>CONCATENATE(Raw!A120,": ",Raw!B120)</f>
        <v>Standard 6: Program Assessment</v>
      </c>
      <c r="B35" s="28">
        <f>B37+B38+B39</f>
        <v>0</v>
      </c>
      <c r="C35" s="29" t="str">
        <f>IFERROR(B35/$J35,"-")</f>
        <v>-</v>
      </c>
      <c r="D35" s="28">
        <f>D37+D38+D39</f>
        <v>0</v>
      </c>
      <c r="E35" s="29" t="str">
        <f>IFERROR(D35/$J35,"-")</f>
        <v>-</v>
      </c>
      <c r="F35" s="28">
        <f>F37+F38+F39</f>
        <v>0</v>
      </c>
      <c r="G35" s="29" t="str">
        <f>IFERROR(F35/$J35,"-")</f>
        <v>-</v>
      </c>
      <c r="H35" s="28">
        <f>H37+H38+H39</f>
        <v>0</v>
      </c>
      <c r="I35" s="29" t="str">
        <f>IFERROR(H35/$J35,"-")</f>
        <v>-</v>
      </c>
      <c r="J35" s="28">
        <f t="shared" si="2"/>
        <v>0</v>
      </c>
      <c r="K35" s="33"/>
      <c r="L35" s="257">
        <f>L37+L38+L39</f>
        <v>12</v>
      </c>
      <c r="M35" s="33"/>
      <c r="N35" s="257">
        <f>N37+N38+N39</f>
        <v>0</v>
      </c>
      <c r="O35" s="33"/>
      <c r="P35" s="34"/>
      <c r="Q35" s="21"/>
      <c r="R35" s="21"/>
    </row>
    <row r="36" spans="1:18" s="22" customFormat="1" ht="8" customHeight="1" thickBot="1">
      <c r="A36" s="27"/>
      <c r="B36" s="28"/>
      <c r="C36" s="29"/>
      <c r="D36" s="28"/>
      <c r="E36" s="29"/>
      <c r="F36" s="28"/>
      <c r="G36" s="29"/>
      <c r="H36" s="28"/>
      <c r="I36" s="29"/>
      <c r="J36" s="28"/>
      <c r="K36" s="33"/>
      <c r="L36" s="258"/>
      <c r="M36" s="33"/>
      <c r="N36" s="258"/>
      <c r="O36" s="33"/>
      <c r="P36" s="34"/>
      <c r="Q36" s="21"/>
      <c r="R36" s="21"/>
    </row>
    <row r="37" spans="1:18" s="4" customFormat="1" ht="14.75" customHeight="1" thickBot="1">
      <c r="A37" s="173" t="str">
        <f>Raw!A122</f>
        <v>Component 6A: Program Outcomes</v>
      </c>
      <c r="B37" s="24">
        <f>COUNTIF(Res6A,1)</f>
        <v>0</v>
      </c>
      <c r="C37" s="25" t="str">
        <f>IFERROR(B37/$J37,"-")</f>
        <v>-</v>
      </c>
      <c r="D37" s="24">
        <f>COUNTIF(Res6A,2)</f>
        <v>0</v>
      </c>
      <c r="E37" s="25" t="str">
        <f>IFERROR(D37/$J37,"-")</f>
        <v>-</v>
      </c>
      <c r="F37" s="24">
        <f>COUNTIF(Res6A,3)</f>
        <v>0</v>
      </c>
      <c r="G37" s="25" t="str">
        <f>IFERROR(F37/$J37,"-")</f>
        <v>-</v>
      </c>
      <c r="H37" s="24">
        <f>COUNTIF(Res6A,4)</f>
        <v>0</v>
      </c>
      <c r="I37" s="25" t="str">
        <f>IFERROR(H37/$J37,"-")</f>
        <v>-</v>
      </c>
      <c r="J37" s="24">
        <f t="shared" si="2"/>
        <v>0</v>
      </c>
      <c r="K37" s="23"/>
      <c r="L37" s="259">
        <f>COUNTIF(Res6A,0)</f>
        <v>4</v>
      </c>
      <c r="M37" s="23"/>
      <c r="N37" s="259">
        <f>COUNTIF(Res6A,5)</f>
        <v>0</v>
      </c>
      <c r="O37" s="23"/>
      <c r="P37" s="23"/>
    </row>
    <row r="38" spans="1:18" s="4" customFormat="1" ht="14.5" customHeight="1" thickBot="1">
      <c r="A38" s="173" t="str">
        <f>Raw!A128</f>
        <v>Component 6B: Program Evaluation and Improvement</v>
      </c>
      <c r="B38" s="24">
        <f>COUNTIF(Res6B,1)</f>
        <v>0</v>
      </c>
      <c r="C38" s="25" t="str">
        <f>IFERROR(B38/$J38,"-")</f>
        <v>-</v>
      </c>
      <c r="D38" s="24">
        <f>COUNTIF(Res6B,2)</f>
        <v>0</v>
      </c>
      <c r="E38" s="25" t="str">
        <f>IFERROR(D38/$J38,"-")</f>
        <v>-</v>
      </c>
      <c r="F38" s="24">
        <f>COUNTIF(Res6B,3)</f>
        <v>0</v>
      </c>
      <c r="G38" s="25" t="str">
        <f>IFERROR(F38/$J38,"-")</f>
        <v>-</v>
      </c>
      <c r="H38" s="24">
        <f>COUNTIF(Res6B,4)</f>
        <v>0</v>
      </c>
      <c r="I38" s="25" t="str">
        <f>IFERROR(H38/$J38,"-")</f>
        <v>-</v>
      </c>
      <c r="J38" s="24">
        <f t="shared" si="2"/>
        <v>0</v>
      </c>
      <c r="K38" s="23"/>
      <c r="L38" s="259">
        <f>COUNTIF(Res6B,0)</f>
        <v>4</v>
      </c>
      <c r="M38" s="23"/>
      <c r="N38" s="259">
        <f>COUNTIF(Res6B,5)</f>
        <v>0</v>
      </c>
      <c r="O38" s="23"/>
      <c r="P38" s="23"/>
    </row>
    <row r="39" spans="1:18" s="4" customFormat="1" ht="14.5" customHeight="1" thickBot="1">
      <c r="A39" s="173" t="str">
        <f>Raw!A134</f>
        <v>Component 6C: Communication to Stakeholders</v>
      </c>
      <c r="B39" s="24">
        <f>COUNTIF(Res6C,1)</f>
        <v>0</v>
      </c>
      <c r="C39" s="25" t="str">
        <f>IFERROR(B39/$J39,"-")</f>
        <v>-</v>
      </c>
      <c r="D39" s="24">
        <f>COUNTIF(Res6C,2)</f>
        <v>0</v>
      </c>
      <c r="E39" s="25" t="str">
        <f>IFERROR(D39/$J39,"-")</f>
        <v>-</v>
      </c>
      <c r="F39" s="24">
        <f>COUNTIF(Res6C,3)</f>
        <v>0</v>
      </c>
      <c r="G39" s="25" t="str">
        <f>IFERROR(F39/$J39,"-")</f>
        <v>-</v>
      </c>
      <c r="H39" s="24">
        <f>COUNTIF(Res6C,4)</f>
        <v>0</v>
      </c>
      <c r="I39" s="25" t="str">
        <f>IFERROR(H39/$J39,"-")</f>
        <v>-</v>
      </c>
      <c r="J39" s="24">
        <f t="shared" si="2"/>
        <v>0</v>
      </c>
      <c r="K39" s="23"/>
      <c r="L39" s="259">
        <f>COUNTIF(Res6C,0)</f>
        <v>4</v>
      </c>
      <c r="M39" s="23"/>
      <c r="N39" s="259">
        <f>COUNTIF(Res6C,5)</f>
        <v>0</v>
      </c>
      <c r="O39" s="23"/>
      <c r="P39" s="23"/>
    </row>
    <row r="40" spans="1:18" ht="24">
      <c r="A40" s="10"/>
      <c r="B40" s="10"/>
      <c r="C40" s="11"/>
      <c r="D40" s="10"/>
      <c r="E40" s="11"/>
      <c r="F40" s="10"/>
      <c r="G40" s="11"/>
      <c r="H40" s="12"/>
      <c r="I40" s="13"/>
      <c r="J40" s="4"/>
      <c r="K40" s="4"/>
      <c r="L40" s="260"/>
      <c r="M40" s="4"/>
      <c r="N40" s="260"/>
      <c r="O40" s="4"/>
      <c r="P40" s="35"/>
    </row>
    <row r="41" spans="1:18" ht="19">
      <c r="A41" s="10"/>
      <c r="B41" s="10"/>
      <c r="C41" s="11"/>
      <c r="D41" s="10"/>
      <c r="E41" s="11"/>
      <c r="F41" s="10"/>
      <c r="G41" s="11"/>
      <c r="H41" s="12"/>
      <c r="I41" s="13"/>
      <c r="J41" s="4"/>
      <c r="K41" s="4"/>
      <c r="L41" s="260"/>
      <c r="M41" s="4"/>
      <c r="N41" s="260"/>
      <c r="O41" s="4"/>
      <c r="P41" s="34"/>
    </row>
    <row r="42" spans="1:18" ht="19">
      <c r="A42" s="10"/>
      <c r="B42" s="10"/>
      <c r="C42" s="11"/>
      <c r="D42" s="10"/>
      <c r="E42" s="11"/>
      <c r="F42" s="10"/>
      <c r="G42" s="11"/>
      <c r="H42" s="12"/>
      <c r="I42" s="13"/>
      <c r="J42" s="4"/>
      <c r="K42" s="4"/>
      <c r="L42" s="260"/>
      <c r="M42" s="4"/>
      <c r="N42" s="260"/>
      <c r="O42" s="4"/>
      <c r="P42" s="34"/>
    </row>
    <row r="43" spans="1:18" ht="19">
      <c r="A43" s="10"/>
      <c r="B43" s="10"/>
      <c r="C43" s="11"/>
      <c r="D43" s="10"/>
      <c r="E43" s="11"/>
      <c r="F43" s="10"/>
      <c r="G43" s="11"/>
      <c r="H43" s="12"/>
      <c r="I43" s="13"/>
      <c r="J43" s="4"/>
      <c r="K43" s="4"/>
      <c r="L43" s="260"/>
      <c r="M43" s="4"/>
      <c r="N43" s="260"/>
      <c r="O43" s="4"/>
      <c r="P43" s="34"/>
    </row>
    <row r="44" spans="1:18" ht="19">
      <c r="A44" s="10"/>
      <c r="B44" s="10"/>
      <c r="C44" s="11"/>
      <c r="D44" s="10"/>
      <c r="E44" s="11"/>
      <c r="F44" s="10"/>
      <c r="G44" s="11"/>
      <c r="H44" s="12"/>
      <c r="I44" s="13"/>
      <c r="J44" s="4"/>
      <c r="K44" s="4"/>
      <c r="L44" s="260"/>
      <c r="M44" s="4"/>
      <c r="N44" s="260"/>
      <c r="O44" s="4"/>
      <c r="P44" s="34"/>
    </row>
    <row r="45" spans="1:18" ht="24">
      <c r="A45" s="10"/>
      <c r="B45" s="10"/>
      <c r="C45" s="11"/>
      <c r="D45" s="10"/>
      <c r="E45" s="11"/>
      <c r="F45" s="10"/>
      <c r="G45" s="11"/>
      <c r="H45" s="12"/>
      <c r="I45" s="13"/>
      <c r="J45" s="4"/>
      <c r="K45" s="4"/>
      <c r="L45" s="260"/>
      <c r="M45" s="4"/>
      <c r="N45" s="260"/>
      <c r="O45" s="4"/>
      <c r="P45" s="35"/>
    </row>
    <row r="46" spans="1:18" ht="19">
      <c r="A46" s="10"/>
      <c r="B46" s="10"/>
      <c r="C46" s="11"/>
      <c r="D46" s="10"/>
      <c r="E46" s="11"/>
      <c r="F46" s="10"/>
      <c r="G46" s="11"/>
      <c r="H46" s="12"/>
      <c r="I46" s="13"/>
      <c r="J46" s="4"/>
      <c r="K46" s="4"/>
      <c r="L46" s="260"/>
      <c r="M46" s="4"/>
      <c r="N46" s="260"/>
      <c r="O46" s="4"/>
      <c r="P46" s="34"/>
    </row>
    <row r="47" spans="1:18" ht="19">
      <c r="A47" s="10"/>
      <c r="B47" s="10"/>
      <c r="C47" s="11"/>
      <c r="D47" s="10"/>
      <c r="E47" s="11"/>
      <c r="F47" s="10"/>
      <c r="G47" s="11"/>
      <c r="H47" s="12"/>
      <c r="I47" s="13"/>
      <c r="J47" s="4"/>
      <c r="K47" s="4"/>
      <c r="L47" s="260"/>
      <c r="M47" s="4"/>
      <c r="N47" s="260"/>
      <c r="O47" s="4"/>
      <c r="P47" s="34"/>
    </row>
    <row r="48" spans="1:18" ht="19">
      <c r="A48" s="10"/>
      <c r="B48" s="10"/>
      <c r="C48" s="11"/>
      <c r="D48" s="10"/>
      <c r="E48" s="11"/>
      <c r="F48" s="10"/>
      <c r="G48" s="11"/>
      <c r="H48" s="12"/>
      <c r="I48" s="13"/>
      <c r="J48" s="4"/>
      <c r="K48" s="4"/>
      <c r="L48" s="260"/>
      <c r="M48" s="4"/>
      <c r="N48" s="260"/>
      <c r="O48" s="4"/>
      <c r="P48" s="34"/>
    </row>
    <row r="49" spans="1:16" ht="24">
      <c r="A49" s="10"/>
      <c r="B49" s="10"/>
      <c r="C49" s="11"/>
      <c r="D49" s="10"/>
      <c r="E49" s="11"/>
      <c r="F49" s="10"/>
      <c r="G49" s="11"/>
      <c r="H49" s="12"/>
      <c r="I49" s="13"/>
      <c r="J49" s="4"/>
      <c r="K49" s="4"/>
      <c r="L49" s="260"/>
      <c r="M49" s="4"/>
      <c r="N49" s="260"/>
      <c r="O49" s="4"/>
      <c r="P49" s="35"/>
    </row>
    <row r="50" spans="1:16" ht="19">
      <c r="A50" s="10"/>
      <c r="B50" s="10"/>
      <c r="C50" s="11"/>
      <c r="D50" s="10"/>
      <c r="E50" s="11"/>
      <c r="F50" s="10"/>
      <c r="G50" s="11"/>
      <c r="H50" s="12"/>
      <c r="I50" s="13"/>
      <c r="J50" s="4"/>
      <c r="K50" s="4"/>
      <c r="L50" s="260"/>
      <c r="M50" s="4"/>
      <c r="N50" s="260"/>
      <c r="O50" s="4"/>
      <c r="P50" s="34"/>
    </row>
    <row r="51" spans="1:16" ht="19">
      <c r="A51" s="10"/>
      <c r="B51" s="10"/>
      <c r="C51" s="11"/>
      <c r="D51" s="10"/>
      <c r="E51" s="11"/>
      <c r="F51" s="10"/>
      <c r="G51" s="11"/>
      <c r="H51" s="12"/>
      <c r="I51" s="13"/>
      <c r="J51" s="4"/>
      <c r="K51" s="4"/>
      <c r="L51" s="260"/>
      <c r="M51" s="4"/>
      <c r="N51" s="260"/>
      <c r="O51" s="4"/>
      <c r="P51" s="34"/>
    </row>
    <row r="52" spans="1:16" ht="19">
      <c r="A52" s="10"/>
      <c r="B52" s="10"/>
      <c r="C52" s="11"/>
      <c r="D52" s="10"/>
      <c r="E52" s="11"/>
      <c r="F52" s="10"/>
      <c r="G52" s="11"/>
      <c r="H52" s="12"/>
      <c r="I52" s="13"/>
      <c r="J52" s="4"/>
      <c r="K52" s="4"/>
      <c r="L52" s="260"/>
      <c r="M52" s="4"/>
      <c r="N52" s="260"/>
      <c r="O52" s="4"/>
      <c r="P52" s="34"/>
    </row>
    <row r="53" spans="1:16">
      <c r="A53" s="10"/>
      <c r="B53" s="10"/>
      <c r="C53" s="11"/>
      <c r="D53" s="10"/>
      <c r="E53" s="11"/>
      <c r="F53" s="10"/>
      <c r="G53" s="11"/>
      <c r="H53" s="12"/>
      <c r="I53" s="13"/>
      <c r="J53" s="4"/>
      <c r="K53" s="4"/>
      <c r="L53" s="260"/>
      <c r="M53" s="4"/>
      <c r="N53" s="260"/>
      <c r="O53" s="4"/>
    </row>
    <row r="54" spans="1:16">
      <c r="A54" s="10"/>
      <c r="B54" s="10"/>
      <c r="C54" s="11"/>
      <c r="D54" s="10"/>
      <c r="E54" s="11"/>
      <c r="F54" s="10"/>
      <c r="G54" s="11"/>
      <c r="H54" s="12"/>
      <c r="I54" s="13"/>
      <c r="J54" s="4"/>
      <c r="K54" s="4"/>
      <c r="L54" s="260"/>
      <c r="M54" s="4"/>
      <c r="N54" s="260"/>
      <c r="O54" s="4"/>
    </row>
    <row r="55" spans="1:16">
      <c r="A55" s="10"/>
      <c r="B55" s="10"/>
      <c r="C55" s="11"/>
      <c r="D55" s="10"/>
      <c r="E55" s="11"/>
      <c r="F55" s="10"/>
      <c r="G55" s="11"/>
      <c r="H55" s="12"/>
      <c r="I55" s="13"/>
      <c r="J55" s="4"/>
      <c r="K55" s="4"/>
      <c r="L55" s="260"/>
      <c r="M55" s="4"/>
      <c r="N55" s="260"/>
      <c r="O55" s="4"/>
    </row>
    <row r="56" spans="1:16">
      <c r="A56" s="10"/>
      <c r="B56" s="10"/>
      <c r="C56" s="11"/>
      <c r="D56" s="10"/>
      <c r="E56" s="11"/>
      <c r="F56" s="10"/>
      <c r="G56" s="11"/>
      <c r="H56" s="12"/>
      <c r="I56" s="13"/>
      <c r="J56" s="4"/>
      <c r="K56" s="4"/>
      <c r="L56" s="260"/>
      <c r="M56" s="4"/>
      <c r="N56" s="260"/>
      <c r="O56" s="4"/>
    </row>
    <row r="57" spans="1:16">
      <c r="A57" s="10"/>
      <c r="B57" s="10"/>
      <c r="C57" s="11"/>
      <c r="D57" s="10"/>
      <c r="E57" s="11"/>
      <c r="F57" s="10"/>
      <c r="G57" s="11"/>
      <c r="H57" s="12"/>
      <c r="I57" s="13"/>
      <c r="J57" s="4"/>
      <c r="K57" s="4"/>
      <c r="L57" s="260"/>
      <c r="M57" s="4"/>
      <c r="N57" s="260"/>
      <c r="O57" s="4"/>
    </row>
    <row r="58" spans="1:16">
      <c r="A58" s="10"/>
      <c r="B58" s="10"/>
      <c r="C58" s="11"/>
      <c r="D58" s="10"/>
      <c r="E58" s="11"/>
      <c r="F58" s="10"/>
      <c r="G58" s="11"/>
      <c r="H58" s="12"/>
      <c r="I58" s="13"/>
      <c r="J58" s="4"/>
      <c r="K58" s="4"/>
      <c r="L58" s="260"/>
      <c r="M58" s="4"/>
      <c r="N58" s="260"/>
      <c r="O58" s="4"/>
    </row>
    <row r="59" spans="1:16">
      <c r="A59" s="10"/>
      <c r="B59" s="10"/>
      <c r="C59" s="11"/>
      <c r="D59" s="10"/>
      <c r="E59" s="11"/>
      <c r="F59" s="10"/>
      <c r="G59" s="11"/>
      <c r="H59" s="12"/>
      <c r="I59" s="13"/>
      <c r="J59" s="4"/>
      <c r="K59" s="4"/>
      <c r="L59" s="260"/>
      <c r="M59" s="4"/>
      <c r="N59" s="260"/>
      <c r="O59" s="4"/>
    </row>
    <row r="60" spans="1:16">
      <c r="A60" s="10"/>
      <c r="B60" s="10"/>
      <c r="C60" s="11"/>
      <c r="D60" s="10"/>
      <c r="E60" s="11"/>
      <c r="F60" s="10"/>
      <c r="G60" s="11"/>
      <c r="H60" s="12"/>
      <c r="I60" s="13"/>
      <c r="J60" s="4"/>
      <c r="K60" s="4"/>
      <c r="L60" s="260"/>
      <c r="M60" s="4"/>
      <c r="N60" s="260"/>
      <c r="O60" s="4"/>
    </row>
    <row r="61" spans="1:16">
      <c r="A61" s="10"/>
      <c r="B61" s="10"/>
      <c r="C61" s="11"/>
      <c r="D61" s="10"/>
      <c r="E61" s="11"/>
      <c r="F61" s="10"/>
      <c r="G61" s="11"/>
      <c r="H61" s="12"/>
      <c r="I61" s="13"/>
      <c r="J61" s="4"/>
      <c r="K61" s="4"/>
      <c r="L61" s="260"/>
      <c r="M61" s="4"/>
      <c r="N61" s="260"/>
      <c r="O61" s="4"/>
    </row>
    <row r="62" spans="1:16">
      <c r="A62" s="10"/>
      <c r="B62" s="10"/>
      <c r="C62" s="11"/>
      <c r="D62" s="10"/>
      <c r="E62" s="11"/>
      <c r="F62" s="10"/>
      <c r="G62" s="11"/>
      <c r="H62" s="12"/>
      <c r="I62" s="13"/>
      <c r="J62" s="4"/>
      <c r="K62" s="4"/>
      <c r="L62" s="260"/>
      <c r="M62" s="4"/>
      <c r="N62" s="260"/>
      <c r="O62" s="4"/>
    </row>
    <row r="63" spans="1:16">
      <c r="A63" s="10"/>
      <c r="B63" s="10"/>
      <c r="C63" s="11"/>
      <c r="D63" s="10"/>
      <c r="E63" s="11"/>
      <c r="F63" s="10"/>
      <c r="G63" s="11"/>
      <c r="H63" s="12"/>
      <c r="I63" s="13"/>
      <c r="J63" s="4"/>
      <c r="K63" s="4"/>
      <c r="L63" s="260"/>
      <c r="M63" s="4"/>
      <c r="N63" s="260"/>
      <c r="O63" s="4"/>
    </row>
    <row r="64" spans="1:16">
      <c r="A64" s="10"/>
      <c r="B64" s="10"/>
      <c r="C64" s="11"/>
      <c r="D64" s="10"/>
      <c r="E64" s="11"/>
      <c r="F64" s="10"/>
      <c r="G64" s="11"/>
      <c r="H64" s="12"/>
      <c r="I64" s="13"/>
      <c r="J64" s="4"/>
      <c r="K64" s="4"/>
      <c r="L64" s="260"/>
      <c r="M64" s="4"/>
      <c r="N64" s="260"/>
      <c r="O64" s="4"/>
    </row>
    <row r="65" spans="1:15">
      <c r="A65" s="10"/>
      <c r="B65" s="10"/>
      <c r="C65" s="11"/>
      <c r="D65" s="10"/>
      <c r="E65" s="11"/>
      <c r="F65" s="10"/>
      <c r="G65" s="11"/>
      <c r="H65" s="12"/>
      <c r="I65" s="13"/>
      <c r="J65" s="4"/>
      <c r="K65" s="4"/>
      <c r="L65" s="260"/>
      <c r="M65" s="4"/>
      <c r="N65" s="260"/>
      <c r="O65" s="4"/>
    </row>
    <row r="66" spans="1:15">
      <c r="A66" s="10"/>
      <c r="B66" s="10"/>
      <c r="C66" s="11"/>
      <c r="D66" s="10"/>
      <c r="E66" s="11"/>
      <c r="F66" s="10"/>
      <c r="G66" s="11"/>
      <c r="H66" s="12"/>
      <c r="I66" s="13"/>
      <c r="J66" s="4"/>
      <c r="K66" s="4"/>
      <c r="L66" s="260"/>
      <c r="M66" s="4"/>
      <c r="N66" s="260"/>
      <c r="O66" s="4"/>
    </row>
    <row r="67" spans="1:15">
      <c r="A67" s="10"/>
      <c r="B67" s="10"/>
      <c r="C67" s="11"/>
      <c r="D67" s="10"/>
      <c r="E67" s="11"/>
      <c r="F67" s="10"/>
      <c r="G67" s="11"/>
      <c r="H67" s="12"/>
      <c r="I67" s="13"/>
      <c r="J67" s="4"/>
      <c r="K67" s="4"/>
      <c r="L67" s="260"/>
      <c r="M67" s="4"/>
      <c r="N67" s="260"/>
      <c r="O67" s="4"/>
    </row>
    <row r="68" spans="1:15">
      <c r="A68" s="10"/>
      <c r="B68" s="10"/>
      <c r="C68" s="11"/>
      <c r="D68" s="10"/>
      <c r="E68" s="11"/>
      <c r="F68" s="10"/>
      <c r="G68" s="11"/>
      <c r="H68" s="12"/>
      <c r="I68" s="13"/>
      <c r="J68" s="4"/>
      <c r="K68" s="4"/>
      <c r="L68" s="260"/>
      <c r="M68" s="4"/>
      <c r="N68" s="260"/>
      <c r="O68" s="4"/>
    </row>
    <row r="69" spans="1:15">
      <c r="A69" s="10"/>
      <c r="B69" s="10"/>
      <c r="C69" s="11"/>
      <c r="D69" s="10"/>
      <c r="E69" s="11"/>
      <c r="F69" s="10"/>
      <c r="G69" s="11"/>
      <c r="H69" s="12"/>
      <c r="I69" s="13"/>
      <c r="J69" s="4"/>
      <c r="K69" s="4"/>
      <c r="L69" s="260"/>
      <c r="M69" s="4"/>
      <c r="N69" s="260"/>
      <c r="O69" s="4"/>
    </row>
    <row r="70" spans="1:15">
      <c r="A70" s="10"/>
      <c r="B70" s="10"/>
      <c r="C70" s="11"/>
      <c r="D70" s="10"/>
      <c r="E70" s="11"/>
      <c r="F70" s="10"/>
      <c r="G70" s="11"/>
      <c r="H70" s="12"/>
      <c r="I70" s="13"/>
      <c r="J70" s="4"/>
      <c r="K70" s="4"/>
      <c r="L70" s="260"/>
      <c r="M70" s="4"/>
      <c r="N70" s="260"/>
      <c r="O70" s="4"/>
    </row>
    <row r="71" spans="1:15">
      <c r="A71" s="10"/>
      <c r="B71" s="10"/>
      <c r="C71" s="11"/>
      <c r="D71" s="10"/>
      <c r="E71" s="11"/>
      <c r="F71" s="10"/>
      <c r="G71" s="11"/>
      <c r="H71" s="12"/>
      <c r="I71" s="13"/>
      <c r="J71" s="4"/>
      <c r="K71" s="4"/>
      <c r="L71" s="260"/>
      <c r="M71" s="4"/>
      <c r="N71" s="260"/>
      <c r="O71" s="4"/>
    </row>
    <row r="72" spans="1:15">
      <c r="A72" s="10"/>
      <c r="B72" s="10"/>
      <c r="C72" s="11"/>
      <c r="D72" s="10"/>
      <c r="E72" s="11"/>
      <c r="F72" s="10"/>
      <c r="G72" s="11"/>
      <c r="H72" s="12"/>
      <c r="I72" s="13"/>
      <c r="J72" s="4"/>
      <c r="K72" s="4"/>
      <c r="L72" s="260"/>
      <c r="M72" s="4"/>
      <c r="N72" s="260"/>
      <c r="O72" s="4"/>
    </row>
    <row r="73" spans="1:15">
      <c r="A73" s="10"/>
      <c r="B73" s="10"/>
      <c r="C73" s="11"/>
      <c r="D73" s="10"/>
      <c r="E73" s="11"/>
      <c r="F73" s="10"/>
      <c r="G73" s="11"/>
      <c r="H73" s="12"/>
      <c r="I73" s="13"/>
      <c r="J73" s="4"/>
      <c r="K73" s="4"/>
      <c r="L73" s="260"/>
      <c r="M73" s="4"/>
      <c r="N73" s="260"/>
      <c r="O73" s="4"/>
    </row>
    <row r="74" spans="1:15">
      <c r="A74" s="10"/>
      <c r="B74" s="10"/>
      <c r="C74" s="11"/>
      <c r="D74" s="10"/>
      <c r="E74" s="11"/>
      <c r="F74" s="10"/>
      <c r="G74" s="11"/>
      <c r="H74" s="12"/>
      <c r="I74" s="13"/>
      <c r="J74" s="4"/>
      <c r="K74" s="4"/>
      <c r="L74" s="260"/>
      <c r="M74" s="4"/>
      <c r="N74" s="260"/>
      <c r="O74" s="4"/>
    </row>
    <row r="75" spans="1:15">
      <c r="A75" s="10"/>
      <c r="B75" s="10"/>
      <c r="C75" s="11"/>
      <c r="D75" s="10"/>
      <c r="E75" s="11"/>
      <c r="F75" s="10"/>
      <c r="G75" s="11"/>
      <c r="H75" s="12"/>
      <c r="I75" s="13"/>
      <c r="J75" s="4"/>
      <c r="K75" s="4"/>
      <c r="L75" s="260"/>
      <c r="M75" s="4"/>
      <c r="N75" s="260"/>
      <c r="O75" s="4"/>
    </row>
    <row r="76" spans="1:15">
      <c r="A76" s="10"/>
      <c r="B76" s="10"/>
      <c r="C76" s="11"/>
      <c r="D76" s="10"/>
      <c r="E76" s="11"/>
      <c r="F76" s="10"/>
      <c r="G76" s="11"/>
      <c r="H76" s="12"/>
      <c r="I76" s="13"/>
      <c r="J76" s="4"/>
      <c r="K76" s="4"/>
      <c r="L76" s="260"/>
      <c r="M76" s="4"/>
      <c r="N76" s="260"/>
      <c r="O76" s="4"/>
    </row>
    <row r="77" spans="1:15">
      <c r="A77" s="10"/>
      <c r="B77" s="10"/>
      <c r="C77" s="11"/>
      <c r="D77" s="10"/>
      <c r="E77" s="11"/>
      <c r="F77" s="10"/>
      <c r="G77" s="11"/>
      <c r="H77" s="12"/>
      <c r="I77" s="13"/>
      <c r="J77" s="4"/>
      <c r="K77" s="4"/>
      <c r="L77" s="260"/>
      <c r="M77" s="4"/>
      <c r="N77" s="260"/>
      <c r="O77" s="4"/>
    </row>
    <row r="78" spans="1:15">
      <c r="A78" s="10"/>
      <c r="B78" s="10"/>
      <c r="C78" s="11"/>
      <c r="D78" s="10"/>
      <c r="E78" s="11"/>
      <c r="F78" s="10"/>
      <c r="G78" s="11"/>
      <c r="H78" s="12"/>
      <c r="I78" s="13"/>
      <c r="J78" s="4"/>
      <c r="K78" s="4"/>
      <c r="L78" s="260"/>
      <c r="M78" s="4"/>
      <c r="N78" s="260"/>
      <c r="O78" s="4"/>
    </row>
    <row r="79" spans="1:15">
      <c r="A79" s="10"/>
      <c r="B79" s="10"/>
      <c r="C79" s="11"/>
      <c r="D79" s="10"/>
      <c r="E79" s="11"/>
      <c r="F79" s="10"/>
      <c r="G79" s="11"/>
      <c r="H79" s="12"/>
      <c r="I79" s="13"/>
      <c r="J79" s="4"/>
      <c r="K79" s="4"/>
      <c r="L79" s="260"/>
      <c r="M79" s="4"/>
      <c r="N79" s="260"/>
      <c r="O79" s="4"/>
    </row>
    <row r="80" spans="1:15">
      <c r="A80" s="10"/>
      <c r="B80" s="10"/>
      <c r="C80" s="11"/>
      <c r="D80" s="10"/>
      <c r="E80" s="11"/>
      <c r="F80" s="10"/>
      <c r="G80" s="11"/>
      <c r="H80" s="12"/>
      <c r="I80" s="13"/>
      <c r="J80" s="4"/>
      <c r="K80" s="4"/>
      <c r="L80" s="260"/>
      <c r="M80" s="4"/>
      <c r="N80" s="260"/>
      <c r="O80" s="4"/>
    </row>
    <row r="81" spans="1:15">
      <c r="A81" s="10"/>
      <c r="B81" s="10"/>
      <c r="C81" s="11"/>
      <c r="D81" s="10"/>
      <c r="E81" s="11"/>
      <c r="F81" s="10"/>
      <c r="G81" s="11"/>
      <c r="H81" s="12"/>
      <c r="I81" s="13"/>
      <c r="J81" s="4"/>
      <c r="K81" s="4"/>
      <c r="L81" s="260"/>
      <c r="M81" s="4"/>
      <c r="N81" s="260"/>
      <c r="O81" s="4"/>
    </row>
    <row r="82" spans="1:15">
      <c r="A82" s="10"/>
      <c r="B82" s="10"/>
      <c r="C82" s="11"/>
      <c r="D82" s="10"/>
      <c r="E82" s="11"/>
      <c r="F82" s="10"/>
      <c r="G82" s="11"/>
      <c r="H82" s="12"/>
      <c r="I82" s="13"/>
      <c r="J82" s="4"/>
      <c r="K82" s="4"/>
      <c r="L82" s="260"/>
      <c r="M82" s="4"/>
      <c r="N82" s="260"/>
      <c r="O82" s="4"/>
    </row>
    <row r="83" spans="1:15">
      <c r="A83" s="10"/>
      <c r="B83" s="10"/>
      <c r="C83" s="11"/>
      <c r="D83" s="10"/>
      <c r="E83" s="11"/>
      <c r="F83" s="10"/>
      <c r="G83" s="11"/>
      <c r="H83" s="12"/>
      <c r="I83" s="13"/>
      <c r="J83" s="4"/>
      <c r="K83" s="4"/>
      <c r="L83" s="260"/>
      <c r="M83" s="4"/>
      <c r="N83" s="260"/>
      <c r="O83" s="4"/>
    </row>
    <row r="84" spans="1:15">
      <c r="A84" s="10"/>
      <c r="B84" s="10"/>
      <c r="C84" s="11"/>
      <c r="D84" s="10"/>
      <c r="E84" s="11"/>
      <c r="F84" s="10"/>
      <c r="G84" s="11"/>
      <c r="H84" s="12"/>
      <c r="I84" s="13"/>
      <c r="J84" s="4"/>
      <c r="K84" s="4"/>
      <c r="L84" s="260"/>
      <c r="M84" s="4"/>
      <c r="N84" s="260"/>
      <c r="O84" s="4"/>
    </row>
    <row r="85" spans="1:15">
      <c r="A85" s="10"/>
      <c r="B85" s="10"/>
      <c r="C85" s="11"/>
      <c r="D85" s="10"/>
      <c r="E85" s="11"/>
      <c r="F85" s="10"/>
      <c r="G85" s="11"/>
      <c r="H85" s="12"/>
      <c r="I85" s="13"/>
      <c r="J85" s="4"/>
      <c r="K85" s="4"/>
      <c r="L85" s="260"/>
      <c r="M85" s="4"/>
      <c r="N85" s="260"/>
      <c r="O85" s="4"/>
    </row>
    <row r="86" spans="1:15">
      <c r="A86" s="10"/>
      <c r="B86" s="10"/>
      <c r="C86" s="11"/>
      <c r="D86" s="10"/>
      <c r="E86" s="11"/>
      <c r="F86" s="10"/>
      <c r="G86" s="11"/>
      <c r="H86" s="12"/>
      <c r="I86" s="13"/>
      <c r="J86" s="4"/>
      <c r="K86" s="4"/>
      <c r="L86" s="260"/>
      <c r="M86" s="4"/>
      <c r="N86" s="260"/>
      <c r="O86" s="4"/>
    </row>
    <row r="87" spans="1:15">
      <c r="A87" s="10"/>
      <c r="B87" s="10"/>
      <c r="C87" s="11"/>
      <c r="D87" s="10"/>
      <c r="E87" s="11"/>
      <c r="F87" s="10"/>
      <c r="G87" s="11"/>
      <c r="H87" s="12"/>
      <c r="I87" s="13"/>
      <c r="J87" s="4"/>
      <c r="K87" s="4"/>
      <c r="L87" s="260"/>
      <c r="M87" s="4"/>
      <c r="N87" s="260"/>
      <c r="O87" s="4"/>
    </row>
    <row r="88" spans="1:15">
      <c r="A88" s="10"/>
      <c r="B88" s="10"/>
      <c r="C88" s="11"/>
      <c r="D88" s="10"/>
      <c r="E88" s="11"/>
      <c r="F88" s="10"/>
      <c r="G88" s="11"/>
      <c r="H88" s="12"/>
      <c r="I88" s="13"/>
      <c r="J88" s="4"/>
      <c r="K88" s="4"/>
      <c r="L88" s="260"/>
      <c r="M88" s="4"/>
      <c r="N88" s="260"/>
      <c r="O88" s="4"/>
    </row>
    <row r="89" spans="1:15">
      <c r="A89" s="10"/>
      <c r="B89" s="10"/>
      <c r="C89" s="11"/>
      <c r="D89" s="10"/>
      <c r="E89" s="11"/>
      <c r="F89" s="10"/>
      <c r="G89" s="11"/>
      <c r="H89" s="12"/>
      <c r="I89" s="13"/>
      <c r="J89" s="4"/>
      <c r="K89" s="4"/>
      <c r="L89" s="260"/>
      <c r="M89" s="4"/>
      <c r="N89" s="260"/>
      <c r="O89" s="4"/>
    </row>
    <row r="90" spans="1:15">
      <c r="A90" s="10"/>
      <c r="B90" s="10"/>
      <c r="C90" s="11"/>
      <c r="D90" s="10"/>
      <c r="E90" s="11"/>
      <c r="F90" s="10"/>
      <c r="G90" s="11"/>
      <c r="H90" s="12"/>
      <c r="I90" s="13"/>
      <c r="J90" s="4"/>
      <c r="K90" s="4"/>
      <c r="L90" s="260"/>
      <c r="M90" s="4"/>
      <c r="N90" s="260"/>
      <c r="O90" s="4"/>
    </row>
    <row r="91" spans="1:15">
      <c r="A91" s="10"/>
      <c r="B91" s="10"/>
      <c r="C91" s="11"/>
      <c r="D91" s="10"/>
      <c r="E91" s="11"/>
      <c r="F91" s="10"/>
      <c r="G91" s="11"/>
      <c r="H91" s="12"/>
      <c r="I91" s="13"/>
      <c r="J91" s="4"/>
      <c r="K91" s="4"/>
      <c r="L91" s="260"/>
      <c r="M91" s="4"/>
      <c r="N91" s="260"/>
      <c r="O91" s="4"/>
    </row>
    <row r="92" spans="1:15">
      <c r="A92" s="10"/>
      <c r="B92" s="10"/>
      <c r="C92" s="11"/>
      <c r="D92" s="10"/>
      <c r="E92" s="11"/>
      <c r="F92" s="10"/>
      <c r="G92" s="11"/>
      <c r="H92" s="12"/>
      <c r="I92" s="13"/>
      <c r="J92" s="4"/>
      <c r="K92" s="4"/>
      <c r="L92" s="260"/>
      <c r="M92" s="4"/>
      <c r="N92" s="260"/>
      <c r="O92" s="4"/>
    </row>
    <row r="93" spans="1:15">
      <c r="A93" s="10"/>
      <c r="B93" s="10"/>
      <c r="C93" s="11"/>
      <c r="D93" s="10"/>
      <c r="E93" s="11"/>
      <c r="F93" s="10"/>
      <c r="G93" s="11"/>
      <c r="H93" s="12"/>
      <c r="I93" s="13"/>
      <c r="J93" s="4"/>
      <c r="K93" s="4"/>
      <c r="L93" s="260"/>
      <c r="M93" s="4"/>
      <c r="N93" s="260"/>
      <c r="O93" s="4"/>
    </row>
    <row r="94" spans="1:15">
      <c r="A94" s="10"/>
      <c r="B94" s="10"/>
      <c r="C94" s="11"/>
      <c r="D94" s="10"/>
      <c r="E94" s="11"/>
      <c r="F94" s="10"/>
      <c r="G94" s="11"/>
      <c r="H94" s="12"/>
      <c r="I94" s="13"/>
      <c r="J94" s="4"/>
      <c r="K94" s="4"/>
      <c r="L94" s="260"/>
      <c r="M94" s="4"/>
      <c r="N94" s="260"/>
      <c r="O94" s="4"/>
    </row>
    <row r="95" spans="1:15">
      <c r="A95" s="10"/>
      <c r="B95" s="10"/>
      <c r="C95" s="11"/>
      <c r="D95" s="10"/>
      <c r="E95" s="11"/>
      <c r="F95" s="10"/>
      <c r="G95" s="11"/>
      <c r="H95" s="12"/>
      <c r="I95" s="13"/>
      <c r="J95" s="4"/>
      <c r="K95" s="4"/>
      <c r="L95" s="260"/>
      <c r="M95" s="4"/>
      <c r="N95" s="260"/>
      <c r="O95" s="4"/>
    </row>
    <row r="96" spans="1:15">
      <c r="A96" s="10"/>
      <c r="B96" s="10"/>
      <c r="C96" s="11"/>
      <c r="D96" s="10"/>
      <c r="E96" s="11"/>
      <c r="F96" s="10"/>
      <c r="G96" s="11"/>
      <c r="H96" s="12"/>
      <c r="I96" s="13"/>
      <c r="J96" s="4"/>
      <c r="K96" s="4"/>
      <c r="L96" s="260"/>
      <c r="M96" s="4"/>
      <c r="N96" s="260"/>
      <c r="O96" s="4"/>
    </row>
    <row r="97" spans="1:15">
      <c r="A97" s="10"/>
      <c r="B97" s="10"/>
      <c r="C97" s="11"/>
      <c r="D97" s="10"/>
      <c r="E97" s="11"/>
      <c r="F97" s="10"/>
      <c r="G97" s="11"/>
      <c r="H97" s="12"/>
      <c r="I97" s="13"/>
      <c r="J97" s="4"/>
      <c r="K97" s="4"/>
      <c r="L97" s="260"/>
      <c r="M97" s="4"/>
      <c r="N97" s="260"/>
      <c r="O97" s="4"/>
    </row>
    <row r="98" spans="1:15">
      <c r="A98" s="10"/>
      <c r="B98" s="10"/>
      <c r="C98" s="11"/>
      <c r="D98" s="10"/>
      <c r="E98" s="11"/>
      <c r="F98" s="10"/>
      <c r="G98" s="11"/>
      <c r="H98" s="12"/>
      <c r="I98" s="13"/>
      <c r="J98" s="4"/>
      <c r="K98" s="4"/>
      <c r="L98" s="260"/>
      <c r="M98" s="4"/>
      <c r="N98" s="260"/>
      <c r="O98" s="4"/>
    </row>
    <row r="99" spans="1:15">
      <c r="A99" s="10"/>
      <c r="B99" s="10"/>
      <c r="C99" s="11"/>
      <c r="D99" s="10"/>
      <c r="E99" s="11"/>
      <c r="F99" s="10"/>
      <c r="G99" s="11"/>
      <c r="H99" s="12"/>
      <c r="I99" s="13"/>
      <c r="J99" s="4"/>
      <c r="K99" s="4"/>
      <c r="L99" s="260"/>
      <c r="M99" s="4"/>
      <c r="N99" s="260"/>
      <c r="O99" s="4"/>
    </row>
    <row r="100" spans="1:15">
      <c r="A100" s="10"/>
      <c r="B100" s="10"/>
      <c r="C100" s="11"/>
      <c r="D100" s="10"/>
      <c r="E100" s="11"/>
      <c r="F100" s="10"/>
      <c r="G100" s="11"/>
      <c r="H100" s="12"/>
      <c r="I100" s="13"/>
      <c r="J100" s="4"/>
      <c r="K100" s="4"/>
      <c r="L100" s="260"/>
      <c r="M100" s="4"/>
      <c r="N100" s="260"/>
      <c r="O100" s="4"/>
    </row>
    <row r="101" spans="1:15">
      <c r="A101" s="10"/>
      <c r="B101" s="10"/>
      <c r="C101" s="11"/>
      <c r="D101" s="10"/>
      <c r="E101" s="11"/>
      <c r="F101" s="10"/>
      <c r="G101" s="11"/>
      <c r="H101" s="12"/>
      <c r="I101" s="13"/>
      <c r="J101" s="4"/>
      <c r="K101" s="4"/>
      <c r="L101" s="260"/>
      <c r="M101" s="4"/>
      <c r="N101" s="260"/>
      <c r="O101" s="4"/>
    </row>
    <row r="102" spans="1:15">
      <c r="A102" s="10"/>
      <c r="B102" s="10"/>
      <c r="C102" s="11"/>
      <c r="D102" s="10"/>
      <c r="E102" s="11"/>
      <c r="F102" s="10"/>
      <c r="G102" s="11"/>
      <c r="H102" s="12"/>
      <c r="I102" s="13"/>
      <c r="J102" s="4"/>
      <c r="K102" s="4"/>
      <c r="L102" s="260"/>
      <c r="M102" s="4"/>
      <c r="N102" s="260"/>
      <c r="O102" s="4"/>
    </row>
    <row r="103" spans="1:15">
      <c r="A103" s="10"/>
      <c r="B103" s="10"/>
      <c r="C103" s="11"/>
      <c r="D103" s="10"/>
      <c r="E103" s="11"/>
      <c r="F103" s="10"/>
      <c r="G103" s="11"/>
      <c r="H103" s="12"/>
      <c r="I103" s="13"/>
      <c r="J103" s="4"/>
      <c r="K103" s="4"/>
      <c r="L103" s="260"/>
      <c r="M103" s="4"/>
      <c r="N103" s="260"/>
      <c r="O103" s="4"/>
    </row>
    <row r="104" spans="1:15">
      <c r="A104" s="10"/>
      <c r="B104" s="10"/>
      <c r="C104" s="11"/>
      <c r="D104" s="10"/>
      <c r="E104" s="11"/>
      <c r="F104" s="10"/>
      <c r="G104" s="11"/>
      <c r="H104" s="12"/>
      <c r="I104" s="13"/>
      <c r="J104" s="4"/>
      <c r="K104" s="4"/>
      <c r="L104" s="260"/>
      <c r="M104" s="4"/>
      <c r="N104" s="260"/>
      <c r="O104" s="4"/>
    </row>
    <row r="105" spans="1:15">
      <c r="A105" s="10"/>
      <c r="B105" s="10"/>
      <c r="C105" s="11"/>
      <c r="D105" s="10"/>
      <c r="E105" s="11"/>
      <c r="F105" s="10"/>
      <c r="G105" s="11"/>
      <c r="H105" s="12"/>
      <c r="I105" s="13"/>
      <c r="J105" s="4"/>
      <c r="K105" s="4"/>
      <c r="L105" s="260"/>
      <c r="M105" s="4"/>
      <c r="N105" s="260"/>
      <c r="O105" s="4"/>
    </row>
    <row r="106" spans="1:15">
      <c r="A106" s="10"/>
      <c r="B106" s="10"/>
      <c r="C106" s="11"/>
      <c r="D106" s="10"/>
      <c r="E106" s="11"/>
      <c r="F106" s="10"/>
      <c r="G106" s="11"/>
      <c r="H106" s="12"/>
      <c r="I106" s="13"/>
      <c r="J106" s="4"/>
      <c r="K106" s="4"/>
      <c r="L106" s="260"/>
      <c r="M106" s="4"/>
      <c r="N106" s="260"/>
      <c r="O106" s="4"/>
    </row>
    <row r="107" spans="1:15">
      <c r="A107" s="10"/>
      <c r="B107" s="10"/>
      <c r="C107" s="11"/>
      <c r="D107" s="10"/>
      <c r="E107" s="11"/>
      <c r="F107" s="10"/>
      <c r="G107" s="11"/>
      <c r="H107" s="12"/>
      <c r="I107" s="13"/>
      <c r="J107" s="4"/>
      <c r="K107" s="4"/>
      <c r="L107" s="260"/>
      <c r="M107" s="4"/>
      <c r="N107" s="260"/>
      <c r="O107" s="4"/>
    </row>
    <row r="108" spans="1:15">
      <c r="A108" s="10"/>
      <c r="B108" s="10"/>
      <c r="C108" s="11"/>
      <c r="D108" s="10"/>
      <c r="E108" s="11"/>
      <c r="F108" s="10"/>
      <c r="G108" s="11"/>
      <c r="H108" s="12"/>
      <c r="I108" s="13"/>
      <c r="J108" s="4"/>
      <c r="K108" s="4"/>
      <c r="L108" s="260"/>
      <c r="M108" s="4"/>
      <c r="N108" s="260"/>
      <c r="O108" s="4"/>
    </row>
    <row r="109" spans="1:15">
      <c r="A109" s="10"/>
      <c r="B109" s="10"/>
      <c r="C109" s="11"/>
      <c r="D109" s="10"/>
      <c r="E109" s="11"/>
      <c r="F109" s="10"/>
      <c r="G109" s="11"/>
      <c r="H109" s="12"/>
      <c r="I109" s="13"/>
      <c r="J109" s="4"/>
      <c r="K109" s="4"/>
      <c r="L109" s="260"/>
      <c r="M109" s="4"/>
      <c r="N109" s="260"/>
      <c r="O109" s="4"/>
    </row>
    <row r="110" spans="1:15">
      <c r="A110" s="10"/>
      <c r="B110" s="10"/>
      <c r="C110" s="11"/>
      <c r="D110" s="10"/>
      <c r="E110" s="11"/>
      <c r="F110" s="10"/>
      <c r="G110" s="11"/>
      <c r="H110" s="12"/>
      <c r="I110" s="13"/>
      <c r="J110" s="4"/>
      <c r="K110" s="4"/>
      <c r="L110" s="260"/>
      <c r="M110" s="4"/>
      <c r="N110" s="260"/>
      <c r="O110" s="4"/>
    </row>
    <row r="111" spans="1:15">
      <c r="A111" s="10"/>
      <c r="B111" s="10"/>
      <c r="C111" s="11"/>
      <c r="D111" s="10"/>
      <c r="E111" s="11"/>
      <c r="F111" s="10"/>
      <c r="G111" s="11"/>
      <c r="H111" s="12"/>
      <c r="I111" s="13"/>
      <c r="J111" s="4"/>
      <c r="K111" s="4"/>
      <c r="L111" s="260"/>
      <c r="M111" s="4"/>
      <c r="N111" s="260"/>
      <c r="O111" s="4"/>
    </row>
    <row r="112" spans="1:15">
      <c r="A112" s="10"/>
      <c r="B112" s="10"/>
      <c r="C112" s="11"/>
      <c r="D112" s="10"/>
      <c r="E112" s="11"/>
      <c r="F112" s="10"/>
      <c r="G112" s="11"/>
      <c r="H112" s="12"/>
      <c r="I112" s="13"/>
      <c r="J112" s="4"/>
      <c r="K112" s="4"/>
      <c r="L112" s="260"/>
      <c r="M112" s="4"/>
      <c r="N112" s="260"/>
      <c r="O112" s="4"/>
    </row>
    <row r="113" spans="1:15">
      <c r="A113" s="10"/>
      <c r="B113" s="10"/>
      <c r="C113" s="11"/>
      <c r="D113" s="10"/>
      <c r="E113" s="11"/>
      <c r="F113" s="10"/>
      <c r="G113" s="11"/>
      <c r="H113" s="12"/>
      <c r="I113" s="13"/>
      <c r="J113" s="4"/>
      <c r="K113" s="4"/>
      <c r="L113" s="260"/>
      <c r="M113" s="4"/>
      <c r="N113" s="260"/>
      <c r="O113" s="4"/>
    </row>
    <row r="114" spans="1:15">
      <c r="A114" s="10"/>
      <c r="B114" s="10"/>
      <c r="C114" s="11"/>
      <c r="D114" s="10"/>
      <c r="E114" s="11"/>
      <c r="F114" s="10"/>
      <c r="G114" s="11"/>
      <c r="H114" s="12"/>
      <c r="I114" s="13"/>
      <c r="J114" s="4"/>
      <c r="K114" s="4"/>
      <c r="L114" s="260"/>
      <c r="M114" s="4"/>
      <c r="N114" s="260"/>
      <c r="O114" s="4"/>
    </row>
    <row r="115" spans="1:15">
      <c r="A115" s="10"/>
      <c r="B115" s="10"/>
      <c r="C115" s="11"/>
      <c r="D115" s="10"/>
      <c r="E115" s="11"/>
      <c r="F115" s="10"/>
      <c r="G115" s="11"/>
      <c r="H115" s="12"/>
      <c r="I115" s="13"/>
      <c r="J115" s="4"/>
      <c r="K115" s="4"/>
      <c r="L115" s="260"/>
      <c r="M115" s="4"/>
      <c r="N115" s="260"/>
      <c r="O115" s="4"/>
    </row>
    <row r="116" spans="1:15">
      <c r="A116" s="10"/>
      <c r="B116" s="10"/>
      <c r="C116" s="11"/>
      <c r="D116" s="10"/>
      <c r="E116" s="11"/>
      <c r="F116" s="10"/>
      <c r="G116" s="11"/>
      <c r="H116" s="12"/>
      <c r="I116" s="13"/>
      <c r="J116" s="4"/>
      <c r="K116" s="4"/>
      <c r="L116" s="260"/>
      <c r="M116" s="4"/>
      <c r="N116" s="260"/>
      <c r="O116" s="4"/>
    </row>
    <row r="117" spans="1:15">
      <c r="A117" s="10"/>
      <c r="B117" s="10"/>
      <c r="C117" s="11"/>
      <c r="D117" s="10"/>
      <c r="E117" s="11"/>
      <c r="F117" s="10"/>
      <c r="G117" s="11"/>
      <c r="H117" s="12"/>
      <c r="I117" s="13"/>
      <c r="J117" s="4"/>
      <c r="K117" s="4"/>
      <c r="L117" s="260"/>
      <c r="M117" s="4"/>
      <c r="N117" s="260"/>
      <c r="O117" s="4"/>
    </row>
    <row r="118" spans="1:15">
      <c r="A118" s="10"/>
      <c r="B118" s="10"/>
      <c r="C118" s="11"/>
      <c r="D118" s="10"/>
      <c r="E118" s="11"/>
      <c r="F118" s="10"/>
      <c r="G118" s="11"/>
      <c r="H118" s="12"/>
      <c r="I118" s="13"/>
      <c r="J118" s="4"/>
      <c r="K118" s="4"/>
      <c r="L118" s="260"/>
      <c r="M118" s="4"/>
      <c r="N118" s="260"/>
      <c r="O118" s="4"/>
    </row>
    <row r="119" spans="1:15">
      <c r="A119" s="10"/>
      <c r="B119" s="10"/>
      <c r="C119" s="11"/>
      <c r="D119" s="10"/>
      <c r="E119" s="11"/>
      <c r="F119" s="10"/>
      <c r="G119" s="11"/>
      <c r="H119" s="12"/>
      <c r="I119" s="13"/>
      <c r="J119" s="4"/>
      <c r="K119" s="4"/>
      <c r="L119" s="260"/>
      <c r="M119" s="4"/>
      <c r="N119" s="260"/>
      <c r="O119" s="4"/>
    </row>
    <row r="120" spans="1:15">
      <c r="A120" s="10"/>
      <c r="B120" s="10"/>
      <c r="C120" s="11"/>
      <c r="D120" s="10"/>
      <c r="E120" s="11"/>
      <c r="F120" s="10"/>
      <c r="G120" s="11"/>
      <c r="H120" s="12"/>
      <c r="I120" s="13"/>
      <c r="J120" s="4"/>
      <c r="K120" s="4"/>
      <c r="L120" s="260"/>
      <c r="M120" s="4"/>
      <c r="N120" s="260"/>
      <c r="O120" s="4"/>
    </row>
    <row r="121" spans="1:15">
      <c r="A121" s="10"/>
      <c r="B121" s="10"/>
      <c r="C121" s="11"/>
      <c r="D121" s="10"/>
      <c r="E121" s="11"/>
      <c r="F121" s="10"/>
      <c r="G121" s="11"/>
      <c r="H121" s="12"/>
      <c r="I121" s="13"/>
      <c r="J121" s="4"/>
      <c r="K121" s="4"/>
      <c r="L121" s="260"/>
      <c r="M121" s="4"/>
      <c r="N121" s="260"/>
      <c r="O121" s="4"/>
    </row>
    <row r="122" spans="1:15">
      <c r="A122" s="10"/>
      <c r="B122" s="10"/>
      <c r="C122" s="11"/>
      <c r="D122" s="10"/>
      <c r="E122" s="11"/>
      <c r="F122" s="10"/>
      <c r="G122" s="11"/>
      <c r="H122" s="12"/>
      <c r="I122" s="13"/>
      <c r="J122" s="4"/>
      <c r="K122" s="4"/>
      <c r="L122" s="260"/>
      <c r="M122" s="4"/>
      <c r="N122" s="260"/>
      <c r="O122" s="4"/>
    </row>
    <row r="123" spans="1:15">
      <c r="A123" s="10"/>
      <c r="B123" s="10"/>
      <c r="C123" s="11"/>
      <c r="D123" s="10"/>
      <c r="E123" s="11"/>
      <c r="F123" s="10"/>
      <c r="G123" s="11"/>
      <c r="H123" s="12"/>
      <c r="I123" s="13"/>
      <c r="J123" s="4"/>
      <c r="K123" s="4"/>
      <c r="L123" s="260"/>
      <c r="M123" s="4"/>
      <c r="N123" s="260"/>
      <c r="O123" s="4"/>
    </row>
    <row r="124" spans="1:15">
      <c r="A124" s="10"/>
      <c r="B124" s="10"/>
      <c r="C124" s="11"/>
      <c r="D124" s="10"/>
      <c r="E124" s="11"/>
      <c r="F124" s="10"/>
      <c r="G124" s="11"/>
      <c r="H124" s="12"/>
      <c r="I124" s="13"/>
      <c r="J124" s="4"/>
      <c r="K124" s="4"/>
      <c r="L124" s="260"/>
      <c r="M124" s="4"/>
      <c r="N124" s="260"/>
      <c r="O124" s="4"/>
    </row>
    <row r="125" spans="1:15">
      <c r="A125" s="10"/>
      <c r="B125" s="10"/>
      <c r="C125" s="11"/>
      <c r="D125" s="10"/>
      <c r="E125" s="11"/>
      <c r="F125" s="10"/>
      <c r="G125" s="11"/>
      <c r="H125" s="12"/>
      <c r="I125" s="13"/>
      <c r="J125" s="4"/>
      <c r="K125" s="4"/>
      <c r="L125" s="260"/>
      <c r="M125" s="4"/>
      <c r="N125" s="260"/>
      <c r="O125" s="4"/>
    </row>
    <row r="126" spans="1:15">
      <c r="A126" s="10"/>
      <c r="B126" s="10"/>
      <c r="C126" s="11"/>
      <c r="D126" s="10"/>
      <c r="E126" s="11"/>
      <c r="F126" s="10"/>
      <c r="G126" s="11"/>
      <c r="H126" s="12"/>
      <c r="I126" s="13"/>
      <c r="J126" s="4"/>
      <c r="K126" s="4"/>
      <c r="L126" s="260"/>
      <c r="M126" s="4"/>
      <c r="N126" s="260"/>
      <c r="O126" s="4"/>
    </row>
    <row r="127" spans="1:15">
      <c r="A127" s="10"/>
      <c r="B127" s="10"/>
      <c r="C127" s="11"/>
      <c r="D127" s="10"/>
      <c r="E127" s="11"/>
      <c r="F127" s="10"/>
      <c r="G127" s="11"/>
      <c r="H127" s="12"/>
      <c r="I127" s="13"/>
      <c r="J127" s="4"/>
      <c r="K127" s="4"/>
      <c r="L127" s="260"/>
      <c r="M127" s="4"/>
      <c r="N127" s="260"/>
      <c r="O127" s="4"/>
    </row>
    <row r="128" spans="1:15">
      <c r="A128" s="10"/>
      <c r="B128" s="10"/>
      <c r="C128" s="11"/>
      <c r="D128" s="10"/>
      <c r="E128" s="11"/>
      <c r="F128" s="10"/>
      <c r="G128" s="11"/>
      <c r="H128" s="12"/>
      <c r="I128" s="13"/>
      <c r="J128" s="4"/>
      <c r="K128" s="4"/>
      <c r="L128" s="260"/>
      <c r="M128" s="4"/>
      <c r="N128" s="260"/>
      <c r="O128" s="4"/>
    </row>
    <row r="129" spans="1:15">
      <c r="A129" s="10"/>
      <c r="B129" s="10"/>
      <c r="C129" s="11"/>
      <c r="D129" s="10"/>
      <c r="E129" s="11"/>
      <c r="F129" s="10"/>
      <c r="G129" s="11"/>
      <c r="H129" s="12"/>
      <c r="I129" s="13"/>
      <c r="J129" s="4"/>
      <c r="K129" s="4"/>
      <c r="L129" s="260"/>
      <c r="M129" s="4"/>
      <c r="N129" s="260"/>
      <c r="O129" s="4"/>
    </row>
    <row r="130" spans="1:15">
      <c r="A130" s="10"/>
      <c r="B130" s="10"/>
      <c r="C130" s="11"/>
      <c r="D130" s="10"/>
      <c r="E130" s="11"/>
      <c r="F130" s="10"/>
      <c r="G130" s="11"/>
      <c r="H130" s="12"/>
      <c r="I130" s="13"/>
      <c r="J130" s="4"/>
      <c r="K130" s="4"/>
      <c r="L130" s="260"/>
      <c r="M130" s="4"/>
      <c r="N130" s="260"/>
      <c r="O130" s="4"/>
    </row>
    <row r="131" spans="1:15">
      <c r="A131" s="10"/>
      <c r="B131" s="10"/>
      <c r="C131" s="11"/>
      <c r="D131" s="10"/>
      <c r="E131" s="11"/>
      <c r="F131" s="10"/>
      <c r="G131" s="11"/>
      <c r="H131" s="12"/>
      <c r="I131" s="13"/>
      <c r="J131" s="4"/>
      <c r="K131" s="4"/>
      <c r="L131" s="260"/>
      <c r="M131" s="4"/>
      <c r="N131" s="260"/>
      <c r="O131" s="4"/>
    </row>
    <row r="132" spans="1:15">
      <c r="A132" s="10"/>
      <c r="B132" s="10"/>
      <c r="C132" s="11"/>
      <c r="D132" s="10"/>
      <c r="E132" s="11"/>
      <c r="F132" s="10"/>
      <c r="G132" s="11"/>
      <c r="H132" s="12"/>
      <c r="I132" s="13"/>
      <c r="J132" s="4"/>
      <c r="K132" s="4"/>
      <c r="L132" s="260"/>
      <c r="M132" s="4"/>
      <c r="N132" s="260"/>
      <c r="O132" s="4"/>
    </row>
    <row r="133" spans="1:15">
      <c r="A133" s="10"/>
      <c r="B133" s="10"/>
      <c r="C133" s="11"/>
      <c r="D133" s="10"/>
      <c r="E133" s="11"/>
      <c r="F133" s="10"/>
      <c r="G133" s="11"/>
      <c r="H133" s="12"/>
      <c r="I133" s="13"/>
      <c r="J133" s="4"/>
      <c r="K133" s="4"/>
      <c r="L133" s="260"/>
      <c r="M133" s="4"/>
      <c r="N133" s="260"/>
      <c r="O133" s="4"/>
    </row>
    <row r="134" spans="1:15">
      <c r="A134" s="10"/>
      <c r="B134" s="10"/>
      <c r="C134" s="11"/>
      <c r="D134" s="10"/>
      <c r="E134" s="11"/>
      <c r="F134" s="10"/>
      <c r="G134" s="11"/>
      <c r="H134" s="12"/>
      <c r="I134" s="13"/>
      <c r="J134" s="4"/>
      <c r="K134" s="4"/>
      <c r="L134" s="260"/>
      <c r="M134" s="4"/>
      <c r="N134" s="260"/>
      <c r="O134" s="4"/>
    </row>
    <row r="135" spans="1:15">
      <c r="A135" s="10"/>
      <c r="B135" s="10"/>
      <c r="C135" s="11"/>
      <c r="D135" s="10"/>
      <c r="E135" s="11"/>
      <c r="F135" s="10"/>
      <c r="G135" s="11"/>
      <c r="H135" s="12"/>
      <c r="I135" s="13"/>
      <c r="J135" s="4"/>
      <c r="K135" s="4"/>
      <c r="L135" s="260"/>
      <c r="M135" s="4"/>
      <c r="N135" s="260"/>
      <c r="O135" s="4"/>
    </row>
    <row r="136" spans="1:15">
      <c r="A136" s="10"/>
      <c r="B136" s="10"/>
      <c r="C136" s="11"/>
      <c r="D136" s="10"/>
      <c r="E136" s="11"/>
      <c r="F136" s="10"/>
      <c r="G136" s="11"/>
      <c r="H136" s="12"/>
      <c r="I136" s="13"/>
      <c r="J136" s="4"/>
      <c r="K136" s="4"/>
      <c r="L136" s="260"/>
      <c r="M136" s="4"/>
      <c r="N136" s="260"/>
      <c r="O136" s="4"/>
    </row>
    <row r="137" spans="1:15">
      <c r="A137" s="10"/>
      <c r="B137" s="10"/>
      <c r="C137" s="11"/>
      <c r="D137" s="10"/>
      <c r="E137" s="11"/>
      <c r="F137" s="10"/>
      <c r="G137" s="11"/>
      <c r="H137" s="12"/>
      <c r="I137" s="13"/>
      <c r="J137" s="4"/>
      <c r="K137" s="4"/>
      <c r="L137" s="260"/>
      <c r="M137" s="4"/>
      <c r="N137" s="260"/>
      <c r="O137" s="4"/>
    </row>
    <row r="138" spans="1:15">
      <c r="A138" s="10"/>
      <c r="B138" s="10"/>
      <c r="C138" s="11"/>
      <c r="D138" s="10"/>
      <c r="E138" s="11"/>
      <c r="F138" s="10"/>
      <c r="G138" s="11"/>
      <c r="H138" s="12"/>
      <c r="I138" s="13"/>
      <c r="J138" s="4"/>
      <c r="K138" s="4"/>
      <c r="L138" s="260"/>
      <c r="M138" s="4"/>
      <c r="N138" s="260"/>
      <c r="O138" s="4"/>
    </row>
    <row r="139" spans="1:15">
      <c r="A139" s="10"/>
      <c r="B139" s="10"/>
      <c r="C139" s="11"/>
      <c r="D139" s="10"/>
      <c r="E139" s="11"/>
      <c r="F139" s="10"/>
      <c r="G139" s="11"/>
      <c r="H139" s="12"/>
      <c r="I139" s="13"/>
      <c r="J139" s="4"/>
      <c r="K139" s="4"/>
      <c r="L139" s="260"/>
      <c r="M139" s="4"/>
      <c r="N139" s="260"/>
      <c r="O139" s="4"/>
    </row>
    <row r="140" spans="1:15">
      <c r="A140" s="10"/>
      <c r="B140" s="10"/>
      <c r="C140" s="11"/>
      <c r="D140" s="10"/>
      <c r="E140" s="11"/>
      <c r="F140" s="10"/>
      <c r="G140" s="11"/>
      <c r="H140" s="12"/>
      <c r="I140" s="13"/>
      <c r="J140" s="4"/>
      <c r="K140" s="4"/>
      <c r="L140" s="260"/>
      <c r="M140" s="4"/>
      <c r="N140" s="260"/>
      <c r="O140" s="4"/>
    </row>
    <row r="141" spans="1:15">
      <c r="A141" s="10"/>
      <c r="B141" s="10"/>
      <c r="C141" s="11"/>
      <c r="D141" s="10"/>
      <c r="E141" s="11"/>
      <c r="F141" s="10"/>
      <c r="G141" s="11"/>
      <c r="H141" s="12"/>
      <c r="I141" s="13"/>
      <c r="J141" s="4"/>
      <c r="K141" s="4"/>
      <c r="L141" s="260"/>
      <c r="M141" s="4"/>
      <c r="N141" s="260"/>
      <c r="O141" s="4"/>
    </row>
    <row r="142" spans="1:15">
      <c r="A142" s="10"/>
      <c r="B142" s="10"/>
      <c r="C142" s="11"/>
      <c r="D142" s="10"/>
      <c r="E142" s="11"/>
      <c r="F142" s="10"/>
      <c r="G142" s="11"/>
      <c r="H142" s="12"/>
      <c r="I142" s="13"/>
      <c r="J142" s="4"/>
      <c r="K142" s="4"/>
      <c r="L142" s="260"/>
      <c r="M142" s="4"/>
      <c r="N142" s="260"/>
      <c r="O142" s="4"/>
    </row>
    <row r="143" spans="1:15">
      <c r="A143" s="10"/>
      <c r="B143" s="10"/>
      <c r="C143" s="11"/>
      <c r="D143" s="10"/>
      <c r="E143" s="11"/>
      <c r="F143" s="10"/>
      <c r="G143" s="11"/>
      <c r="H143" s="12"/>
      <c r="I143" s="13"/>
      <c r="J143" s="4"/>
      <c r="K143" s="4"/>
      <c r="L143" s="260"/>
      <c r="M143" s="4"/>
      <c r="N143" s="260"/>
      <c r="O143" s="4"/>
    </row>
    <row r="144" spans="1:15">
      <c r="A144" s="10"/>
      <c r="B144" s="10"/>
      <c r="C144" s="11"/>
      <c r="D144" s="10"/>
      <c r="E144" s="11"/>
      <c r="F144" s="10"/>
      <c r="G144" s="11"/>
      <c r="H144" s="12"/>
      <c r="I144" s="13"/>
      <c r="J144" s="4"/>
      <c r="K144" s="4"/>
      <c r="L144" s="260"/>
      <c r="M144" s="4"/>
      <c r="N144" s="260"/>
      <c r="O144" s="4"/>
    </row>
    <row r="145" spans="1:15">
      <c r="A145" s="10"/>
      <c r="B145" s="10"/>
      <c r="C145" s="11"/>
      <c r="D145" s="10"/>
      <c r="E145" s="11"/>
      <c r="F145" s="10"/>
      <c r="G145" s="11"/>
      <c r="H145" s="12"/>
      <c r="I145" s="13"/>
      <c r="J145" s="4"/>
      <c r="K145" s="4"/>
      <c r="L145" s="260"/>
      <c r="M145" s="4"/>
      <c r="N145" s="260"/>
      <c r="O145" s="4"/>
    </row>
    <row r="146" spans="1:15">
      <c r="A146" s="10"/>
      <c r="B146" s="10"/>
      <c r="C146" s="11"/>
      <c r="D146" s="10"/>
      <c r="E146" s="11"/>
      <c r="F146" s="10"/>
      <c r="G146" s="11"/>
      <c r="H146" s="12"/>
      <c r="I146" s="13"/>
      <c r="J146" s="4"/>
      <c r="K146" s="4"/>
      <c r="L146" s="260"/>
      <c r="M146" s="4"/>
      <c r="N146" s="260"/>
      <c r="O146" s="4"/>
    </row>
    <row r="147" spans="1:15">
      <c r="A147" s="10"/>
      <c r="B147" s="10"/>
      <c r="C147" s="11"/>
      <c r="D147" s="10"/>
      <c r="E147" s="11"/>
      <c r="F147" s="10"/>
      <c r="G147" s="11"/>
      <c r="H147" s="12"/>
      <c r="I147" s="13"/>
      <c r="J147" s="4"/>
      <c r="K147" s="4"/>
      <c r="L147" s="260"/>
      <c r="M147" s="4"/>
      <c r="N147" s="260"/>
      <c r="O147" s="4"/>
    </row>
    <row r="148" spans="1:15">
      <c r="A148" s="10"/>
      <c r="B148" s="10"/>
      <c r="C148" s="11"/>
      <c r="D148" s="10"/>
      <c r="E148" s="11"/>
      <c r="F148" s="10"/>
      <c r="G148" s="11"/>
      <c r="H148" s="12"/>
      <c r="I148" s="13"/>
      <c r="J148" s="4"/>
      <c r="K148" s="4"/>
      <c r="L148" s="260"/>
      <c r="M148" s="4"/>
      <c r="N148" s="260"/>
      <c r="O148" s="4"/>
    </row>
    <row r="149" spans="1:15">
      <c r="A149" s="10"/>
      <c r="B149" s="10"/>
      <c r="C149" s="11"/>
      <c r="D149" s="10"/>
      <c r="E149" s="11"/>
      <c r="F149" s="10"/>
      <c r="G149" s="11"/>
      <c r="H149" s="12"/>
      <c r="I149" s="13"/>
      <c r="J149" s="4"/>
      <c r="K149" s="4"/>
      <c r="L149" s="260"/>
      <c r="M149" s="4"/>
      <c r="N149" s="260"/>
      <c r="O149" s="4"/>
    </row>
    <row r="150" spans="1:15">
      <c r="A150" s="10"/>
      <c r="B150" s="10"/>
      <c r="C150" s="11"/>
      <c r="D150" s="10"/>
      <c r="E150" s="11"/>
      <c r="F150" s="10"/>
      <c r="G150" s="11"/>
      <c r="H150" s="12"/>
      <c r="I150" s="13"/>
      <c r="J150" s="4"/>
      <c r="K150" s="4"/>
      <c r="L150" s="260"/>
      <c r="M150" s="4"/>
      <c r="N150" s="260"/>
      <c r="O150" s="4"/>
    </row>
    <row r="151" spans="1:15">
      <c r="A151" s="10"/>
      <c r="B151" s="10"/>
      <c r="C151" s="11"/>
      <c r="D151" s="10"/>
      <c r="E151" s="11"/>
      <c r="F151" s="10"/>
      <c r="G151" s="11"/>
      <c r="H151" s="12"/>
      <c r="I151" s="13"/>
      <c r="J151" s="4"/>
      <c r="K151" s="4"/>
      <c r="L151" s="260"/>
      <c r="M151" s="4"/>
      <c r="N151" s="260"/>
      <c r="O151" s="4"/>
    </row>
    <row r="152" spans="1:15">
      <c r="A152" s="10"/>
      <c r="B152" s="10"/>
      <c r="C152" s="11"/>
      <c r="D152" s="10"/>
      <c r="E152" s="11"/>
      <c r="F152" s="10"/>
      <c r="G152" s="11"/>
      <c r="H152" s="12"/>
      <c r="I152" s="13"/>
      <c r="J152" s="4"/>
      <c r="K152" s="4"/>
      <c r="L152" s="260"/>
      <c r="M152" s="4"/>
      <c r="N152" s="260"/>
      <c r="O152" s="4"/>
    </row>
    <row r="153" spans="1:15">
      <c r="A153" s="10"/>
      <c r="B153" s="10"/>
      <c r="C153" s="11"/>
      <c r="D153" s="10"/>
      <c r="E153" s="11"/>
      <c r="F153" s="10"/>
      <c r="G153" s="11"/>
      <c r="H153" s="12"/>
      <c r="I153" s="13"/>
      <c r="J153" s="4"/>
      <c r="K153" s="4"/>
      <c r="L153" s="260"/>
      <c r="M153" s="4"/>
      <c r="N153" s="260"/>
      <c r="O153" s="4"/>
    </row>
    <row r="154" spans="1:15">
      <c r="A154" s="10"/>
      <c r="B154" s="10"/>
      <c r="C154" s="11"/>
      <c r="D154" s="10"/>
      <c r="E154" s="11"/>
      <c r="F154" s="10"/>
      <c r="G154" s="11"/>
      <c r="H154" s="12"/>
      <c r="I154" s="13"/>
      <c r="J154" s="4"/>
      <c r="K154" s="4"/>
      <c r="L154" s="260"/>
      <c r="M154" s="4"/>
      <c r="N154" s="260"/>
      <c r="O154" s="4"/>
    </row>
    <row r="155" spans="1:15">
      <c r="A155" s="10"/>
      <c r="B155" s="10"/>
      <c r="C155" s="11"/>
      <c r="D155" s="10"/>
      <c r="E155" s="11"/>
      <c r="F155" s="10"/>
      <c r="G155" s="11"/>
      <c r="H155" s="12"/>
      <c r="I155" s="13"/>
      <c r="J155" s="4"/>
      <c r="K155" s="4"/>
      <c r="L155" s="260"/>
      <c r="M155" s="4"/>
      <c r="N155" s="260"/>
      <c r="O155" s="4"/>
    </row>
    <row r="156" spans="1:15">
      <c r="A156" s="10"/>
      <c r="B156" s="10"/>
      <c r="C156" s="11"/>
      <c r="D156" s="10"/>
      <c r="E156" s="11"/>
      <c r="F156" s="10"/>
      <c r="G156" s="11"/>
      <c r="H156" s="12"/>
      <c r="I156" s="13"/>
      <c r="J156" s="4"/>
      <c r="K156" s="4"/>
      <c r="L156" s="260"/>
      <c r="M156" s="4"/>
      <c r="N156" s="260"/>
      <c r="O156" s="4"/>
    </row>
    <row r="157" spans="1:15">
      <c r="A157" s="10"/>
      <c r="B157" s="10"/>
      <c r="C157" s="11"/>
      <c r="D157" s="10"/>
      <c r="E157" s="11"/>
      <c r="F157" s="10"/>
      <c r="G157" s="11"/>
      <c r="H157" s="12"/>
      <c r="I157" s="13"/>
      <c r="J157" s="4"/>
      <c r="K157" s="4"/>
      <c r="L157" s="260"/>
      <c r="M157" s="4"/>
      <c r="N157" s="260"/>
      <c r="O157" s="4"/>
    </row>
    <row r="158" spans="1:15">
      <c r="A158" s="10"/>
      <c r="B158" s="10"/>
      <c r="C158" s="11"/>
      <c r="D158" s="10"/>
      <c r="E158" s="11"/>
      <c r="F158" s="10"/>
      <c r="G158" s="11"/>
      <c r="H158" s="12"/>
      <c r="I158" s="13"/>
      <c r="J158" s="4"/>
      <c r="K158" s="4"/>
      <c r="L158" s="260"/>
      <c r="M158" s="4"/>
      <c r="N158" s="260"/>
      <c r="O158" s="4"/>
    </row>
  </sheetData>
  <sheetProtection selectLockedCells="1" selectUnlockedCells="1"/>
  <mergeCells count="1">
    <mergeCell ref="P3:S13"/>
  </mergeCells>
  <conditionalFormatting sqref="C2">
    <cfRule type="expression" dxfId="211" priority="217" stopIfTrue="1">
      <formula>C2&lt;0.25</formula>
    </cfRule>
    <cfRule type="expression" dxfId="210" priority="218" stopIfTrue="1">
      <formula>C2&lt;0.5</formula>
    </cfRule>
    <cfRule type="expression" dxfId="209" priority="219" stopIfTrue="1">
      <formula>C2&lt;0.75</formula>
    </cfRule>
    <cfRule type="expression" dxfId="208" priority="220">
      <formula>C2&gt;=0.75</formula>
    </cfRule>
  </conditionalFormatting>
  <conditionalFormatting sqref="E2">
    <cfRule type="expression" dxfId="207" priority="209" stopIfTrue="1">
      <formula>E2&lt;0.25</formula>
    </cfRule>
    <cfRule type="expression" dxfId="206" priority="210" stopIfTrue="1">
      <formula>E2&lt;0.5</formula>
    </cfRule>
    <cfRule type="expression" dxfId="205" priority="211" stopIfTrue="1">
      <formula>E2&lt;0.75</formula>
    </cfRule>
    <cfRule type="expression" dxfId="204" priority="212">
      <formula>E2&gt;=0.75</formula>
    </cfRule>
  </conditionalFormatting>
  <conditionalFormatting sqref="G2">
    <cfRule type="expression" dxfId="203" priority="205" stopIfTrue="1">
      <formula>G2&lt;0.25</formula>
    </cfRule>
    <cfRule type="expression" dxfId="202" priority="206" stopIfTrue="1">
      <formula>G2&lt;0.5</formula>
    </cfRule>
    <cfRule type="expression" dxfId="201" priority="207" stopIfTrue="1">
      <formula>G2&lt;0.75</formula>
    </cfRule>
    <cfRule type="expression" dxfId="200" priority="208">
      <formula>G2&gt;=0.75</formula>
    </cfRule>
  </conditionalFormatting>
  <conditionalFormatting sqref="I2">
    <cfRule type="expression" dxfId="199" priority="201" stopIfTrue="1">
      <formula>I2&lt;0.25</formula>
    </cfRule>
    <cfRule type="expression" dxfId="198" priority="202" stopIfTrue="1">
      <formula>I2&lt;0.5</formula>
    </cfRule>
    <cfRule type="expression" dxfId="197" priority="203" stopIfTrue="1">
      <formula>I2&lt;0.75</formula>
    </cfRule>
    <cfRule type="expression" dxfId="196" priority="204">
      <formula>I2&gt;=0.75</formula>
    </cfRule>
  </conditionalFormatting>
  <conditionalFormatting sqref="C4">
    <cfRule type="expression" dxfId="195" priority="197" stopIfTrue="1">
      <formula>C4&lt;0.25</formula>
    </cfRule>
    <cfRule type="expression" dxfId="194" priority="198" stopIfTrue="1">
      <formula>C4&lt;0.5</formula>
    </cfRule>
    <cfRule type="expression" dxfId="193" priority="199" stopIfTrue="1">
      <formula>C4&lt;0.75</formula>
    </cfRule>
    <cfRule type="expression" dxfId="192" priority="200">
      <formula>C4&gt;=0.75</formula>
    </cfRule>
  </conditionalFormatting>
  <conditionalFormatting sqref="E4">
    <cfRule type="expression" dxfId="191" priority="193" stopIfTrue="1">
      <formula>E4&lt;0.25</formula>
    </cfRule>
    <cfRule type="expression" dxfId="190" priority="194" stopIfTrue="1">
      <formula>E4&lt;0.5</formula>
    </cfRule>
    <cfRule type="expression" dxfId="189" priority="195" stopIfTrue="1">
      <formula>E4&lt;0.75</formula>
    </cfRule>
    <cfRule type="expression" dxfId="188" priority="196">
      <formula>E4&gt;=0.75</formula>
    </cfRule>
  </conditionalFormatting>
  <conditionalFormatting sqref="G4">
    <cfRule type="expression" dxfId="187" priority="189" stopIfTrue="1">
      <formula>G4&lt;0.25</formula>
    </cfRule>
    <cfRule type="expression" dxfId="186" priority="190" stopIfTrue="1">
      <formula>G4&lt;0.5</formula>
    </cfRule>
    <cfRule type="expression" dxfId="185" priority="191" stopIfTrue="1">
      <formula>G4&lt;0.75</formula>
    </cfRule>
    <cfRule type="expression" dxfId="184" priority="192">
      <formula>G4&gt;=0.75</formula>
    </cfRule>
  </conditionalFormatting>
  <conditionalFormatting sqref="I4">
    <cfRule type="expression" dxfId="183" priority="185" stopIfTrue="1">
      <formula>I4&lt;0.25</formula>
    </cfRule>
    <cfRule type="expression" dxfId="182" priority="186" stopIfTrue="1">
      <formula>I4&lt;0.5</formula>
    </cfRule>
    <cfRule type="expression" dxfId="181" priority="187" stopIfTrue="1">
      <formula>I4&lt;0.75</formula>
    </cfRule>
    <cfRule type="expression" dxfId="180" priority="188">
      <formula>I4&gt;=0.75</formula>
    </cfRule>
  </conditionalFormatting>
  <conditionalFormatting sqref="C6">
    <cfRule type="expression" dxfId="179" priority="181" stopIfTrue="1">
      <formula>C6&lt;0.25</formula>
    </cfRule>
    <cfRule type="expression" dxfId="178" priority="182" stopIfTrue="1">
      <formula>C6&lt;0.5</formula>
    </cfRule>
    <cfRule type="expression" dxfId="177" priority="183" stopIfTrue="1">
      <formula>C6&lt;0.75</formula>
    </cfRule>
    <cfRule type="expression" dxfId="176" priority="184">
      <formula>C6&gt;=0.75</formula>
    </cfRule>
  </conditionalFormatting>
  <conditionalFormatting sqref="C6:C8">
    <cfRule type="expression" dxfId="175" priority="177" stopIfTrue="1">
      <formula>C6&lt;0.25</formula>
    </cfRule>
    <cfRule type="expression" dxfId="174" priority="178" stopIfTrue="1">
      <formula>C6&lt;0.5</formula>
    </cfRule>
    <cfRule type="expression" dxfId="173" priority="179" stopIfTrue="1">
      <formula>C6&lt;0.75</formula>
    </cfRule>
    <cfRule type="expression" dxfId="172" priority="180">
      <formula>C6&gt;=0.75</formula>
    </cfRule>
  </conditionalFormatting>
  <conditionalFormatting sqref="E6:E8">
    <cfRule type="expression" dxfId="171" priority="173" stopIfTrue="1">
      <formula>E6&lt;0.25</formula>
    </cfRule>
    <cfRule type="expression" dxfId="170" priority="174" stopIfTrue="1">
      <formula>E6&lt;0.5</formula>
    </cfRule>
    <cfRule type="expression" dxfId="169" priority="175" stopIfTrue="1">
      <formula>E6&lt;0.75</formula>
    </cfRule>
    <cfRule type="expression" dxfId="168" priority="176">
      <formula>E6&gt;=0.75</formula>
    </cfRule>
  </conditionalFormatting>
  <conditionalFormatting sqref="G6:G8">
    <cfRule type="expression" dxfId="167" priority="169" stopIfTrue="1">
      <formula>G6&lt;0.25</formula>
    </cfRule>
    <cfRule type="expression" dxfId="166" priority="170" stopIfTrue="1">
      <formula>G6&lt;0.5</formula>
    </cfRule>
    <cfRule type="expression" dxfId="165" priority="171" stopIfTrue="1">
      <formula>G6&lt;0.75</formula>
    </cfRule>
    <cfRule type="expression" dxfId="164" priority="172">
      <formula>G6&gt;=0.75</formula>
    </cfRule>
  </conditionalFormatting>
  <conditionalFormatting sqref="I6:I8">
    <cfRule type="expression" dxfId="163" priority="165" stopIfTrue="1">
      <formula>I6&lt;0.25</formula>
    </cfRule>
    <cfRule type="expression" dxfId="162" priority="166" stopIfTrue="1">
      <formula>I6&lt;0.5</formula>
    </cfRule>
    <cfRule type="expression" dxfId="161" priority="167" stopIfTrue="1">
      <formula>I6&lt;0.75</formula>
    </cfRule>
    <cfRule type="expression" dxfId="160" priority="168">
      <formula>I6&gt;=0.75</formula>
    </cfRule>
  </conditionalFormatting>
  <conditionalFormatting sqref="C10">
    <cfRule type="expression" dxfId="159" priority="161" stopIfTrue="1">
      <formula>C10&lt;0.25</formula>
    </cfRule>
    <cfRule type="expression" dxfId="158" priority="162" stopIfTrue="1">
      <formula>C10&lt;0.5</formula>
    </cfRule>
    <cfRule type="expression" dxfId="157" priority="163" stopIfTrue="1">
      <formula>C10&lt;0.75</formula>
    </cfRule>
    <cfRule type="expression" dxfId="156" priority="164">
      <formula>C10&gt;=0.75</formula>
    </cfRule>
  </conditionalFormatting>
  <conditionalFormatting sqref="E10">
    <cfRule type="expression" dxfId="155" priority="157" stopIfTrue="1">
      <formula>E10&lt;0.25</formula>
    </cfRule>
    <cfRule type="expression" dxfId="154" priority="158" stopIfTrue="1">
      <formula>E10&lt;0.5</formula>
    </cfRule>
    <cfRule type="expression" dxfId="153" priority="159" stopIfTrue="1">
      <formula>E10&lt;0.75</formula>
    </cfRule>
    <cfRule type="expression" dxfId="152" priority="160">
      <formula>E10&gt;=0.75</formula>
    </cfRule>
  </conditionalFormatting>
  <conditionalFormatting sqref="G10">
    <cfRule type="expression" dxfId="151" priority="153" stopIfTrue="1">
      <formula>G10&lt;0.25</formula>
    </cfRule>
    <cfRule type="expression" dxfId="150" priority="154" stopIfTrue="1">
      <formula>G10&lt;0.5</formula>
    </cfRule>
    <cfRule type="expression" dxfId="149" priority="155" stopIfTrue="1">
      <formula>G10&lt;0.75</formula>
    </cfRule>
    <cfRule type="expression" dxfId="148" priority="156">
      <formula>G10&gt;=0.75</formula>
    </cfRule>
  </conditionalFormatting>
  <conditionalFormatting sqref="I10">
    <cfRule type="expression" dxfId="147" priority="149" stopIfTrue="1">
      <formula>I10&lt;0.25</formula>
    </cfRule>
    <cfRule type="expression" dxfId="146" priority="150" stopIfTrue="1">
      <formula>I10&lt;0.5</formula>
    </cfRule>
    <cfRule type="expression" dxfId="145" priority="151" stopIfTrue="1">
      <formula>I10&lt;0.75</formula>
    </cfRule>
    <cfRule type="expression" dxfId="144" priority="152">
      <formula>I10&gt;=0.75</formula>
    </cfRule>
  </conditionalFormatting>
  <conditionalFormatting sqref="C12:C14">
    <cfRule type="expression" dxfId="143" priority="145" stopIfTrue="1">
      <formula>C12&lt;0.25</formula>
    </cfRule>
    <cfRule type="expression" dxfId="142" priority="146" stopIfTrue="1">
      <formula>C12&lt;0.5</formula>
    </cfRule>
    <cfRule type="expression" dxfId="141" priority="147" stopIfTrue="1">
      <formula>C12&lt;0.75</formula>
    </cfRule>
    <cfRule type="expression" dxfId="140" priority="148">
      <formula>C12&gt;=0.75</formula>
    </cfRule>
  </conditionalFormatting>
  <conditionalFormatting sqref="E12:E14">
    <cfRule type="expression" dxfId="139" priority="141" stopIfTrue="1">
      <formula>E12&lt;0.25</formula>
    </cfRule>
    <cfRule type="expression" dxfId="138" priority="142" stopIfTrue="1">
      <formula>E12&lt;0.5</formula>
    </cfRule>
    <cfRule type="expression" dxfId="137" priority="143" stopIfTrue="1">
      <formula>E12&lt;0.75</formula>
    </cfRule>
    <cfRule type="expression" dxfId="136" priority="144">
      <formula>E12&gt;=0.75</formula>
    </cfRule>
  </conditionalFormatting>
  <conditionalFormatting sqref="G12:G14">
    <cfRule type="expression" dxfId="135" priority="137" stopIfTrue="1">
      <formula>G12&lt;0.25</formula>
    </cfRule>
    <cfRule type="expression" dxfId="134" priority="138" stopIfTrue="1">
      <formula>G12&lt;0.5</formula>
    </cfRule>
    <cfRule type="expression" dxfId="133" priority="139" stopIfTrue="1">
      <formula>G12&lt;0.75</formula>
    </cfRule>
    <cfRule type="expression" dxfId="132" priority="140">
      <formula>G12&gt;=0.75</formula>
    </cfRule>
  </conditionalFormatting>
  <conditionalFormatting sqref="I12:I14">
    <cfRule type="expression" dxfId="131" priority="133" stopIfTrue="1">
      <formula>I12&lt;0.25</formula>
    </cfRule>
    <cfRule type="expression" dxfId="130" priority="134" stopIfTrue="1">
      <formula>I12&lt;0.5</formula>
    </cfRule>
    <cfRule type="expression" dxfId="129" priority="135" stopIfTrue="1">
      <formula>I12&lt;0.75</formula>
    </cfRule>
    <cfRule type="expression" dxfId="128" priority="136">
      <formula>I12&gt;=0.75</formula>
    </cfRule>
  </conditionalFormatting>
  <conditionalFormatting sqref="C16">
    <cfRule type="expression" dxfId="127" priority="129" stopIfTrue="1">
      <formula>C16&lt;0.25</formula>
    </cfRule>
    <cfRule type="expression" dxfId="126" priority="130" stopIfTrue="1">
      <formula>C16&lt;0.5</formula>
    </cfRule>
    <cfRule type="expression" dxfId="125" priority="131" stopIfTrue="1">
      <formula>C16&lt;0.75</formula>
    </cfRule>
    <cfRule type="expression" dxfId="124" priority="132">
      <formula>C16&gt;=0.75</formula>
    </cfRule>
  </conditionalFormatting>
  <conditionalFormatting sqref="E16">
    <cfRule type="expression" dxfId="123" priority="125" stopIfTrue="1">
      <formula>E16&lt;0.25</formula>
    </cfRule>
    <cfRule type="expression" dxfId="122" priority="126" stopIfTrue="1">
      <formula>E16&lt;0.5</formula>
    </cfRule>
    <cfRule type="expression" dxfId="121" priority="127" stopIfTrue="1">
      <formula>E16&lt;0.75</formula>
    </cfRule>
    <cfRule type="expression" dxfId="120" priority="128">
      <formula>E16&gt;=0.75</formula>
    </cfRule>
  </conditionalFormatting>
  <conditionalFormatting sqref="G16">
    <cfRule type="expression" dxfId="119" priority="121" stopIfTrue="1">
      <formula>G16&lt;0.25</formula>
    </cfRule>
    <cfRule type="expression" dxfId="118" priority="122" stopIfTrue="1">
      <formula>G16&lt;0.5</formula>
    </cfRule>
    <cfRule type="expression" dxfId="117" priority="123" stopIfTrue="1">
      <formula>G16&lt;0.75</formula>
    </cfRule>
    <cfRule type="expression" dxfId="116" priority="124">
      <formula>G16&gt;=0.75</formula>
    </cfRule>
  </conditionalFormatting>
  <conditionalFormatting sqref="I16">
    <cfRule type="expression" dxfId="115" priority="117" stopIfTrue="1">
      <formula>I16&lt;0.25</formula>
    </cfRule>
    <cfRule type="expression" dxfId="114" priority="118" stopIfTrue="1">
      <formula>I16&lt;0.5</formula>
    </cfRule>
    <cfRule type="expression" dxfId="113" priority="119" stopIfTrue="1">
      <formula>I16&lt;0.75</formula>
    </cfRule>
    <cfRule type="expression" dxfId="112" priority="120">
      <formula>I16&gt;=0.75</formula>
    </cfRule>
  </conditionalFormatting>
  <conditionalFormatting sqref="C18:C21">
    <cfRule type="expression" dxfId="111" priority="113" stopIfTrue="1">
      <formula>C18&lt;0.25</formula>
    </cfRule>
    <cfRule type="expression" dxfId="110" priority="114" stopIfTrue="1">
      <formula>C18&lt;0.5</formula>
    </cfRule>
    <cfRule type="expression" dxfId="109" priority="115" stopIfTrue="1">
      <formula>C18&lt;0.75</formula>
    </cfRule>
    <cfRule type="expression" dxfId="108" priority="116">
      <formula>C18&gt;=0.75</formula>
    </cfRule>
  </conditionalFormatting>
  <conditionalFormatting sqref="E18:E21">
    <cfRule type="expression" dxfId="107" priority="109" stopIfTrue="1">
      <formula>E18&lt;0.25</formula>
    </cfRule>
    <cfRule type="expression" dxfId="106" priority="110" stopIfTrue="1">
      <formula>E18&lt;0.5</formula>
    </cfRule>
    <cfRule type="expression" dxfId="105" priority="111" stopIfTrue="1">
      <formula>E18&lt;0.75</formula>
    </cfRule>
    <cfRule type="expression" dxfId="104" priority="112">
      <formula>E18&gt;=0.75</formula>
    </cfRule>
  </conditionalFormatting>
  <conditionalFormatting sqref="G18:G21">
    <cfRule type="expression" dxfId="103" priority="105" stopIfTrue="1">
      <formula>G18&lt;0.25</formula>
    </cfRule>
    <cfRule type="expression" dxfId="102" priority="106" stopIfTrue="1">
      <formula>G18&lt;0.5</formula>
    </cfRule>
    <cfRule type="expression" dxfId="101" priority="107" stopIfTrue="1">
      <formula>G18&lt;0.75</formula>
    </cfRule>
    <cfRule type="expression" dxfId="100" priority="108">
      <formula>G18&gt;=0.75</formula>
    </cfRule>
  </conditionalFormatting>
  <conditionalFormatting sqref="I18:I21">
    <cfRule type="expression" dxfId="99" priority="101" stopIfTrue="1">
      <formula>I18&lt;0.25</formula>
    </cfRule>
    <cfRule type="expression" dxfId="98" priority="102" stopIfTrue="1">
      <formula>I18&lt;0.5</formula>
    </cfRule>
    <cfRule type="expression" dxfId="97" priority="103" stopIfTrue="1">
      <formula>I18&lt;0.75</formula>
    </cfRule>
    <cfRule type="expression" dxfId="96" priority="104">
      <formula>I18&gt;=0.75</formula>
    </cfRule>
  </conditionalFormatting>
  <conditionalFormatting sqref="C23">
    <cfRule type="expression" dxfId="95" priority="97" stopIfTrue="1">
      <formula>C23&lt;0.25</formula>
    </cfRule>
    <cfRule type="expression" dxfId="94" priority="98" stopIfTrue="1">
      <formula>C23&lt;0.5</formula>
    </cfRule>
    <cfRule type="expression" dxfId="93" priority="99" stopIfTrue="1">
      <formula>C23&lt;0.75</formula>
    </cfRule>
    <cfRule type="expression" dxfId="92" priority="100">
      <formula>C23&gt;=0.75</formula>
    </cfRule>
  </conditionalFormatting>
  <conditionalFormatting sqref="E23">
    <cfRule type="expression" dxfId="91" priority="93" stopIfTrue="1">
      <formula>E23&lt;0.25</formula>
    </cfRule>
    <cfRule type="expression" dxfId="90" priority="94" stopIfTrue="1">
      <formula>E23&lt;0.5</formula>
    </cfRule>
    <cfRule type="expression" dxfId="89" priority="95" stopIfTrue="1">
      <formula>E23&lt;0.75</formula>
    </cfRule>
    <cfRule type="expression" dxfId="88" priority="96">
      <formula>E23&gt;=0.75</formula>
    </cfRule>
  </conditionalFormatting>
  <conditionalFormatting sqref="G23">
    <cfRule type="expression" dxfId="87" priority="89" stopIfTrue="1">
      <formula>G23&lt;0.25</formula>
    </cfRule>
    <cfRule type="expression" dxfId="86" priority="90" stopIfTrue="1">
      <formula>G23&lt;0.5</formula>
    </cfRule>
    <cfRule type="expression" dxfId="85" priority="91" stopIfTrue="1">
      <formula>G23&lt;0.75</formula>
    </cfRule>
    <cfRule type="expression" dxfId="84" priority="92">
      <formula>G23&gt;=0.75</formula>
    </cfRule>
  </conditionalFormatting>
  <conditionalFormatting sqref="I23">
    <cfRule type="expression" dxfId="83" priority="85" stopIfTrue="1">
      <formula>I23&lt;0.25</formula>
    </cfRule>
    <cfRule type="expression" dxfId="82" priority="86" stopIfTrue="1">
      <formula>I23&lt;0.5</formula>
    </cfRule>
    <cfRule type="expression" dxfId="81" priority="87" stopIfTrue="1">
      <formula>I23&lt;0.75</formula>
    </cfRule>
    <cfRule type="expression" dxfId="80" priority="88">
      <formula>I23&gt;=0.75</formula>
    </cfRule>
  </conditionalFormatting>
  <conditionalFormatting sqref="C25:C27">
    <cfRule type="expression" dxfId="79" priority="81" stopIfTrue="1">
      <formula>C25&lt;0.25</formula>
    </cfRule>
    <cfRule type="expression" dxfId="78" priority="82" stopIfTrue="1">
      <formula>C25&lt;0.5</formula>
    </cfRule>
    <cfRule type="expression" dxfId="77" priority="83" stopIfTrue="1">
      <formula>C25&lt;0.75</formula>
    </cfRule>
    <cfRule type="expression" dxfId="76" priority="84">
      <formula>C25&gt;=0.75</formula>
    </cfRule>
  </conditionalFormatting>
  <conditionalFormatting sqref="E25:E27">
    <cfRule type="expression" dxfId="75" priority="77" stopIfTrue="1">
      <formula>E25&lt;0.25</formula>
    </cfRule>
    <cfRule type="expression" dxfId="74" priority="78" stopIfTrue="1">
      <formula>E25&lt;0.5</formula>
    </cfRule>
    <cfRule type="expression" dxfId="73" priority="79" stopIfTrue="1">
      <formula>E25&lt;0.75</formula>
    </cfRule>
    <cfRule type="expression" dxfId="72" priority="80">
      <formula>E25&gt;=0.75</formula>
    </cfRule>
  </conditionalFormatting>
  <conditionalFormatting sqref="G25:G27">
    <cfRule type="expression" dxfId="71" priority="73" stopIfTrue="1">
      <formula>G25&lt;0.25</formula>
    </cfRule>
    <cfRule type="expression" dxfId="70" priority="74" stopIfTrue="1">
      <formula>G25&lt;0.5</formula>
    </cfRule>
    <cfRule type="expression" dxfId="69" priority="75" stopIfTrue="1">
      <formula>G25&lt;0.75</formula>
    </cfRule>
    <cfRule type="expression" dxfId="68" priority="76">
      <formula>G25&gt;=0.75</formula>
    </cfRule>
  </conditionalFormatting>
  <conditionalFormatting sqref="I25:I27">
    <cfRule type="expression" dxfId="67" priority="69" stopIfTrue="1">
      <formula>I25&lt;0.25</formula>
    </cfRule>
    <cfRule type="expression" dxfId="66" priority="70" stopIfTrue="1">
      <formula>I25&lt;0.5</formula>
    </cfRule>
    <cfRule type="expression" dxfId="65" priority="71" stopIfTrue="1">
      <formula>I25&lt;0.75</formula>
    </cfRule>
    <cfRule type="expression" dxfId="64" priority="72">
      <formula>I25&gt;=0.75</formula>
    </cfRule>
  </conditionalFormatting>
  <conditionalFormatting sqref="C29">
    <cfRule type="expression" dxfId="63" priority="65" stopIfTrue="1">
      <formula>C29&lt;0.25</formula>
    </cfRule>
    <cfRule type="expression" dxfId="62" priority="66" stopIfTrue="1">
      <formula>C29&lt;0.5</formula>
    </cfRule>
    <cfRule type="expression" dxfId="61" priority="67" stopIfTrue="1">
      <formula>C29&lt;0.75</formula>
    </cfRule>
    <cfRule type="expression" dxfId="60" priority="68">
      <formula>C29&gt;=0.75</formula>
    </cfRule>
  </conditionalFormatting>
  <conditionalFormatting sqref="E29">
    <cfRule type="expression" dxfId="59" priority="61" stopIfTrue="1">
      <formula>E29&lt;0.25</formula>
    </cfRule>
    <cfRule type="expression" dxfId="58" priority="62" stopIfTrue="1">
      <formula>E29&lt;0.5</formula>
    </cfRule>
    <cfRule type="expression" dxfId="57" priority="63" stopIfTrue="1">
      <formula>E29&lt;0.75</formula>
    </cfRule>
    <cfRule type="expression" dxfId="56" priority="64">
      <formula>E29&gt;=0.75</formula>
    </cfRule>
  </conditionalFormatting>
  <conditionalFormatting sqref="G29">
    <cfRule type="expression" dxfId="55" priority="57" stopIfTrue="1">
      <formula>G29&lt;0.25</formula>
    </cfRule>
    <cfRule type="expression" dxfId="54" priority="58" stopIfTrue="1">
      <formula>G29&lt;0.5</formula>
    </cfRule>
    <cfRule type="expression" dxfId="53" priority="59" stopIfTrue="1">
      <formula>G29&lt;0.75</formula>
    </cfRule>
    <cfRule type="expression" dxfId="52" priority="60">
      <formula>G29&gt;=0.75</formula>
    </cfRule>
  </conditionalFormatting>
  <conditionalFormatting sqref="I29">
    <cfRule type="expression" dxfId="51" priority="53" stopIfTrue="1">
      <formula>I29&lt;0.25</formula>
    </cfRule>
    <cfRule type="expression" dxfId="50" priority="54" stopIfTrue="1">
      <formula>I29&lt;0.5</formula>
    </cfRule>
    <cfRule type="expression" dxfId="49" priority="55" stopIfTrue="1">
      <formula>I29&lt;0.75</formula>
    </cfRule>
    <cfRule type="expression" dxfId="48" priority="56">
      <formula>I29&gt;=0.75</formula>
    </cfRule>
  </conditionalFormatting>
  <conditionalFormatting sqref="C31:C33">
    <cfRule type="expression" dxfId="47" priority="49" stopIfTrue="1">
      <formula>C31&lt;0.25</formula>
    </cfRule>
    <cfRule type="expression" dxfId="46" priority="50" stopIfTrue="1">
      <formula>C31&lt;0.5</formula>
    </cfRule>
    <cfRule type="expression" dxfId="45" priority="51" stopIfTrue="1">
      <formula>C31&lt;0.75</formula>
    </cfRule>
    <cfRule type="expression" dxfId="44" priority="52">
      <formula>C31&gt;=0.75</formula>
    </cfRule>
  </conditionalFormatting>
  <conditionalFormatting sqref="E31:E33">
    <cfRule type="expression" dxfId="43" priority="45" stopIfTrue="1">
      <formula>E31&lt;0.25</formula>
    </cfRule>
    <cfRule type="expression" dxfId="42" priority="46" stopIfTrue="1">
      <formula>E31&lt;0.5</formula>
    </cfRule>
    <cfRule type="expression" dxfId="41" priority="47" stopIfTrue="1">
      <formula>E31&lt;0.75</formula>
    </cfRule>
    <cfRule type="expression" dxfId="40" priority="48">
      <formula>E31&gt;=0.75</formula>
    </cfRule>
  </conditionalFormatting>
  <conditionalFormatting sqref="G31:G33">
    <cfRule type="expression" dxfId="39" priority="41" stopIfTrue="1">
      <formula>G31&lt;0.25</formula>
    </cfRule>
    <cfRule type="expression" dxfId="38" priority="42" stopIfTrue="1">
      <formula>G31&lt;0.5</formula>
    </cfRule>
    <cfRule type="expression" dxfId="37" priority="43" stopIfTrue="1">
      <formula>G31&lt;0.75</formula>
    </cfRule>
    <cfRule type="expression" dxfId="36" priority="44">
      <formula>G31&gt;=0.75</formula>
    </cfRule>
  </conditionalFormatting>
  <conditionalFormatting sqref="I31:I33">
    <cfRule type="expression" dxfId="35" priority="37" stopIfTrue="1">
      <formula>I31&lt;0.25</formula>
    </cfRule>
    <cfRule type="expression" dxfId="34" priority="38" stopIfTrue="1">
      <formula>I31&lt;0.5</formula>
    </cfRule>
    <cfRule type="expression" dxfId="33" priority="39" stopIfTrue="1">
      <formula>I31&lt;0.75</formula>
    </cfRule>
    <cfRule type="expression" dxfId="32" priority="40">
      <formula>I31&gt;=0.75</formula>
    </cfRule>
  </conditionalFormatting>
  <conditionalFormatting sqref="C35">
    <cfRule type="expression" dxfId="31" priority="33" stopIfTrue="1">
      <formula>C35&lt;0.25</formula>
    </cfRule>
    <cfRule type="expression" dxfId="30" priority="34" stopIfTrue="1">
      <formula>C35&lt;0.5</formula>
    </cfRule>
    <cfRule type="expression" dxfId="29" priority="35" stopIfTrue="1">
      <formula>C35&lt;0.75</formula>
    </cfRule>
    <cfRule type="expression" dxfId="28" priority="36">
      <formula>C35&gt;=0.75</formula>
    </cfRule>
  </conditionalFormatting>
  <conditionalFormatting sqref="E35">
    <cfRule type="expression" dxfId="27" priority="29" stopIfTrue="1">
      <formula>E35&lt;0.25</formula>
    </cfRule>
    <cfRule type="expression" dxfId="26" priority="30" stopIfTrue="1">
      <formula>E35&lt;0.5</formula>
    </cfRule>
    <cfRule type="expression" dxfId="25" priority="31" stopIfTrue="1">
      <formula>E35&lt;0.75</formula>
    </cfRule>
    <cfRule type="expression" dxfId="24" priority="32">
      <formula>E35&gt;=0.75</formula>
    </cfRule>
  </conditionalFormatting>
  <conditionalFormatting sqref="G35">
    <cfRule type="expression" dxfId="23" priority="25" stopIfTrue="1">
      <formula>G35&lt;0.25</formula>
    </cfRule>
    <cfRule type="expression" dxfId="22" priority="26" stopIfTrue="1">
      <formula>G35&lt;0.5</formula>
    </cfRule>
    <cfRule type="expression" dxfId="21" priority="27" stopIfTrue="1">
      <formula>G35&lt;0.75</formula>
    </cfRule>
    <cfRule type="expression" dxfId="20" priority="28">
      <formula>G35&gt;=0.75</formula>
    </cfRule>
  </conditionalFormatting>
  <conditionalFormatting sqref="I35">
    <cfRule type="expression" dxfId="19" priority="21" stopIfTrue="1">
      <formula>I35&lt;0.25</formula>
    </cfRule>
    <cfRule type="expression" dxfId="18" priority="22" stopIfTrue="1">
      <formula>I35&lt;0.5</formula>
    </cfRule>
    <cfRule type="expression" dxfId="17" priority="23" stopIfTrue="1">
      <formula>I35&lt;0.75</formula>
    </cfRule>
    <cfRule type="expression" dxfId="16" priority="24">
      <formula>I35&gt;=0.75</formula>
    </cfRule>
  </conditionalFormatting>
  <conditionalFormatting sqref="C37:C39">
    <cfRule type="expression" dxfId="15" priority="17" stopIfTrue="1">
      <formula>C37&lt;0.25</formula>
    </cfRule>
    <cfRule type="expression" dxfId="14" priority="18" stopIfTrue="1">
      <formula>C37&lt;0.5</formula>
    </cfRule>
    <cfRule type="expression" dxfId="13" priority="19" stopIfTrue="1">
      <formula>C37&lt;0.75</formula>
    </cfRule>
    <cfRule type="expression" dxfId="12" priority="20">
      <formula>C37&gt;=0.75</formula>
    </cfRule>
  </conditionalFormatting>
  <conditionalFormatting sqref="E37:E39">
    <cfRule type="expression" dxfId="11" priority="13" stopIfTrue="1">
      <formula>E37&lt;0.25</formula>
    </cfRule>
    <cfRule type="expression" dxfId="10" priority="14" stopIfTrue="1">
      <formula>E37&lt;0.5</formula>
    </cfRule>
    <cfRule type="expression" dxfId="9" priority="15" stopIfTrue="1">
      <formula>E37&lt;0.75</formula>
    </cfRule>
    <cfRule type="expression" dxfId="8" priority="16">
      <formula>E37&gt;=0.75</formula>
    </cfRule>
  </conditionalFormatting>
  <conditionalFormatting sqref="G37:G39">
    <cfRule type="expression" dxfId="7" priority="9" stopIfTrue="1">
      <formula>G37&lt;0.25</formula>
    </cfRule>
    <cfRule type="expression" dxfId="6" priority="10" stopIfTrue="1">
      <formula>G37&lt;0.5</formula>
    </cfRule>
    <cfRule type="expression" dxfId="5" priority="11" stopIfTrue="1">
      <formula>G37&lt;0.75</formula>
    </cfRule>
    <cfRule type="expression" dxfId="4" priority="12">
      <formula>G37&gt;=0.75</formula>
    </cfRule>
  </conditionalFormatting>
  <conditionalFormatting sqref="I37:I39">
    <cfRule type="expression" dxfId="3" priority="5" stopIfTrue="1">
      <formula>I37&lt;0.25</formula>
    </cfRule>
    <cfRule type="expression" dxfId="2" priority="6" stopIfTrue="1">
      <formula>I37&lt;0.5</formula>
    </cfRule>
    <cfRule type="expression" dxfId="1" priority="7" stopIfTrue="1">
      <formula>I37&lt;0.75</formula>
    </cfRule>
    <cfRule type="expression" dxfId="0" priority="8">
      <formula>I37&gt;=0.75</formula>
    </cfRule>
  </conditionalFormatting>
  <pageMargins left="0.7" right="0.7" top="0.75" bottom="0.75" header="0.3" footer="0.3"/>
  <pageSetup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iconSet" priority="4" id="{88384B4D-00F4-472C-840B-7C600949582F}">
            <x14:iconSet iconSet="3Signs" custom="1">
              <x14:cfvo type="percent">
                <xm:f>0</xm:f>
              </x14:cfvo>
              <x14:cfvo type="num">
                <xm:f>1</xm:f>
              </x14:cfvo>
              <x14:cfvo type="num">
                <xm:f>1</xm:f>
              </x14:cfvo>
              <x14:cfIcon iconSet="NoIcons" iconId="0"/>
              <x14:cfIcon iconSet="3Signs" iconId="0"/>
              <x14:cfIcon iconSet="3Signs" iconId="0"/>
            </x14:iconSet>
          </x14:cfRule>
          <xm:sqref>L2</xm:sqref>
        </x14:conditionalFormatting>
        <x14:conditionalFormatting xmlns:xm="http://schemas.microsoft.com/office/excel/2006/main">
          <x14:cfRule type="iconSet" priority="3" id="{38D3FC4C-37D5-4F40-8C8B-E6D330380C74}">
            <x14:iconSet iconSet="3Signs" custom="1">
              <x14:cfvo type="percent">
                <xm:f>0</xm:f>
              </x14:cfvo>
              <x14:cfvo type="num">
                <xm:f>1</xm:f>
              </x14:cfvo>
              <x14:cfvo type="num">
                <xm:f>1</xm:f>
              </x14:cfvo>
              <x14:cfIcon iconSet="NoIcons" iconId="0"/>
              <x14:cfIcon iconSet="3Signs" iconId="1"/>
              <x14:cfIcon iconSet="3Signs" iconId="1"/>
            </x14:iconSet>
          </x14:cfRule>
          <xm:sqref>N2</xm:sqref>
        </x14:conditionalFormatting>
        <x14:conditionalFormatting xmlns:xm="http://schemas.microsoft.com/office/excel/2006/main">
          <x14:cfRule type="iconSet" priority="2" id="{448AE450-BB98-4123-92DC-FA44A8804627}">
            <x14:iconSet iconSet="3Signs" custom="1">
              <x14:cfvo type="percent">
                <xm:f>0</xm:f>
              </x14:cfvo>
              <x14:cfvo type="num">
                <xm:f>1</xm:f>
              </x14:cfvo>
              <x14:cfvo type="num">
                <xm:f>1</xm:f>
              </x14:cfvo>
              <x14:cfIcon iconSet="NoIcons" iconId="0"/>
              <x14:cfIcon iconSet="3Signs" iconId="0"/>
              <x14:cfIcon iconSet="3Signs" iconId="0"/>
            </x14:iconSet>
          </x14:cfRule>
          <xm:sqref>L4 L6:L8 L10 L12:L14 L16 L18:L21 L23 L25:L27 L29 L31:L33 L35 L37:L39</xm:sqref>
        </x14:conditionalFormatting>
        <x14:conditionalFormatting xmlns:xm="http://schemas.microsoft.com/office/excel/2006/main">
          <x14:cfRule type="iconSet" priority="1" id="{71A87F62-AFD9-426A-92E9-517793B49860}">
            <x14:iconSet iconSet="3Signs" custom="1">
              <x14:cfvo type="percent">
                <xm:f>0</xm:f>
              </x14:cfvo>
              <x14:cfvo type="num">
                <xm:f>1</xm:f>
              </x14:cfvo>
              <x14:cfvo type="num">
                <xm:f>1</xm:f>
              </x14:cfvo>
              <x14:cfIcon iconSet="NoIcons" iconId="0"/>
              <x14:cfIcon iconSet="3Signs" iconId="1"/>
              <x14:cfIcon iconSet="3Signs" iconId="1"/>
            </x14:iconSet>
          </x14:cfRule>
          <xm:sqref>N4 N6:N8 N10 N12:N14 N16 N18:N21 N23 N25:N27 N29 N31:N33 N35 N37:N39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R24"/>
  <sheetViews>
    <sheetView workbookViewId="0"/>
  </sheetViews>
  <sheetFormatPr baseColWidth="10" defaultColWidth="8.83203125" defaultRowHeight="15"/>
  <sheetData>
    <row r="1" spans="1:18" ht="19">
      <c r="A1" s="38" t="s">
        <v>146</v>
      </c>
    </row>
    <row r="2" spans="1:18">
      <c r="A2" t="s">
        <v>143</v>
      </c>
    </row>
    <row r="3" spans="1:18">
      <c r="A3" t="s">
        <v>144</v>
      </c>
    </row>
    <row r="4" spans="1:18">
      <c r="A4" t="s">
        <v>150</v>
      </c>
    </row>
    <row r="5" spans="1:18">
      <c r="A5" s="37" t="s">
        <v>151</v>
      </c>
    </row>
    <row r="6" spans="1:18">
      <c r="A6" s="37" t="s">
        <v>153</v>
      </c>
    </row>
    <row r="7" spans="1:18">
      <c r="A7" s="37" t="s">
        <v>152</v>
      </c>
    </row>
    <row r="8" spans="1:18">
      <c r="A8" s="36" t="s">
        <v>145</v>
      </c>
    </row>
    <row r="9" spans="1:18" ht="72" customHeight="1">
      <c r="A9" s="653" t="s">
        <v>382</v>
      </c>
      <c r="B9" s="654"/>
      <c r="C9" s="654"/>
      <c r="D9" s="654"/>
      <c r="E9" s="654"/>
      <c r="F9" s="654"/>
      <c r="G9" s="654"/>
      <c r="H9" s="654"/>
      <c r="I9" s="654"/>
      <c r="J9" s="654"/>
      <c r="K9" s="654"/>
      <c r="L9" s="654"/>
      <c r="M9" s="654"/>
      <c r="N9" s="654"/>
      <c r="O9" s="654"/>
      <c r="P9" s="654"/>
      <c r="Q9" s="654"/>
      <c r="R9" s="654"/>
    </row>
    <row r="10" spans="1:18">
      <c r="A10" s="39" t="s">
        <v>155</v>
      </c>
    </row>
    <row r="11" spans="1:18">
      <c r="A11" s="39" t="s">
        <v>158</v>
      </c>
    </row>
    <row r="13" spans="1:18" ht="19">
      <c r="A13" s="38" t="s">
        <v>147</v>
      </c>
    </row>
    <row r="14" spans="1:18">
      <c r="A14" t="s">
        <v>154</v>
      </c>
    </row>
    <row r="15" spans="1:18">
      <c r="A15" t="s">
        <v>156</v>
      </c>
    </row>
    <row r="17" spans="1:18" ht="19">
      <c r="A17" s="38" t="s">
        <v>148</v>
      </c>
    </row>
    <row r="18" spans="1:18">
      <c r="A18" t="s">
        <v>157</v>
      </c>
    </row>
    <row r="19" spans="1:18">
      <c r="A19" t="s">
        <v>381</v>
      </c>
    </row>
    <row r="21" spans="1:18" ht="19">
      <c r="A21" s="38" t="s">
        <v>149</v>
      </c>
    </row>
    <row r="22" spans="1:18">
      <c r="A22" t="s">
        <v>159</v>
      </c>
    </row>
    <row r="24" spans="1:18" ht="72" customHeight="1">
      <c r="A24" s="653" t="s">
        <v>382</v>
      </c>
      <c r="B24" s="654"/>
      <c r="C24" s="654"/>
      <c r="D24" s="654"/>
      <c r="E24" s="654"/>
      <c r="F24" s="654"/>
      <c r="G24" s="654"/>
      <c r="H24" s="654"/>
      <c r="I24" s="654"/>
      <c r="J24" s="654"/>
      <c r="K24" s="654"/>
      <c r="L24" s="654"/>
      <c r="M24" s="654"/>
      <c r="N24" s="654"/>
      <c r="O24" s="654"/>
      <c r="P24" s="654"/>
      <c r="Q24" s="654"/>
      <c r="R24" s="654"/>
    </row>
  </sheetData>
  <mergeCells count="2">
    <mergeCell ref="A9:R9"/>
    <mergeCell ref="A24:R24"/>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8DC1D-E920-4D46-8695-27504AF70F42}">
  <sheetPr codeName="Sheet6"/>
  <dimension ref="A1:Z35"/>
  <sheetViews>
    <sheetView workbookViewId="0">
      <selection activeCell="H16" sqref="H16:L16"/>
    </sheetView>
  </sheetViews>
  <sheetFormatPr baseColWidth="10" defaultColWidth="11" defaultRowHeight="15"/>
  <cols>
    <col min="1" max="11" width="11" style="176"/>
    <col min="12" max="12" width="7.5" style="176" customWidth="1"/>
    <col min="13" max="13" width="2.1640625" style="176" customWidth="1"/>
    <col min="14" max="14" width="3" style="176" customWidth="1"/>
    <col min="15" max="15" width="2.1640625" style="176" customWidth="1"/>
    <col min="16" max="16" width="11" style="176"/>
    <col min="17" max="17" width="10.1640625" style="176" customWidth="1"/>
    <col min="18" max="18" width="5.1640625" style="176" customWidth="1"/>
    <col min="19" max="19" width="11" style="176"/>
    <col min="20" max="20" width="24.1640625" style="176" customWidth="1"/>
    <col min="21" max="21" width="5.5" style="176" customWidth="1"/>
    <col min="22" max="22" width="41.83203125" style="176" customWidth="1"/>
    <col min="23" max="23" width="1.5" style="176" customWidth="1"/>
    <col min="24" max="24" width="1.83203125" style="176" customWidth="1"/>
    <col min="25" max="25" width="2" style="176" customWidth="1"/>
    <col min="26" max="26" width="1.5" style="176" customWidth="1"/>
    <col min="27" max="16384" width="11" style="176"/>
  </cols>
  <sheetData>
    <row r="1" spans="2:26" ht="16" thickBot="1"/>
    <row r="2" spans="2:26" ht="24" thickBot="1">
      <c r="B2" s="177" t="s">
        <v>165</v>
      </c>
      <c r="C2" s="178"/>
      <c r="D2" s="178"/>
      <c r="E2" s="178"/>
      <c r="F2" s="178"/>
      <c r="G2" s="178"/>
      <c r="H2" s="178"/>
      <c r="I2" s="178"/>
      <c r="J2" s="178"/>
      <c r="K2" s="178"/>
      <c r="L2" s="179"/>
      <c r="M2" s="180"/>
      <c r="N2" s="180"/>
      <c r="O2" s="180"/>
      <c r="P2" s="528" t="s">
        <v>357</v>
      </c>
      <c r="Q2" s="529"/>
      <c r="R2" s="529"/>
      <c r="S2" s="529"/>
      <c r="T2" s="530"/>
      <c r="V2" s="431" t="s">
        <v>182</v>
      </c>
      <c r="W2" s="178"/>
      <c r="X2" s="178"/>
      <c r="Y2" s="178"/>
      <c r="Z2" s="179"/>
    </row>
    <row r="3" spans="2:26" ht="20" customHeight="1">
      <c r="B3" s="181" t="s">
        <v>632</v>
      </c>
      <c r="C3" s="182"/>
      <c r="D3" s="182"/>
      <c r="E3" s="182"/>
      <c r="F3" s="182"/>
      <c r="G3" s="182"/>
      <c r="H3" s="182"/>
      <c r="I3" s="182"/>
      <c r="J3" s="182"/>
      <c r="K3" s="182"/>
      <c r="L3" s="183"/>
      <c r="M3" s="180"/>
      <c r="N3" s="180"/>
      <c r="O3" s="180"/>
      <c r="P3" s="531" t="s">
        <v>633</v>
      </c>
      <c r="Q3" s="532"/>
      <c r="R3" s="532"/>
      <c r="S3" s="532"/>
      <c r="T3" s="533"/>
      <c r="V3" s="540" t="s">
        <v>652</v>
      </c>
      <c r="W3" s="541"/>
      <c r="X3" s="541"/>
      <c r="Y3" s="541"/>
      <c r="Z3" s="542"/>
    </row>
    <row r="4" spans="2:26" ht="20" customHeight="1">
      <c r="B4" s="184" t="s">
        <v>348</v>
      </c>
      <c r="C4" s="180"/>
      <c r="D4" s="180"/>
      <c r="E4" s="180"/>
      <c r="F4" s="180"/>
      <c r="G4" s="180"/>
      <c r="H4" s="180"/>
      <c r="I4" s="180"/>
      <c r="J4" s="180"/>
      <c r="K4" s="180"/>
      <c r="L4" s="185"/>
      <c r="M4" s="180"/>
      <c r="N4" s="180"/>
      <c r="O4" s="180"/>
      <c r="P4" s="534"/>
      <c r="Q4" s="535"/>
      <c r="R4" s="535"/>
      <c r="S4" s="535"/>
      <c r="T4" s="536"/>
      <c r="V4" s="543"/>
      <c r="W4" s="544"/>
      <c r="X4" s="544"/>
      <c r="Y4" s="544"/>
      <c r="Z4" s="545"/>
    </row>
    <row r="5" spans="2:26" ht="20">
      <c r="B5" s="184" t="s">
        <v>358</v>
      </c>
      <c r="C5" s="180"/>
      <c r="D5" s="180"/>
      <c r="E5" s="180"/>
      <c r="F5" s="180"/>
      <c r="G5" s="180"/>
      <c r="H5" s="180"/>
      <c r="I5" s="180"/>
      <c r="J5" s="186"/>
      <c r="K5" s="180"/>
      <c r="L5" s="185"/>
      <c r="M5" s="180"/>
      <c r="N5" s="180"/>
      <c r="O5" s="180"/>
      <c r="P5" s="534"/>
      <c r="Q5" s="535"/>
      <c r="R5" s="535"/>
      <c r="S5" s="535"/>
      <c r="T5" s="536"/>
      <c r="V5" s="543"/>
      <c r="W5" s="544"/>
      <c r="X5" s="544"/>
      <c r="Y5" s="544"/>
      <c r="Z5" s="545"/>
    </row>
    <row r="6" spans="2:26" ht="20">
      <c r="B6" s="184" t="s">
        <v>166</v>
      </c>
      <c r="C6" s="180"/>
      <c r="D6" s="180"/>
      <c r="E6" s="180"/>
      <c r="F6" s="180"/>
      <c r="G6" s="180"/>
      <c r="H6" s="180"/>
      <c r="I6" s="180"/>
      <c r="J6" s="180"/>
      <c r="K6" s="180"/>
      <c r="L6" s="185"/>
      <c r="M6" s="180"/>
      <c r="N6" s="180"/>
      <c r="O6" s="180"/>
      <c r="P6" s="534"/>
      <c r="Q6" s="535"/>
      <c r="R6" s="535"/>
      <c r="S6" s="535"/>
      <c r="T6" s="536"/>
      <c r="V6" s="543"/>
      <c r="W6" s="544"/>
      <c r="X6" s="544"/>
      <c r="Y6" s="544"/>
      <c r="Z6" s="545"/>
    </row>
    <row r="7" spans="2:26" ht="20">
      <c r="B7" s="184" t="s">
        <v>634</v>
      </c>
      <c r="C7" s="180"/>
      <c r="D7" s="180"/>
      <c r="E7" s="180"/>
      <c r="F7" s="180"/>
      <c r="G7" s="180"/>
      <c r="H7" s="180"/>
      <c r="I7" s="180"/>
      <c r="J7" s="180"/>
      <c r="K7" s="180"/>
      <c r="L7" s="185"/>
      <c r="M7" s="180"/>
      <c r="N7" s="180"/>
      <c r="O7" s="180"/>
      <c r="P7" s="534"/>
      <c r="Q7" s="535"/>
      <c r="R7" s="535"/>
      <c r="S7" s="535"/>
      <c r="T7" s="536"/>
      <c r="V7" s="543"/>
      <c r="W7" s="544"/>
      <c r="X7" s="544"/>
      <c r="Y7" s="544"/>
      <c r="Z7" s="545"/>
    </row>
    <row r="8" spans="2:26" ht="20">
      <c r="B8" s="184" t="s">
        <v>635</v>
      </c>
      <c r="C8" s="128"/>
      <c r="D8" s="128"/>
      <c r="E8" s="128"/>
      <c r="F8" s="128"/>
      <c r="G8" s="128"/>
      <c r="H8" s="128"/>
      <c r="I8" s="248"/>
      <c r="J8" s="180"/>
      <c r="K8" s="180"/>
      <c r="L8" s="185"/>
      <c r="M8" s="180"/>
      <c r="N8" s="180"/>
      <c r="O8" s="180"/>
      <c r="P8" s="534"/>
      <c r="Q8" s="535"/>
      <c r="R8" s="535"/>
      <c r="S8" s="535"/>
      <c r="T8" s="536"/>
      <c r="V8" s="543"/>
      <c r="W8" s="544"/>
      <c r="X8" s="544"/>
      <c r="Y8" s="544"/>
      <c r="Z8" s="545"/>
    </row>
    <row r="9" spans="2:26" ht="23" customHeight="1">
      <c r="B9" s="249" t="s">
        <v>636</v>
      </c>
      <c r="C9" s="250"/>
      <c r="D9" s="250"/>
      <c r="E9" s="250"/>
      <c r="F9" s="250"/>
      <c r="G9" s="250"/>
      <c r="H9" s="250"/>
      <c r="I9" s="180"/>
      <c r="J9" s="180"/>
      <c r="K9" s="180"/>
      <c r="L9" s="185"/>
      <c r="P9" s="534"/>
      <c r="Q9" s="535"/>
      <c r="R9" s="535"/>
      <c r="S9" s="535"/>
      <c r="T9" s="536"/>
      <c r="V9" s="543"/>
      <c r="W9" s="544"/>
      <c r="X9" s="544"/>
      <c r="Y9" s="544"/>
      <c r="Z9" s="545"/>
    </row>
    <row r="10" spans="2:26" ht="20">
      <c r="B10" s="249" t="s">
        <v>653</v>
      </c>
      <c r="C10" s="250"/>
      <c r="D10" s="250"/>
      <c r="E10" s="250"/>
      <c r="F10" s="250"/>
      <c r="G10" s="250"/>
      <c r="H10" s="250"/>
      <c r="I10" s="250"/>
      <c r="J10" s="250"/>
      <c r="K10" s="180"/>
      <c r="L10" s="185"/>
      <c r="P10" s="534"/>
      <c r="Q10" s="535"/>
      <c r="R10" s="535"/>
      <c r="S10" s="535"/>
      <c r="T10" s="536"/>
      <c r="V10" s="543"/>
      <c r="W10" s="544"/>
      <c r="X10" s="544"/>
      <c r="Y10" s="544"/>
      <c r="Z10" s="545"/>
    </row>
    <row r="11" spans="2:26" ht="21" thickBot="1">
      <c r="B11" s="251" t="s">
        <v>654</v>
      </c>
      <c r="C11" s="252"/>
      <c r="D11" s="252"/>
      <c r="E11" s="252"/>
      <c r="F11" s="252"/>
      <c r="G11" s="252"/>
      <c r="H11" s="252"/>
      <c r="I11" s="252"/>
      <c r="J11" s="252"/>
      <c r="K11" s="252"/>
      <c r="L11" s="253"/>
      <c r="M11" s="187"/>
      <c r="N11" s="187"/>
      <c r="O11" s="187"/>
      <c r="P11" s="537"/>
      <c r="Q11" s="538"/>
      <c r="R11" s="538"/>
      <c r="S11" s="538"/>
      <c r="T11" s="539"/>
      <c r="V11" s="546"/>
      <c r="W11" s="547"/>
      <c r="X11" s="547"/>
      <c r="Y11" s="547"/>
      <c r="Z11" s="548"/>
    </row>
    <row r="13" spans="2:26" ht="16" thickBot="1">
      <c r="J13" s="188"/>
    </row>
    <row r="14" spans="2:26" ht="24" thickBot="1">
      <c r="B14" s="189" t="s">
        <v>172</v>
      </c>
      <c r="C14" s="190"/>
      <c r="D14" s="190"/>
      <c r="E14" s="190"/>
      <c r="F14" s="190"/>
      <c r="G14" s="190"/>
      <c r="H14" s="191" t="s">
        <v>160</v>
      </c>
      <c r="I14" s="190"/>
      <c r="J14" s="190"/>
      <c r="K14" s="190"/>
      <c r="L14" s="192"/>
      <c r="P14" s="549" t="s">
        <v>183</v>
      </c>
      <c r="Q14" s="550"/>
      <c r="R14" s="550"/>
      <c r="S14" s="550"/>
      <c r="T14" s="550"/>
      <c r="U14" s="550"/>
      <c r="V14" s="551"/>
    </row>
    <row r="15" spans="2:26" ht="58" customHeight="1" thickBot="1">
      <c r="B15" s="560" t="s">
        <v>734</v>
      </c>
      <c r="C15" s="561"/>
      <c r="D15" s="561"/>
      <c r="E15" s="561"/>
      <c r="F15" s="561"/>
      <c r="G15" s="562"/>
      <c r="H15" s="554"/>
      <c r="I15" s="555"/>
      <c r="J15" s="555"/>
      <c r="K15" s="555"/>
      <c r="L15" s="556"/>
      <c r="O15" s="180"/>
      <c r="P15" s="557" t="s">
        <v>184</v>
      </c>
      <c r="Q15" s="558"/>
      <c r="R15" s="558"/>
      <c r="S15" s="558"/>
      <c r="T15" s="558"/>
      <c r="U15" s="558"/>
      <c r="V15" s="559"/>
    </row>
    <row r="16" spans="2:26" ht="58" customHeight="1">
      <c r="B16" s="560" t="s">
        <v>735</v>
      </c>
      <c r="C16" s="561"/>
      <c r="D16" s="561"/>
      <c r="E16" s="561"/>
      <c r="F16" s="561"/>
      <c r="G16" s="562"/>
      <c r="H16" s="563"/>
      <c r="I16" s="564"/>
      <c r="J16" s="564"/>
      <c r="K16" s="564"/>
      <c r="L16" s="565"/>
      <c r="P16" s="566" t="s">
        <v>349</v>
      </c>
      <c r="Q16" s="567"/>
      <c r="R16" s="432"/>
      <c r="S16" s="568" t="s">
        <v>168</v>
      </c>
      <c r="T16" s="568"/>
      <c r="U16" s="568"/>
      <c r="V16" s="569"/>
    </row>
    <row r="17" spans="2:22" ht="58" customHeight="1">
      <c r="B17" s="552" t="s">
        <v>733</v>
      </c>
      <c r="C17" s="553"/>
      <c r="D17" s="553"/>
      <c r="E17" s="553"/>
      <c r="F17" s="553"/>
      <c r="G17" s="553"/>
      <c r="H17" s="563"/>
      <c r="I17" s="564"/>
      <c r="J17" s="564"/>
      <c r="K17" s="564"/>
      <c r="L17" s="565"/>
      <c r="P17" s="570" t="s">
        <v>341</v>
      </c>
      <c r="Q17" s="571"/>
      <c r="R17" s="433"/>
      <c r="S17" s="572" t="s">
        <v>637</v>
      </c>
      <c r="T17" s="572"/>
      <c r="U17" s="572"/>
      <c r="V17" s="573"/>
    </row>
    <row r="18" spans="2:22" ht="58" customHeight="1">
      <c r="B18" s="560" t="s">
        <v>738</v>
      </c>
      <c r="C18" s="561"/>
      <c r="D18" s="561"/>
      <c r="E18" s="561"/>
      <c r="F18" s="561"/>
      <c r="G18" s="562"/>
      <c r="H18" s="563"/>
      <c r="I18" s="564"/>
      <c r="J18" s="564"/>
      <c r="K18" s="564"/>
      <c r="L18" s="565"/>
      <c r="P18" s="570" t="s">
        <v>342</v>
      </c>
      <c r="Q18" s="571"/>
      <c r="R18" s="433"/>
      <c r="S18" s="572" t="s">
        <v>638</v>
      </c>
      <c r="T18" s="572"/>
      <c r="U18" s="572"/>
      <c r="V18" s="573"/>
    </row>
    <row r="19" spans="2:22" ht="58" customHeight="1">
      <c r="B19" s="591" t="s">
        <v>736</v>
      </c>
      <c r="C19" s="592"/>
      <c r="D19" s="592"/>
      <c r="E19" s="592"/>
      <c r="F19" s="592"/>
      <c r="G19" s="592"/>
      <c r="H19" s="593"/>
      <c r="I19" s="593"/>
      <c r="J19" s="593"/>
      <c r="K19" s="593"/>
      <c r="L19" s="594"/>
      <c r="P19" s="570" t="s">
        <v>171</v>
      </c>
      <c r="Q19" s="571"/>
      <c r="R19" s="433"/>
      <c r="S19" s="572" t="s">
        <v>169</v>
      </c>
      <c r="T19" s="572"/>
      <c r="U19" s="572"/>
      <c r="V19" s="573"/>
    </row>
    <row r="20" spans="2:22" ht="58" customHeight="1" thickBot="1">
      <c r="B20" s="560" t="s">
        <v>740</v>
      </c>
      <c r="C20" s="561"/>
      <c r="D20" s="561"/>
      <c r="E20" s="561"/>
      <c r="F20" s="561"/>
      <c r="G20" s="562"/>
      <c r="H20" s="574"/>
      <c r="I20" s="575"/>
      <c r="J20" s="575"/>
      <c r="K20" s="575"/>
      <c r="L20" s="576"/>
      <c r="P20" s="570" t="s">
        <v>356</v>
      </c>
      <c r="Q20" s="571"/>
      <c r="R20" s="433"/>
      <c r="S20" s="572" t="s">
        <v>639</v>
      </c>
      <c r="T20" s="572"/>
      <c r="U20" s="572"/>
      <c r="V20" s="573"/>
    </row>
    <row r="21" spans="2:22" ht="58" customHeight="1" thickBot="1">
      <c r="B21" s="560" t="s">
        <v>173</v>
      </c>
      <c r="C21" s="561"/>
      <c r="D21" s="561"/>
      <c r="E21" s="561"/>
      <c r="F21" s="561"/>
      <c r="G21" s="562"/>
      <c r="H21" s="574"/>
      <c r="I21" s="575"/>
      <c r="J21" s="575"/>
      <c r="K21" s="575"/>
      <c r="L21" s="576"/>
      <c r="P21" s="570" t="s">
        <v>355</v>
      </c>
      <c r="Q21" s="571"/>
      <c r="R21" s="433"/>
      <c r="S21" s="572" t="s">
        <v>640</v>
      </c>
      <c r="T21" s="572"/>
      <c r="U21" s="572"/>
      <c r="V21" s="573"/>
    </row>
    <row r="22" spans="2:22" ht="58" customHeight="1">
      <c r="B22" s="560" t="s">
        <v>739</v>
      </c>
      <c r="C22" s="561"/>
      <c r="D22" s="561"/>
      <c r="E22" s="561"/>
      <c r="F22" s="561"/>
      <c r="G22" s="562"/>
      <c r="H22" s="554"/>
      <c r="I22" s="555"/>
      <c r="J22" s="555"/>
      <c r="K22" s="555"/>
      <c r="L22" s="556"/>
      <c r="P22" s="570" t="s">
        <v>641</v>
      </c>
      <c r="Q22" s="571"/>
      <c r="R22" s="433"/>
      <c r="S22" s="572" t="s">
        <v>642</v>
      </c>
      <c r="T22" s="572"/>
      <c r="U22" s="572"/>
      <c r="V22" s="573"/>
    </row>
    <row r="23" spans="2:22" ht="58" customHeight="1">
      <c r="B23" s="560" t="s">
        <v>174</v>
      </c>
      <c r="C23" s="561"/>
      <c r="D23" s="561"/>
      <c r="E23" s="561"/>
      <c r="F23" s="561"/>
      <c r="G23" s="562"/>
      <c r="H23" s="563"/>
      <c r="I23" s="564"/>
      <c r="J23" s="564"/>
      <c r="K23" s="564"/>
      <c r="L23" s="565"/>
      <c r="P23" s="570" t="s">
        <v>351</v>
      </c>
      <c r="Q23" s="571"/>
      <c r="R23" s="433"/>
      <c r="S23" s="572" t="s">
        <v>170</v>
      </c>
      <c r="T23" s="572"/>
      <c r="U23" s="572"/>
      <c r="V23" s="573"/>
    </row>
    <row r="24" spans="2:22" ht="58" customHeight="1">
      <c r="B24" s="560" t="s">
        <v>359</v>
      </c>
      <c r="C24" s="561"/>
      <c r="D24" s="561"/>
      <c r="E24" s="561"/>
      <c r="F24" s="561"/>
      <c r="G24" s="562"/>
      <c r="H24" s="563"/>
      <c r="I24" s="564"/>
      <c r="J24" s="564"/>
      <c r="K24" s="564"/>
      <c r="L24" s="565"/>
      <c r="P24" s="570" t="s">
        <v>350</v>
      </c>
      <c r="Q24" s="571"/>
      <c r="R24" s="433"/>
      <c r="S24" s="572" t="s">
        <v>643</v>
      </c>
      <c r="T24" s="572"/>
      <c r="U24" s="572"/>
      <c r="V24" s="573"/>
    </row>
    <row r="25" spans="2:22" ht="58" customHeight="1">
      <c r="B25" s="560" t="s">
        <v>175</v>
      </c>
      <c r="C25" s="561"/>
      <c r="D25" s="561"/>
      <c r="E25" s="561"/>
      <c r="F25" s="561"/>
      <c r="G25" s="562"/>
      <c r="H25" s="563"/>
      <c r="I25" s="564"/>
      <c r="J25" s="564"/>
      <c r="K25" s="564"/>
      <c r="L25" s="565"/>
      <c r="P25" s="570" t="s">
        <v>644</v>
      </c>
      <c r="Q25" s="571"/>
      <c r="R25" s="433"/>
      <c r="S25" s="572" t="s">
        <v>645</v>
      </c>
      <c r="T25" s="572"/>
      <c r="U25" s="572"/>
      <c r="V25" s="573"/>
    </row>
    <row r="26" spans="2:22" ht="58" customHeight="1">
      <c r="B26" s="560" t="s">
        <v>360</v>
      </c>
      <c r="C26" s="561"/>
      <c r="D26" s="561"/>
      <c r="E26" s="561"/>
      <c r="F26" s="561"/>
      <c r="G26" s="562"/>
      <c r="H26" s="563"/>
      <c r="I26" s="564"/>
      <c r="J26" s="564"/>
      <c r="K26" s="564"/>
      <c r="L26" s="565"/>
      <c r="P26" s="570" t="s">
        <v>346</v>
      </c>
      <c r="Q26" s="571"/>
      <c r="R26" s="433"/>
      <c r="S26" s="572" t="s">
        <v>646</v>
      </c>
      <c r="T26" s="572"/>
      <c r="U26" s="572"/>
      <c r="V26" s="573"/>
    </row>
    <row r="27" spans="2:22" ht="58" customHeight="1">
      <c r="B27" s="577" t="s">
        <v>361</v>
      </c>
      <c r="C27" s="578"/>
      <c r="D27" s="578"/>
      <c r="E27" s="578"/>
      <c r="F27" s="578"/>
      <c r="G27" s="578"/>
      <c r="H27" s="563"/>
      <c r="I27" s="564"/>
      <c r="J27" s="564"/>
      <c r="K27" s="564"/>
      <c r="L27" s="565"/>
      <c r="P27" s="570" t="s">
        <v>352</v>
      </c>
      <c r="Q27" s="571"/>
      <c r="R27" s="433"/>
      <c r="S27" s="572" t="s">
        <v>647</v>
      </c>
      <c r="T27" s="572"/>
      <c r="U27" s="572"/>
      <c r="V27" s="573"/>
    </row>
    <row r="28" spans="2:22" ht="58" customHeight="1" thickBot="1">
      <c r="B28" s="577" t="s">
        <v>176</v>
      </c>
      <c r="C28" s="578"/>
      <c r="D28" s="578"/>
      <c r="E28" s="578"/>
      <c r="F28" s="578"/>
      <c r="G28" s="578"/>
      <c r="H28" s="574"/>
      <c r="I28" s="575"/>
      <c r="J28" s="575"/>
      <c r="K28" s="575"/>
      <c r="L28" s="576"/>
      <c r="P28" s="579" t="s">
        <v>353</v>
      </c>
      <c r="Q28" s="580"/>
      <c r="R28" s="434"/>
      <c r="S28" s="581" t="s">
        <v>648</v>
      </c>
      <c r="T28" s="581"/>
      <c r="U28" s="581"/>
      <c r="V28" s="582"/>
    </row>
    <row r="29" spans="2:22" ht="58" customHeight="1" thickBot="1">
      <c r="B29" s="577" t="s">
        <v>179</v>
      </c>
      <c r="C29" s="578"/>
      <c r="D29" s="578"/>
      <c r="E29" s="578"/>
      <c r="F29" s="578"/>
      <c r="G29" s="578"/>
      <c r="H29" s="574"/>
      <c r="I29" s="575"/>
      <c r="J29" s="575"/>
      <c r="K29" s="575"/>
      <c r="L29" s="576"/>
      <c r="P29" s="579" t="s">
        <v>354</v>
      </c>
      <c r="Q29" s="580"/>
      <c r="R29" s="434"/>
      <c r="S29" s="581" t="s">
        <v>649</v>
      </c>
      <c r="T29" s="581"/>
      <c r="U29" s="581"/>
      <c r="V29" s="582"/>
    </row>
    <row r="30" spans="2:22" ht="54" customHeight="1" thickBot="1">
      <c r="B30" s="552" t="s">
        <v>180</v>
      </c>
      <c r="C30" s="553"/>
      <c r="D30" s="553"/>
      <c r="E30" s="553"/>
      <c r="F30" s="553"/>
      <c r="G30" s="553"/>
      <c r="H30" s="574"/>
      <c r="I30" s="575"/>
      <c r="J30" s="575"/>
      <c r="K30" s="575"/>
      <c r="L30" s="576"/>
    </row>
    <row r="31" spans="2:22" ht="51" customHeight="1" thickBot="1">
      <c r="B31" s="577" t="s">
        <v>177</v>
      </c>
      <c r="C31" s="578"/>
      <c r="D31" s="578"/>
      <c r="E31" s="578"/>
      <c r="F31" s="578"/>
      <c r="G31" s="578"/>
      <c r="H31" s="574"/>
      <c r="I31" s="575"/>
      <c r="J31" s="575"/>
      <c r="K31" s="575"/>
      <c r="L31" s="576"/>
    </row>
    <row r="32" spans="2:22" ht="51" customHeight="1" thickBot="1">
      <c r="B32" s="577" t="s">
        <v>178</v>
      </c>
      <c r="C32" s="578"/>
      <c r="D32" s="578"/>
      <c r="E32" s="578"/>
      <c r="F32" s="578"/>
      <c r="G32" s="578"/>
      <c r="H32" s="574"/>
      <c r="I32" s="575"/>
      <c r="J32" s="575"/>
      <c r="K32" s="575"/>
      <c r="L32" s="576"/>
    </row>
    <row r="33" spans="1:12" ht="60" customHeight="1" thickBot="1">
      <c r="B33" s="595" t="s">
        <v>181</v>
      </c>
      <c r="C33" s="596"/>
      <c r="D33" s="596"/>
      <c r="E33" s="596"/>
      <c r="F33" s="596"/>
      <c r="G33" s="596"/>
      <c r="H33" s="574"/>
      <c r="I33" s="575"/>
      <c r="J33" s="575"/>
      <c r="K33" s="575"/>
      <c r="L33" s="576"/>
    </row>
    <row r="34" spans="1:12" ht="51" customHeight="1" thickBot="1">
      <c r="B34" s="588" t="s">
        <v>737</v>
      </c>
      <c r="C34" s="589"/>
      <c r="D34" s="589"/>
      <c r="E34" s="589"/>
      <c r="F34" s="589"/>
      <c r="G34" s="590"/>
      <c r="H34" s="585"/>
      <c r="I34" s="586"/>
      <c r="J34" s="586"/>
      <c r="K34" s="586"/>
      <c r="L34" s="587"/>
    </row>
    <row r="35" spans="1:12" ht="51" customHeight="1">
      <c r="A35" s="180"/>
      <c r="B35" s="583"/>
      <c r="C35" s="583"/>
      <c r="D35" s="583"/>
      <c r="E35" s="583"/>
      <c r="F35" s="583"/>
      <c r="G35" s="583"/>
      <c r="H35" s="584"/>
      <c r="I35" s="584"/>
      <c r="J35" s="584"/>
      <c r="K35" s="584"/>
      <c r="L35" s="584"/>
    </row>
  </sheetData>
  <sheetProtection sheet="1" selectLockedCells="1"/>
  <mergeCells count="74">
    <mergeCell ref="B35:G35"/>
    <mergeCell ref="H35:L35"/>
    <mergeCell ref="H34:L34"/>
    <mergeCell ref="B34:G34"/>
    <mergeCell ref="B15:G15"/>
    <mergeCell ref="B19:L19"/>
    <mergeCell ref="B22:G22"/>
    <mergeCell ref="B33:G33"/>
    <mergeCell ref="H33:L33"/>
    <mergeCell ref="B30:G30"/>
    <mergeCell ref="H30:L30"/>
    <mergeCell ref="B31:G31"/>
    <mergeCell ref="H31:L31"/>
    <mergeCell ref="B32:G32"/>
    <mergeCell ref="H32:L32"/>
    <mergeCell ref="B28:G28"/>
    <mergeCell ref="H28:L28"/>
    <mergeCell ref="P28:Q28"/>
    <mergeCell ref="S28:V28"/>
    <mergeCell ref="B29:G29"/>
    <mergeCell ref="H29:L29"/>
    <mergeCell ref="P29:Q29"/>
    <mergeCell ref="S29:V29"/>
    <mergeCell ref="B26:G26"/>
    <mergeCell ref="H26:L26"/>
    <mergeCell ref="P26:Q26"/>
    <mergeCell ref="S26:V26"/>
    <mergeCell ref="B27:G27"/>
    <mergeCell ref="H27:L27"/>
    <mergeCell ref="P27:Q27"/>
    <mergeCell ref="S27:V27"/>
    <mergeCell ref="B24:G24"/>
    <mergeCell ref="H24:L24"/>
    <mergeCell ref="P24:Q24"/>
    <mergeCell ref="S24:V24"/>
    <mergeCell ref="B25:G25"/>
    <mergeCell ref="H25:L25"/>
    <mergeCell ref="P25:Q25"/>
    <mergeCell ref="S25:V25"/>
    <mergeCell ref="B20:G20"/>
    <mergeCell ref="H22:L22"/>
    <mergeCell ref="P22:Q22"/>
    <mergeCell ref="S22:V22"/>
    <mergeCell ref="B23:G23"/>
    <mergeCell ref="H23:L23"/>
    <mergeCell ref="P23:Q23"/>
    <mergeCell ref="S23:V23"/>
    <mergeCell ref="H20:L20"/>
    <mergeCell ref="P20:Q20"/>
    <mergeCell ref="S20:V20"/>
    <mergeCell ref="B21:G21"/>
    <mergeCell ref="H21:L21"/>
    <mergeCell ref="P21:Q21"/>
    <mergeCell ref="S21:V21"/>
    <mergeCell ref="B18:G18"/>
    <mergeCell ref="H18:L18"/>
    <mergeCell ref="P18:Q18"/>
    <mergeCell ref="S18:V18"/>
    <mergeCell ref="P19:Q19"/>
    <mergeCell ref="S19:V19"/>
    <mergeCell ref="P2:T2"/>
    <mergeCell ref="P3:T11"/>
    <mergeCell ref="V3:Z11"/>
    <mergeCell ref="P14:V14"/>
    <mergeCell ref="B17:G17"/>
    <mergeCell ref="H15:L15"/>
    <mergeCell ref="P15:V15"/>
    <mergeCell ref="B16:G16"/>
    <mergeCell ref="H16:L16"/>
    <mergeCell ref="P16:Q16"/>
    <mergeCell ref="S16:V16"/>
    <mergeCell ref="H17:L17"/>
    <mergeCell ref="P17:Q17"/>
    <mergeCell ref="S17:V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rgb="FF5F588F"/>
  </sheetPr>
  <dimension ref="A1:J42"/>
  <sheetViews>
    <sheetView zoomScale="70" zoomScaleNormal="70" workbookViewId="0">
      <selection activeCell="H13" sqref="H13"/>
    </sheetView>
  </sheetViews>
  <sheetFormatPr baseColWidth="10" defaultColWidth="8.83203125" defaultRowHeight="14.5" customHeight="1"/>
  <cols>
    <col min="1" max="1" width="18.5" style="129" customWidth="1"/>
    <col min="2" max="2" width="75.5" style="129" customWidth="1"/>
    <col min="3" max="3" width="5.5" style="129" customWidth="1"/>
    <col min="4" max="5" width="35.5" style="129" customWidth="1"/>
    <col min="6" max="6" width="42.83203125" style="129" customWidth="1"/>
    <col min="7" max="7" width="13.1640625" style="129" customWidth="1"/>
    <col min="8" max="8" width="35.5" style="115" customWidth="1"/>
    <col min="9" max="9" width="16.5" style="52" hidden="1" customWidth="1"/>
    <col min="10" max="10" width="35.5" style="438" customWidth="1"/>
    <col min="11" max="12" width="8.83203125" style="129" customWidth="1"/>
    <col min="13" max="16384" width="8.83203125" style="129"/>
  </cols>
  <sheetData>
    <row r="1" spans="1:10" s="118" customFormat="1" ht="26.25" customHeight="1">
      <c r="A1" s="599" t="str">
        <f>Raw!A1</f>
        <v>Standard 1</v>
      </c>
      <c r="B1" s="117" t="str">
        <f>Raw!B1</f>
        <v>Institutional Commitment</v>
      </c>
      <c r="H1" s="112"/>
      <c r="I1" s="52"/>
      <c r="J1" s="435"/>
    </row>
    <row r="2" spans="1:10" s="118" customFormat="1" ht="17">
      <c r="A2" s="599"/>
      <c r="B2" s="119" t="str">
        <f>Raw!A2</f>
        <v>There is a strong institutional commitment to STEM teacher education, supported by policy, rewards, and financial resources.</v>
      </c>
      <c r="H2" s="112"/>
      <c r="I2" s="52"/>
      <c r="J2" s="435"/>
    </row>
    <row r="3" spans="1:10" s="118" customFormat="1" ht="15">
      <c r="A3" s="120"/>
      <c r="H3" s="112"/>
      <c r="I3" s="52"/>
      <c r="J3" s="435"/>
    </row>
    <row r="4" spans="1:10" s="118" customFormat="1" ht="24" thickBot="1">
      <c r="A4" s="121" t="str">
        <f>Raw!A3</f>
        <v>Component 1A: Institutional Climate and Support</v>
      </c>
      <c r="B4" s="122"/>
      <c r="C4" s="123"/>
      <c r="D4" s="123"/>
      <c r="E4" s="123"/>
      <c r="F4" s="123"/>
      <c r="G4" s="123"/>
      <c r="H4" s="113"/>
      <c r="I4" s="52"/>
      <c r="J4" s="435"/>
    </row>
    <row r="5" spans="1:10" s="118" customFormat="1" ht="17">
      <c r="A5" s="119" t="str">
        <f>Raw!A4</f>
        <v>There is a strong institutional commitment to science, technology, engineering, and math (STEM) teacher education, with physics teacher preparation as an explicit component.</v>
      </c>
      <c r="H5" s="114"/>
      <c r="I5" s="52"/>
      <c r="J5" s="435"/>
    </row>
    <row r="6" spans="1:10" s="118" customFormat="1" ht="51">
      <c r="A6" s="120"/>
      <c r="C6" s="291" t="s">
        <v>0</v>
      </c>
      <c r="D6" s="292" t="s">
        <v>702</v>
      </c>
      <c r="E6" s="291" t="s">
        <v>703</v>
      </c>
      <c r="F6" s="291" t="s">
        <v>704</v>
      </c>
      <c r="G6" s="292" t="s">
        <v>623</v>
      </c>
      <c r="H6" s="295" t="s">
        <v>14</v>
      </c>
      <c r="I6" s="52"/>
      <c r="J6" s="435"/>
    </row>
    <row r="7" spans="1:10" s="118" customFormat="1" ht="85">
      <c r="A7" s="124" t="str">
        <f>Raw!C5</f>
        <v>1A-1</v>
      </c>
      <c r="B7" s="125" t="s">
        <v>313</v>
      </c>
      <c r="C7" s="288"/>
      <c r="D7" s="289" t="str">
        <f>Raw!G5</f>
        <v>President- or provost-level administration verbally prioritizes STEM educational improvements, but as yet there is little to no evidence of this support.</v>
      </c>
      <c r="E7" s="289" t="str">
        <f>Raw!H5</f>
        <v xml:space="preserve">Additionally, there is evidence of university support for STEM education improvements. </v>
      </c>
      <c r="F7" s="289" t="str">
        <f>Raw!I5</f>
        <v>There is concrete support from the university for STEM education improvements.</v>
      </c>
      <c r="G7" s="290"/>
      <c r="H7" s="300"/>
      <c r="I7" s="52"/>
      <c r="J7" s="435"/>
    </row>
    <row r="8" spans="1:10" s="118" customFormat="1" ht="102">
      <c r="A8" s="124" t="str">
        <f>Raw!C6</f>
        <v>1A-2</v>
      </c>
      <c r="B8" s="125" t="s">
        <v>314</v>
      </c>
      <c r="C8" s="288"/>
      <c r="D8" s="289" t="str">
        <f>Raw!G6</f>
        <v>The institutional mission and/or strategic priorities historically support teacher education.</v>
      </c>
      <c r="E8" s="289" t="str">
        <f>Raw!H6</f>
        <v>The institutional mission or strategic priorities are explicitly well aligned with teacher preparation (e.g., an emphasis on service).</v>
      </c>
      <c r="F8" s="289" t="str">
        <f>Raw!I6</f>
        <v>Institutional administrators emphasize publicly and consistently that teacher preparation is part of the core institutional mission, and strategic priorities are explicitly well aligned with teacher preparation.</v>
      </c>
      <c r="G8" s="290"/>
      <c r="H8" s="300"/>
      <c r="I8" s="52"/>
      <c r="J8" s="435"/>
    </row>
    <row r="9" spans="1:10" s="118" customFormat="1" ht="85">
      <c r="A9" s="124" t="str">
        <f>Raw!C7</f>
        <v>1A-3</v>
      </c>
      <c r="B9" s="125" t="s">
        <v>315</v>
      </c>
      <c r="C9" s="288"/>
      <c r="D9" s="289" t="str">
        <f>Raw!G7</f>
        <v>The PTE program has received modest recognition from administrators (e.g., department-level recognition, being mentioned in meetings).</v>
      </c>
      <c r="E9" s="289" t="str">
        <f>Raw!H7</f>
        <v>The PTE program has received significant public recognition from administrators (e.g., public remarks, campus newsletter, college website).</v>
      </c>
      <c r="F9" s="289" t="str">
        <f>Raw!I7</f>
        <v>The PTE program is a point of pride for the institution, and its work is publicly recognized in several venues.</v>
      </c>
      <c r="G9" s="290"/>
      <c r="H9" s="300"/>
      <c r="I9" s="52"/>
      <c r="J9" s="435"/>
    </row>
    <row r="10" spans="1:10" s="118" customFormat="1" ht="76.75" customHeight="1">
      <c r="A10" s="126" t="str">
        <f>Raw!C8</f>
        <v>1A-4</v>
      </c>
      <c r="B10" s="127" t="s">
        <v>316</v>
      </c>
      <c r="C10" s="288"/>
      <c r="D10" s="289" t="str">
        <f>Raw!G8</f>
        <v>President- or provost-level administration verbally prioritizes teacher education, but as yet there is little to no evidence of this support.</v>
      </c>
      <c r="E10" s="289" t="str">
        <f>Raw!H8</f>
        <v>Additionally, there is evidence of university administration support for teacher education.</v>
      </c>
      <c r="F10" s="289" t="str">
        <f>Raw!I8</f>
        <v>There is concrete support from the university administration for teacher education.</v>
      </c>
      <c r="G10" s="290"/>
      <c r="H10" s="300"/>
      <c r="I10" s="52"/>
      <c r="J10" s="435"/>
    </row>
    <row r="11" spans="1:10" s="118" customFormat="1" ht="68">
      <c r="A11" s="126" t="str">
        <f>Raw!C9</f>
        <v>1A-5</v>
      </c>
      <c r="B11" s="127" t="s">
        <v>366</v>
      </c>
      <c r="C11" s="288"/>
      <c r="D11" s="289" t="str">
        <f>Raw!G9</f>
        <v>The dean of the College of A&amp;S verbally prioritizes teacher education, but as yet there is little to no evidence of this support.</v>
      </c>
      <c r="E11" s="289" t="str">
        <f>Raw!H9</f>
        <v>Additionally, there is evidence of A&amp;S support for teacher education.</v>
      </c>
      <c r="F11" s="289" t="str">
        <f>Raw!I9</f>
        <v>There is concrete support from A&amp;S for teacher education.</v>
      </c>
      <c r="G11" s="290"/>
      <c r="H11" s="301"/>
      <c r="I11" s="52"/>
      <c r="J11" s="435"/>
    </row>
    <row r="12" spans="1:10" s="118" customFormat="1" ht="51">
      <c r="A12" s="126" t="str">
        <f>Raw!C10</f>
        <v>1A-6</v>
      </c>
      <c r="B12" s="127" t="s">
        <v>367</v>
      </c>
      <c r="C12" s="288"/>
      <c r="D12" s="289" t="str">
        <f>Raw!G10</f>
        <v>There is evidence of SoE support for science teacher education.</v>
      </c>
      <c r="E12" s="289" t="str">
        <f>Raw!H10</f>
        <v>Additionally, there is evidence of SoE support for physics teacher education.</v>
      </c>
      <c r="F12" s="289" t="str">
        <f>Raw!I10</f>
        <v>There is concrete support from the SoE for physics teacher education.</v>
      </c>
      <c r="G12" s="290"/>
      <c r="H12" s="300"/>
      <c r="I12" s="52"/>
      <c r="J12" s="435"/>
    </row>
    <row r="13" spans="1:10" s="109" customFormat="1" ht="30" customHeight="1">
      <c r="A13" s="600" t="s">
        <v>578</v>
      </c>
      <c r="B13" s="601"/>
      <c r="C13" s="601"/>
      <c r="D13" s="601"/>
      <c r="E13" s="601"/>
      <c r="F13" s="601"/>
      <c r="G13" s="388"/>
      <c r="H13" s="106"/>
      <c r="I13" s="52"/>
      <c r="J13" s="436"/>
    </row>
    <row r="14" spans="1:10" s="110" customFormat="1" ht="30" customHeight="1">
      <c r="A14" s="597" t="s">
        <v>579</v>
      </c>
      <c r="B14" s="598"/>
      <c r="C14" s="598"/>
      <c r="D14" s="598"/>
      <c r="E14" s="598"/>
      <c r="F14" s="598"/>
      <c r="G14" s="388"/>
      <c r="H14" s="107"/>
      <c r="I14" s="52"/>
      <c r="J14" s="437"/>
    </row>
    <row r="15" spans="1:10" ht="15" customHeight="1">
      <c r="A15" s="128" t="s">
        <v>839</v>
      </c>
    </row>
    <row r="16" spans="1:10" ht="15.75" customHeight="1">
      <c r="A16" s="128" t="s">
        <v>580</v>
      </c>
    </row>
    <row r="18" spans="1:10" ht="24" thickBot="1">
      <c r="A18" s="121" t="str">
        <f>Raw!A11</f>
        <v>Component 1B: Reward Structure</v>
      </c>
      <c r="B18" s="130"/>
      <c r="C18" s="123"/>
      <c r="D18" s="123"/>
      <c r="E18" s="123"/>
      <c r="F18" s="123"/>
      <c r="G18" s="123"/>
      <c r="H18" s="113"/>
    </row>
    <row r="19" spans="1:10" s="118" customFormat="1" ht="17">
      <c r="A19" s="119" t="str">
        <f>Raw!A12</f>
        <v>The institution encourages, supports, and rewards leadership in physics teacher preparation.</v>
      </c>
      <c r="H19" s="112"/>
      <c r="I19" s="52"/>
      <c r="J19" s="435"/>
    </row>
    <row r="20" spans="1:10" s="118" customFormat="1" ht="51">
      <c r="A20" s="120"/>
      <c r="C20" s="291" t="s">
        <v>0</v>
      </c>
      <c r="D20" s="292" t="s">
        <v>702</v>
      </c>
      <c r="E20" s="291" t="s">
        <v>703</v>
      </c>
      <c r="F20" s="291" t="s">
        <v>704</v>
      </c>
      <c r="G20" s="292" t="s">
        <v>623</v>
      </c>
      <c r="H20" s="295" t="s">
        <v>14</v>
      </c>
      <c r="I20" s="52"/>
      <c r="J20" s="435"/>
    </row>
    <row r="21" spans="1:10" s="118" customFormat="1" ht="68">
      <c r="A21" s="131" t="str">
        <f>Raw!C13</f>
        <v>1B-1</v>
      </c>
      <c r="B21" s="132" t="s">
        <v>21</v>
      </c>
      <c r="C21" s="288"/>
      <c r="D21" s="289" t="str">
        <f>Raw!G13</f>
        <v>At least one physics faculty member is given credit toward promotion based on their work in PTE.</v>
      </c>
      <c r="E21" s="289" t="str">
        <f>Raw!H13</f>
        <v>At least one physics faculty member has been hired in large part based on their PTE expertise.</v>
      </c>
      <c r="F21" s="289" t="str">
        <f>Raw!I13</f>
        <v>At least one tenure-track physics faculty member has been promoted in large part based on their PTE activities.</v>
      </c>
      <c r="G21" s="290"/>
      <c r="H21" s="300"/>
      <c r="I21" s="52"/>
      <c r="J21" s="435"/>
    </row>
    <row r="22" spans="1:10" s="118" customFormat="1" ht="51">
      <c r="A22" s="131" t="str">
        <f>Raw!C14</f>
        <v>1B-2</v>
      </c>
      <c r="B22" s="132" t="s">
        <v>317</v>
      </c>
      <c r="C22" s="288"/>
      <c r="D22" s="289" t="str">
        <f>Raw!G14</f>
        <v>The program leader(s)’ PTE activities are officially included as part of service.</v>
      </c>
      <c r="E22" s="289" t="str">
        <f>Raw!H14</f>
        <v xml:space="preserve">PTE program leader(s) are granted modest time to engage in PTE activities.[6] </v>
      </c>
      <c r="F22" s="289" t="str">
        <f>Raw!I14</f>
        <v>PTE program leader(s) are granted significant time to engage in PTE activities.[6]</v>
      </c>
      <c r="G22" s="290"/>
      <c r="H22" s="300"/>
      <c r="I22" s="52"/>
      <c r="J22" s="435"/>
    </row>
    <row r="23" spans="1:10" s="118" customFormat="1" ht="68">
      <c r="A23" s="131" t="str">
        <f>Raw!C15</f>
        <v>1B-3</v>
      </c>
      <c r="B23" s="132" t="s">
        <v>318</v>
      </c>
      <c r="C23" s="288"/>
      <c r="D23" s="289" t="str">
        <f>Raw!G15</f>
        <v>Members of the PTE program team have received modest recognition[8] for engaging in PTE (in the past three years).</v>
      </c>
      <c r="E23" s="289" t="str">
        <f>Raw!H15</f>
        <v>Members of the PTE program team have received concrete recognition[9] for engaging in PTE (in the past three years).</v>
      </c>
      <c r="F23" s="289" t="str">
        <f>Raw!I15</f>
        <v>The PTE team is celebrated by the college and/or institution through significant public recognition (in the past three years).</v>
      </c>
      <c r="G23" s="290"/>
      <c r="H23" s="300"/>
      <c r="I23" s="52"/>
      <c r="J23" s="435"/>
    </row>
    <row r="24" spans="1:10" s="111" customFormat="1" ht="30" customHeight="1">
      <c r="A24" s="600" t="s">
        <v>581</v>
      </c>
      <c r="B24" s="601"/>
      <c r="C24" s="601"/>
      <c r="D24" s="601"/>
      <c r="E24" s="601"/>
      <c r="F24" s="601"/>
      <c r="G24" s="388"/>
      <c r="H24" s="108"/>
      <c r="I24" s="52"/>
      <c r="J24" s="389"/>
    </row>
    <row r="25" spans="1:10" ht="15" customHeight="1">
      <c r="A25" s="128" t="s">
        <v>582</v>
      </c>
    </row>
    <row r="26" spans="1:10" s="118" customFormat="1" ht="15" customHeight="1">
      <c r="A26" s="128" t="s">
        <v>583</v>
      </c>
      <c r="B26" s="129"/>
      <c r="C26" s="129"/>
      <c r="D26" s="129"/>
      <c r="E26" s="129"/>
      <c r="F26" s="129"/>
      <c r="G26" s="129"/>
      <c r="H26" s="115"/>
      <c r="I26" s="52"/>
      <c r="J26" s="435"/>
    </row>
    <row r="27" spans="1:10" s="118" customFormat="1" ht="15" customHeight="1">
      <c r="A27" s="128" t="s">
        <v>584</v>
      </c>
      <c r="B27" s="129"/>
      <c r="C27" s="129"/>
      <c r="D27" s="129"/>
      <c r="E27" s="129"/>
      <c r="F27" s="129"/>
      <c r="G27" s="129"/>
      <c r="H27" s="115"/>
      <c r="I27" s="52"/>
      <c r="J27" s="435"/>
    </row>
    <row r="28" spans="1:10" s="118" customFormat="1" ht="15" customHeight="1">
      <c r="A28" s="128" t="s">
        <v>585</v>
      </c>
      <c r="B28" s="129"/>
      <c r="C28" s="129"/>
      <c r="D28" s="129"/>
      <c r="E28" s="129"/>
      <c r="F28" s="129"/>
      <c r="G28" s="129"/>
      <c r="H28" s="115"/>
      <c r="I28" s="52"/>
      <c r="J28" s="435"/>
    </row>
    <row r="29" spans="1:10" s="118" customFormat="1" ht="14.5" customHeight="1">
      <c r="A29" s="129"/>
      <c r="B29" s="129"/>
      <c r="C29" s="129"/>
      <c r="D29" s="129"/>
      <c r="E29" s="129"/>
      <c r="F29" s="129"/>
      <c r="G29" s="129"/>
      <c r="H29" s="115"/>
      <c r="I29" s="52"/>
      <c r="J29" s="435"/>
    </row>
    <row r="30" spans="1:10" ht="24" thickBot="1">
      <c r="A30" s="121" t="str">
        <f>Raw!A16</f>
        <v xml:space="preserve">Component 1C: Resources </v>
      </c>
      <c r="B30" s="130"/>
      <c r="C30" s="123"/>
      <c r="D30" s="123"/>
      <c r="E30" s="123"/>
      <c r="F30" s="123"/>
      <c r="G30" s="123"/>
      <c r="H30" s="113"/>
    </row>
    <row r="31" spans="1:10" s="118" customFormat="1" ht="17">
      <c r="A31" s="119" t="str">
        <f>Raw!A17</f>
        <v>The program and leadership team have sufficient resources to run.</v>
      </c>
      <c r="H31" s="112"/>
      <c r="I31" s="52"/>
      <c r="J31" s="435"/>
    </row>
    <row r="32" spans="1:10" s="118" customFormat="1" ht="51">
      <c r="A32" s="120"/>
      <c r="C32" s="291" t="s">
        <v>0</v>
      </c>
      <c r="D32" s="292" t="s">
        <v>702</v>
      </c>
      <c r="E32" s="291" t="s">
        <v>703</v>
      </c>
      <c r="F32" s="291" t="s">
        <v>704</v>
      </c>
      <c r="G32" s="292" t="s">
        <v>623</v>
      </c>
      <c r="H32" s="295" t="s">
        <v>14</v>
      </c>
      <c r="I32" s="52"/>
      <c r="J32" s="435"/>
    </row>
    <row r="33" spans="1:10" s="118" customFormat="1" ht="49.75" customHeight="1">
      <c r="A33" s="124" t="str">
        <f>Raw!C18</f>
        <v>1C-1</v>
      </c>
      <c r="B33" s="125" t="s">
        <v>834</v>
      </c>
      <c r="C33" s="288"/>
      <c r="D33" s="289" t="str">
        <f>Raw!G18</f>
        <v>Less than 0.5 full-time equivalent (FTE) engaged staff.</v>
      </c>
      <c r="E33" s="289" t="str">
        <f>Raw!H18</f>
        <v>0.5–1.0 FTE engaged staff.</v>
      </c>
      <c r="F33" s="289" t="str">
        <f>Raw!I18</f>
        <v>More than one FTE engaged staff.</v>
      </c>
      <c r="G33" s="290"/>
      <c r="H33" s="300"/>
      <c r="I33" s="52"/>
      <c r="J33" s="435"/>
    </row>
    <row r="34" spans="1:10" s="118" customFormat="1" ht="35" customHeight="1">
      <c r="A34" s="124" t="str">
        <f>Raw!C19</f>
        <v>1C-2</v>
      </c>
      <c r="B34" s="125" t="s">
        <v>835</v>
      </c>
      <c r="C34" s="288"/>
      <c r="D34" s="289" t="str">
        <f>Raw!G19</f>
        <v>Institutional funding is at least $5K.</v>
      </c>
      <c r="E34" s="289" t="str">
        <f>Raw!H19</f>
        <v>Institutional funding is $25K–$100K/year.</v>
      </c>
      <c r="F34" s="289" t="str">
        <f>Raw!I19</f>
        <v>Institutional funding exceeds $100K/year.</v>
      </c>
      <c r="G34" s="290"/>
      <c r="H34" s="300"/>
      <c r="I34" s="52"/>
      <c r="J34" s="435"/>
    </row>
    <row r="35" spans="1:10" s="118" customFormat="1" ht="36">
      <c r="A35" s="124" t="str">
        <f>Raw!C20</f>
        <v>1C-3</v>
      </c>
      <c r="B35" s="125" t="s">
        <v>836</v>
      </c>
      <c r="C35" s="288"/>
      <c r="D35" s="289" t="str">
        <f>Raw!G20</f>
        <v>External funding is less than $25K/year.</v>
      </c>
      <c r="E35" s="289" t="str">
        <f>Raw!H20</f>
        <v>External funding is $25K–$100K/year.</v>
      </c>
      <c r="F35" s="289" t="str">
        <f>Raw!I20</f>
        <v>External funding exceeds $100K/year.</v>
      </c>
      <c r="G35" s="290"/>
      <c r="H35" s="300"/>
      <c r="I35" s="52"/>
      <c r="J35" s="435"/>
    </row>
    <row r="36" spans="1:10" s="118" customFormat="1" ht="51">
      <c r="A36" s="126" t="str">
        <f>Raw!C21</f>
        <v>1C-4</v>
      </c>
      <c r="B36" s="127" t="s">
        <v>837</v>
      </c>
      <c r="C36" s="288"/>
      <c r="D36" s="289" t="str">
        <f>Raw!G21</f>
        <v>Operational funding has been historically granted but occurs on a year-to-year basis.</v>
      </c>
      <c r="E36" s="289" t="str">
        <f>Raw!H21</f>
        <v>Operational funding is guaranteed for at least three years.</v>
      </c>
      <c r="F36" s="289" t="str">
        <f>Raw!I21</f>
        <v>Operational funding is a recurring line item or is supported by ongoing endowments.</v>
      </c>
      <c r="G36" s="290"/>
      <c r="H36" s="300"/>
      <c r="I36" s="52"/>
      <c r="J36" s="435"/>
    </row>
    <row r="37" spans="1:10" s="118" customFormat="1" ht="34">
      <c r="A37" s="126" t="str">
        <f>Raw!C22</f>
        <v>1C-5</v>
      </c>
      <c r="B37" s="127" t="s">
        <v>838</v>
      </c>
      <c r="C37" s="288"/>
      <c r="D37" s="289" t="str">
        <f>Raw!G22</f>
        <v>The program is housed in a faculty office with a clear program label.</v>
      </c>
      <c r="E37" s="289" t="str">
        <f>Raw!H22</f>
        <v>The program has a dedicated space.</v>
      </c>
      <c r="F37" s="289" t="str">
        <f>Raw!I22</f>
        <v>The program has dedicated space in a location frequented by physics students.</v>
      </c>
      <c r="G37" s="290"/>
      <c r="H37" s="300"/>
      <c r="I37" s="52"/>
      <c r="J37" s="435"/>
    </row>
    <row r="38" spans="1:10" ht="15" customHeight="1">
      <c r="A38" s="133" t="s">
        <v>586</v>
      </c>
      <c r="B38" s="134"/>
      <c r="C38" s="134"/>
      <c r="D38" s="134"/>
      <c r="E38" s="134"/>
      <c r="F38" s="134"/>
      <c r="G38" s="134"/>
      <c r="H38" s="116"/>
    </row>
    <row r="39" spans="1:10" s="109" customFormat="1" ht="45.75" customHeight="1">
      <c r="A39" s="597" t="s">
        <v>587</v>
      </c>
      <c r="B39" s="598"/>
      <c r="C39" s="598"/>
      <c r="D39" s="598"/>
      <c r="E39" s="598"/>
      <c r="F39" s="598"/>
      <c r="G39" s="388"/>
      <c r="H39" s="106"/>
      <c r="I39" s="52"/>
      <c r="J39" s="436"/>
    </row>
    <row r="40" spans="1:10" s="109" customFormat="1" ht="30" customHeight="1">
      <c r="A40" s="597" t="s">
        <v>588</v>
      </c>
      <c r="B40" s="598"/>
      <c r="C40" s="598"/>
      <c r="D40" s="598"/>
      <c r="E40" s="598"/>
      <c r="F40" s="598"/>
      <c r="G40" s="388"/>
      <c r="H40" s="106"/>
      <c r="I40" s="52"/>
      <c r="J40" s="436"/>
    </row>
    <row r="41" spans="1:10" ht="14.5" customHeight="1">
      <c r="A41" s="135"/>
    </row>
    <row r="42" spans="1:10" ht="14.5" customHeight="1">
      <c r="A42" s="135"/>
    </row>
  </sheetData>
  <sheetProtection sheet="1" selectLockedCells="1"/>
  <mergeCells count="6">
    <mergeCell ref="A40:F40"/>
    <mergeCell ref="A1:A2"/>
    <mergeCell ref="A24:F24"/>
    <mergeCell ref="A13:F13"/>
    <mergeCell ref="A14:F14"/>
    <mergeCell ref="A39:F39"/>
  </mergeCells>
  <conditionalFormatting sqref="C7">
    <cfRule type="expression" dxfId="1020" priority="72">
      <formula>$I7=1</formula>
    </cfRule>
  </conditionalFormatting>
  <conditionalFormatting sqref="E7">
    <cfRule type="expression" dxfId="1019" priority="70">
      <formula>$I7=3</formula>
    </cfRule>
  </conditionalFormatting>
  <conditionalFormatting sqref="D7">
    <cfRule type="expression" dxfId="1018" priority="69">
      <formula>$I7=2</formula>
    </cfRule>
  </conditionalFormatting>
  <conditionalFormatting sqref="F7">
    <cfRule type="expression" dxfId="1017" priority="68">
      <formula>$I7=4</formula>
    </cfRule>
  </conditionalFormatting>
  <conditionalFormatting sqref="C8">
    <cfRule type="expression" dxfId="1016" priority="67">
      <formula>$I8=1</formula>
    </cfRule>
  </conditionalFormatting>
  <conditionalFormatting sqref="E8">
    <cfRule type="expression" dxfId="1015" priority="66">
      <formula>$I8=3</formula>
    </cfRule>
  </conditionalFormatting>
  <conditionalFormatting sqref="D8">
    <cfRule type="expression" dxfId="1014" priority="65">
      <formula>$I8=2</formula>
    </cfRule>
  </conditionalFormatting>
  <conditionalFormatting sqref="F8">
    <cfRule type="expression" dxfId="1013" priority="64">
      <formula>$I8=4</formula>
    </cfRule>
  </conditionalFormatting>
  <conditionalFormatting sqref="C9">
    <cfRule type="expression" dxfId="1012" priority="63">
      <formula>$I9=1</formula>
    </cfRule>
  </conditionalFormatting>
  <conditionalFormatting sqref="E9">
    <cfRule type="expression" dxfId="1011" priority="62">
      <formula>$I9=3</formula>
    </cfRule>
  </conditionalFormatting>
  <conditionalFormatting sqref="D9">
    <cfRule type="expression" dxfId="1010" priority="61">
      <formula>$I9=2</formula>
    </cfRule>
  </conditionalFormatting>
  <conditionalFormatting sqref="F9">
    <cfRule type="expression" dxfId="1009" priority="60">
      <formula>$I9=4</formula>
    </cfRule>
  </conditionalFormatting>
  <conditionalFormatting sqref="C10">
    <cfRule type="expression" dxfId="1008" priority="59">
      <formula>$I10=1</formula>
    </cfRule>
  </conditionalFormatting>
  <conditionalFormatting sqref="E10">
    <cfRule type="expression" dxfId="1007" priority="58">
      <formula>$I10=3</formula>
    </cfRule>
  </conditionalFormatting>
  <conditionalFormatting sqref="D10">
    <cfRule type="expression" dxfId="1006" priority="57">
      <formula>$I10=2</formula>
    </cfRule>
  </conditionalFormatting>
  <conditionalFormatting sqref="F10">
    <cfRule type="expression" dxfId="1005" priority="56">
      <formula>$I10=4</formula>
    </cfRule>
  </conditionalFormatting>
  <conditionalFormatting sqref="C11">
    <cfRule type="expression" dxfId="1004" priority="55">
      <formula>$I11=1</formula>
    </cfRule>
  </conditionalFormatting>
  <conditionalFormatting sqref="E11">
    <cfRule type="expression" dxfId="1003" priority="54">
      <formula>$I11=3</formula>
    </cfRule>
  </conditionalFormatting>
  <conditionalFormatting sqref="D11">
    <cfRule type="expression" dxfId="1002" priority="53">
      <formula>$I11=2</formula>
    </cfRule>
  </conditionalFormatting>
  <conditionalFormatting sqref="F11">
    <cfRule type="expression" dxfId="1001" priority="52">
      <formula>$I11=4</formula>
    </cfRule>
  </conditionalFormatting>
  <conditionalFormatting sqref="C12">
    <cfRule type="expression" dxfId="1000" priority="51">
      <formula>$I12=1</formula>
    </cfRule>
  </conditionalFormatting>
  <conditionalFormatting sqref="E12">
    <cfRule type="expression" dxfId="999" priority="50">
      <formula>$I12=3</formula>
    </cfRule>
  </conditionalFormatting>
  <conditionalFormatting sqref="D12">
    <cfRule type="expression" dxfId="998" priority="49">
      <formula>$I12=2</formula>
    </cfRule>
  </conditionalFormatting>
  <conditionalFormatting sqref="F12">
    <cfRule type="expression" dxfId="997" priority="48">
      <formula>$I12=4</formula>
    </cfRule>
  </conditionalFormatting>
  <conditionalFormatting sqref="C21">
    <cfRule type="expression" dxfId="996" priority="47">
      <formula>$I21=1</formula>
    </cfRule>
  </conditionalFormatting>
  <conditionalFormatting sqref="E21">
    <cfRule type="expression" dxfId="995" priority="46">
      <formula>$I21=3</formula>
    </cfRule>
  </conditionalFormatting>
  <conditionalFormatting sqref="D21">
    <cfRule type="expression" dxfId="994" priority="45">
      <formula>$I21=2</formula>
    </cfRule>
  </conditionalFormatting>
  <conditionalFormatting sqref="F21">
    <cfRule type="expression" dxfId="993" priority="44">
      <formula>$I21=4</formula>
    </cfRule>
  </conditionalFormatting>
  <conditionalFormatting sqref="C22">
    <cfRule type="expression" dxfId="992" priority="43">
      <formula>$I22=1</formula>
    </cfRule>
  </conditionalFormatting>
  <conditionalFormatting sqref="E22:E23">
    <cfRule type="expression" dxfId="991" priority="42">
      <formula>$I22=3</formula>
    </cfRule>
  </conditionalFormatting>
  <conditionalFormatting sqref="D22:D23">
    <cfRule type="expression" dxfId="990" priority="41">
      <formula>$I22=2</formula>
    </cfRule>
  </conditionalFormatting>
  <conditionalFormatting sqref="F22:F23">
    <cfRule type="expression" dxfId="989" priority="40">
      <formula>$I22=4</formula>
    </cfRule>
  </conditionalFormatting>
  <conditionalFormatting sqref="C22">
    <cfRule type="expression" dxfId="988" priority="39">
      <formula>$I22=1</formula>
    </cfRule>
  </conditionalFormatting>
  <conditionalFormatting sqref="E22:E23">
    <cfRule type="expression" dxfId="987" priority="38">
      <formula>$I22=3</formula>
    </cfRule>
  </conditionalFormatting>
  <conditionalFormatting sqref="D22:D23">
    <cfRule type="expression" dxfId="986" priority="37">
      <formula>$I22=2</formula>
    </cfRule>
  </conditionalFormatting>
  <conditionalFormatting sqref="F22:F23">
    <cfRule type="expression" dxfId="985" priority="36">
      <formula>$I22=4</formula>
    </cfRule>
  </conditionalFormatting>
  <conditionalFormatting sqref="C23">
    <cfRule type="expression" dxfId="984" priority="35">
      <formula>$I23=1</formula>
    </cfRule>
  </conditionalFormatting>
  <conditionalFormatting sqref="C33">
    <cfRule type="expression" dxfId="983" priority="31">
      <formula>$I33=1</formula>
    </cfRule>
  </conditionalFormatting>
  <conditionalFormatting sqref="E33">
    <cfRule type="expression" dxfId="982" priority="30">
      <formula>$I33=3</formula>
    </cfRule>
  </conditionalFormatting>
  <conditionalFormatting sqref="D33">
    <cfRule type="expression" dxfId="981" priority="29">
      <formula>$I33=2</formula>
    </cfRule>
  </conditionalFormatting>
  <conditionalFormatting sqref="F33">
    <cfRule type="expression" dxfId="980" priority="28">
      <formula>$I33=4</formula>
    </cfRule>
  </conditionalFormatting>
  <conditionalFormatting sqref="C34">
    <cfRule type="expression" dxfId="979" priority="27">
      <formula>$I34=1</formula>
    </cfRule>
  </conditionalFormatting>
  <conditionalFormatting sqref="E34">
    <cfRule type="expression" dxfId="978" priority="26">
      <formula>$I34=3</formula>
    </cfRule>
  </conditionalFormatting>
  <conditionalFormatting sqref="D34">
    <cfRule type="expression" dxfId="977" priority="25">
      <formula>$I34=2</formula>
    </cfRule>
  </conditionalFormatting>
  <conditionalFormatting sqref="F34">
    <cfRule type="expression" dxfId="976" priority="24">
      <formula>$I34=4</formula>
    </cfRule>
  </conditionalFormatting>
  <conditionalFormatting sqref="C35">
    <cfRule type="expression" dxfId="975" priority="23">
      <formula>$I35=1</formula>
    </cfRule>
  </conditionalFormatting>
  <conditionalFormatting sqref="E35">
    <cfRule type="expression" dxfId="974" priority="22">
      <formula>$I35=3</formula>
    </cfRule>
  </conditionalFormatting>
  <conditionalFormatting sqref="D35">
    <cfRule type="expression" dxfId="973" priority="21">
      <formula>$I35=2</formula>
    </cfRule>
  </conditionalFormatting>
  <conditionalFormatting sqref="F35">
    <cfRule type="expression" dxfId="972" priority="20">
      <formula>$I35=4</formula>
    </cfRule>
  </conditionalFormatting>
  <conditionalFormatting sqref="C36">
    <cfRule type="expression" dxfId="971" priority="19">
      <formula>$I36=1</formula>
    </cfRule>
  </conditionalFormatting>
  <conditionalFormatting sqref="E36">
    <cfRule type="expression" dxfId="970" priority="18">
      <formula>$I36=3</formula>
    </cfRule>
  </conditionalFormatting>
  <conditionalFormatting sqref="D36">
    <cfRule type="expression" dxfId="969" priority="17">
      <formula>$I36=2</formula>
    </cfRule>
  </conditionalFormatting>
  <conditionalFormatting sqref="F36">
    <cfRule type="expression" dxfId="968" priority="16">
      <formula>$I36=4</formula>
    </cfRule>
  </conditionalFormatting>
  <conditionalFormatting sqref="C37">
    <cfRule type="expression" dxfId="967" priority="15">
      <formula>$I37=1</formula>
    </cfRule>
  </conditionalFormatting>
  <conditionalFormatting sqref="E37">
    <cfRule type="expression" dxfId="966" priority="14">
      <formula>$I37=3</formula>
    </cfRule>
  </conditionalFormatting>
  <conditionalFormatting sqref="D37">
    <cfRule type="expression" dxfId="965" priority="13">
      <formula>$I37=2</formula>
    </cfRule>
  </conditionalFormatting>
  <conditionalFormatting sqref="F37">
    <cfRule type="expression" dxfId="964" priority="12">
      <formula>$I37=4</formula>
    </cfRule>
  </conditionalFormatting>
  <conditionalFormatting sqref="G7">
    <cfRule type="expression" dxfId="963" priority="5">
      <formula>$I7=5</formula>
    </cfRule>
  </conditionalFormatting>
  <conditionalFormatting sqref="G33:G37">
    <cfRule type="expression" dxfId="962" priority="1">
      <formula>$I33=5</formula>
    </cfRule>
  </conditionalFormatting>
  <conditionalFormatting sqref="G8:G12">
    <cfRule type="expression" dxfId="961" priority="4">
      <formula>$I8=5</formula>
    </cfRule>
  </conditionalFormatting>
  <conditionalFormatting sqref="G21:G23">
    <cfRule type="expression" dxfId="960" priority="3">
      <formula>$I21=5</formula>
    </cfRule>
  </conditionalFormatting>
  <pageMargins left="0.7" right="0.7" top="0.75" bottom="0.75" header="0.3" footer="0.3"/>
  <pageSetup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defaultSize="0" autoFill="0" autoPict="0">
                <anchor moveWithCells="1">
                  <from>
                    <xdr:col>1</xdr:col>
                    <xdr:colOff>5448300</xdr:colOff>
                    <xdr:row>6</xdr:row>
                    <xdr:rowOff>177800</xdr:rowOff>
                  </from>
                  <to>
                    <xdr:col>7</xdr:col>
                    <xdr:colOff>88900</xdr:colOff>
                    <xdr:row>6</xdr:row>
                    <xdr:rowOff>698500</xdr:rowOff>
                  </to>
                </anchor>
              </controlPr>
            </control>
          </mc:Choice>
        </mc:AlternateContent>
        <mc:AlternateContent xmlns:mc="http://schemas.openxmlformats.org/markup-compatibility/2006">
          <mc:Choice Requires="x14">
            <control shapeId="2050" r:id="rId5" name="Group Box 2">
              <controlPr defaultSize="0" autoFill="0" autoPict="0">
                <anchor moveWithCells="1">
                  <from>
                    <xdr:col>2</xdr:col>
                    <xdr:colOff>0</xdr:colOff>
                    <xdr:row>7</xdr:row>
                    <xdr:rowOff>292100</xdr:rowOff>
                  </from>
                  <to>
                    <xdr:col>7</xdr:col>
                    <xdr:colOff>101600</xdr:colOff>
                    <xdr:row>7</xdr:row>
                    <xdr:rowOff>838200</xdr:rowOff>
                  </to>
                </anchor>
              </controlPr>
            </control>
          </mc:Choice>
        </mc:AlternateContent>
        <mc:AlternateContent xmlns:mc="http://schemas.openxmlformats.org/markup-compatibility/2006">
          <mc:Choice Requires="x14">
            <control shapeId="2051" r:id="rId6" name="Group Box 3">
              <controlPr defaultSize="0" autoFill="0" autoPict="0">
                <anchor moveWithCells="1">
                  <from>
                    <xdr:col>2</xdr:col>
                    <xdr:colOff>0</xdr:colOff>
                    <xdr:row>8</xdr:row>
                    <xdr:rowOff>203200</xdr:rowOff>
                  </from>
                  <to>
                    <xdr:col>7</xdr:col>
                    <xdr:colOff>190500</xdr:colOff>
                    <xdr:row>8</xdr:row>
                    <xdr:rowOff>711200</xdr:rowOff>
                  </to>
                </anchor>
              </controlPr>
            </control>
          </mc:Choice>
        </mc:AlternateContent>
        <mc:AlternateContent xmlns:mc="http://schemas.openxmlformats.org/markup-compatibility/2006">
          <mc:Choice Requires="x14">
            <control shapeId="2052" r:id="rId7" name="Group Box 4">
              <controlPr defaultSize="0" autoFill="0" autoPict="0">
                <anchor moveWithCells="1">
                  <from>
                    <xdr:col>2</xdr:col>
                    <xdr:colOff>0</xdr:colOff>
                    <xdr:row>9</xdr:row>
                    <xdr:rowOff>38100</xdr:rowOff>
                  </from>
                  <to>
                    <xdr:col>7</xdr:col>
                    <xdr:colOff>215900</xdr:colOff>
                    <xdr:row>9</xdr:row>
                    <xdr:rowOff>698500</xdr:rowOff>
                  </to>
                </anchor>
              </controlPr>
            </control>
          </mc:Choice>
        </mc:AlternateContent>
        <mc:AlternateContent xmlns:mc="http://schemas.openxmlformats.org/markup-compatibility/2006">
          <mc:Choice Requires="x14">
            <control shapeId="2053" r:id="rId8" name="Group Box 5">
              <controlPr defaultSize="0" autoFill="0" autoPict="0">
                <anchor moveWithCells="1">
                  <from>
                    <xdr:col>2</xdr:col>
                    <xdr:colOff>0</xdr:colOff>
                    <xdr:row>10</xdr:row>
                    <xdr:rowOff>12700</xdr:rowOff>
                  </from>
                  <to>
                    <xdr:col>7</xdr:col>
                    <xdr:colOff>254000</xdr:colOff>
                    <xdr:row>10</xdr:row>
                    <xdr:rowOff>736600</xdr:rowOff>
                  </to>
                </anchor>
              </controlPr>
            </control>
          </mc:Choice>
        </mc:AlternateContent>
        <mc:AlternateContent xmlns:mc="http://schemas.openxmlformats.org/markup-compatibility/2006">
          <mc:Choice Requires="x14">
            <control shapeId="2054" r:id="rId9" name="Group Box 6">
              <controlPr defaultSize="0" autoFill="0" autoPict="0">
                <anchor moveWithCells="1">
                  <from>
                    <xdr:col>2</xdr:col>
                    <xdr:colOff>0</xdr:colOff>
                    <xdr:row>11</xdr:row>
                    <xdr:rowOff>12700</xdr:rowOff>
                  </from>
                  <to>
                    <xdr:col>7</xdr:col>
                    <xdr:colOff>228600</xdr:colOff>
                    <xdr:row>12</xdr:row>
                    <xdr:rowOff>101600</xdr:rowOff>
                  </to>
                </anchor>
              </controlPr>
            </control>
          </mc:Choice>
        </mc:AlternateContent>
        <mc:AlternateContent xmlns:mc="http://schemas.openxmlformats.org/markup-compatibility/2006">
          <mc:Choice Requires="x14">
            <control shapeId="2055" r:id="rId10" name="Option Button 7">
              <controlPr defaultSize="0" autoFill="0" autoLine="0" autoPict="0" altText="">
                <anchor moveWithCells="1">
                  <from>
                    <xdr:col>2</xdr:col>
                    <xdr:colOff>25400</xdr:colOff>
                    <xdr:row>6</xdr:row>
                    <xdr:rowOff>254000</xdr:rowOff>
                  </from>
                  <to>
                    <xdr:col>3</xdr:col>
                    <xdr:colOff>25400</xdr:colOff>
                    <xdr:row>6</xdr:row>
                    <xdr:rowOff>647700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38100</xdr:colOff>
                    <xdr:row>6</xdr:row>
                    <xdr:rowOff>254000</xdr:rowOff>
                  </from>
                  <to>
                    <xdr:col>3</xdr:col>
                    <xdr:colOff>342900</xdr:colOff>
                    <xdr:row>6</xdr:row>
                    <xdr:rowOff>647700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4</xdr:col>
                    <xdr:colOff>63500</xdr:colOff>
                    <xdr:row>6</xdr:row>
                    <xdr:rowOff>215900</xdr:rowOff>
                  </from>
                  <to>
                    <xdr:col>4</xdr:col>
                    <xdr:colOff>342900</xdr:colOff>
                    <xdr:row>6</xdr:row>
                    <xdr:rowOff>673100</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5</xdr:col>
                    <xdr:colOff>38100</xdr:colOff>
                    <xdr:row>6</xdr:row>
                    <xdr:rowOff>241300</xdr:rowOff>
                  </from>
                  <to>
                    <xdr:col>5</xdr:col>
                    <xdr:colOff>342900</xdr:colOff>
                    <xdr:row>6</xdr:row>
                    <xdr:rowOff>647700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2</xdr:col>
                    <xdr:colOff>25400</xdr:colOff>
                    <xdr:row>7</xdr:row>
                    <xdr:rowOff>406400</xdr:rowOff>
                  </from>
                  <to>
                    <xdr:col>3</xdr:col>
                    <xdr:colOff>50800</xdr:colOff>
                    <xdr:row>7</xdr:row>
                    <xdr:rowOff>787400</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3</xdr:col>
                    <xdr:colOff>38100</xdr:colOff>
                    <xdr:row>7</xdr:row>
                    <xdr:rowOff>406400</xdr:rowOff>
                  </from>
                  <to>
                    <xdr:col>3</xdr:col>
                    <xdr:colOff>330200</xdr:colOff>
                    <xdr:row>7</xdr:row>
                    <xdr:rowOff>787400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4</xdr:col>
                    <xdr:colOff>63500</xdr:colOff>
                    <xdr:row>7</xdr:row>
                    <xdr:rowOff>381000</xdr:rowOff>
                  </from>
                  <to>
                    <xdr:col>4</xdr:col>
                    <xdr:colOff>381000</xdr:colOff>
                    <xdr:row>7</xdr:row>
                    <xdr:rowOff>800100</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5</xdr:col>
                    <xdr:colOff>38100</xdr:colOff>
                    <xdr:row>7</xdr:row>
                    <xdr:rowOff>381000</xdr:rowOff>
                  </from>
                  <to>
                    <xdr:col>5</xdr:col>
                    <xdr:colOff>342900</xdr:colOff>
                    <xdr:row>7</xdr:row>
                    <xdr:rowOff>800100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2</xdr:col>
                    <xdr:colOff>25400</xdr:colOff>
                    <xdr:row>8</xdr:row>
                    <xdr:rowOff>292100</xdr:rowOff>
                  </from>
                  <to>
                    <xdr:col>3</xdr:col>
                    <xdr:colOff>25400</xdr:colOff>
                    <xdr:row>8</xdr:row>
                    <xdr:rowOff>673100</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3</xdr:col>
                    <xdr:colOff>38100</xdr:colOff>
                    <xdr:row>8</xdr:row>
                    <xdr:rowOff>266700</xdr:rowOff>
                  </from>
                  <to>
                    <xdr:col>3</xdr:col>
                    <xdr:colOff>330200</xdr:colOff>
                    <xdr:row>8</xdr:row>
                    <xdr:rowOff>685800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4</xdr:col>
                    <xdr:colOff>63500</xdr:colOff>
                    <xdr:row>8</xdr:row>
                    <xdr:rowOff>266700</xdr:rowOff>
                  </from>
                  <to>
                    <xdr:col>4</xdr:col>
                    <xdr:colOff>342900</xdr:colOff>
                    <xdr:row>8</xdr:row>
                    <xdr:rowOff>685800</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5</xdr:col>
                    <xdr:colOff>38100</xdr:colOff>
                    <xdr:row>8</xdr:row>
                    <xdr:rowOff>254000</xdr:rowOff>
                  </from>
                  <to>
                    <xdr:col>5</xdr:col>
                    <xdr:colOff>304800</xdr:colOff>
                    <xdr:row>8</xdr:row>
                    <xdr:rowOff>698500</xdr:rowOff>
                  </to>
                </anchor>
              </controlPr>
            </control>
          </mc:Choice>
        </mc:AlternateContent>
        <mc:AlternateContent xmlns:mc="http://schemas.openxmlformats.org/markup-compatibility/2006">
          <mc:Choice Requires="x14">
            <control shapeId="2067" r:id="rId22" name="Option Button 19">
              <controlPr defaultSize="0" autoFill="0" autoLine="0" autoPict="0">
                <anchor moveWithCells="1">
                  <from>
                    <xdr:col>2</xdr:col>
                    <xdr:colOff>25400</xdr:colOff>
                    <xdr:row>9</xdr:row>
                    <xdr:rowOff>254000</xdr:rowOff>
                  </from>
                  <to>
                    <xdr:col>2</xdr:col>
                    <xdr:colOff>304800</xdr:colOff>
                    <xdr:row>9</xdr:row>
                    <xdr:rowOff>558800</xdr:rowOff>
                  </to>
                </anchor>
              </controlPr>
            </control>
          </mc:Choice>
        </mc:AlternateContent>
        <mc:AlternateContent xmlns:mc="http://schemas.openxmlformats.org/markup-compatibility/2006">
          <mc:Choice Requires="x14">
            <control shapeId="2068" r:id="rId23" name="Option Button 20">
              <controlPr defaultSize="0" autoFill="0" autoLine="0" autoPict="0">
                <anchor moveWithCells="1">
                  <from>
                    <xdr:col>3</xdr:col>
                    <xdr:colOff>38100</xdr:colOff>
                    <xdr:row>9</xdr:row>
                    <xdr:rowOff>241300</xdr:rowOff>
                  </from>
                  <to>
                    <xdr:col>3</xdr:col>
                    <xdr:colOff>304800</xdr:colOff>
                    <xdr:row>9</xdr:row>
                    <xdr:rowOff>584200</xdr:rowOff>
                  </to>
                </anchor>
              </controlPr>
            </control>
          </mc:Choice>
        </mc:AlternateContent>
        <mc:AlternateContent xmlns:mc="http://schemas.openxmlformats.org/markup-compatibility/2006">
          <mc:Choice Requires="x14">
            <control shapeId="2069" r:id="rId24" name="Option Button 21">
              <controlPr defaultSize="0" autoFill="0" autoLine="0" autoPict="0">
                <anchor moveWithCells="1">
                  <from>
                    <xdr:col>4</xdr:col>
                    <xdr:colOff>63500</xdr:colOff>
                    <xdr:row>9</xdr:row>
                    <xdr:rowOff>254000</xdr:rowOff>
                  </from>
                  <to>
                    <xdr:col>4</xdr:col>
                    <xdr:colOff>330200</xdr:colOff>
                    <xdr:row>9</xdr:row>
                    <xdr:rowOff>558800</xdr:rowOff>
                  </to>
                </anchor>
              </controlPr>
            </control>
          </mc:Choice>
        </mc:AlternateContent>
        <mc:AlternateContent xmlns:mc="http://schemas.openxmlformats.org/markup-compatibility/2006">
          <mc:Choice Requires="x14">
            <control shapeId="2070" r:id="rId25" name="Option Button 22">
              <controlPr defaultSize="0" autoFill="0" autoLine="0" autoPict="0">
                <anchor moveWithCells="1">
                  <from>
                    <xdr:col>5</xdr:col>
                    <xdr:colOff>38100</xdr:colOff>
                    <xdr:row>9</xdr:row>
                    <xdr:rowOff>241300</xdr:rowOff>
                  </from>
                  <to>
                    <xdr:col>5</xdr:col>
                    <xdr:colOff>330200</xdr:colOff>
                    <xdr:row>9</xdr:row>
                    <xdr:rowOff>584200</xdr:rowOff>
                  </to>
                </anchor>
              </controlPr>
            </control>
          </mc:Choice>
        </mc:AlternateContent>
        <mc:AlternateContent xmlns:mc="http://schemas.openxmlformats.org/markup-compatibility/2006">
          <mc:Choice Requires="x14">
            <control shapeId="2071" r:id="rId26" name="Option Button 23">
              <controlPr defaultSize="0" autoFill="0" autoLine="0" autoPict="0">
                <anchor moveWithCells="1">
                  <from>
                    <xdr:col>2</xdr:col>
                    <xdr:colOff>25400</xdr:colOff>
                    <xdr:row>10</xdr:row>
                    <xdr:rowOff>114300</xdr:rowOff>
                  </from>
                  <to>
                    <xdr:col>3</xdr:col>
                    <xdr:colOff>0</xdr:colOff>
                    <xdr:row>10</xdr:row>
                    <xdr:rowOff>673100</xdr:rowOff>
                  </to>
                </anchor>
              </controlPr>
            </control>
          </mc:Choice>
        </mc:AlternateContent>
        <mc:AlternateContent xmlns:mc="http://schemas.openxmlformats.org/markup-compatibility/2006">
          <mc:Choice Requires="x14">
            <control shapeId="2072" r:id="rId27" name="Option Button 24">
              <controlPr defaultSize="0" autoFill="0" autoLine="0" autoPict="0">
                <anchor moveWithCells="1">
                  <from>
                    <xdr:col>3</xdr:col>
                    <xdr:colOff>38100</xdr:colOff>
                    <xdr:row>10</xdr:row>
                    <xdr:rowOff>139700</xdr:rowOff>
                  </from>
                  <to>
                    <xdr:col>3</xdr:col>
                    <xdr:colOff>368300</xdr:colOff>
                    <xdr:row>10</xdr:row>
                    <xdr:rowOff>647700</xdr:rowOff>
                  </to>
                </anchor>
              </controlPr>
            </control>
          </mc:Choice>
        </mc:AlternateContent>
        <mc:AlternateContent xmlns:mc="http://schemas.openxmlformats.org/markup-compatibility/2006">
          <mc:Choice Requires="x14">
            <control shapeId="2073" r:id="rId28" name="Option Button 25">
              <controlPr defaultSize="0" autoFill="0" autoLine="0" autoPict="0">
                <anchor moveWithCells="1">
                  <from>
                    <xdr:col>4</xdr:col>
                    <xdr:colOff>63500</xdr:colOff>
                    <xdr:row>10</xdr:row>
                    <xdr:rowOff>114300</xdr:rowOff>
                  </from>
                  <to>
                    <xdr:col>4</xdr:col>
                    <xdr:colOff>330200</xdr:colOff>
                    <xdr:row>10</xdr:row>
                    <xdr:rowOff>673100</xdr:rowOff>
                  </to>
                </anchor>
              </controlPr>
            </control>
          </mc:Choice>
        </mc:AlternateContent>
        <mc:AlternateContent xmlns:mc="http://schemas.openxmlformats.org/markup-compatibility/2006">
          <mc:Choice Requires="x14">
            <control shapeId="2074" r:id="rId29" name="Option Button 26">
              <controlPr defaultSize="0" autoFill="0" autoLine="0" autoPict="0">
                <anchor moveWithCells="1">
                  <from>
                    <xdr:col>5</xdr:col>
                    <xdr:colOff>38100</xdr:colOff>
                    <xdr:row>10</xdr:row>
                    <xdr:rowOff>127000</xdr:rowOff>
                  </from>
                  <to>
                    <xdr:col>5</xdr:col>
                    <xdr:colOff>342900</xdr:colOff>
                    <xdr:row>10</xdr:row>
                    <xdr:rowOff>660400</xdr:rowOff>
                  </to>
                </anchor>
              </controlPr>
            </control>
          </mc:Choice>
        </mc:AlternateContent>
        <mc:AlternateContent xmlns:mc="http://schemas.openxmlformats.org/markup-compatibility/2006">
          <mc:Choice Requires="x14">
            <control shapeId="2075" r:id="rId30" name="Option Button 27">
              <controlPr defaultSize="0" autoFill="0" autoLine="0" autoPict="0">
                <anchor moveWithCells="1">
                  <from>
                    <xdr:col>2</xdr:col>
                    <xdr:colOff>25400</xdr:colOff>
                    <xdr:row>11</xdr:row>
                    <xdr:rowOff>50800</xdr:rowOff>
                  </from>
                  <to>
                    <xdr:col>2</xdr:col>
                    <xdr:colOff>292100</xdr:colOff>
                    <xdr:row>11</xdr:row>
                    <xdr:rowOff>546100</xdr:rowOff>
                  </to>
                </anchor>
              </controlPr>
            </control>
          </mc:Choice>
        </mc:AlternateContent>
        <mc:AlternateContent xmlns:mc="http://schemas.openxmlformats.org/markup-compatibility/2006">
          <mc:Choice Requires="x14">
            <control shapeId="2076" r:id="rId31" name="Option Button 28">
              <controlPr defaultSize="0" autoFill="0" autoLine="0" autoPict="0">
                <anchor moveWithCells="1">
                  <from>
                    <xdr:col>3</xdr:col>
                    <xdr:colOff>38100</xdr:colOff>
                    <xdr:row>11</xdr:row>
                    <xdr:rowOff>38100</xdr:rowOff>
                  </from>
                  <to>
                    <xdr:col>3</xdr:col>
                    <xdr:colOff>368300</xdr:colOff>
                    <xdr:row>11</xdr:row>
                    <xdr:rowOff>571500</xdr:rowOff>
                  </to>
                </anchor>
              </controlPr>
            </control>
          </mc:Choice>
        </mc:AlternateContent>
        <mc:AlternateContent xmlns:mc="http://schemas.openxmlformats.org/markup-compatibility/2006">
          <mc:Choice Requires="x14">
            <control shapeId="2077" r:id="rId32" name="Option Button 29">
              <controlPr defaultSize="0" autoFill="0" autoLine="0" autoPict="0">
                <anchor moveWithCells="1">
                  <from>
                    <xdr:col>4</xdr:col>
                    <xdr:colOff>63500</xdr:colOff>
                    <xdr:row>11</xdr:row>
                    <xdr:rowOff>25400</xdr:rowOff>
                  </from>
                  <to>
                    <xdr:col>4</xdr:col>
                    <xdr:colOff>381000</xdr:colOff>
                    <xdr:row>11</xdr:row>
                    <xdr:rowOff>571500</xdr:rowOff>
                  </to>
                </anchor>
              </controlPr>
            </control>
          </mc:Choice>
        </mc:AlternateContent>
        <mc:AlternateContent xmlns:mc="http://schemas.openxmlformats.org/markup-compatibility/2006">
          <mc:Choice Requires="x14">
            <control shapeId="2078" r:id="rId33" name="Option Button 30">
              <controlPr defaultSize="0" autoFill="0" autoLine="0" autoPict="0">
                <anchor moveWithCells="1">
                  <from>
                    <xdr:col>5</xdr:col>
                    <xdr:colOff>38100</xdr:colOff>
                    <xdr:row>11</xdr:row>
                    <xdr:rowOff>25400</xdr:rowOff>
                  </from>
                  <to>
                    <xdr:col>5</xdr:col>
                    <xdr:colOff>368300</xdr:colOff>
                    <xdr:row>11</xdr:row>
                    <xdr:rowOff>571500</xdr:rowOff>
                  </to>
                </anchor>
              </controlPr>
            </control>
          </mc:Choice>
        </mc:AlternateContent>
        <mc:AlternateContent xmlns:mc="http://schemas.openxmlformats.org/markup-compatibility/2006">
          <mc:Choice Requires="x14">
            <control shapeId="2080" r:id="rId34" name="Group Box 32">
              <controlPr defaultSize="0" autoFill="0" autoPict="0">
                <anchor moveWithCells="1">
                  <from>
                    <xdr:col>2</xdr:col>
                    <xdr:colOff>0</xdr:colOff>
                    <xdr:row>20</xdr:row>
                    <xdr:rowOff>76200</xdr:rowOff>
                  </from>
                  <to>
                    <xdr:col>7</xdr:col>
                    <xdr:colOff>114300</xdr:colOff>
                    <xdr:row>20</xdr:row>
                    <xdr:rowOff>546100</xdr:rowOff>
                  </to>
                </anchor>
              </controlPr>
            </control>
          </mc:Choice>
        </mc:AlternateContent>
        <mc:AlternateContent xmlns:mc="http://schemas.openxmlformats.org/markup-compatibility/2006">
          <mc:Choice Requires="x14">
            <control shapeId="2083" r:id="rId35" name="Option Button 35">
              <controlPr defaultSize="0" autoFill="0" autoLine="0" autoPict="0">
                <anchor moveWithCells="1">
                  <from>
                    <xdr:col>2</xdr:col>
                    <xdr:colOff>50800</xdr:colOff>
                    <xdr:row>20</xdr:row>
                    <xdr:rowOff>114300</xdr:rowOff>
                  </from>
                  <to>
                    <xdr:col>2</xdr:col>
                    <xdr:colOff>317500</xdr:colOff>
                    <xdr:row>20</xdr:row>
                    <xdr:rowOff>508000</xdr:rowOff>
                  </to>
                </anchor>
              </controlPr>
            </control>
          </mc:Choice>
        </mc:AlternateContent>
        <mc:AlternateContent xmlns:mc="http://schemas.openxmlformats.org/markup-compatibility/2006">
          <mc:Choice Requires="x14">
            <control shapeId="2084" r:id="rId36" name="Option Button 36">
              <controlPr defaultSize="0" autoFill="0" autoLine="0" autoPict="0">
                <anchor moveWithCells="1">
                  <from>
                    <xdr:col>3</xdr:col>
                    <xdr:colOff>38100</xdr:colOff>
                    <xdr:row>20</xdr:row>
                    <xdr:rowOff>101600</xdr:rowOff>
                  </from>
                  <to>
                    <xdr:col>3</xdr:col>
                    <xdr:colOff>304800</xdr:colOff>
                    <xdr:row>20</xdr:row>
                    <xdr:rowOff>508000</xdr:rowOff>
                  </to>
                </anchor>
              </controlPr>
            </control>
          </mc:Choice>
        </mc:AlternateContent>
        <mc:AlternateContent xmlns:mc="http://schemas.openxmlformats.org/markup-compatibility/2006">
          <mc:Choice Requires="x14">
            <control shapeId="2085" r:id="rId37" name="Option Button 37">
              <controlPr defaultSize="0" autoFill="0" autoLine="0" autoPict="0">
                <anchor moveWithCells="1">
                  <from>
                    <xdr:col>4</xdr:col>
                    <xdr:colOff>63500</xdr:colOff>
                    <xdr:row>20</xdr:row>
                    <xdr:rowOff>101600</xdr:rowOff>
                  </from>
                  <to>
                    <xdr:col>4</xdr:col>
                    <xdr:colOff>368300</xdr:colOff>
                    <xdr:row>20</xdr:row>
                    <xdr:rowOff>508000</xdr:rowOff>
                  </to>
                </anchor>
              </controlPr>
            </control>
          </mc:Choice>
        </mc:AlternateContent>
        <mc:AlternateContent xmlns:mc="http://schemas.openxmlformats.org/markup-compatibility/2006">
          <mc:Choice Requires="x14">
            <control shapeId="2086" r:id="rId38" name="Option Button 38">
              <controlPr defaultSize="0" autoFill="0" autoLine="0" autoPict="0">
                <anchor moveWithCells="1">
                  <from>
                    <xdr:col>5</xdr:col>
                    <xdr:colOff>76200</xdr:colOff>
                    <xdr:row>20</xdr:row>
                    <xdr:rowOff>101600</xdr:rowOff>
                  </from>
                  <to>
                    <xdr:col>5</xdr:col>
                    <xdr:colOff>381000</xdr:colOff>
                    <xdr:row>20</xdr:row>
                    <xdr:rowOff>508000</xdr:rowOff>
                  </to>
                </anchor>
              </controlPr>
            </control>
          </mc:Choice>
        </mc:AlternateContent>
        <mc:AlternateContent xmlns:mc="http://schemas.openxmlformats.org/markup-compatibility/2006">
          <mc:Choice Requires="x14">
            <control shapeId="2099" r:id="rId39" name="Group Box 51">
              <controlPr defaultSize="0" autoFill="0" autoPict="0">
                <anchor moveWithCells="1">
                  <from>
                    <xdr:col>2</xdr:col>
                    <xdr:colOff>0</xdr:colOff>
                    <xdr:row>32</xdr:row>
                    <xdr:rowOff>38100</xdr:rowOff>
                  </from>
                  <to>
                    <xdr:col>7</xdr:col>
                    <xdr:colOff>152400</xdr:colOff>
                    <xdr:row>32</xdr:row>
                    <xdr:rowOff>368300</xdr:rowOff>
                  </to>
                </anchor>
              </controlPr>
            </control>
          </mc:Choice>
        </mc:AlternateContent>
        <mc:AlternateContent xmlns:mc="http://schemas.openxmlformats.org/markup-compatibility/2006">
          <mc:Choice Requires="x14">
            <control shapeId="2100" r:id="rId40" name="Option Button 52">
              <controlPr defaultSize="0" autoFill="0" autoLine="0" autoPict="0">
                <anchor moveWithCells="1">
                  <from>
                    <xdr:col>2</xdr:col>
                    <xdr:colOff>25400</xdr:colOff>
                    <xdr:row>32</xdr:row>
                    <xdr:rowOff>114300</xdr:rowOff>
                  </from>
                  <to>
                    <xdr:col>2</xdr:col>
                    <xdr:colOff>330200</xdr:colOff>
                    <xdr:row>32</xdr:row>
                    <xdr:rowOff>342900</xdr:rowOff>
                  </to>
                </anchor>
              </controlPr>
            </control>
          </mc:Choice>
        </mc:AlternateContent>
        <mc:AlternateContent xmlns:mc="http://schemas.openxmlformats.org/markup-compatibility/2006">
          <mc:Choice Requires="x14">
            <control shapeId="2101" r:id="rId41" name="Option Button 53">
              <controlPr defaultSize="0" autoFill="0" autoLine="0" autoPict="0">
                <anchor moveWithCells="1">
                  <from>
                    <xdr:col>3</xdr:col>
                    <xdr:colOff>38100</xdr:colOff>
                    <xdr:row>32</xdr:row>
                    <xdr:rowOff>101600</xdr:rowOff>
                  </from>
                  <to>
                    <xdr:col>3</xdr:col>
                    <xdr:colOff>317500</xdr:colOff>
                    <xdr:row>32</xdr:row>
                    <xdr:rowOff>368300</xdr:rowOff>
                  </to>
                </anchor>
              </controlPr>
            </control>
          </mc:Choice>
        </mc:AlternateContent>
        <mc:AlternateContent xmlns:mc="http://schemas.openxmlformats.org/markup-compatibility/2006">
          <mc:Choice Requires="x14">
            <control shapeId="2102" r:id="rId42" name="Option Button 54">
              <controlPr defaultSize="0" autoFill="0" autoLine="0" autoPict="0">
                <anchor moveWithCells="1">
                  <from>
                    <xdr:col>4</xdr:col>
                    <xdr:colOff>38100</xdr:colOff>
                    <xdr:row>32</xdr:row>
                    <xdr:rowOff>101600</xdr:rowOff>
                  </from>
                  <to>
                    <xdr:col>4</xdr:col>
                    <xdr:colOff>381000</xdr:colOff>
                    <xdr:row>32</xdr:row>
                    <xdr:rowOff>368300</xdr:rowOff>
                  </to>
                </anchor>
              </controlPr>
            </control>
          </mc:Choice>
        </mc:AlternateContent>
        <mc:AlternateContent xmlns:mc="http://schemas.openxmlformats.org/markup-compatibility/2006">
          <mc:Choice Requires="x14">
            <control shapeId="2103" r:id="rId43" name="Option Button 55">
              <controlPr defaultSize="0" autoFill="0" autoLine="0" autoPict="0">
                <anchor moveWithCells="1">
                  <from>
                    <xdr:col>5</xdr:col>
                    <xdr:colOff>12700</xdr:colOff>
                    <xdr:row>32</xdr:row>
                    <xdr:rowOff>114300</xdr:rowOff>
                  </from>
                  <to>
                    <xdr:col>5</xdr:col>
                    <xdr:colOff>381000</xdr:colOff>
                    <xdr:row>32</xdr:row>
                    <xdr:rowOff>342900</xdr:rowOff>
                  </to>
                </anchor>
              </controlPr>
            </control>
          </mc:Choice>
        </mc:AlternateContent>
        <mc:AlternateContent xmlns:mc="http://schemas.openxmlformats.org/markup-compatibility/2006">
          <mc:Choice Requires="x14">
            <control shapeId="2104" r:id="rId44" name="Group Box 56">
              <controlPr defaultSize="0" autoFill="0" autoPict="0">
                <anchor moveWithCells="1">
                  <from>
                    <xdr:col>2</xdr:col>
                    <xdr:colOff>0</xdr:colOff>
                    <xdr:row>33</xdr:row>
                    <xdr:rowOff>63500</xdr:rowOff>
                  </from>
                  <to>
                    <xdr:col>7</xdr:col>
                    <xdr:colOff>190500</xdr:colOff>
                    <xdr:row>33</xdr:row>
                    <xdr:rowOff>419100</xdr:rowOff>
                  </to>
                </anchor>
              </controlPr>
            </control>
          </mc:Choice>
        </mc:AlternateContent>
        <mc:AlternateContent xmlns:mc="http://schemas.openxmlformats.org/markup-compatibility/2006">
          <mc:Choice Requires="x14">
            <control shapeId="2105" r:id="rId45" name="Group Box 57">
              <controlPr defaultSize="0" autoFill="0" autoPict="0">
                <anchor moveWithCells="1">
                  <from>
                    <xdr:col>2</xdr:col>
                    <xdr:colOff>0</xdr:colOff>
                    <xdr:row>34</xdr:row>
                    <xdr:rowOff>25400</xdr:rowOff>
                  </from>
                  <to>
                    <xdr:col>7</xdr:col>
                    <xdr:colOff>190500</xdr:colOff>
                    <xdr:row>34</xdr:row>
                    <xdr:rowOff>406400</xdr:rowOff>
                  </to>
                </anchor>
              </controlPr>
            </control>
          </mc:Choice>
        </mc:AlternateContent>
        <mc:AlternateContent xmlns:mc="http://schemas.openxmlformats.org/markup-compatibility/2006">
          <mc:Choice Requires="x14">
            <control shapeId="2106" r:id="rId46" name="Group Box 58">
              <controlPr defaultSize="0" autoFill="0" autoPict="0">
                <anchor moveWithCells="1">
                  <from>
                    <xdr:col>2</xdr:col>
                    <xdr:colOff>0</xdr:colOff>
                    <xdr:row>35</xdr:row>
                    <xdr:rowOff>50800</xdr:rowOff>
                  </from>
                  <to>
                    <xdr:col>7</xdr:col>
                    <xdr:colOff>177800</xdr:colOff>
                    <xdr:row>35</xdr:row>
                    <xdr:rowOff>469900</xdr:rowOff>
                  </to>
                </anchor>
              </controlPr>
            </control>
          </mc:Choice>
        </mc:AlternateContent>
        <mc:AlternateContent xmlns:mc="http://schemas.openxmlformats.org/markup-compatibility/2006">
          <mc:Choice Requires="x14">
            <control shapeId="2107" r:id="rId47" name="Group Box 59">
              <controlPr defaultSize="0" autoFill="0" autoPict="0">
                <anchor moveWithCells="1">
                  <from>
                    <xdr:col>1</xdr:col>
                    <xdr:colOff>4660900</xdr:colOff>
                    <xdr:row>36</xdr:row>
                    <xdr:rowOff>50800</xdr:rowOff>
                  </from>
                  <to>
                    <xdr:col>7</xdr:col>
                    <xdr:colOff>177800</xdr:colOff>
                    <xdr:row>36</xdr:row>
                    <xdr:rowOff>368300</xdr:rowOff>
                  </to>
                </anchor>
              </controlPr>
            </control>
          </mc:Choice>
        </mc:AlternateContent>
        <mc:AlternateContent xmlns:mc="http://schemas.openxmlformats.org/markup-compatibility/2006">
          <mc:Choice Requires="x14">
            <control shapeId="2109" r:id="rId48" name="Option Button 61">
              <controlPr defaultSize="0" autoFill="0" autoLine="0" autoPict="0">
                <anchor moveWithCells="1">
                  <from>
                    <xdr:col>2</xdr:col>
                    <xdr:colOff>25400</xdr:colOff>
                    <xdr:row>33</xdr:row>
                    <xdr:rowOff>190500</xdr:rowOff>
                  </from>
                  <to>
                    <xdr:col>2</xdr:col>
                    <xdr:colOff>330200</xdr:colOff>
                    <xdr:row>33</xdr:row>
                    <xdr:rowOff>342900</xdr:rowOff>
                  </to>
                </anchor>
              </controlPr>
            </control>
          </mc:Choice>
        </mc:AlternateContent>
        <mc:AlternateContent xmlns:mc="http://schemas.openxmlformats.org/markup-compatibility/2006">
          <mc:Choice Requires="x14">
            <control shapeId="2110" r:id="rId49" name="Option Button 62">
              <controlPr defaultSize="0" autoFill="0" autoLine="0" autoPict="0">
                <anchor moveWithCells="1">
                  <from>
                    <xdr:col>3</xdr:col>
                    <xdr:colOff>38100</xdr:colOff>
                    <xdr:row>33</xdr:row>
                    <xdr:rowOff>190500</xdr:rowOff>
                  </from>
                  <to>
                    <xdr:col>3</xdr:col>
                    <xdr:colOff>330200</xdr:colOff>
                    <xdr:row>33</xdr:row>
                    <xdr:rowOff>330200</xdr:rowOff>
                  </to>
                </anchor>
              </controlPr>
            </control>
          </mc:Choice>
        </mc:AlternateContent>
        <mc:AlternateContent xmlns:mc="http://schemas.openxmlformats.org/markup-compatibility/2006">
          <mc:Choice Requires="x14">
            <control shapeId="2111" r:id="rId50" name="Option Button 63">
              <controlPr defaultSize="0" autoFill="0" autoLine="0" autoPict="0">
                <anchor moveWithCells="1">
                  <from>
                    <xdr:col>4</xdr:col>
                    <xdr:colOff>38100</xdr:colOff>
                    <xdr:row>33</xdr:row>
                    <xdr:rowOff>190500</xdr:rowOff>
                  </from>
                  <to>
                    <xdr:col>4</xdr:col>
                    <xdr:colOff>368300</xdr:colOff>
                    <xdr:row>33</xdr:row>
                    <xdr:rowOff>342900</xdr:rowOff>
                  </to>
                </anchor>
              </controlPr>
            </control>
          </mc:Choice>
        </mc:AlternateContent>
        <mc:AlternateContent xmlns:mc="http://schemas.openxmlformats.org/markup-compatibility/2006">
          <mc:Choice Requires="x14">
            <control shapeId="2112" r:id="rId51" name="Option Button 64">
              <controlPr defaultSize="0" autoFill="0" autoLine="0" autoPict="0">
                <anchor moveWithCells="1">
                  <from>
                    <xdr:col>5</xdr:col>
                    <xdr:colOff>12700</xdr:colOff>
                    <xdr:row>33</xdr:row>
                    <xdr:rowOff>190500</xdr:rowOff>
                  </from>
                  <to>
                    <xdr:col>5</xdr:col>
                    <xdr:colOff>342900</xdr:colOff>
                    <xdr:row>33</xdr:row>
                    <xdr:rowOff>342900</xdr:rowOff>
                  </to>
                </anchor>
              </controlPr>
            </control>
          </mc:Choice>
        </mc:AlternateContent>
        <mc:AlternateContent xmlns:mc="http://schemas.openxmlformats.org/markup-compatibility/2006">
          <mc:Choice Requires="x14">
            <control shapeId="2113" r:id="rId52" name="Option Button 65">
              <controlPr defaultSize="0" autoFill="0" autoLine="0" autoPict="0">
                <anchor moveWithCells="1">
                  <from>
                    <xdr:col>2</xdr:col>
                    <xdr:colOff>25400</xdr:colOff>
                    <xdr:row>34</xdr:row>
                    <xdr:rowOff>139700</xdr:rowOff>
                  </from>
                  <to>
                    <xdr:col>2</xdr:col>
                    <xdr:colOff>330200</xdr:colOff>
                    <xdr:row>34</xdr:row>
                    <xdr:rowOff>279400</xdr:rowOff>
                  </to>
                </anchor>
              </controlPr>
            </control>
          </mc:Choice>
        </mc:AlternateContent>
        <mc:AlternateContent xmlns:mc="http://schemas.openxmlformats.org/markup-compatibility/2006">
          <mc:Choice Requires="x14">
            <control shapeId="2114" r:id="rId53" name="Option Button 66">
              <controlPr defaultSize="0" autoFill="0" autoLine="0" autoPict="0">
                <anchor moveWithCells="1">
                  <from>
                    <xdr:col>3</xdr:col>
                    <xdr:colOff>38100</xdr:colOff>
                    <xdr:row>34</xdr:row>
                    <xdr:rowOff>139700</xdr:rowOff>
                  </from>
                  <to>
                    <xdr:col>3</xdr:col>
                    <xdr:colOff>368300</xdr:colOff>
                    <xdr:row>34</xdr:row>
                    <xdr:rowOff>279400</xdr:rowOff>
                  </to>
                </anchor>
              </controlPr>
            </control>
          </mc:Choice>
        </mc:AlternateContent>
        <mc:AlternateContent xmlns:mc="http://schemas.openxmlformats.org/markup-compatibility/2006">
          <mc:Choice Requires="x14">
            <control shapeId="2115" r:id="rId54" name="Option Button 67">
              <controlPr defaultSize="0" autoFill="0" autoLine="0" autoPict="0">
                <anchor moveWithCells="1">
                  <from>
                    <xdr:col>4</xdr:col>
                    <xdr:colOff>38100</xdr:colOff>
                    <xdr:row>34</xdr:row>
                    <xdr:rowOff>139700</xdr:rowOff>
                  </from>
                  <to>
                    <xdr:col>4</xdr:col>
                    <xdr:colOff>330200</xdr:colOff>
                    <xdr:row>34</xdr:row>
                    <xdr:rowOff>279400</xdr:rowOff>
                  </to>
                </anchor>
              </controlPr>
            </control>
          </mc:Choice>
        </mc:AlternateContent>
        <mc:AlternateContent xmlns:mc="http://schemas.openxmlformats.org/markup-compatibility/2006">
          <mc:Choice Requires="x14">
            <control shapeId="2116" r:id="rId55" name="Option Button 68">
              <controlPr defaultSize="0" autoFill="0" autoLine="0" autoPict="0">
                <anchor moveWithCells="1">
                  <from>
                    <xdr:col>5</xdr:col>
                    <xdr:colOff>12700</xdr:colOff>
                    <xdr:row>34</xdr:row>
                    <xdr:rowOff>139700</xdr:rowOff>
                  </from>
                  <to>
                    <xdr:col>5</xdr:col>
                    <xdr:colOff>304800</xdr:colOff>
                    <xdr:row>34</xdr:row>
                    <xdr:rowOff>279400</xdr:rowOff>
                  </to>
                </anchor>
              </controlPr>
            </control>
          </mc:Choice>
        </mc:AlternateContent>
        <mc:AlternateContent xmlns:mc="http://schemas.openxmlformats.org/markup-compatibility/2006">
          <mc:Choice Requires="x14">
            <control shapeId="2117" r:id="rId56" name="Option Button 69">
              <controlPr defaultSize="0" autoFill="0" autoLine="0" autoPict="0">
                <anchor moveWithCells="1">
                  <from>
                    <xdr:col>2</xdr:col>
                    <xdr:colOff>25400</xdr:colOff>
                    <xdr:row>35</xdr:row>
                    <xdr:rowOff>127000</xdr:rowOff>
                  </from>
                  <to>
                    <xdr:col>3</xdr:col>
                    <xdr:colOff>0</xdr:colOff>
                    <xdr:row>35</xdr:row>
                    <xdr:rowOff>431800</xdr:rowOff>
                  </to>
                </anchor>
              </controlPr>
            </control>
          </mc:Choice>
        </mc:AlternateContent>
        <mc:AlternateContent xmlns:mc="http://schemas.openxmlformats.org/markup-compatibility/2006">
          <mc:Choice Requires="x14">
            <control shapeId="2118" r:id="rId57" name="Option Button 70">
              <controlPr defaultSize="0" autoFill="0" autoLine="0" autoPict="0">
                <anchor moveWithCells="1">
                  <from>
                    <xdr:col>3</xdr:col>
                    <xdr:colOff>38100</xdr:colOff>
                    <xdr:row>35</xdr:row>
                    <xdr:rowOff>152400</xdr:rowOff>
                  </from>
                  <to>
                    <xdr:col>3</xdr:col>
                    <xdr:colOff>368300</xdr:colOff>
                    <xdr:row>35</xdr:row>
                    <xdr:rowOff>419100</xdr:rowOff>
                  </to>
                </anchor>
              </controlPr>
            </control>
          </mc:Choice>
        </mc:AlternateContent>
        <mc:AlternateContent xmlns:mc="http://schemas.openxmlformats.org/markup-compatibility/2006">
          <mc:Choice Requires="x14">
            <control shapeId="2119" r:id="rId58" name="Option Button 71">
              <controlPr defaultSize="0" autoFill="0" autoLine="0" autoPict="0">
                <anchor moveWithCells="1">
                  <from>
                    <xdr:col>4</xdr:col>
                    <xdr:colOff>38100</xdr:colOff>
                    <xdr:row>35</xdr:row>
                    <xdr:rowOff>152400</xdr:rowOff>
                  </from>
                  <to>
                    <xdr:col>4</xdr:col>
                    <xdr:colOff>330200</xdr:colOff>
                    <xdr:row>35</xdr:row>
                    <xdr:rowOff>419100</xdr:rowOff>
                  </to>
                </anchor>
              </controlPr>
            </control>
          </mc:Choice>
        </mc:AlternateContent>
        <mc:AlternateContent xmlns:mc="http://schemas.openxmlformats.org/markup-compatibility/2006">
          <mc:Choice Requires="x14">
            <control shapeId="2120" r:id="rId59" name="Option Button 72">
              <controlPr defaultSize="0" autoFill="0" autoLine="0" autoPict="0">
                <anchor moveWithCells="1">
                  <from>
                    <xdr:col>5</xdr:col>
                    <xdr:colOff>12700</xdr:colOff>
                    <xdr:row>35</xdr:row>
                    <xdr:rowOff>165100</xdr:rowOff>
                  </from>
                  <to>
                    <xdr:col>5</xdr:col>
                    <xdr:colOff>342900</xdr:colOff>
                    <xdr:row>35</xdr:row>
                    <xdr:rowOff>393700</xdr:rowOff>
                  </to>
                </anchor>
              </controlPr>
            </control>
          </mc:Choice>
        </mc:AlternateContent>
        <mc:AlternateContent xmlns:mc="http://schemas.openxmlformats.org/markup-compatibility/2006">
          <mc:Choice Requires="x14">
            <control shapeId="2121" r:id="rId60" name="Option Button 73">
              <controlPr defaultSize="0" autoFill="0" autoLine="0" autoPict="0">
                <anchor moveWithCells="1">
                  <from>
                    <xdr:col>2</xdr:col>
                    <xdr:colOff>25400</xdr:colOff>
                    <xdr:row>36</xdr:row>
                    <xdr:rowOff>127000</xdr:rowOff>
                  </from>
                  <to>
                    <xdr:col>3</xdr:col>
                    <xdr:colOff>0</xdr:colOff>
                    <xdr:row>36</xdr:row>
                    <xdr:rowOff>317500</xdr:rowOff>
                  </to>
                </anchor>
              </controlPr>
            </control>
          </mc:Choice>
        </mc:AlternateContent>
        <mc:AlternateContent xmlns:mc="http://schemas.openxmlformats.org/markup-compatibility/2006">
          <mc:Choice Requires="x14">
            <control shapeId="2122" r:id="rId61" name="Option Button 74">
              <controlPr defaultSize="0" autoFill="0" autoLine="0" autoPict="0">
                <anchor moveWithCells="1">
                  <from>
                    <xdr:col>3</xdr:col>
                    <xdr:colOff>38100</xdr:colOff>
                    <xdr:row>36</xdr:row>
                    <xdr:rowOff>127000</xdr:rowOff>
                  </from>
                  <to>
                    <xdr:col>3</xdr:col>
                    <xdr:colOff>342900</xdr:colOff>
                    <xdr:row>36</xdr:row>
                    <xdr:rowOff>317500</xdr:rowOff>
                  </to>
                </anchor>
              </controlPr>
            </control>
          </mc:Choice>
        </mc:AlternateContent>
        <mc:AlternateContent xmlns:mc="http://schemas.openxmlformats.org/markup-compatibility/2006">
          <mc:Choice Requires="x14">
            <control shapeId="2123" r:id="rId62" name="Option Button 75">
              <controlPr defaultSize="0" autoFill="0" autoLine="0" autoPict="0">
                <anchor moveWithCells="1">
                  <from>
                    <xdr:col>4</xdr:col>
                    <xdr:colOff>38100</xdr:colOff>
                    <xdr:row>36</xdr:row>
                    <xdr:rowOff>127000</xdr:rowOff>
                  </from>
                  <to>
                    <xdr:col>4</xdr:col>
                    <xdr:colOff>368300</xdr:colOff>
                    <xdr:row>36</xdr:row>
                    <xdr:rowOff>317500</xdr:rowOff>
                  </to>
                </anchor>
              </controlPr>
            </control>
          </mc:Choice>
        </mc:AlternateContent>
        <mc:AlternateContent xmlns:mc="http://schemas.openxmlformats.org/markup-compatibility/2006">
          <mc:Choice Requires="x14">
            <control shapeId="2124" r:id="rId63" name="Option Button 76">
              <controlPr defaultSize="0" autoFill="0" autoLine="0" autoPict="0">
                <anchor moveWithCells="1">
                  <from>
                    <xdr:col>5</xdr:col>
                    <xdr:colOff>12700</xdr:colOff>
                    <xdr:row>36</xdr:row>
                    <xdr:rowOff>127000</xdr:rowOff>
                  </from>
                  <to>
                    <xdr:col>5</xdr:col>
                    <xdr:colOff>304800</xdr:colOff>
                    <xdr:row>36</xdr:row>
                    <xdr:rowOff>317500</xdr:rowOff>
                  </to>
                </anchor>
              </controlPr>
            </control>
          </mc:Choice>
        </mc:AlternateContent>
        <mc:AlternateContent xmlns:mc="http://schemas.openxmlformats.org/markup-compatibility/2006">
          <mc:Choice Requires="x14">
            <control shapeId="2134" r:id="rId64" name="Group Box 86">
              <controlPr defaultSize="0" autoFill="0" autoPict="0">
                <anchor moveWithCells="1">
                  <from>
                    <xdr:col>2</xdr:col>
                    <xdr:colOff>0</xdr:colOff>
                    <xdr:row>22</xdr:row>
                    <xdr:rowOff>114300</xdr:rowOff>
                  </from>
                  <to>
                    <xdr:col>7</xdr:col>
                    <xdr:colOff>139700</xdr:colOff>
                    <xdr:row>22</xdr:row>
                    <xdr:rowOff>635000</xdr:rowOff>
                  </to>
                </anchor>
              </controlPr>
            </control>
          </mc:Choice>
        </mc:AlternateContent>
        <mc:AlternateContent xmlns:mc="http://schemas.openxmlformats.org/markup-compatibility/2006">
          <mc:Choice Requires="x14">
            <control shapeId="2135" r:id="rId65" name="Option Button 87">
              <controlPr defaultSize="0" autoFill="0" autoLine="0" autoPict="0" altText="">
                <anchor moveWithCells="1">
                  <from>
                    <xdr:col>2</xdr:col>
                    <xdr:colOff>50800</xdr:colOff>
                    <xdr:row>21</xdr:row>
                    <xdr:rowOff>165100</xdr:rowOff>
                  </from>
                  <to>
                    <xdr:col>2</xdr:col>
                    <xdr:colOff>330200</xdr:colOff>
                    <xdr:row>21</xdr:row>
                    <xdr:rowOff>469900</xdr:rowOff>
                  </to>
                </anchor>
              </controlPr>
            </control>
          </mc:Choice>
        </mc:AlternateContent>
        <mc:AlternateContent xmlns:mc="http://schemas.openxmlformats.org/markup-compatibility/2006">
          <mc:Choice Requires="x14">
            <control shapeId="2136" r:id="rId66" name="Option Button 88">
              <controlPr defaultSize="0" autoFill="0" autoLine="0" autoPict="0">
                <anchor moveWithCells="1">
                  <from>
                    <xdr:col>3</xdr:col>
                    <xdr:colOff>38100</xdr:colOff>
                    <xdr:row>21</xdr:row>
                    <xdr:rowOff>165100</xdr:rowOff>
                  </from>
                  <to>
                    <xdr:col>3</xdr:col>
                    <xdr:colOff>228600</xdr:colOff>
                    <xdr:row>21</xdr:row>
                    <xdr:rowOff>457200</xdr:rowOff>
                  </to>
                </anchor>
              </controlPr>
            </control>
          </mc:Choice>
        </mc:AlternateContent>
        <mc:AlternateContent xmlns:mc="http://schemas.openxmlformats.org/markup-compatibility/2006">
          <mc:Choice Requires="x14">
            <control shapeId="2137" r:id="rId67" name="Option Button 89">
              <controlPr defaultSize="0" autoFill="0" autoLine="0" autoPict="0">
                <anchor moveWithCells="1">
                  <from>
                    <xdr:col>4</xdr:col>
                    <xdr:colOff>63500</xdr:colOff>
                    <xdr:row>21</xdr:row>
                    <xdr:rowOff>165100</xdr:rowOff>
                  </from>
                  <to>
                    <xdr:col>4</xdr:col>
                    <xdr:colOff>266700</xdr:colOff>
                    <xdr:row>21</xdr:row>
                    <xdr:rowOff>457200</xdr:rowOff>
                  </to>
                </anchor>
              </controlPr>
            </control>
          </mc:Choice>
        </mc:AlternateContent>
        <mc:AlternateContent xmlns:mc="http://schemas.openxmlformats.org/markup-compatibility/2006">
          <mc:Choice Requires="x14">
            <control shapeId="2138" r:id="rId68" name="Option Button 90">
              <controlPr defaultSize="0" autoFill="0" autoLine="0" autoPict="0">
                <anchor moveWithCells="1">
                  <from>
                    <xdr:col>5</xdr:col>
                    <xdr:colOff>76200</xdr:colOff>
                    <xdr:row>21</xdr:row>
                    <xdr:rowOff>165100</xdr:rowOff>
                  </from>
                  <to>
                    <xdr:col>5</xdr:col>
                    <xdr:colOff>330200</xdr:colOff>
                    <xdr:row>21</xdr:row>
                    <xdr:rowOff>469900</xdr:rowOff>
                  </to>
                </anchor>
              </controlPr>
            </control>
          </mc:Choice>
        </mc:AlternateContent>
        <mc:AlternateContent xmlns:mc="http://schemas.openxmlformats.org/markup-compatibility/2006">
          <mc:Choice Requires="x14">
            <control shapeId="2139" r:id="rId69" name="Option Button 91">
              <controlPr defaultSize="0" autoFill="0" autoLine="0" autoPict="0">
                <anchor moveWithCells="1">
                  <from>
                    <xdr:col>2</xdr:col>
                    <xdr:colOff>50800</xdr:colOff>
                    <xdr:row>22</xdr:row>
                    <xdr:rowOff>177800</xdr:rowOff>
                  </from>
                  <to>
                    <xdr:col>2</xdr:col>
                    <xdr:colOff>292100</xdr:colOff>
                    <xdr:row>22</xdr:row>
                    <xdr:rowOff>558800</xdr:rowOff>
                  </to>
                </anchor>
              </controlPr>
            </control>
          </mc:Choice>
        </mc:AlternateContent>
        <mc:AlternateContent xmlns:mc="http://schemas.openxmlformats.org/markup-compatibility/2006">
          <mc:Choice Requires="x14">
            <control shapeId="2140" r:id="rId70" name="Option Button 92">
              <controlPr defaultSize="0" autoFill="0" autoLine="0" autoPict="0">
                <anchor moveWithCells="1">
                  <from>
                    <xdr:col>3</xdr:col>
                    <xdr:colOff>38100</xdr:colOff>
                    <xdr:row>22</xdr:row>
                    <xdr:rowOff>177800</xdr:rowOff>
                  </from>
                  <to>
                    <xdr:col>3</xdr:col>
                    <xdr:colOff>292100</xdr:colOff>
                    <xdr:row>22</xdr:row>
                    <xdr:rowOff>571500</xdr:rowOff>
                  </to>
                </anchor>
              </controlPr>
            </control>
          </mc:Choice>
        </mc:AlternateContent>
        <mc:AlternateContent xmlns:mc="http://schemas.openxmlformats.org/markup-compatibility/2006">
          <mc:Choice Requires="x14">
            <control shapeId="2141" r:id="rId71" name="Option Button 93">
              <controlPr defaultSize="0" autoFill="0" autoLine="0" autoPict="0">
                <anchor moveWithCells="1">
                  <from>
                    <xdr:col>4</xdr:col>
                    <xdr:colOff>63500</xdr:colOff>
                    <xdr:row>22</xdr:row>
                    <xdr:rowOff>177800</xdr:rowOff>
                  </from>
                  <to>
                    <xdr:col>4</xdr:col>
                    <xdr:colOff>330200</xdr:colOff>
                    <xdr:row>22</xdr:row>
                    <xdr:rowOff>571500</xdr:rowOff>
                  </to>
                </anchor>
              </controlPr>
            </control>
          </mc:Choice>
        </mc:AlternateContent>
        <mc:AlternateContent xmlns:mc="http://schemas.openxmlformats.org/markup-compatibility/2006">
          <mc:Choice Requires="x14">
            <control shapeId="2142" r:id="rId72" name="Option Button 94">
              <controlPr defaultSize="0" autoFill="0" autoLine="0" autoPict="0">
                <anchor moveWithCells="1">
                  <from>
                    <xdr:col>5</xdr:col>
                    <xdr:colOff>76200</xdr:colOff>
                    <xdr:row>22</xdr:row>
                    <xdr:rowOff>177800</xdr:rowOff>
                  </from>
                  <to>
                    <xdr:col>5</xdr:col>
                    <xdr:colOff>330200</xdr:colOff>
                    <xdr:row>22</xdr:row>
                    <xdr:rowOff>571500</xdr:rowOff>
                  </to>
                </anchor>
              </controlPr>
            </control>
          </mc:Choice>
        </mc:AlternateContent>
        <mc:AlternateContent xmlns:mc="http://schemas.openxmlformats.org/markup-compatibility/2006">
          <mc:Choice Requires="x14">
            <control shapeId="2143" r:id="rId73" name="Group Box 95">
              <controlPr defaultSize="0" autoFill="0" autoPict="0">
                <anchor moveWithCells="1">
                  <from>
                    <xdr:col>2</xdr:col>
                    <xdr:colOff>12700</xdr:colOff>
                    <xdr:row>21</xdr:row>
                    <xdr:rowOff>101600</xdr:rowOff>
                  </from>
                  <to>
                    <xdr:col>7</xdr:col>
                    <xdr:colOff>177800</xdr:colOff>
                    <xdr:row>21</xdr:row>
                    <xdr:rowOff>546100</xdr:rowOff>
                  </to>
                </anchor>
              </controlPr>
            </control>
          </mc:Choice>
        </mc:AlternateContent>
        <mc:AlternateContent xmlns:mc="http://schemas.openxmlformats.org/markup-compatibility/2006">
          <mc:Choice Requires="x14">
            <control shapeId="2144" r:id="rId74" name="Option Button 96">
              <controlPr defaultSize="0" autoFill="0" autoLine="0" autoPict="0">
                <anchor moveWithCells="1">
                  <from>
                    <xdr:col>6</xdr:col>
                    <xdr:colOff>368300</xdr:colOff>
                    <xdr:row>6</xdr:row>
                    <xdr:rowOff>254000</xdr:rowOff>
                  </from>
                  <to>
                    <xdr:col>6</xdr:col>
                    <xdr:colOff>711200</xdr:colOff>
                    <xdr:row>6</xdr:row>
                    <xdr:rowOff>635000</xdr:rowOff>
                  </to>
                </anchor>
              </controlPr>
            </control>
          </mc:Choice>
        </mc:AlternateContent>
        <mc:AlternateContent xmlns:mc="http://schemas.openxmlformats.org/markup-compatibility/2006">
          <mc:Choice Requires="x14">
            <control shapeId="2145" r:id="rId75" name="Option Button 97">
              <controlPr defaultSize="0" autoFill="0" autoLine="0" autoPict="0">
                <anchor moveWithCells="1">
                  <from>
                    <xdr:col>6</xdr:col>
                    <xdr:colOff>368300</xdr:colOff>
                    <xdr:row>7</xdr:row>
                    <xdr:rowOff>393700</xdr:rowOff>
                  </from>
                  <to>
                    <xdr:col>6</xdr:col>
                    <xdr:colOff>787400</xdr:colOff>
                    <xdr:row>7</xdr:row>
                    <xdr:rowOff>800100</xdr:rowOff>
                  </to>
                </anchor>
              </controlPr>
            </control>
          </mc:Choice>
        </mc:AlternateContent>
        <mc:AlternateContent xmlns:mc="http://schemas.openxmlformats.org/markup-compatibility/2006">
          <mc:Choice Requires="x14">
            <control shapeId="2146" r:id="rId76" name="Option Button 98">
              <controlPr defaultSize="0" autoFill="0" autoLine="0" autoPict="0">
                <anchor moveWithCells="1">
                  <from>
                    <xdr:col>6</xdr:col>
                    <xdr:colOff>368300</xdr:colOff>
                    <xdr:row>8</xdr:row>
                    <xdr:rowOff>266700</xdr:rowOff>
                  </from>
                  <to>
                    <xdr:col>7</xdr:col>
                    <xdr:colOff>25400</xdr:colOff>
                    <xdr:row>8</xdr:row>
                    <xdr:rowOff>685800</xdr:rowOff>
                  </to>
                </anchor>
              </controlPr>
            </control>
          </mc:Choice>
        </mc:AlternateContent>
        <mc:AlternateContent xmlns:mc="http://schemas.openxmlformats.org/markup-compatibility/2006">
          <mc:Choice Requires="x14">
            <control shapeId="2147" r:id="rId77" name="Option Button 99">
              <controlPr defaultSize="0" autoFill="0" autoLine="0" autoPict="0">
                <anchor moveWithCells="1">
                  <from>
                    <xdr:col>6</xdr:col>
                    <xdr:colOff>368300</xdr:colOff>
                    <xdr:row>9</xdr:row>
                    <xdr:rowOff>139700</xdr:rowOff>
                  </from>
                  <to>
                    <xdr:col>7</xdr:col>
                    <xdr:colOff>38100</xdr:colOff>
                    <xdr:row>9</xdr:row>
                    <xdr:rowOff>673100</xdr:rowOff>
                  </to>
                </anchor>
              </controlPr>
            </control>
          </mc:Choice>
        </mc:AlternateContent>
        <mc:AlternateContent xmlns:mc="http://schemas.openxmlformats.org/markup-compatibility/2006">
          <mc:Choice Requires="x14">
            <control shapeId="2149" r:id="rId78" name="Option Button 101">
              <controlPr defaultSize="0" autoFill="0" autoLine="0" autoPict="0">
                <anchor moveWithCells="1">
                  <from>
                    <xdr:col>6</xdr:col>
                    <xdr:colOff>368300</xdr:colOff>
                    <xdr:row>11</xdr:row>
                    <xdr:rowOff>76200</xdr:rowOff>
                  </from>
                  <to>
                    <xdr:col>7</xdr:col>
                    <xdr:colOff>76200</xdr:colOff>
                    <xdr:row>11</xdr:row>
                    <xdr:rowOff>520700</xdr:rowOff>
                  </to>
                </anchor>
              </controlPr>
            </control>
          </mc:Choice>
        </mc:AlternateContent>
        <mc:AlternateContent xmlns:mc="http://schemas.openxmlformats.org/markup-compatibility/2006">
          <mc:Choice Requires="x14">
            <control shapeId="2150" r:id="rId79" name="Option Button 102">
              <controlPr defaultSize="0" autoFill="0" autoLine="0" autoPict="0">
                <anchor moveWithCells="1">
                  <from>
                    <xdr:col>6</xdr:col>
                    <xdr:colOff>368300</xdr:colOff>
                    <xdr:row>10</xdr:row>
                    <xdr:rowOff>76200</xdr:rowOff>
                  </from>
                  <to>
                    <xdr:col>7</xdr:col>
                    <xdr:colOff>25400</xdr:colOff>
                    <xdr:row>10</xdr:row>
                    <xdr:rowOff>711200</xdr:rowOff>
                  </to>
                </anchor>
              </controlPr>
            </control>
          </mc:Choice>
        </mc:AlternateContent>
        <mc:AlternateContent xmlns:mc="http://schemas.openxmlformats.org/markup-compatibility/2006">
          <mc:Choice Requires="x14">
            <control shapeId="2151" r:id="rId80" name="Option Button 103">
              <controlPr defaultSize="0" autoFill="0" autoLine="0" autoPict="0">
                <anchor moveWithCells="1">
                  <from>
                    <xdr:col>6</xdr:col>
                    <xdr:colOff>368300</xdr:colOff>
                    <xdr:row>20</xdr:row>
                    <xdr:rowOff>127000</xdr:rowOff>
                  </from>
                  <to>
                    <xdr:col>6</xdr:col>
                    <xdr:colOff>749300</xdr:colOff>
                    <xdr:row>20</xdr:row>
                    <xdr:rowOff>495300</xdr:rowOff>
                  </to>
                </anchor>
              </controlPr>
            </control>
          </mc:Choice>
        </mc:AlternateContent>
        <mc:AlternateContent xmlns:mc="http://schemas.openxmlformats.org/markup-compatibility/2006">
          <mc:Choice Requires="x14">
            <control shapeId="2153" r:id="rId81" name="Option Button 105">
              <controlPr defaultSize="0" autoFill="0" autoLine="0" autoPict="0">
                <anchor moveWithCells="1">
                  <from>
                    <xdr:col>6</xdr:col>
                    <xdr:colOff>368300</xdr:colOff>
                    <xdr:row>22</xdr:row>
                    <xdr:rowOff>139700</xdr:rowOff>
                  </from>
                  <to>
                    <xdr:col>6</xdr:col>
                    <xdr:colOff>889000</xdr:colOff>
                    <xdr:row>22</xdr:row>
                    <xdr:rowOff>596900</xdr:rowOff>
                  </to>
                </anchor>
              </controlPr>
            </control>
          </mc:Choice>
        </mc:AlternateContent>
        <mc:AlternateContent xmlns:mc="http://schemas.openxmlformats.org/markup-compatibility/2006">
          <mc:Choice Requires="x14">
            <control shapeId="2157" r:id="rId82" name="Option Button 109">
              <controlPr defaultSize="0" autoFill="0" autoLine="0" autoPict="0">
                <anchor moveWithCells="1">
                  <from>
                    <xdr:col>6</xdr:col>
                    <xdr:colOff>368300</xdr:colOff>
                    <xdr:row>32</xdr:row>
                    <xdr:rowOff>127000</xdr:rowOff>
                  </from>
                  <to>
                    <xdr:col>6</xdr:col>
                    <xdr:colOff>825500</xdr:colOff>
                    <xdr:row>32</xdr:row>
                    <xdr:rowOff>342900</xdr:rowOff>
                  </to>
                </anchor>
              </controlPr>
            </control>
          </mc:Choice>
        </mc:AlternateContent>
        <mc:AlternateContent xmlns:mc="http://schemas.openxmlformats.org/markup-compatibility/2006">
          <mc:Choice Requires="x14">
            <control shapeId="2160" r:id="rId83" name="Option Button 112">
              <controlPr defaultSize="0" autoFill="0" autoLine="0" autoPict="0">
                <anchor moveWithCells="1">
                  <from>
                    <xdr:col>6</xdr:col>
                    <xdr:colOff>368300</xdr:colOff>
                    <xdr:row>35</xdr:row>
                    <xdr:rowOff>101600</xdr:rowOff>
                  </from>
                  <to>
                    <xdr:col>7</xdr:col>
                    <xdr:colOff>38100</xdr:colOff>
                    <xdr:row>35</xdr:row>
                    <xdr:rowOff>469900</xdr:rowOff>
                  </to>
                </anchor>
              </controlPr>
            </control>
          </mc:Choice>
        </mc:AlternateContent>
        <mc:AlternateContent xmlns:mc="http://schemas.openxmlformats.org/markup-compatibility/2006">
          <mc:Choice Requires="x14">
            <control shapeId="2161" r:id="rId84" name="Option Button 113">
              <controlPr defaultSize="0" autoFill="0" autoLine="0" autoPict="0">
                <anchor moveWithCells="1">
                  <from>
                    <xdr:col>6</xdr:col>
                    <xdr:colOff>368300</xdr:colOff>
                    <xdr:row>36</xdr:row>
                    <xdr:rowOff>76200</xdr:rowOff>
                  </from>
                  <to>
                    <xdr:col>7</xdr:col>
                    <xdr:colOff>12700</xdr:colOff>
                    <xdr:row>36</xdr:row>
                    <xdr:rowOff>368300</xdr:rowOff>
                  </to>
                </anchor>
              </controlPr>
            </control>
          </mc:Choice>
        </mc:AlternateContent>
        <mc:AlternateContent xmlns:mc="http://schemas.openxmlformats.org/markup-compatibility/2006">
          <mc:Choice Requires="x14">
            <control shapeId="2162" r:id="rId85" name="Option Button 114">
              <controlPr defaultSize="0" autoFill="0" autoLine="0" autoPict="0">
                <anchor moveWithCells="1">
                  <from>
                    <xdr:col>6</xdr:col>
                    <xdr:colOff>368300</xdr:colOff>
                    <xdr:row>33</xdr:row>
                    <xdr:rowOff>101600</xdr:rowOff>
                  </from>
                  <to>
                    <xdr:col>6</xdr:col>
                    <xdr:colOff>825500</xdr:colOff>
                    <xdr:row>33</xdr:row>
                    <xdr:rowOff>419100</xdr:rowOff>
                  </to>
                </anchor>
              </controlPr>
            </control>
          </mc:Choice>
        </mc:AlternateContent>
        <mc:AlternateContent xmlns:mc="http://schemas.openxmlformats.org/markup-compatibility/2006">
          <mc:Choice Requires="x14">
            <control shapeId="2163" r:id="rId86" name="Option Button 115">
              <controlPr defaultSize="0" autoFill="0" autoLine="0" autoPict="0">
                <anchor moveWithCells="1">
                  <from>
                    <xdr:col>6</xdr:col>
                    <xdr:colOff>368300</xdr:colOff>
                    <xdr:row>34</xdr:row>
                    <xdr:rowOff>50800</xdr:rowOff>
                  </from>
                  <to>
                    <xdr:col>6</xdr:col>
                    <xdr:colOff>838200</xdr:colOff>
                    <xdr:row>34</xdr:row>
                    <xdr:rowOff>368300</xdr:rowOff>
                  </to>
                </anchor>
              </controlPr>
            </control>
          </mc:Choice>
        </mc:AlternateContent>
        <mc:AlternateContent xmlns:mc="http://schemas.openxmlformats.org/markup-compatibility/2006">
          <mc:Choice Requires="x14">
            <control shapeId="2168" r:id="rId87" name="Option Button 120">
              <controlPr defaultSize="0" autoFill="0" autoLine="0" autoPict="0">
                <anchor moveWithCells="1">
                  <from>
                    <xdr:col>6</xdr:col>
                    <xdr:colOff>368300</xdr:colOff>
                    <xdr:row>21</xdr:row>
                    <xdr:rowOff>114300</xdr:rowOff>
                  </from>
                  <to>
                    <xdr:col>6</xdr:col>
                    <xdr:colOff>914400</xdr:colOff>
                    <xdr:row>21</xdr:row>
                    <xdr:rowOff>508000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rgb="FFDB5D55"/>
    <pageSetUpPr fitToPage="1"/>
  </sheetPr>
  <dimension ref="A1:J47"/>
  <sheetViews>
    <sheetView topLeftCell="A25" zoomScale="70" zoomScaleNormal="70" workbookViewId="0">
      <selection activeCell="H35" sqref="H35"/>
    </sheetView>
  </sheetViews>
  <sheetFormatPr baseColWidth="10" defaultColWidth="8.83203125" defaultRowHeight="14.5" customHeight="1"/>
  <cols>
    <col min="1" max="1" width="18.5" style="129" customWidth="1"/>
    <col min="2" max="2" width="75.5" style="129" customWidth="1"/>
    <col min="3" max="3" width="5.5" style="129" customWidth="1"/>
    <col min="4" max="5" width="35.5" style="129" customWidth="1"/>
    <col min="6" max="6" width="42.83203125" style="129" customWidth="1"/>
    <col min="7" max="7" width="13.1640625" style="129" customWidth="1"/>
    <col min="8" max="8" width="35.5" style="41" customWidth="1"/>
    <col min="9" max="9" width="16.5" style="52" hidden="1" customWidth="1"/>
    <col min="10" max="10" width="35.5" style="195" customWidth="1"/>
    <col min="11" max="12" width="8.83203125" style="129" customWidth="1"/>
    <col min="13" max="16384" width="8.83203125" style="129"/>
  </cols>
  <sheetData>
    <row r="1" spans="1:10" s="118" customFormat="1" ht="26">
      <c r="A1" s="602" t="str">
        <f>Raw!A23</f>
        <v>Standard 2</v>
      </c>
      <c r="B1" s="136" t="str">
        <f>Raw!B23</f>
        <v>Leadership and Collaboration</v>
      </c>
      <c r="H1" s="145"/>
      <c r="I1" s="52"/>
      <c r="J1" s="193"/>
    </row>
    <row r="2" spans="1:10" s="118" customFormat="1" ht="17">
      <c r="A2" s="602"/>
      <c r="B2" s="119" t="str">
        <f>Raw!A24</f>
        <v>The program has an effective leadership team, including effective collaboration between physics and education.</v>
      </c>
      <c r="H2" s="145"/>
      <c r="I2" s="52"/>
      <c r="J2" s="193"/>
    </row>
    <row r="3" spans="1:10" s="118" customFormat="1" ht="15">
      <c r="A3" s="120"/>
      <c r="H3" s="145"/>
      <c r="I3" s="52"/>
      <c r="J3" s="193"/>
    </row>
    <row r="4" spans="1:10" s="118" customFormat="1" ht="24" thickBot="1">
      <c r="A4" s="137" t="str">
        <f>Raw!A25</f>
        <v>Component 2A: Program Team Members</v>
      </c>
      <c r="B4" s="123"/>
      <c r="C4" s="123"/>
      <c r="D4" s="123"/>
      <c r="E4" s="123"/>
      <c r="F4" s="123"/>
      <c r="G4" s="123"/>
      <c r="H4" s="146"/>
      <c r="I4" s="52"/>
      <c r="J4" s="193"/>
    </row>
    <row r="5" spans="1:10" s="118" customFormat="1" ht="20">
      <c r="A5" s="119" t="s">
        <v>501</v>
      </c>
      <c r="H5" s="145"/>
      <c r="I5" s="52"/>
      <c r="J5" s="193"/>
    </row>
    <row r="6" spans="1:10" s="118" customFormat="1" ht="51">
      <c r="A6" s="120"/>
      <c r="C6" s="293" t="s">
        <v>0</v>
      </c>
      <c r="D6" s="292" t="s">
        <v>702</v>
      </c>
      <c r="E6" s="291" t="s">
        <v>703</v>
      </c>
      <c r="F6" s="291" t="s">
        <v>704</v>
      </c>
      <c r="G6" s="292" t="s">
        <v>623</v>
      </c>
      <c r="H6" s="294" t="s">
        <v>14</v>
      </c>
      <c r="I6" s="52"/>
      <c r="J6" s="193"/>
    </row>
    <row r="7" spans="1:10" s="118" customFormat="1" ht="39">
      <c r="A7" s="138" t="str">
        <f>Raw!C27</f>
        <v>2A-1</v>
      </c>
      <c r="B7" s="139" t="s">
        <v>840</v>
      </c>
      <c r="C7" s="288"/>
      <c r="D7" s="289" t="str">
        <f>Raw!G27</f>
        <v>Program leaders include at least one faculty member.</v>
      </c>
      <c r="E7" s="289" t="str">
        <f>Raw!H27</f>
        <v>Program leaders include two faculty members.</v>
      </c>
      <c r="F7" s="289" t="str">
        <f>Raw!I27</f>
        <v>Program leaders include three or more faculty members.</v>
      </c>
      <c r="G7" s="290"/>
      <c r="H7" s="296"/>
      <c r="I7" s="52"/>
      <c r="J7" s="193"/>
    </row>
    <row r="8" spans="1:10" s="118" customFormat="1" ht="51">
      <c r="A8" s="138" t="str">
        <f>Raw!C28</f>
        <v>2A-2</v>
      </c>
      <c r="B8" s="139" t="s">
        <v>319</v>
      </c>
      <c r="C8" s="288"/>
      <c r="D8" s="289" t="str">
        <f>Raw!G28</f>
        <v>Team consists of one person in addition to the leader(s).</v>
      </c>
      <c r="E8" s="289" t="str">
        <f>Raw!H28</f>
        <v>Team consists of two people in addition to the leader(s).</v>
      </c>
      <c r="F8" s="289" t="str">
        <f>Raw!I28</f>
        <v>Team consists of at least two people in addition to the leader(s), at least one of whom is a faculty member.</v>
      </c>
      <c r="G8" s="290"/>
      <c r="H8" s="296"/>
      <c r="I8" s="52"/>
      <c r="J8" s="193"/>
    </row>
    <row r="9" spans="1:10" s="118" customFormat="1" ht="39">
      <c r="A9" s="138" t="str">
        <f>Raw!C29</f>
        <v>2A-3</v>
      </c>
      <c r="B9" s="139" t="s">
        <v>841</v>
      </c>
      <c r="C9" s="288"/>
      <c r="D9" s="289" t="str">
        <f>Raw!G29</f>
        <v>There is a part-time physics TIR, or there is a science TIR (at any FTE).</v>
      </c>
      <c r="E9" s="289" t="str">
        <f>Raw!H29</f>
        <v>There is one FTE physics TIR.</v>
      </c>
      <c r="F9" s="289" t="str">
        <f>Raw!I29</f>
        <v xml:space="preserve">There is more than one FTE physics TIR. </v>
      </c>
      <c r="G9" s="290"/>
      <c r="H9" s="296"/>
      <c r="I9" s="52"/>
      <c r="J9" s="193"/>
    </row>
    <row r="10" spans="1:10" s="118" customFormat="1" ht="34">
      <c r="A10" s="131" t="str">
        <f>Raw!C30</f>
        <v>2A-4</v>
      </c>
      <c r="B10" s="132" t="s">
        <v>842</v>
      </c>
      <c r="C10" s="288"/>
      <c r="D10" s="289" t="str">
        <f>Raw!G30</f>
        <v>There is a science TAG.</v>
      </c>
      <c r="E10" s="289" t="str">
        <f>Raw!H30</f>
        <v>There is a physics TAG (significant physics teacher membership).</v>
      </c>
      <c r="F10" s="289" t="str">
        <f>Raw!I30</f>
        <v>There is a physics TAG that is readily available for consultation by the PTE team.</v>
      </c>
      <c r="G10" s="290"/>
      <c r="H10" s="296"/>
      <c r="I10" s="52"/>
      <c r="J10" s="193"/>
    </row>
    <row r="11" spans="1:10" s="118" customFormat="1" ht="30.5" customHeight="1">
      <c r="A11" s="603" t="s">
        <v>589</v>
      </c>
      <c r="B11" s="603"/>
      <c r="C11" s="603"/>
      <c r="D11" s="603"/>
      <c r="E11" s="603"/>
      <c r="F11" s="603"/>
      <c r="G11" s="231"/>
      <c r="H11" s="41"/>
      <c r="I11" s="52"/>
      <c r="J11" s="193"/>
    </row>
    <row r="12" spans="1:10" s="118" customFormat="1" ht="16.75" customHeight="1">
      <c r="A12" s="604" t="s">
        <v>592</v>
      </c>
      <c r="B12" s="604"/>
      <c r="C12" s="604"/>
      <c r="D12" s="604"/>
      <c r="E12" s="604"/>
      <c r="F12" s="604"/>
      <c r="G12" s="230"/>
      <c r="H12" s="41"/>
      <c r="I12" s="52"/>
      <c r="J12" s="193"/>
    </row>
    <row r="13" spans="1:10" s="118" customFormat="1" ht="30" customHeight="1">
      <c r="A13" s="605" t="s">
        <v>590</v>
      </c>
      <c r="B13" s="605"/>
      <c r="C13" s="605"/>
      <c r="D13" s="605"/>
      <c r="E13" s="605"/>
      <c r="F13" s="605"/>
      <c r="G13" s="232"/>
      <c r="H13" s="41"/>
      <c r="I13" s="52"/>
      <c r="J13" s="193"/>
    </row>
    <row r="14" spans="1:10" s="118" customFormat="1" ht="16.75" customHeight="1">
      <c r="A14" s="606" t="s">
        <v>591</v>
      </c>
      <c r="B14" s="606"/>
      <c r="C14" s="606"/>
      <c r="D14" s="606"/>
      <c r="E14" s="606"/>
      <c r="F14" s="606"/>
      <c r="G14" s="231"/>
      <c r="H14" s="41"/>
      <c r="I14" s="52"/>
      <c r="J14" s="193"/>
    </row>
    <row r="15" spans="1:10" ht="14.5" customHeight="1">
      <c r="A15" s="143"/>
    </row>
    <row r="16" spans="1:10" ht="24" thickBot="1">
      <c r="A16" s="137" t="str">
        <f>Raw!A31</f>
        <v>Component 2B: Program Team Attributes</v>
      </c>
      <c r="B16" s="123"/>
      <c r="C16" s="123"/>
      <c r="D16" s="123"/>
      <c r="E16" s="123"/>
      <c r="F16" s="123"/>
      <c r="G16" s="123"/>
      <c r="H16" s="146"/>
    </row>
    <row r="17" spans="1:10" s="118" customFormat="1" ht="20">
      <c r="A17" s="119" t="s">
        <v>362</v>
      </c>
      <c r="H17" s="145"/>
      <c r="I17" s="52"/>
      <c r="J17" s="193"/>
    </row>
    <row r="18" spans="1:10" s="118" customFormat="1" ht="51">
      <c r="A18" s="120"/>
      <c r="C18" s="293" t="s">
        <v>0</v>
      </c>
      <c r="D18" s="292" t="s">
        <v>702</v>
      </c>
      <c r="E18" s="291" t="s">
        <v>703</v>
      </c>
      <c r="F18" s="291" t="s">
        <v>704</v>
      </c>
      <c r="G18" s="292" t="s">
        <v>623</v>
      </c>
      <c r="H18" s="294" t="s">
        <v>14</v>
      </c>
      <c r="I18" s="52"/>
      <c r="J18" s="193"/>
    </row>
    <row r="19" spans="1:10" s="118" customFormat="1" ht="51">
      <c r="A19" s="138" t="str">
        <f>Raw!C33</f>
        <v>2B-1</v>
      </c>
      <c r="B19" s="139" t="s">
        <v>363</v>
      </c>
      <c r="C19" s="288"/>
      <c r="D19" s="289" t="str">
        <f>Raw!G33</f>
        <v>The team is not hampered by fundamental disagreements about PTE.</v>
      </c>
      <c r="E19" s="289" t="str">
        <f>Raw!H33</f>
        <v>The team shares a common vision for excellence in PTE.</v>
      </c>
      <c r="F19" s="289" t="str">
        <f>Raw!I33</f>
        <v>The team’s common vision for PTE is explicitly stated (e.g., in a mission statement for the program).</v>
      </c>
      <c r="G19" s="290"/>
      <c r="H19" s="296"/>
      <c r="I19" s="52"/>
      <c r="J19" s="193"/>
    </row>
    <row r="20" spans="1:10" s="118" customFormat="1" ht="51">
      <c r="A20" s="138" t="str">
        <f>Raw!C34</f>
        <v>2B-2</v>
      </c>
      <c r="B20" s="139" t="s">
        <v>320</v>
      </c>
      <c r="C20" s="288"/>
      <c r="D20" s="289" t="str">
        <f>Raw!G34</f>
        <v>At least one member of the team is tenure-track (or other relevant leadership designation).</v>
      </c>
      <c r="E20" s="289" t="str">
        <f>Raw!H34</f>
        <v xml:space="preserve">At least one member of the team is tenured. </v>
      </c>
      <c r="F20" s="289" t="str">
        <f>Raw!I34</f>
        <v>At least one member holds positional power in the department (e.g., chair, undergraduate chair).</v>
      </c>
      <c r="G20" s="290"/>
      <c r="H20" s="296"/>
      <c r="I20" s="52"/>
      <c r="J20" s="193"/>
    </row>
    <row r="21" spans="1:10" s="118" customFormat="1" ht="96.5" customHeight="1">
      <c r="A21" s="138" t="str">
        <f>Raw!C35</f>
        <v>2B-3</v>
      </c>
      <c r="B21" s="139" t="s">
        <v>321</v>
      </c>
      <c r="C21" s="288"/>
      <c r="D21" s="289" t="str">
        <f>Raw!G35</f>
        <v xml:space="preserve">The team includes a member with expertise in physics and a member with expertise in education. </v>
      </c>
      <c r="E21" s="289" t="str">
        <f>Raw!H35</f>
        <v>The team includes a member with expertise in physics education.</v>
      </c>
      <c r="F21" s="289" t="str">
        <f>Raw!I35</f>
        <v>The team includes multiple members with expertise in physics education, some with primarily physics expertise and some with primarily education expertise.</v>
      </c>
      <c r="G21" s="290"/>
      <c r="H21" s="296"/>
      <c r="I21" s="52"/>
      <c r="J21" s="193"/>
    </row>
    <row r="22" spans="1:10" s="118" customFormat="1" ht="52" customHeight="1">
      <c r="A22" s="138" t="str">
        <f>Raw!C36</f>
        <v>2B-4</v>
      </c>
      <c r="B22" s="139" t="s">
        <v>322</v>
      </c>
      <c r="C22" s="288"/>
      <c r="D22" s="289" t="str">
        <f>Raw!G36</f>
        <v>At least one team member is moderately motivated to improve PTE.</v>
      </c>
      <c r="E22" s="289" t="str">
        <f>Raw!H36</f>
        <v>At least one  team member is strongly motivated to improve PTE.</v>
      </c>
      <c r="F22" s="289" t="str">
        <f>Raw!I36</f>
        <v>Multiple team members are strongly motivated to improve PTE.</v>
      </c>
      <c r="G22" s="290"/>
      <c r="H22" s="297"/>
      <c r="I22" s="52"/>
      <c r="J22" s="193"/>
    </row>
    <row r="23" spans="1:10" s="118" customFormat="1" ht="114.25" customHeight="1">
      <c r="A23" s="138" t="str">
        <f>Raw!C37</f>
        <v>2B-5</v>
      </c>
      <c r="B23" s="139" t="s">
        <v>323</v>
      </c>
      <c r="C23" s="288"/>
      <c r="D23" s="289" t="str">
        <f>Raw!G37</f>
        <v>The TIR interacts frequently with teacher candidates.</v>
      </c>
      <c r="E23" s="289" t="str">
        <f>Raw!H37</f>
        <v xml:space="preserve">The TIR interacts with teacher candidates in more than one venue and engages in at least one other recommended TIR activity.[5] </v>
      </c>
      <c r="F23" s="289" t="str">
        <f>Raw!I37</f>
        <v>The TIR is deeply integrated in the program, intersecting with teacher candidates and faculty in multiple settings, and engages in at least two other recommended TIR activities.[5]</v>
      </c>
      <c r="G23" s="290"/>
      <c r="H23" s="297"/>
      <c r="I23" s="52"/>
      <c r="J23" s="193"/>
    </row>
    <row r="24" spans="1:10" s="118" customFormat="1" ht="80.75" customHeight="1">
      <c r="A24" s="138" t="str">
        <f>Raw!C38</f>
        <v>2B-6</v>
      </c>
      <c r="B24" s="139" t="s">
        <v>502</v>
      </c>
      <c r="C24" s="288"/>
      <c r="D24" s="289" t="str">
        <f>Raw!G38</f>
        <v>At least one member of the team has current informal connections to local physics teachers.</v>
      </c>
      <c r="E24" s="289" t="str">
        <f>Raw!H38</f>
        <v>At least one member of the team is regularly engaged with local physics teachers.</v>
      </c>
      <c r="F24" s="289" t="str">
        <f>Raw!I38</f>
        <v>At least one member of the team is engaged with a significant fraction of local physics teachers or holds a current leadership position in local schools.</v>
      </c>
      <c r="G24" s="290"/>
      <c r="H24" s="297"/>
      <c r="I24" s="52"/>
      <c r="J24" s="193"/>
    </row>
    <row r="25" spans="1:10" s="118" customFormat="1" ht="61.75" customHeight="1">
      <c r="A25" s="138" t="str">
        <f>Raw!C39</f>
        <v>2B-7</v>
      </c>
      <c r="B25" s="139" t="s">
        <v>324</v>
      </c>
      <c r="C25" s="288"/>
      <c r="D25" s="289" t="str">
        <f>Raw!G39</f>
        <v>Team has members that are somewhat familiar with PER.</v>
      </c>
      <c r="E25" s="289" t="str">
        <f>Raw!H39</f>
        <v>Team members are very familiar with and use PER practices in their instruction.</v>
      </c>
      <c r="F25" s="289" t="str">
        <f>Raw!I39</f>
        <v>Team members are active in the PER community through regular journal reading or conference attendance.</v>
      </c>
      <c r="G25" s="290"/>
      <c r="H25" s="297"/>
      <c r="I25" s="52"/>
      <c r="J25" s="193"/>
    </row>
    <row r="26" spans="1:10" s="118" customFormat="1" ht="51">
      <c r="A26" s="138" t="str">
        <f>Raw!C40</f>
        <v>2B-8</v>
      </c>
      <c r="B26" s="139" t="s">
        <v>325</v>
      </c>
      <c r="C26" s="288"/>
      <c r="D26" s="289" t="str">
        <f>Raw!G40</f>
        <v>At least one team member is a member of PhysTEC or similar STEM teacher education organization.</v>
      </c>
      <c r="E26" s="289" t="str">
        <f>Raw!H40</f>
        <v>At least one team member regularly attends PhysTEC or similar STEM teacher education conference.</v>
      </c>
      <c r="F26" s="289" t="str">
        <f>Raw!I40</f>
        <v>At least one team member has led a session at PhysTEC or similar STEM teacher education conference.</v>
      </c>
      <c r="G26" s="290"/>
      <c r="H26" s="297"/>
      <c r="I26" s="52"/>
      <c r="J26" s="193"/>
    </row>
    <row r="27" spans="1:10" s="118" customFormat="1" ht="68">
      <c r="A27" s="131" t="str">
        <f>Raw!C41</f>
        <v>2B-9</v>
      </c>
      <c r="B27" s="132" t="s">
        <v>405</v>
      </c>
      <c r="C27" s="288"/>
      <c r="D27" s="289" t="str">
        <f>Raw!G41</f>
        <v>At least one team member has successfully created change at some level in their institution.</v>
      </c>
      <c r="E27" s="289" t="str">
        <f>Raw!H41</f>
        <v>At least one team member has successfully created or substantially modified a new program at their institution.</v>
      </c>
      <c r="F27" s="289" t="str">
        <f>Raw!I41</f>
        <v>At least one team member is recognized at their institution as an opinion leader and has a record of creating institutional change.</v>
      </c>
      <c r="G27" s="290"/>
      <c r="H27" s="296"/>
      <c r="I27" s="52"/>
      <c r="J27" s="193"/>
    </row>
    <row r="28" spans="1:10" ht="45" customHeight="1">
      <c r="A28" s="597" t="s">
        <v>593</v>
      </c>
      <c r="B28" s="598"/>
      <c r="C28" s="598"/>
      <c r="D28" s="598"/>
      <c r="E28" s="598"/>
      <c r="F28" s="598"/>
      <c r="G28" s="226"/>
      <c r="H28" s="53"/>
    </row>
    <row r="29" spans="1:10" s="109" customFormat="1" ht="14.25" customHeight="1">
      <c r="A29" s="174"/>
      <c r="B29" s="175"/>
      <c r="C29" s="175"/>
      <c r="D29" s="175"/>
      <c r="E29" s="175"/>
      <c r="F29" s="175"/>
      <c r="G29" s="226"/>
      <c r="H29" s="106"/>
      <c r="I29" s="52"/>
      <c r="J29" s="194"/>
    </row>
    <row r="30" spans="1:10" s="118" customFormat="1" ht="28.5" customHeight="1" thickBot="1">
      <c r="A30" s="137" t="str">
        <f>Raw!A42</f>
        <v>Component 2C: Program Collaboration</v>
      </c>
      <c r="B30" s="123"/>
      <c r="C30" s="123"/>
      <c r="D30" s="123"/>
      <c r="E30" s="123"/>
      <c r="F30" s="123"/>
      <c r="G30" s="123"/>
      <c r="H30" s="146"/>
      <c r="I30" s="52"/>
      <c r="J30" s="193"/>
    </row>
    <row r="31" spans="1:10" s="118" customFormat="1" ht="14.25" customHeight="1">
      <c r="A31" s="119" t="str">
        <f>Raw!A43</f>
        <v xml:space="preserve">The program includes effective collaboration between the academic unit housing the physics teacher education program (such as physics) and other academic units that control teacher certification (such as education). </v>
      </c>
      <c r="H31" s="53"/>
      <c r="I31" s="52"/>
      <c r="J31" s="193"/>
    </row>
    <row r="32" spans="1:10" ht="51">
      <c r="A32" s="120"/>
      <c r="B32" s="118"/>
      <c r="C32" s="293" t="s">
        <v>0</v>
      </c>
      <c r="D32" s="292" t="s">
        <v>702</v>
      </c>
      <c r="E32" s="291" t="s">
        <v>703</v>
      </c>
      <c r="F32" s="291" t="s">
        <v>704</v>
      </c>
      <c r="G32" s="292" t="s">
        <v>623</v>
      </c>
      <c r="H32" s="294" t="s">
        <v>14</v>
      </c>
    </row>
    <row r="33" spans="1:10" s="118" customFormat="1" ht="51">
      <c r="A33" s="138" t="str">
        <f>Raw!C44</f>
        <v>2C-1</v>
      </c>
      <c r="B33" s="139" t="s">
        <v>364</v>
      </c>
      <c r="C33" s="288"/>
      <c r="D33" s="289" t="str">
        <f>Raw!G44</f>
        <v xml:space="preserve">There are occasional interactions and mutual awareness between units on PTE program elements. </v>
      </c>
      <c r="E33" s="289" t="str">
        <f>Raw!H44</f>
        <v>There are semi-regular meetings or presentations between units on PTE program elements.</v>
      </c>
      <c r="F33" s="289" t="str">
        <f>Raw!I44</f>
        <v>There are regular meetings between units to address any issues related to PTE program elements, including program accreditation.</v>
      </c>
      <c r="G33" s="290"/>
      <c r="H33" s="298"/>
      <c r="I33" s="52"/>
      <c r="J33" s="193"/>
    </row>
    <row r="34" spans="1:10" s="118" customFormat="1" ht="68">
      <c r="A34" s="138" t="str">
        <f>Raw!C45</f>
        <v>2C-2</v>
      </c>
      <c r="B34" s="139" t="s">
        <v>326</v>
      </c>
      <c r="C34" s="288"/>
      <c r="D34" s="289" t="str">
        <f>Raw!G45</f>
        <v>The different academic units involved in PTE do not hinder one another’s efforts.</v>
      </c>
      <c r="E34" s="289" t="str">
        <f>Raw!H45</f>
        <v>Regular practices have been established that guide interactions with other academic units regarding the PTE program.</v>
      </c>
      <c r="F34" s="289" t="str">
        <f>Raw!I45</f>
        <v>There is a functional negotiated agreement among the different academic units involved in PTE, including dean-level involvement.</v>
      </c>
      <c r="G34" s="290"/>
      <c r="H34" s="296"/>
      <c r="I34" s="52"/>
      <c r="J34" s="193"/>
    </row>
    <row r="35" spans="1:10" s="118" customFormat="1" ht="39">
      <c r="A35" s="138" t="str">
        <f>Raw!C46</f>
        <v>2C-3</v>
      </c>
      <c r="B35" s="139" t="s">
        <v>845</v>
      </c>
      <c r="C35" s="288"/>
      <c r="D35" s="289" t="str">
        <f>Raw!G46</f>
        <v>One part-time team member is a boundary crosser.</v>
      </c>
      <c r="E35" s="289" t="str">
        <f>Raw!H46</f>
        <v>One full-time team member is a boundary crosser.</v>
      </c>
      <c r="F35" s="289" t="str">
        <f>Raw!I46</f>
        <v>More than one full-time team member is a boundary crosser.</v>
      </c>
      <c r="G35" s="290"/>
      <c r="H35" s="299"/>
      <c r="I35" s="52"/>
      <c r="J35" s="193"/>
    </row>
    <row r="36" spans="1:10" s="118" customFormat="1" ht="51">
      <c r="A36" s="138" t="str">
        <f>Raw!C47</f>
        <v>2C-4</v>
      </c>
      <c r="B36" s="139" t="s">
        <v>503</v>
      </c>
      <c r="C36" s="288"/>
      <c r="D36" s="289" t="str">
        <f>Raw!G47</f>
        <v xml:space="preserve">The primary PTE mentor is aware of where PTE candidates are placed.  </v>
      </c>
      <c r="E36" s="289" t="str">
        <f>Raw!H47</f>
        <v xml:space="preserve">The primary PTE mentor’s feedback is considered during PTE candidate placement. </v>
      </c>
      <c r="F36" s="289" t="str">
        <f>Raw!I47</f>
        <v>The primary PTE mentor significantly influences PTE candidate placement.</v>
      </c>
      <c r="G36" s="290"/>
      <c r="H36" s="296"/>
      <c r="I36" s="52"/>
      <c r="J36" s="193"/>
    </row>
    <row r="37" spans="1:10" s="118" customFormat="1" ht="68">
      <c r="A37" s="138" t="str">
        <f>Raw!C48</f>
        <v>2C-5</v>
      </c>
      <c r="B37" s="139" t="s">
        <v>504</v>
      </c>
      <c r="C37" s="288"/>
      <c r="D37" s="289" t="str">
        <f>Raw!G48</f>
        <v>The university supervisor consults informally with the PTE leadership team to evaluate and support candidates.</v>
      </c>
      <c r="E37" s="289" t="str">
        <f>Raw!H48</f>
        <v>The university supervisor officially collaborates with the PTE team to evaluate and support candidates.</v>
      </c>
      <c r="F37" s="289" t="str">
        <f>Raw!I48</f>
        <v>The university supervisor is a member of the PTE team.</v>
      </c>
      <c r="G37" s="290"/>
      <c r="H37" s="296"/>
      <c r="I37" s="52"/>
      <c r="J37" s="193"/>
    </row>
    <row r="38" spans="1:10" s="118" customFormat="1" ht="68">
      <c r="A38" s="131" t="str">
        <f>Raw!C49</f>
        <v>2C-6</v>
      </c>
      <c r="B38" s="132" t="s">
        <v>138</v>
      </c>
      <c r="C38" s="288"/>
      <c r="D38" s="289" t="str">
        <f>Raw!G49</f>
        <v>The PTE team includes faculty in physics or education who can name informal contacts in the other department.</v>
      </c>
      <c r="E38" s="289" t="str">
        <f>Raw!H49</f>
        <v>The PTE team includes faculty in both the physics and education departments.</v>
      </c>
      <c r="F38" s="289" t="str">
        <f>Raw!I49</f>
        <v>PTE program leaders include faculty in both the physics and education departments.</v>
      </c>
      <c r="G38" s="290"/>
      <c r="H38" s="296"/>
      <c r="I38" s="52"/>
      <c r="J38" s="193"/>
    </row>
    <row r="39" spans="1:10" s="118" customFormat="1" ht="68">
      <c r="A39" s="131" t="str">
        <f>Raw!C50</f>
        <v>2C-7</v>
      </c>
      <c r="B39" s="132" t="s">
        <v>505</v>
      </c>
      <c r="C39" s="288"/>
      <c r="D39" s="289" t="str">
        <f>Raw!G50</f>
        <v>Collaboration between units has identified opportunities for improving the licensure pathway.</v>
      </c>
      <c r="E39" s="289" t="str">
        <f>Raw!H50</f>
        <v xml:space="preserve">Collaboration between units has improved the licensure pathway.  </v>
      </c>
      <c r="F39" s="289" t="str">
        <f>Raw!I50</f>
        <v>Collaboration between units has led to mutual agreement on the needs of physics teacher candidates and has produced a cohesive and streamlined licensure pathway.</v>
      </c>
      <c r="G39" s="290"/>
      <c r="H39" s="296"/>
      <c r="I39" s="52"/>
      <c r="J39" s="193"/>
    </row>
    <row r="40" spans="1:10" s="118" customFormat="1" ht="85">
      <c r="A40" s="131" t="str">
        <f>Raw!C51</f>
        <v>2C-8</v>
      </c>
      <c r="B40" s="132" t="s">
        <v>393</v>
      </c>
      <c r="C40" s="288"/>
      <c r="D40" s="289" t="str">
        <f>Raw!G51</f>
        <v>There are informal connections between faculty in physics and education to address advising questions for physics teacher candidates.</v>
      </c>
      <c r="E40" s="289" t="str">
        <f>Raw!H51</f>
        <v>There are regular cross-department meetings to discuss progress of physics teacher candidates.</v>
      </c>
      <c r="F40" s="289" t="str">
        <f>Raw!I51</f>
        <v>There are formal cross-departmental structures to provide discipline-specific advising to physics teacher candidates.</v>
      </c>
      <c r="G40" s="290"/>
      <c r="H40" s="296"/>
      <c r="I40" s="52"/>
      <c r="J40" s="193"/>
    </row>
    <row r="41" spans="1:10" s="118" customFormat="1" ht="15">
      <c r="A41" s="133" t="s">
        <v>598</v>
      </c>
      <c r="B41" s="171"/>
      <c r="C41" s="171"/>
      <c r="D41" s="171"/>
      <c r="E41" s="171"/>
      <c r="F41" s="171"/>
      <c r="G41" s="171"/>
      <c r="H41" s="147"/>
      <c r="I41" s="52"/>
      <c r="J41" s="193"/>
    </row>
    <row r="42" spans="1:10" s="118" customFormat="1" ht="30" customHeight="1">
      <c r="A42" s="597" t="s">
        <v>597</v>
      </c>
      <c r="B42" s="598"/>
      <c r="C42" s="598"/>
      <c r="D42" s="598"/>
      <c r="E42" s="598"/>
      <c r="F42" s="598"/>
      <c r="G42" s="226"/>
      <c r="H42" s="41"/>
      <c r="I42" s="52"/>
      <c r="J42" s="193"/>
    </row>
    <row r="43" spans="1:10" ht="30" customHeight="1">
      <c r="A43" s="597" t="s">
        <v>596</v>
      </c>
      <c r="B43" s="598"/>
      <c r="C43" s="598"/>
      <c r="D43" s="598"/>
      <c r="E43" s="598"/>
      <c r="F43" s="598"/>
      <c r="G43" s="226"/>
    </row>
    <row r="44" spans="1:10" s="109" customFormat="1" ht="13.75" customHeight="1">
      <c r="A44" s="109" t="s">
        <v>595</v>
      </c>
      <c r="H44" s="106"/>
      <c r="I44" s="52"/>
      <c r="J44" s="194"/>
    </row>
    <row r="45" spans="1:10" ht="30.5" customHeight="1">
      <c r="A45" s="597" t="s">
        <v>594</v>
      </c>
      <c r="B45" s="598"/>
      <c r="C45" s="598"/>
      <c r="D45" s="598"/>
      <c r="E45" s="598"/>
      <c r="F45" s="598"/>
      <c r="G45" s="226"/>
    </row>
    <row r="46" spans="1:10" ht="14.5" customHeight="1">
      <c r="A46" s="144"/>
    </row>
    <row r="47" spans="1:10" ht="14.5" customHeight="1">
      <c r="A47" s="144"/>
    </row>
  </sheetData>
  <sheetProtection sheet="1" selectLockedCells="1"/>
  <mergeCells count="9">
    <mergeCell ref="A43:F43"/>
    <mergeCell ref="A45:F45"/>
    <mergeCell ref="A42:F42"/>
    <mergeCell ref="A1:A2"/>
    <mergeCell ref="A28:F28"/>
    <mergeCell ref="A11:F11"/>
    <mergeCell ref="A12:F12"/>
    <mergeCell ref="A13:F13"/>
    <mergeCell ref="A14:F14"/>
  </mergeCells>
  <conditionalFormatting sqref="C7">
    <cfRule type="expression" dxfId="959" priority="106">
      <formula>$I7=1</formula>
    </cfRule>
  </conditionalFormatting>
  <conditionalFormatting sqref="D7">
    <cfRule type="expression" dxfId="958" priority="105">
      <formula>$I7=2</formula>
    </cfRule>
  </conditionalFormatting>
  <conditionalFormatting sqref="E7">
    <cfRule type="expression" dxfId="957" priority="104">
      <formula>$I7=3</formula>
    </cfRule>
  </conditionalFormatting>
  <conditionalFormatting sqref="F7">
    <cfRule type="expression" dxfId="956" priority="102">
      <formula>$I7=4</formula>
    </cfRule>
  </conditionalFormatting>
  <conditionalFormatting sqref="C8">
    <cfRule type="expression" dxfId="955" priority="101">
      <formula>$I8=1</formula>
    </cfRule>
  </conditionalFormatting>
  <conditionalFormatting sqref="D8">
    <cfRule type="expression" dxfId="954" priority="100">
      <formula>$I8=2</formula>
    </cfRule>
  </conditionalFormatting>
  <conditionalFormatting sqref="E8">
    <cfRule type="expression" dxfId="953" priority="99">
      <formula>$I8=3</formula>
    </cfRule>
  </conditionalFormatting>
  <conditionalFormatting sqref="F8">
    <cfRule type="expression" dxfId="952" priority="98">
      <formula>$I8=4</formula>
    </cfRule>
  </conditionalFormatting>
  <conditionalFormatting sqref="C9">
    <cfRule type="expression" dxfId="951" priority="97">
      <formula>$I9=1</formula>
    </cfRule>
  </conditionalFormatting>
  <conditionalFormatting sqref="D9">
    <cfRule type="expression" dxfId="950" priority="96">
      <formula>$I9=2</formula>
    </cfRule>
  </conditionalFormatting>
  <conditionalFormatting sqref="E9">
    <cfRule type="expression" dxfId="949" priority="95">
      <formula>$I9=3</formula>
    </cfRule>
  </conditionalFormatting>
  <conditionalFormatting sqref="F9">
    <cfRule type="expression" dxfId="948" priority="94">
      <formula>$I9=4</formula>
    </cfRule>
  </conditionalFormatting>
  <conditionalFormatting sqref="C10">
    <cfRule type="expression" dxfId="947" priority="93">
      <formula>$I10=1</formula>
    </cfRule>
  </conditionalFormatting>
  <conditionalFormatting sqref="D10">
    <cfRule type="expression" dxfId="946" priority="92">
      <formula>$I10=2</formula>
    </cfRule>
  </conditionalFormatting>
  <conditionalFormatting sqref="E10">
    <cfRule type="expression" dxfId="945" priority="91">
      <formula>$I10=3</formula>
    </cfRule>
  </conditionalFormatting>
  <conditionalFormatting sqref="F10">
    <cfRule type="expression" dxfId="944" priority="90">
      <formula>$I10=4</formula>
    </cfRule>
  </conditionalFormatting>
  <conditionalFormatting sqref="C19">
    <cfRule type="expression" dxfId="943" priority="89">
      <formula>$I19=1</formula>
    </cfRule>
  </conditionalFormatting>
  <conditionalFormatting sqref="D19">
    <cfRule type="expression" dxfId="942" priority="88">
      <formula>$I19=2</formula>
    </cfRule>
  </conditionalFormatting>
  <conditionalFormatting sqref="E19">
    <cfRule type="expression" dxfId="941" priority="87">
      <formula>$I19=3</formula>
    </cfRule>
  </conditionalFormatting>
  <conditionalFormatting sqref="F19">
    <cfRule type="expression" dxfId="940" priority="86">
      <formula>$I19=4</formula>
    </cfRule>
  </conditionalFormatting>
  <conditionalFormatting sqref="C20">
    <cfRule type="expression" dxfId="939" priority="85">
      <formula>$I20=1</formula>
    </cfRule>
  </conditionalFormatting>
  <conditionalFormatting sqref="D20">
    <cfRule type="expression" dxfId="938" priority="84">
      <formula>$I20=2</formula>
    </cfRule>
  </conditionalFormatting>
  <conditionalFormatting sqref="E20">
    <cfRule type="expression" dxfId="937" priority="83">
      <formula>$I20=3</formula>
    </cfRule>
  </conditionalFormatting>
  <conditionalFormatting sqref="F20">
    <cfRule type="expression" dxfId="936" priority="82">
      <formula>$I20=4</formula>
    </cfRule>
  </conditionalFormatting>
  <conditionalFormatting sqref="C21">
    <cfRule type="expression" dxfId="935" priority="81">
      <formula>$I21=1</formula>
    </cfRule>
  </conditionalFormatting>
  <conditionalFormatting sqref="D21">
    <cfRule type="expression" dxfId="934" priority="80">
      <formula>$I21=2</formula>
    </cfRule>
  </conditionalFormatting>
  <conditionalFormatting sqref="E21">
    <cfRule type="expression" dxfId="933" priority="79">
      <formula>$I21=3</formula>
    </cfRule>
  </conditionalFormatting>
  <conditionalFormatting sqref="F21">
    <cfRule type="expression" dxfId="932" priority="78">
      <formula>$I21=4</formula>
    </cfRule>
  </conditionalFormatting>
  <conditionalFormatting sqref="C22">
    <cfRule type="expression" dxfId="931" priority="77">
      <formula>$I22=1</formula>
    </cfRule>
  </conditionalFormatting>
  <conditionalFormatting sqref="D22">
    <cfRule type="expression" dxfId="930" priority="76">
      <formula>$I22=2</formula>
    </cfRule>
  </conditionalFormatting>
  <conditionalFormatting sqref="E22">
    <cfRule type="expression" dxfId="929" priority="75">
      <formula>$I22=3</formula>
    </cfRule>
  </conditionalFormatting>
  <conditionalFormatting sqref="F22">
    <cfRule type="expression" dxfId="928" priority="74">
      <formula>$I22=4</formula>
    </cfRule>
  </conditionalFormatting>
  <conditionalFormatting sqref="C23">
    <cfRule type="expression" dxfId="927" priority="73">
      <formula>$I23=1</formula>
    </cfRule>
  </conditionalFormatting>
  <conditionalFormatting sqref="D23">
    <cfRule type="expression" dxfId="926" priority="72">
      <formula>$I23=2</formula>
    </cfRule>
  </conditionalFormatting>
  <conditionalFormatting sqref="E23">
    <cfRule type="expression" dxfId="925" priority="71">
      <formula>$I23=3</formula>
    </cfRule>
  </conditionalFormatting>
  <conditionalFormatting sqref="F23">
    <cfRule type="expression" dxfId="924" priority="70">
      <formula>$I23=4</formula>
    </cfRule>
  </conditionalFormatting>
  <conditionalFormatting sqref="C24">
    <cfRule type="expression" dxfId="923" priority="69">
      <formula>$I24=1</formula>
    </cfRule>
  </conditionalFormatting>
  <conditionalFormatting sqref="D24">
    <cfRule type="expression" dxfId="922" priority="68">
      <formula>$I24=2</formula>
    </cfRule>
  </conditionalFormatting>
  <conditionalFormatting sqref="E24">
    <cfRule type="expression" dxfId="921" priority="67">
      <formula>$I24=3</formula>
    </cfRule>
  </conditionalFormatting>
  <conditionalFormatting sqref="F24">
    <cfRule type="expression" dxfId="920" priority="66">
      <formula>$I24=4</formula>
    </cfRule>
  </conditionalFormatting>
  <conditionalFormatting sqref="C25">
    <cfRule type="expression" dxfId="919" priority="65">
      <formula>$I25=1</formula>
    </cfRule>
  </conditionalFormatting>
  <conditionalFormatting sqref="D25">
    <cfRule type="expression" dxfId="918" priority="64">
      <formula>$I25=2</formula>
    </cfRule>
  </conditionalFormatting>
  <conditionalFormatting sqref="E25">
    <cfRule type="expression" dxfId="917" priority="63">
      <formula>$I25=3</formula>
    </cfRule>
  </conditionalFormatting>
  <conditionalFormatting sqref="F25">
    <cfRule type="expression" dxfId="916" priority="62">
      <formula>$I25=4</formula>
    </cfRule>
  </conditionalFormatting>
  <conditionalFormatting sqref="C26">
    <cfRule type="expression" dxfId="915" priority="61">
      <formula>$I26=1</formula>
    </cfRule>
  </conditionalFormatting>
  <conditionalFormatting sqref="D26">
    <cfRule type="expression" dxfId="914" priority="60">
      <formula>$I26=2</formula>
    </cfRule>
  </conditionalFormatting>
  <conditionalFormatting sqref="E26">
    <cfRule type="expression" dxfId="913" priority="59">
      <formula>$I26=3</formula>
    </cfRule>
  </conditionalFormatting>
  <conditionalFormatting sqref="F26">
    <cfRule type="expression" dxfId="912" priority="58">
      <formula>$I26=4</formula>
    </cfRule>
  </conditionalFormatting>
  <conditionalFormatting sqref="C27">
    <cfRule type="expression" dxfId="911" priority="57">
      <formula>$I27=1</formula>
    </cfRule>
  </conditionalFormatting>
  <conditionalFormatting sqref="D27">
    <cfRule type="expression" dxfId="910" priority="56">
      <formula>$I27=2</formula>
    </cfRule>
  </conditionalFormatting>
  <conditionalFormatting sqref="E27">
    <cfRule type="expression" dxfId="909" priority="55">
      <formula>$I27=3</formula>
    </cfRule>
  </conditionalFormatting>
  <conditionalFormatting sqref="F27">
    <cfRule type="expression" dxfId="908" priority="54">
      <formula>$I27=4</formula>
    </cfRule>
  </conditionalFormatting>
  <conditionalFormatting sqref="C33">
    <cfRule type="expression" dxfId="907" priority="16">
      <formula>$I33=1</formula>
    </cfRule>
  </conditionalFormatting>
  <conditionalFormatting sqref="D33">
    <cfRule type="expression" dxfId="906" priority="15">
      <formula>$I33=2</formula>
    </cfRule>
  </conditionalFormatting>
  <conditionalFormatting sqref="E33">
    <cfRule type="expression" dxfId="905" priority="14">
      <formula>$I33=3</formula>
    </cfRule>
  </conditionalFormatting>
  <conditionalFormatting sqref="C34:C40">
    <cfRule type="expression" dxfId="904" priority="12">
      <formula>$I34=1</formula>
    </cfRule>
  </conditionalFormatting>
  <conditionalFormatting sqref="D34:D40">
    <cfRule type="expression" dxfId="903" priority="11">
      <formula>$I34=2</formula>
    </cfRule>
  </conditionalFormatting>
  <conditionalFormatting sqref="E34:E40">
    <cfRule type="expression" dxfId="902" priority="10">
      <formula>$I34=3</formula>
    </cfRule>
  </conditionalFormatting>
  <conditionalFormatting sqref="G7:G10">
    <cfRule type="expression" dxfId="901" priority="7">
      <formula>$I7=5</formula>
    </cfRule>
  </conditionalFormatting>
  <conditionalFormatting sqref="G19:G27">
    <cfRule type="expression" dxfId="900" priority="5">
      <formula>$I19=5</formula>
    </cfRule>
  </conditionalFormatting>
  <conditionalFormatting sqref="G33:G40">
    <cfRule type="expression" dxfId="899" priority="3">
      <formula>$I33=5</formula>
    </cfRule>
  </conditionalFormatting>
  <conditionalFormatting sqref="F33">
    <cfRule type="expression" dxfId="898" priority="2">
      <formula>$I33=4</formula>
    </cfRule>
  </conditionalFormatting>
  <conditionalFormatting sqref="F34:F40">
    <cfRule type="expression" dxfId="897" priority="1">
      <formula>$I34=4</formula>
    </cfRule>
  </conditionalFormatting>
  <pageMargins left="0.25" right="0.25" top="0.75" bottom="0.75" header="0.3" footer="0.3"/>
  <pageSetup scale="42"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Group Box 1">
              <controlPr defaultSize="0" autoFill="0" autoPict="0">
                <anchor moveWithCells="1">
                  <from>
                    <xdr:col>1</xdr:col>
                    <xdr:colOff>3302000</xdr:colOff>
                    <xdr:row>6</xdr:row>
                    <xdr:rowOff>63500</xdr:rowOff>
                  </from>
                  <to>
                    <xdr:col>7</xdr:col>
                    <xdr:colOff>139700</xdr:colOff>
                    <xdr:row>6</xdr:row>
                    <xdr:rowOff>393700</xdr:rowOff>
                  </to>
                </anchor>
              </controlPr>
            </control>
          </mc:Choice>
        </mc:AlternateContent>
        <mc:AlternateContent xmlns:mc="http://schemas.openxmlformats.org/markup-compatibility/2006">
          <mc:Choice Requires="x14">
            <control shapeId="9218" r:id="rId5" name="Group Box 2">
              <controlPr defaultSize="0" autoFill="0" autoPict="0">
                <anchor moveWithCells="1">
                  <from>
                    <xdr:col>1</xdr:col>
                    <xdr:colOff>3302000</xdr:colOff>
                    <xdr:row>7</xdr:row>
                    <xdr:rowOff>50800</xdr:rowOff>
                  </from>
                  <to>
                    <xdr:col>7</xdr:col>
                    <xdr:colOff>152400</xdr:colOff>
                    <xdr:row>7</xdr:row>
                    <xdr:rowOff>533400</xdr:rowOff>
                  </to>
                </anchor>
              </controlPr>
            </control>
          </mc:Choice>
        </mc:AlternateContent>
        <mc:AlternateContent xmlns:mc="http://schemas.openxmlformats.org/markup-compatibility/2006">
          <mc:Choice Requires="x14">
            <control shapeId="9219" r:id="rId6" name="Group Box 3">
              <controlPr defaultSize="0" autoFill="0" autoPict="0">
                <anchor moveWithCells="1">
                  <from>
                    <xdr:col>1</xdr:col>
                    <xdr:colOff>3314700</xdr:colOff>
                    <xdr:row>8</xdr:row>
                    <xdr:rowOff>76200</xdr:rowOff>
                  </from>
                  <to>
                    <xdr:col>7</xdr:col>
                    <xdr:colOff>127000</xdr:colOff>
                    <xdr:row>8</xdr:row>
                    <xdr:rowOff>381000</xdr:rowOff>
                  </to>
                </anchor>
              </controlPr>
            </control>
          </mc:Choice>
        </mc:AlternateContent>
        <mc:AlternateContent xmlns:mc="http://schemas.openxmlformats.org/markup-compatibility/2006">
          <mc:Choice Requires="x14">
            <control shapeId="9220" r:id="rId7" name="Group Box 4">
              <controlPr defaultSize="0" autoFill="0" autoPict="0">
                <anchor moveWithCells="1">
                  <from>
                    <xdr:col>1</xdr:col>
                    <xdr:colOff>3314700</xdr:colOff>
                    <xdr:row>9</xdr:row>
                    <xdr:rowOff>25400</xdr:rowOff>
                  </from>
                  <to>
                    <xdr:col>7</xdr:col>
                    <xdr:colOff>114300</xdr:colOff>
                    <xdr:row>9</xdr:row>
                    <xdr:rowOff>368300</xdr:rowOff>
                  </to>
                </anchor>
              </controlPr>
            </control>
          </mc:Choice>
        </mc:AlternateContent>
        <mc:AlternateContent xmlns:mc="http://schemas.openxmlformats.org/markup-compatibility/2006">
          <mc:Choice Requires="x14">
            <control shapeId="9221" r:id="rId8" name="Option Button 5">
              <controlPr defaultSize="0" autoFill="0" autoLine="0" autoPict="0">
                <anchor moveWithCells="1">
                  <from>
                    <xdr:col>2</xdr:col>
                    <xdr:colOff>50800</xdr:colOff>
                    <xdr:row>6</xdr:row>
                    <xdr:rowOff>101600</xdr:rowOff>
                  </from>
                  <to>
                    <xdr:col>2</xdr:col>
                    <xdr:colOff>317500</xdr:colOff>
                    <xdr:row>6</xdr:row>
                    <xdr:rowOff>381000</xdr:rowOff>
                  </to>
                </anchor>
              </controlPr>
            </control>
          </mc:Choice>
        </mc:AlternateContent>
        <mc:AlternateContent xmlns:mc="http://schemas.openxmlformats.org/markup-compatibility/2006">
          <mc:Choice Requires="x14">
            <control shapeId="9222" r:id="rId9" name="Option Button 6">
              <controlPr defaultSize="0" autoFill="0" autoLine="0" autoPict="0">
                <anchor moveWithCells="1">
                  <from>
                    <xdr:col>3</xdr:col>
                    <xdr:colOff>38100</xdr:colOff>
                    <xdr:row>6</xdr:row>
                    <xdr:rowOff>114300</xdr:rowOff>
                  </from>
                  <to>
                    <xdr:col>3</xdr:col>
                    <xdr:colOff>330200</xdr:colOff>
                    <xdr:row>6</xdr:row>
                    <xdr:rowOff>368300</xdr:rowOff>
                  </to>
                </anchor>
              </controlPr>
            </control>
          </mc:Choice>
        </mc:AlternateContent>
        <mc:AlternateContent xmlns:mc="http://schemas.openxmlformats.org/markup-compatibility/2006">
          <mc:Choice Requires="x14">
            <control shapeId="9223" r:id="rId10" name="Option Button 7">
              <controlPr defaultSize="0" autoFill="0" autoLine="0" autoPict="0">
                <anchor moveWithCells="1">
                  <from>
                    <xdr:col>4</xdr:col>
                    <xdr:colOff>50800</xdr:colOff>
                    <xdr:row>6</xdr:row>
                    <xdr:rowOff>101600</xdr:rowOff>
                  </from>
                  <to>
                    <xdr:col>4</xdr:col>
                    <xdr:colOff>368300</xdr:colOff>
                    <xdr:row>6</xdr:row>
                    <xdr:rowOff>381000</xdr:rowOff>
                  </to>
                </anchor>
              </controlPr>
            </control>
          </mc:Choice>
        </mc:AlternateContent>
        <mc:AlternateContent xmlns:mc="http://schemas.openxmlformats.org/markup-compatibility/2006">
          <mc:Choice Requires="x14">
            <control shapeId="9224" r:id="rId11" name="Option Button 8">
              <controlPr defaultSize="0" autoFill="0" autoLine="0" autoPict="0">
                <anchor moveWithCells="1">
                  <from>
                    <xdr:col>5</xdr:col>
                    <xdr:colOff>50800</xdr:colOff>
                    <xdr:row>6</xdr:row>
                    <xdr:rowOff>101600</xdr:rowOff>
                  </from>
                  <to>
                    <xdr:col>5</xdr:col>
                    <xdr:colOff>368300</xdr:colOff>
                    <xdr:row>6</xdr:row>
                    <xdr:rowOff>381000</xdr:rowOff>
                  </to>
                </anchor>
              </controlPr>
            </control>
          </mc:Choice>
        </mc:AlternateContent>
        <mc:AlternateContent xmlns:mc="http://schemas.openxmlformats.org/markup-compatibility/2006">
          <mc:Choice Requires="x14">
            <control shapeId="9225" r:id="rId12" name="Option Button 9">
              <controlPr defaultSize="0" autoFill="0" autoLine="0" autoPict="0">
                <anchor moveWithCells="1">
                  <from>
                    <xdr:col>2</xdr:col>
                    <xdr:colOff>50800</xdr:colOff>
                    <xdr:row>7</xdr:row>
                    <xdr:rowOff>88900</xdr:rowOff>
                  </from>
                  <to>
                    <xdr:col>3</xdr:col>
                    <xdr:colOff>0</xdr:colOff>
                    <xdr:row>7</xdr:row>
                    <xdr:rowOff>508000</xdr:rowOff>
                  </to>
                </anchor>
              </controlPr>
            </control>
          </mc:Choice>
        </mc:AlternateContent>
        <mc:AlternateContent xmlns:mc="http://schemas.openxmlformats.org/markup-compatibility/2006">
          <mc:Choice Requires="x14">
            <control shapeId="9226" r:id="rId13" name="Option Button 10">
              <controlPr defaultSize="0" autoFill="0" autoLine="0" autoPict="0">
                <anchor moveWithCells="1">
                  <from>
                    <xdr:col>3</xdr:col>
                    <xdr:colOff>38100</xdr:colOff>
                    <xdr:row>7</xdr:row>
                    <xdr:rowOff>101600</xdr:rowOff>
                  </from>
                  <to>
                    <xdr:col>3</xdr:col>
                    <xdr:colOff>342900</xdr:colOff>
                    <xdr:row>7</xdr:row>
                    <xdr:rowOff>508000</xdr:rowOff>
                  </to>
                </anchor>
              </controlPr>
            </control>
          </mc:Choice>
        </mc:AlternateContent>
        <mc:AlternateContent xmlns:mc="http://schemas.openxmlformats.org/markup-compatibility/2006">
          <mc:Choice Requires="x14">
            <control shapeId="9227" r:id="rId14" name="Option Button 11">
              <controlPr defaultSize="0" autoFill="0" autoLine="0" autoPict="0">
                <anchor moveWithCells="1">
                  <from>
                    <xdr:col>4</xdr:col>
                    <xdr:colOff>50800</xdr:colOff>
                    <xdr:row>7</xdr:row>
                    <xdr:rowOff>101600</xdr:rowOff>
                  </from>
                  <to>
                    <xdr:col>4</xdr:col>
                    <xdr:colOff>368300</xdr:colOff>
                    <xdr:row>7</xdr:row>
                    <xdr:rowOff>508000</xdr:rowOff>
                  </to>
                </anchor>
              </controlPr>
            </control>
          </mc:Choice>
        </mc:AlternateContent>
        <mc:AlternateContent xmlns:mc="http://schemas.openxmlformats.org/markup-compatibility/2006">
          <mc:Choice Requires="x14">
            <control shapeId="9228" r:id="rId15" name="Option Button 12">
              <controlPr defaultSize="0" autoFill="0" autoLine="0" autoPict="0">
                <anchor moveWithCells="1">
                  <from>
                    <xdr:col>5</xdr:col>
                    <xdr:colOff>50800</xdr:colOff>
                    <xdr:row>7</xdr:row>
                    <xdr:rowOff>76200</xdr:rowOff>
                  </from>
                  <to>
                    <xdr:col>5</xdr:col>
                    <xdr:colOff>368300</xdr:colOff>
                    <xdr:row>7</xdr:row>
                    <xdr:rowOff>520700</xdr:rowOff>
                  </to>
                </anchor>
              </controlPr>
            </control>
          </mc:Choice>
        </mc:AlternateContent>
        <mc:AlternateContent xmlns:mc="http://schemas.openxmlformats.org/markup-compatibility/2006">
          <mc:Choice Requires="x14">
            <control shapeId="9229" r:id="rId16" name="Option Button 13">
              <controlPr defaultSize="0" autoFill="0" autoLine="0" autoPict="0">
                <anchor moveWithCells="1">
                  <from>
                    <xdr:col>2</xdr:col>
                    <xdr:colOff>50800</xdr:colOff>
                    <xdr:row>8</xdr:row>
                    <xdr:rowOff>88900</xdr:rowOff>
                  </from>
                  <to>
                    <xdr:col>3</xdr:col>
                    <xdr:colOff>0</xdr:colOff>
                    <xdr:row>8</xdr:row>
                    <xdr:rowOff>381000</xdr:rowOff>
                  </to>
                </anchor>
              </controlPr>
            </control>
          </mc:Choice>
        </mc:AlternateContent>
        <mc:AlternateContent xmlns:mc="http://schemas.openxmlformats.org/markup-compatibility/2006">
          <mc:Choice Requires="x14">
            <control shapeId="9230" r:id="rId17" name="Option Button 14">
              <controlPr defaultSize="0" autoFill="0" autoLine="0" autoPict="0">
                <anchor moveWithCells="1">
                  <from>
                    <xdr:col>3</xdr:col>
                    <xdr:colOff>38100</xdr:colOff>
                    <xdr:row>8</xdr:row>
                    <xdr:rowOff>114300</xdr:rowOff>
                  </from>
                  <to>
                    <xdr:col>3</xdr:col>
                    <xdr:colOff>355600</xdr:colOff>
                    <xdr:row>8</xdr:row>
                    <xdr:rowOff>355600</xdr:rowOff>
                  </to>
                </anchor>
              </controlPr>
            </control>
          </mc:Choice>
        </mc:AlternateContent>
        <mc:AlternateContent xmlns:mc="http://schemas.openxmlformats.org/markup-compatibility/2006">
          <mc:Choice Requires="x14">
            <control shapeId="9231" r:id="rId18" name="Option Button 15">
              <controlPr defaultSize="0" autoFill="0" autoLine="0" autoPict="0">
                <anchor moveWithCells="1">
                  <from>
                    <xdr:col>4</xdr:col>
                    <xdr:colOff>50800</xdr:colOff>
                    <xdr:row>8</xdr:row>
                    <xdr:rowOff>114300</xdr:rowOff>
                  </from>
                  <to>
                    <xdr:col>4</xdr:col>
                    <xdr:colOff>381000</xdr:colOff>
                    <xdr:row>8</xdr:row>
                    <xdr:rowOff>355600</xdr:rowOff>
                  </to>
                </anchor>
              </controlPr>
            </control>
          </mc:Choice>
        </mc:AlternateContent>
        <mc:AlternateContent xmlns:mc="http://schemas.openxmlformats.org/markup-compatibility/2006">
          <mc:Choice Requires="x14">
            <control shapeId="9232" r:id="rId19" name="Option Button 16">
              <controlPr defaultSize="0" autoFill="0" autoLine="0" autoPict="0">
                <anchor moveWithCells="1">
                  <from>
                    <xdr:col>5</xdr:col>
                    <xdr:colOff>50800</xdr:colOff>
                    <xdr:row>8</xdr:row>
                    <xdr:rowOff>114300</xdr:rowOff>
                  </from>
                  <to>
                    <xdr:col>5</xdr:col>
                    <xdr:colOff>368300</xdr:colOff>
                    <xdr:row>8</xdr:row>
                    <xdr:rowOff>355600</xdr:rowOff>
                  </to>
                </anchor>
              </controlPr>
            </control>
          </mc:Choice>
        </mc:AlternateContent>
        <mc:AlternateContent xmlns:mc="http://schemas.openxmlformats.org/markup-compatibility/2006">
          <mc:Choice Requires="x14">
            <control shapeId="9233" r:id="rId20" name="Option Button 17">
              <controlPr defaultSize="0" autoFill="0" autoLine="0" autoPict="0">
                <anchor moveWithCells="1">
                  <from>
                    <xdr:col>2</xdr:col>
                    <xdr:colOff>50800</xdr:colOff>
                    <xdr:row>9</xdr:row>
                    <xdr:rowOff>76200</xdr:rowOff>
                  </from>
                  <to>
                    <xdr:col>3</xdr:col>
                    <xdr:colOff>0</xdr:colOff>
                    <xdr:row>9</xdr:row>
                    <xdr:rowOff>368300</xdr:rowOff>
                  </to>
                </anchor>
              </controlPr>
            </control>
          </mc:Choice>
        </mc:AlternateContent>
        <mc:AlternateContent xmlns:mc="http://schemas.openxmlformats.org/markup-compatibility/2006">
          <mc:Choice Requires="x14">
            <control shapeId="9234" r:id="rId21" name="Option Button 18">
              <controlPr defaultSize="0" autoFill="0" autoLine="0" autoPict="0">
                <anchor moveWithCells="1">
                  <from>
                    <xdr:col>3</xdr:col>
                    <xdr:colOff>38100</xdr:colOff>
                    <xdr:row>9</xdr:row>
                    <xdr:rowOff>76200</xdr:rowOff>
                  </from>
                  <to>
                    <xdr:col>3</xdr:col>
                    <xdr:colOff>368300</xdr:colOff>
                    <xdr:row>9</xdr:row>
                    <xdr:rowOff>368300</xdr:rowOff>
                  </to>
                </anchor>
              </controlPr>
            </control>
          </mc:Choice>
        </mc:AlternateContent>
        <mc:AlternateContent xmlns:mc="http://schemas.openxmlformats.org/markup-compatibility/2006">
          <mc:Choice Requires="x14">
            <control shapeId="9235" r:id="rId22" name="Option Button 19">
              <controlPr defaultSize="0" autoFill="0" autoLine="0" autoPict="0">
                <anchor moveWithCells="1">
                  <from>
                    <xdr:col>4</xdr:col>
                    <xdr:colOff>50800</xdr:colOff>
                    <xdr:row>9</xdr:row>
                    <xdr:rowOff>88900</xdr:rowOff>
                  </from>
                  <to>
                    <xdr:col>4</xdr:col>
                    <xdr:colOff>381000</xdr:colOff>
                    <xdr:row>9</xdr:row>
                    <xdr:rowOff>342900</xdr:rowOff>
                  </to>
                </anchor>
              </controlPr>
            </control>
          </mc:Choice>
        </mc:AlternateContent>
        <mc:AlternateContent xmlns:mc="http://schemas.openxmlformats.org/markup-compatibility/2006">
          <mc:Choice Requires="x14">
            <control shapeId="9236" r:id="rId23" name="Option Button 20">
              <controlPr defaultSize="0" autoFill="0" autoLine="0" autoPict="0">
                <anchor moveWithCells="1">
                  <from>
                    <xdr:col>5</xdr:col>
                    <xdr:colOff>50800</xdr:colOff>
                    <xdr:row>9</xdr:row>
                    <xdr:rowOff>63500</xdr:rowOff>
                  </from>
                  <to>
                    <xdr:col>5</xdr:col>
                    <xdr:colOff>368300</xdr:colOff>
                    <xdr:row>9</xdr:row>
                    <xdr:rowOff>368300</xdr:rowOff>
                  </to>
                </anchor>
              </controlPr>
            </control>
          </mc:Choice>
        </mc:AlternateContent>
        <mc:AlternateContent xmlns:mc="http://schemas.openxmlformats.org/markup-compatibility/2006">
          <mc:Choice Requires="x14">
            <control shapeId="9237" r:id="rId24" name="Group Box 21">
              <controlPr defaultSize="0" autoFill="0" autoPict="0">
                <anchor moveWithCells="1">
                  <from>
                    <xdr:col>1</xdr:col>
                    <xdr:colOff>5461000</xdr:colOff>
                    <xdr:row>18</xdr:row>
                    <xdr:rowOff>38100</xdr:rowOff>
                  </from>
                  <to>
                    <xdr:col>7</xdr:col>
                    <xdr:colOff>203200</xdr:colOff>
                    <xdr:row>18</xdr:row>
                    <xdr:rowOff>546100</xdr:rowOff>
                  </to>
                </anchor>
              </controlPr>
            </control>
          </mc:Choice>
        </mc:AlternateContent>
        <mc:AlternateContent xmlns:mc="http://schemas.openxmlformats.org/markup-compatibility/2006">
          <mc:Choice Requires="x14">
            <control shapeId="9240" r:id="rId25" name="Group Box 24">
              <controlPr defaultSize="0" autoFill="0" autoPict="0">
                <anchor moveWithCells="1">
                  <from>
                    <xdr:col>2</xdr:col>
                    <xdr:colOff>0</xdr:colOff>
                    <xdr:row>21</xdr:row>
                    <xdr:rowOff>203200</xdr:rowOff>
                  </from>
                  <to>
                    <xdr:col>7</xdr:col>
                    <xdr:colOff>266700</xdr:colOff>
                    <xdr:row>21</xdr:row>
                    <xdr:rowOff>584200</xdr:rowOff>
                  </to>
                </anchor>
              </controlPr>
            </control>
          </mc:Choice>
        </mc:AlternateContent>
        <mc:AlternateContent xmlns:mc="http://schemas.openxmlformats.org/markup-compatibility/2006">
          <mc:Choice Requires="x14">
            <control shapeId="9241" r:id="rId26" name="Group Box 25">
              <controlPr defaultSize="0" autoFill="0" autoPict="0">
                <anchor moveWithCells="1">
                  <from>
                    <xdr:col>2</xdr:col>
                    <xdr:colOff>0</xdr:colOff>
                    <xdr:row>22</xdr:row>
                    <xdr:rowOff>508000</xdr:rowOff>
                  </from>
                  <to>
                    <xdr:col>7</xdr:col>
                    <xdr:colOff>241300</xdr:colOff>
                    <xdr:row>22</xdr:row>
                    <xdr:rowOff>1003300</xdr:rowOff>
                  </to>
                </anchor>
              </controlPr>
            </control>
          </mc:Choice>
        </mc:AlternateContent>
        <mc:AlternateContent xmlns:mc="http://schemas.openxmlformats.org/markup-compatibility/2006">
          <mc:Choice Requires="x14">
            <control shapeId="9242" r:id="rId27" name="Group Box 26">
              <controlPr defaultSize="0" autoFill="0" autoPict="0">
                <anchor moveWithCells="1">
                  <from>
                    <xdr:col>1</xdr:col>
                    <xdr:colOff>3352800</xdr:colOff>
                    <xdr:row>23</xdr:row>
                    <xdr:rowOff>215900</xdr:rowOff>
                  </from>
                  <to>
                    <xdr:col>7</xdr:col>
                    <xdr:colOff>215900</xdr:colOff>
                    <xdr:row>23</xdr:row>
                    <xdr:rowOff>533400</xdr:rowOff>
                  </to>
                </anchor>
              </controlPr>
            </control>
          </mc:Choice>
        </mc:AlternateContent>
        <mc:AlternateContent xmlns:mc="http://schemas.openxmlformats.org/markup-compatibility/2006">
          <mc:Choice Requires="x14">
            <control shapeId="9243" r:id="rId28" name="Group Box 27">
              <controlPr defaultSize="0" autoFill="0" autoPict="0">
                <anchor moveWithCells="1">
                  <from>
                    <xdr:col>1</xdr:col>
                    <xdr:colOff>5461000</xdr:colOff>
                    <xdr:row>24</xdr:row>
                    <xdr:rowOff>76200</xdr:rowOff>
                  </from>
                  <to>
                    <xdr:col>7</xdr:col>
                    <xdr:colOff>228600</xdr:colOff>
                    <xdr:row>24</xdr:row>
                    <xdr:rowOff>546100</xdr:rowOff>
                  </to>
                </anchor>
              </controlPr>
            </control>
          </mc:Choice>
        </mc:AlternateContent>
        <mc:AlternateContent xmlns:mc="http://schemas.openxmlformats.org/markup-compatibility/2006">
          <mc:Choice Requires="x14">
            <control shapeId="9244" r:id="rId29" name="Group Box 28">
              <controlPr defaultSize="0" autoFill="0" autoPict="0">
                <anchor moveWithCells="1">
                  <from>
                    <xdr:col>1</xdr:col>
                    <xdr:colOff>5461000</xdr:colOff>
                    <xdr:row>25</xdr:row>
                    <xdr:rowOff>63500</xdr:rowOff>
                  </from>
                  <to>
                    <xdr:col>7</xdr:col>
                    <xdr:colOff>203200</xdr:colOff>
                    <xdr:row>25</xdr:row>
                    <xdr:rowOff>546100</xdr:rowOff>
                  </to>
                </anchor>
              </controlPr>
            </control>
          </mc:Choice>
        </mc:AlternateContent>
        <mc:AlternateContent xmlns:mc="http://schemas.openxmlformats.org/markup-compatibility/2006">
          <mc:Choice Requires="x14">
            <control shapeId="9246" r:id="rId30" name="Option Button 30">
              <controlPr defaultSize="0" autoFill="0" autoLine="0" autoPict="0">
                <anchor moveWithCells="1">
                  <from>
                    <xdr:col>2</xdr:col>
                    <xdr:colOff>38100</xdr:colOff>
                    <xdr:row>18</xdr:row>
                    <xdr:rowOff>101600</xdr:rowOff>
                  </from>
                  <to>
                    <xdr:col>3</xdr:col>
                    <xdr:colOff>25400</xdr:colOff>
                    <xdr:row>18</xdr:row>
                    <xdr:rowOff>546100</xdr:rowOff>
                  </to>
                </anchor>
              </controlPr>
            </control>
          </mc:Choice>
        </mc:AlternateContent>
        <mc:AlternateContent xmlns:mc="http://schemas.openxmlformats.org/markup-compatibility/2006">
          <mc:Choice Requires="x14">
            <control shapeId="9247" r:id="rId31" name="Option Button 31">
              <controlPr defaultSize="0" autoFill="0" autoLine="0" autoPict="0">
                <anchor moveWithCells="1">
                  <from>
                    <xdr:col>3</xdr:col>
                    <xdr:colOff>50800</xdr:colOff>
                    <xdr:row>18</xdr:row>
                    <xdr:rowOff>101600</xdr:rowOff>
                  </from>
                  <to>
                    <xdr:col>3</xdr:col>
                    <xdr:colOff>368300</xdr:colOff>
                    <xdr:row>18</xdr:row>
                    <xdr:rowOff>546100</xdr:rowOff>
                  </to>
                </anchor>
              </controlPr>
            </control>
          </mc:Choice>
        </mc:AlternateContent>
        <mc:AlternateContent xmlns:mc="http://schemas.openxmlformats.org/markup-compatibility/2006">
          <mc:Choice Requires="x14">
            <control shapeId="9248" r:id="rId32" name="Option Button 32">
              <controlPr defaultSize="0" autoFill="0" autoLine="0" autoPict="0">
                <anchor moveWithCells="1">
                  <from>
                    <xdr:col>4</xdr:col>
                    <xdr:colOff>50800</xdr:colOff>
                    <xdr:row>18</xdr:row>
                    <xdr:rowOff>101600</xdr:rowOff>
                  </from>
                  <to>
                    <xdr:col>4</xdr:col>
                    <xdr:colOff>368300</xdr:colOff>
                    <xdr:row>18</xdr:row>
                    <xdr:rowOff>546100</xdr:rowOff>
                  </to>
                </anchor>
              </controlPr>
            </control>
          </mc:Choice>
        </mc:AlternateContent>
        <mc:AlternateContent xmlns:mc="http://schemas.openxmlformats.org/markup-compatibility/2006">
          <mc:Choice Requires="x14">
            <control shapeId="9258" r:id="rId33" name="Option Button 42">
              <controlPr defaultSize="0" autoFill="0" autoLine="0" autoPict="0">
                <anchor moveWithCells="1">
                  <from>
                    <xdr:col>2</xdr:col>
                    <xdr:colOff>38100</xdr:colOff>
                    <xdr:row>21</xdr:row>
                    <xdr:rowOff>330200</xdr:rowOff>
                  </from>
                  <to>
                    <xdr:col>3</xdr:col>
                    <xdr:colOff>25400</xdr:colOff>
                    <xdr:row>21</xdr:row>
                    <xdr:rowOff>482600</xdr:rowOff>
                  </to>
                </anchor>
              </controlPr>
            </control>
          </mc:Choice>
        </mc:AlternateContent>
        <mc:AlternateContent xmlns:mc="http://schemas.openxmlformats.org/markup-compatibility/2006">
          <mc:Choice Requires="x14">
            <control shapeId="9259" r:id="rId34" name="Option Button 43">
              <controlPr defaultSize="0" autoFill="0" autoLine="0" autoPict="0">
                <anchor moveWithCells="1">
                  <from>
                    <xdr:col>3</xdr:col>
                    <xdr:colOff>50800</xdr:colOff>
                    <xdr:row>21</xdr:row>
                    <xdr:rowOff>330200</xdr:rowOff>
                  </from>
                  <to>
                    <xdr:col>3</xdr:col>
                    <xdr:colOff>330200</xdr:colOff>
                    <xdr:row>21</xdr:row>
                    <xdr:rowOff>482600</xdr:rowOff>
                  </to>
                </anchor>
              </controlPr>
            </control>
          </mc:Choice>
        </mc:AlternateContent>
        <mc:AlternateContent xmlns:mc="http://schemas.openxmlformats.org/markup-compatibility/2006">
          <mc:Choice Requires="x14">
            <control shapeId="9262" r:id="rId35" name="Option Button 46">
              <controlPr defaultSize="0" autoFill="0" autoLine="0" autoPict="0">
                <anchor moveWithCells="1">
                  <from>
                    <xdr:col>2</xdr:col>
                    <xdr:colOff>38100</xdr:colOff>
                    <xdr:row>22</xdr:row>
                    <xdr:rowOff>546100</xdr:rowOff>
                  </from>
                  <to>
                    <xdr:col>3</xdr:col>
                    <xdr:colOff>0</xdr:colOff>
                    <xdr:row>22</xdr:row>
                    <xdr:rowOff>1003300</xdr:rowOff>
                  </to>
                </anchor>
              </controlPr>
            </control>
          </mc:Choice>
        </mc:AlternateContent>
        <mc:AlternateContent xmlns:mc="http://schemas.openxmlformats.org/markup-compatibility/2006">
          <mc:Choice Requires="x14">
            <control shapeId="9263" r:id="rId36" name="Option Button 47">
              <controlPr defaultSize="0" autoFill="0" autoLine="0" autoPict="0">
                <anchor moveWithCells="1">
                  <from>
                    <xdr:col>3</xdr:col>
                    <xdr:colOff>50800</xdr:colOff>
                    <xdr:row>22</xdr:row>
                    <xdr:rowOff>546100</xdr:rowOff>
                  </from>
                  <to>
                    <xdr:col>3</xdr:col>
                    <xdr:colOff>431800</xdr:colOff>
                    <xdr:row>22</xdr:row>
                    <xdr:rowOff>1003300</xdr:rowOff>
                  </to>
                </anchor>
              </controlPr>
            </control>
          </mc:Choice>
        </mc:AlternateContent>
        <mc:AlternateContent xmlns:mc="http://schemas.openxmlformats.org/markup-compatibility/2006">
          <mc:Choice Requires="x14">
            <control shapeId="9264" r:id="rId37" name="Option Button 48">
              <controlPr defaultSize="0" autoFill="0" autoLine="0" autoPict="0">
                <anchor moveWithCells="1">
                  <from>
                    <xdr:col>4</xdr:col>
                    <xdr:colOff>50800</xdr:colOff>
                    <xdr:row>22</xdr:row>
                    <xdr:rowOff>546100</xdr:rowOff>
                  </from>
                  <to>
                    <xdr:col>4</xdr:col>
                    <xdr:colOff>368300</xdr:colOff>
                    <xdr:row>22</xdr:row>
                    <xdr:rowOff>1003300</xdr:rowOff>
                  </to>
                </anchor>
              </controlPr>
            </control>
          </mc:Choice>
        </mc:AlternateContent>
        <mc:AlternateContent xmlns:mc="http://schemas.openxmlformats.org/markup-compatibility/2006">
          <mc:Choice Requires="x14">
            <control shapeId="9265" r:id="rId38" name="Option Button 49">
              <controlPr defaultSize="0" autoFill="0" autoLine="0" autoPict="0">
                <anchor moveWithCells="1">
                  <from>
                    <xdr:col>5</xdr:col>
                    <xdr:colOff>63500</xdr:colOff>
                    <xdr:row>22</xdr:row>
                    <xdr:rowOff>546100</xdr:rowOff>
                  </from>
                  <to>
                    <xdr:col>5</xdr:col>
                    <xdr:colOff>381000</xdr:colOff>
                    <xdr:row>22</xdr:row>
                    <xdr:rowOff>1003300</xdr:rowOff>
                  </to>
                </anchor>
              </controlPr>
            </control>
          </mc:Choice>
        </mc:AlternateContent>
        <mc:AlternateContent xmlns:mc="http://schemas.openxmlformats.org/markup-compatibility/2006">
          <mc:Choice Requires="x14">
            <control shapeId="9266" r:id="rId39" name="Option Button 50">
              <controlPr defaultSize="0" autoFill="0" autoLine="0" autoPict="0">
                <anchor moveWithCells="1">
                  <from>
                    <xdr:col>2</xdr:col>
                    <xdr:colOff>38100</xdr:colOff>
                    <xdr:row>23</xdr:row>
                    <xdr:rowOff>254000</xdr:rowOff>
                  </from>
                  <to>
                    <xdr:col>2</xdr:col>
                    <xdr:colOff>330200</xdr:colOff>
                    <xdr:row>23</xdr:row>
                    <xdr:rowOff>520700</xdr:rowOff>
                  </to>
                </anchor>
              </controlPr>
            </control>
          </mc:Choice>
        </mc:AlternateContent>
        <mc:AlternateContent xmlns:mc="http://schemas.openxmlformats.org/markup-compatibility/2006">
          <mc:Choice Requires="x14">
            <control shapeId="9267" r:id="rId40" name="Option Button 51">
              <controlPr defaultSize="0" autoFill="0" autoLine="0" autoPict="0">
                <anchor moveWithCells="1">
                  <from>
                    <xdr:col>3</xdr:col>
                    <xdr:colOff>50800</xdr:colOff>
                    <xdr:row>23</xdr:row>
                    <xdr:rowOff>266700</xdr:rowOff>
                  </from>
                  <to>
                    <xdr:col>3</xdr:col>
                    <xdr:colOff>368300</xdr:colOff>
                    <xdr:row>23</xdr:row>
                    <xdr:rowOff>508000</xdr:rowOff>
                  </to>
                </anchor>
              </controlPr>
            </control>
          </mc:Choice>
        </mc:AlternateContent>
        <mc:AlternateContent xmlns:mc="http://schemas.openxmlformats.org/markup-compatibility/2006">
          <mc:Choice Requires="x14">
            <control shapeId="9268" r:id="rId41" name="Option Button 52">
              <controlPr defaultSize="0" autoFill="0" autoLine="0" autoPict="0">
                <anchor moveWithCells="1">
                  <from>
                    <xdr:col>4</xdr:col>
                    <xdr:colOff>50800</xdr:colOff>
                    <xdr:row>23</xdr:row>
                    <xdr:rowOff>254000</xdr:rowOff>
                  </from>
                  <to>
                    <xdr:col>4</xdr:col>
                    <xdr:colOff>381000</xdr:colOff>
                    <xdr:row>23</xdr:row>
                    <xdr:rowOff>520700</xdr:rowOff>
                  </to>
                </anchor>
              </controlPr>
            </control>
          </mc:Choice>
        </mc:AlternateContent>
        <mc:AlternateContent xmlns:mc="http://schemas.openxmlformats.org/markup-compatibility/2006">
          <mc:Choice Requires="x14">
            <control shapeId="9269" r:id="rId42" name="Option Button 53">
              <controlPr defaultSize="0" autoFill="0" autoLine="0" autoPict="0">
                <anchor moveWithCells="1">
                  <from>
                    <xdr:col>5</xdr:col>
                    <xdr:colOff>63500</xdr:colOff>
                    <xdr:row>23</xdr:row>
                    <xdr:rowOff>254000</xdr:rowOff>
                  </from>
                  <to>
                    <xdr:col>5</xdr:col>
                    <xdr:colOff>381000</xdr:colOff>
                    <xdr:row>23</xdr:row>
                    <xdr:rowOff>520700</xdr:rowOff>
                  </to>
                </anchor>
              </controlPr>
            </control>
          </mc:Choice>
        </mc:AlternateContent>
        <mc:AlternateContent xmlns:mc="http://schemas.openxmlformats.org/markup-compatibility/2006">
          <mc:Choice Requires="x14">
            <control shapeId="9270" r:id="rId43" name="Option Button 54">
              <controlPr defaultSize="0" autoFill="0" autoLine="0" autoPict="0">
                <anchor moveWithCells="1">
                  <from>
                    <xdr:col>2</xdr:col>
                    <xdr:colOff>38100</xdr:colOff>
                    <xdr:row>24</xdr:row>
                    <xdr:rowOff>114300</xdr:rowOff>
                  </from>
                  <to>
                    <xdr:col>2</xdr:col>
                    <xdr:colOff>355600</xdr:colOff>
                    <xdr:row>24</xdr:row>
                    <xdr:rowOff>546100</xdr:rowOff>
                  </to>
                </anchor>
              </controlPr>
            </control>
          </mc:Choice>
        </mc:AlternateContent>
        <mc:AlternateContent xmlns:mc="http://schemas.openxmlformats.org/markup-compatibility/2006">
          <mc:Choice Requires="x14">
            <control shapeId="9271" r:id="rId44" name="Option Button 55">
              <controlPr defaultSize="0" autoFill="0" autoLine="0" autoPict="0">
                <anchor moveWithCells="1">
                  <from>
                    <xdr:col>3</xdr:col>
                    <xdr:colOff>50800</xdr:colOff>
                    <xdr:row>24</xdr:row>
                    <xdr:rowOff>127000</xdr:rowOff>
                  </from>
                  <to>
                    <xdr:col>3</xdr:col>
                    <xdr:colOff>342900</xdr:colOff>
                    <xdr:row>24</xdr:row>
                    <xdr:rowOff>546100</xdr:rowOff>
                  </to>
                </anchor>
              </controlPr>
            </control>
          </mc:Choice>
        </mc:AlternateContent>
        <mc:AlternateContent xmlns:mc="http://schemas.openxmlformats.org/markup-compatibility/2006">
          <mc:Choice Requires="x14">
            <control shapeId="9272" r:id="rId45" name="Option Button 56">
              <controlPr defaultSize="0" autoFill="0" autoLine="0" autoPict="0">
                <anchor moveWithCells="1">
                  <from>
                    <xdr:col>4</xdr:col>
                    <xdr:colOff>50800</xdr:colOff>
                    <xdr:row>24</xdr:row>
                    <xdr:rowOff>114300</xdr:rowOff>
                  </from>
                  <to>
                    <xdr:col>4</xdr:col>
                    <xdr:colOff>368300</xdr:colOff>
                    <xdr:row>24</xdr:row>
                    <xdr:rowOff>546100</xdr:rowOff>
                  </to>
                </anchor>
              </controlPr>
            </control>
          </mc:Choice>
        </mc:AlternateContent>
        <mc:AlternateContent xmlns:mc="http://schemas.openxmlformats.org/markup-compatibility/2006">
          <mc:Choice Requires="x14">
            <control shapeId="9273" r:id="rId46" name="Option Button 57">
              <controlPr defaultSize="0" autoFill="0" autoLine="0" autoPict="0">
                <anchor moveWithCells="1">
                  <from>
                    <xdr:col>5</xdr:col>
                    <xdr:colOff>63500</xdr:colOff>
                    <xdr:row>24</xdr:row>
                    <xdr:rowOff>114300</xdr:rowOff>
                  </from>
                  <to>
                    <xdr:col>5</xdr:col>
                    <xdr:colOff>381000</xdr:colOff>
                    <xdr:row>24</xdr:row>
                    <xdr:rowOff>546100</xdr:rowOff>
                  </to>
                </anchor>
              </controlPr>
            </control>
          </mc:Choice>
        </mc:AlternateContent>
        <mc:AlternateContent xmlns:mc="http://schemas.openxmlformats.org/markup-compatibility/2006">
          <mc:Choice Requires="x14">
            <control shapeId="9274" r:id="rId47" name="Option Button 58">
              <controlPr defaultSize="0" autoFill="0" autoLine="0" autoPict="0">
                <anchor moveWithCells="1">
                  <from>
                    <xdr:col>2</xdr:col>
                    <xdr:colOff>38100</xdr:colOff>
                    <xdr:row>25</xdr:row>
                    <xdr:rowOff>101600</xdr:rowOff>
                  </from>
                  <to>
                    <xdr:col>3</xdr:col>
                    <xdr:colOff>0</xdr:colOff>
                    <xdr:row>25</xdr:row>
                    <xdr:rowOff>546100</xdr:rowOff>
                  </to>
                </anchor>
              </controlPr>
            </control>
          </mc:Choice>
        </mc:AlternateContent>
        <mc:AlternateContent xmlns:mc="http://schemas.openxmlformats.org/markup-compatibility/2006">
          <mc:Choice Requires="x14">
            <control shapeId="9275" r:id="rId48" name="Option Button 59">
              <controlPr defaultSize="0" autoFill="0" autoLine="0" autoPict="0">
                <anchor moveWithCells="1">
                  <from>
                    <xdr:col>3</xdr:col>
                    <xdr:colOff>50800</xdr:colOff>
                    <xdr:row>25</xdr:row>
                    <xdr:rowOff>101600</xdr:rowOff>
                  </from>
                  <to>
                    <xdr:col>3</xdr:col>
                    <xdr:colOff>355600</xdr:colOff>
                    <xdr:row>25</xdr:row>
                    <xdr:rowOff>546100</xdr:rowOff>
                  </to>
                </anchor>
              </controlPr>
            </control>
          </mc:Choice>
        </mc:AlternateContent>
        <mc:AlternateContent xmlns:mc="http://schemas.openxmlformats.org/markup-compatibility/2006">
          <mc:Choice Requires="x14">
            <control shapeId="9276" r:id="rId49" name="Option Button 60">
              <controlPr defaultSize="0" autoFill="0" autoLine="0" autoPict="0">
                <anchor moveWithCells="1">
                  <from>
                    <xdr:col>4</xdr:col>
                    <xdr:colOff>50800</xdr:colOff>
                    <xdr:row>25</xdr:row>
                    <xdr:rowOff>101600</xdr:rowOff>
                  </from>
                  <to>
                    <xdr:col>4</xdr:col>
                    <xdr:colOff>368300</xdr:colOff>
                    <xdr:row>25</xdr:row>
                    <xdr:rowOff>546100</xdr:rowOff>
                  </to>
                </anchor>
              </controlPr>
            </control>
          </mc:Choice>
        </mc:AlternateContent>
        <mc:AlternateContent xmlns:mc="http://schemas.openxmlformats.org/markup-compatibility/2006">
          <mc:Choice Requires="x14">
            <control shapeId="9277" r:id="rId50" name="Option Button 61">
              <controlPr defaultSize="0" autoFill="0" autoLine="0" autoPict="0">
                <anchor moveWithCells="1">
                  <from>
                    <xdr:col>5</xdr:col>
                    <xdr:colOff>63500</xdr:colOff>
                    <xdr:row>25</xdr:row>
                    <xdr:rowOff>101600</xdr:rowOff>
                  </from>
                  <to>
                    <xdr:col>5</xdr:col>
                    <xdr:colOff>368300</xdr:colOff>
                    <xdr:row>25</xdr:row>
                    <xdr:rowOff>546100</xdr:rowOff>
                  </to>
                </anchor>
              </controlPr>
            </control>
          </mc:Choice>
        </mc:AlternateContent>
        <mc:AlternateContent xmlns:mc="http://schemas.openxmlformats.org/markup-compatibility/2006">
          <mc:Choice Requires="x14">
            <control shapeId="9282" r:id="rId51" name="Group Box 66">
              <controlPr defaultSize="0" autoFill="0" autoPict="0">
                <anchor moveWithCells="1">
                  <from>
                    <xdr:col>1</xdr:col>
                    <xdr:colOff>5461000</xdr:colOff>
                    <xdr:row>33</xdr:row>
                    <xdr:rowOff>63500</xdr:rowOff>
                  </from>
                  <to>
                    <xdr:col>7</xdr:col>
                    <xdr:colOff>127000</xdr:colOff>
                    <xdr:row>33</xdr:row>
                    <xdr:rowOff>647700</xdr:rowOff>
                  </to>
                </anchor>
              </controlPr>
            </control>
          </mc:Choice>
        </mc:AlternateContent>
        <mc:AlternateContent xmlns:mc="http://schemas.openxmlformats.org/markup-compatibility/2006">
          <mc:Choice Requires="x14">
            <control shapeId="9283" r:id="rId52" name="Group Box 67">
              <controlPr defaultSize="0" autoFill="0" autoPict="0">
                <anchor moveWithCells="1">
                  <from>
                    <xdr:col>1</xdr:col>
                    <xdr:colOff>3289300</xdr:colOff>
                    <xdr:row>34</xdr:row>
                    <xdr:rowOff>0</xdr:rowOff>
                  </from>
                  <to>
                    <xdr:col>7</xdr:col>
                    <xdr:colOff>101600</xdr:colOff>
                    <xdr:row>35</xdr:row>
                    <xdr:rowOff>0</xdr:rowOff>
                  </to>
                </anchor>
              </controlPr>
            </control>
          </mc:Choice>
        </mc:AlternateContent>
        <mc:AlternateContent xmlns:mc="http://schemas.openxmlformats.org/markup-compatibility/2006">
          <mc:Choice Requires="x14">
            <control shapeId="9284" r:id="rId53" name="Group Box 68">
              <controlPr defaultSize="0" autoFill="0" autoPict="0">
                <anchor moveWithCells="1">
                  <from>
                    <xdr:col>1</xdr:col>
                    <xdr:colOff>3314700</xdr:colOff>
                    <xdr:row>35</xdr:row>
                    <xdr:rowOff>25400</xdr:rowOff>
                  </from>
                  <to>
                    <xdr:col>7</xdr:col>
                    <xdr:colOff>88900</xdr:colOff>
                    <xdr:row>35</xdr:row>
                    <xdr:rowOff>571500</xdr:rowOff>
                  </to>
                </anchor>
              </controlPr>
            </control>
          </mc:Choice>
        </mc:AlternateContent>
        <mc:AlternateContent xmlns:mc="http://schemas.openxmlformats.org/markup-compatibility/2006">
          <mc:Choice Requires="x14">
            <control shapeId="9285" r:id="rId54" name="Group Box 69">
              <controlPr defaultSize="0" autoFill="0" autoPict="0">
                <anchor moveWithCells="1">
                  <from>
                    <xdr:col>1</xdr:col>
                    <xdr:colOff>3314700</xdr:colOff>
                    <xdr:row>36</xdr:row>
                    <xdr:rowOff>63500</xdr:rowOff>
                  </from>
                  <to>
                    <xdr:col>7</xdr:col>
                    <xdr:colOff>139700</xdr:colOff>
                    <xdr:row>37</xdr:row>
                    <xdr:rowOff>25400</xdr:rowOff>
                  </to>
                </anchor>
              </controlPr>
            </control>
          </mc:Choice>
        </mc:AlternateContent>
        <mc:AlternateContent xmlns:mc="http://schemas.openxmlformats.org/markup-compatibility/2006">
          <mc:Choice Requires="x14">
            <control shapeId="9286" r:id="rId55" name="Group Box 70">
              <controlPr defaultSize="0" autoFill="0" autoPict="0">
                <anchor moveWithCells="1">
                  <from>
                    <xdr:col>1</xdr:col>
                    <xdr:colOff>5461000</xdr:colOff>
                    <xdr:row>37</xdr:row>
                    <xdr:rowOff>63500</xdr:rowOff>
                  </from>
                  <to>
                    <xdr:col>7</xdr:col>
                    <xdr:colOff>152400</xdr:colOff>
                    <xdr:row>38</xdr:row>
                    <xdr:rowOff>114300</xdr:rowOff>
                  </to>
                </anchor>
              </controlPr>
            </control>
          </mc:Choice>
        </mc:AlternateContent>
        <mc:AlternateContent xmlns:mc="http://schemas.openxmlformats.org/markup-compatibility/2006">
          <mc:Choice Requires="x14">
            <control shapeId="9287" r:id="rId56" name="Group Box 71">
              <controlPr defaultSize="0" autoFill="0" autoPict="0">
                <anchor moveWithCells="1">
                  <from>
                    <xdr:col>2</xdr:col>
                    <xdr:colOff>0</xdr:colOff>
                    <xdr:row>38</xdr:row>
                    <xdr:rowOff>165100</xdr:rowOff>
                  </from>
                  <to>
                    <xdr:col>7</xdr:col>
                    <xdr:colOff>165100</xdr:colOff>
                    <xdr:row>38</xdr:row>
                    <xdr:rowOff>901700</xdr:rowOff>
                  </to>
                </anchor>
              </controlPr>
            </control>
          </mc:Choice>
        </mc:AlternateContent>
        <mc:AlternateContent xmlns:mc="http://schemas.openxmlformats.org/markup-compatibility/2006">
          <mc:Choice Requires="x14">
            <control shapeId="9288" r:id="rId57" name="Group Box 72">
              <controlPr defaultSize="0" autoFill="0" autoPict="0">
                <anchor moveWithCells="1">
                  <from>
                    <xdr:col>1</xdr:col>
                    <xdr:colOff>3340100</xdr:colOff>
                    <xdr:row>39</xdr:row>
                    <xdr:rowOff>25400</xdr:rowOff>
                  </from>
                  <to>
                    <xdr:col>7</xdr:col>
                    <xdr:colOff>215900</xdr:colOff>
                    <xdr:row>40</xdr:row>
                    <xdr:rowOff>0</xdr:rowOff>
                  </to>
                </anchor>
              </controlPr>
            </control>
          </mc:Choice>
        </mc:AlternateContent>
        <mc:AlternateContent xmlns:mc="http://schemas.openxmlformats.org/markup-compatibility/2006">
          <mc:Choice Requires="x14">
            <control shapeId="9293" r:id="rId58" name="Option Button 77">
              <controlPr defaultSize="0" autoFill="0" autoLine="0" autoPict="0">
                <anchor moveWithCells="1">
                  <from>
                    <xdr:col>2</xdr:col>
                    <xdr:colOff>50800</xdr:colOff>
                    <xdr:row>34</xdr:row>
                    <xdr:rowOff>63500</xdr:rowOff>
                  </from>
                  <to>
                    <xdr:col>3</xdr:col>
                    <xdr:colOff>25400</xdr:colOff>
                    <xdr:row>34</xdr:row>
                    <xdr:rowOff>444500</xdr:rowOff>
                  </to>
                </anchor>
              </controlPr>
            </control>
          </mc:Choice>
        </mc:AlternateContent>
        <mc:AlternateContent xmlns:mc="http://schemas.openxmlformats.org/markup-compatibility/2006">
          <mc:Choice Requires="x14">
            <control shapeId="9294" r:id="rId59" name="Option Button 78">
              <controlPr defaultSize="0" autoFill="0" autoLine="0" autoPict="0">
                <anchor moveWithCells="1">
                  <from>
                    <xdr:col>3</xdr:col>
                    <xdr:colOff>50800</xdr:colOff>
                    <xdr:row>34</xdr:row>
                    <xdr:rowOff>63500</xdr:rowOff>
                  </from>
                  <to>
                    <xdr:col>3</xdr:col>
                    <xdr:colOff>330200</xdr:colOff>
                    <xdr:row>34</xdr:row>
                    <xdr:rowOff>444500</xdr:rowOff>
                  </to>
                </anchor>
              </controlPr>
            </control>
          </mc:Choice>
        </mc:AlternateContent>
        <mc:AlternateContent xmlns:mc="http://schemas.openxmlformats.org/markup-compatibility/2006">
          <mc:Choice Requires="x14">
            <control shapeId="9295" r:id="rId60" name="Option Button 79">
              <controlPr defaultSize="0" autoFill="0" autoLine="0" autoPict="0">
                <anchor moveWithCells="1">
                  <from>
                    <xdr:col>4</xdr:col>
                    <xdr:colOff>50800</xdr:colOff>
                    <xdr:row>34</xdr:row>
                    <xdr:rowOff>63500</xdr:rowOff>
                  </from>
                  <to>
                    <xdr:col>4</xdr:col>
                    <xdr:colOff>368300</xdr:colOff>
                    <xdr:row>34</xdr:row>
                    <xdr:rowOff>444500</xdr:rowOff>
                  </to>
                </anchor>
              </controlPr>
            </control>
          </mc:Choice>
        </mc:AlternateContent>
        <mc:AlternateContent xmlns:mc="http://schemas.openxmlformats.org/markup-compatibility/2006">
          <mc:Choice Requires="x14">
            <control shapeId="9296" r:id="rId61" name="Option Button 80">
              <controlPr defaultSize="0" autoFill="0" autoLine="0" autoPict="0">
                <anchor moveWithCells="1">
                  <from>
                    <xdr:col>5</xdr:col>
                    <xdr:colOff>50800</xdr:colOff>
                    <xdr:row>34</xdr:row>
                    <xdr:rowOff>63500</xdr:rowOff>
                  </from>
                  <to>
                    <xdr:col>5</xdr:col>
                    <xdr:colOff>368300</xdr:colOff>
                    <xdr:row>34</xdr:row>
                    <xdr:rowOff>444500</xdr:rowOff>
                  </to>
                </anchor>
              </controlPr>
            </control>
          </mc:Choice>
        </mc:AlternateContent>
        <mc:AlternateContent xmlns:mc="http://schemas.openxmlformats.org/markup-compatibility/2006">
          <mc:Choice Requires="x14">
            <control shapeId="9297" r:id="rId62" name="Option Button 81">
              <controlPr defaultSize="0" autoFill="0" autoLine="0" autoPict="0">
                <anchor moveWithCells="1">
                  <from>
                    <xdr:col>2</xdr:col>
                    <xdr:colOff>50800</xdr:colOff>
                    <xdr:row>35</xdr:row>
                    <xdr:rowOff>50800</xdr:rowOff>
                  </from>
                  <to>
                    <xdr:col>3</xdr:col>
                    <xdr:colOff>0</xdr:colOff>
                    <xdr:row>35</xdr:row>
                    <xdr:rowOff>571500</xdr:rowOff>
                  </to>
                </anchor>
              </controlPr>
            </control>
          </mc:Choice>
        </mc:AlternateContent>
        <mc:AlternateContent xmlns:mc="http://schemas.openxmlformats.org/markup-compatibility/2006">
          <mc:Choice Requires="x14">
            <control shapeId="9298" r:id="rId63" name="Option Button 82">
              <controlPr defaultSize="0" autoFill="0" autoLine="0" autoPict="0">
                <anchor moveWithCells="1">
                  <from>
                    <xdr:col>3</xdr:col>
                    <xdr:colOff>50800</xdr:colOff>
                    <xdr:row>35</xdr:row>
                    <xdr:rowOff>50800</xdr:rowOff>
                  </from>
                  <to>
                    <xdr:col>3</xdr:col>
                    <xdr:colOff>381000</xdr:colOff>
                    <xdr:row>35</xdr:row>
                    <xdr:rowOff>571500</xdr:rowOff>
                  </to>
                </anchor>
              </controlPr>
            </control>
          </mc:Choice>
        </mc:AlternateContent>
        <mc:AlternateContent xmlns:mc="http://schemas.openxmlformats.org/markup-compatibility/2006">
          <mc:Choice Requires="x14">
            <control shapeId="9299" r:id="rId64" name="Option Button 83">
              <controlPr defaultSize="0" autoFill="0" autoLine="0" autoPict="0">
                <anchor moveWithCells="1">
                  <from>
                    <xdr:col>4</xdr:col>
                    <xdr:colOff>50800</xdr:colOff>
                    <xdr:row>35</xdr:row>
                    <xdr:rowOff>50800</xdr:rowOff>
                  </from>
                  <to>
                    <xdr:col>4</xdr:col>
                    <xdr:colOff>368300</xdr:colOff>
                    <xdr:row>35</xdr:row>
                    <xdr:rowOff>571500</xdr:rowOff>
                  </to>
                </anchor>
              </controlPr>
            </control>
          </mc:Choice>
        </mc:AlternateContent>
        <mc:AlternateContent xmlns:mc="http://schemas.openxmlformats.org/markup-compatibility/2006">
          <mc:Choice Requires="x14">
            <control shapeId="9300" r:id="rId65" name="Option Button 84">
              <controlPr defaultSize="0" autoFill="0" autoLine="0" autoPict="0">
                <anchor moveWithCells="1">
                  <from>
                    <xdr:col>5</xdr:col>
                    <xdr:colOff>50800</xdr:colOff>
                    <xdr:row>35</xdr:row>
                    <xdr:rowOff>50800</xdr:rowOff>
                  </from>
                  <to>
                    <xdr:col>5</xdr:col>
                    <xdr:colOff>368300</xdr:colOff>
                    <xdr:row>35</xdr:row>
                    <xdr:rowOff>571500</xdr:rowOff>
                  </to>
                </anchor>
              </controlPr>
            </control>
          </mc:Choice>
        </mc:AlternateContent>
        <mc:AlternateContent xmlns:mc="http://schemas.openxmlformats.org/markup-compatibility/2006">
          <mc:Choice Requires="x14">
            <control shapeId="9305" r:id="rId66" name="Option Button 89">
              <controlPr defaultSize="0" autoFill="0" autoLine="0" autoPict="0">
                <anchor moveWithCells="1">
                  <from>
                    <xdr:col>2</xdr:col>
                    <xdr:colOff>50800</xdr:colOff>
                    <xdr:row>37</xdr:row>
                    <xdr:rowOff>114300</xdr:rowOff>
                  </from>
                  <to>
                    <xdr:col>3</xdr:col>
                    <xdr:colOff>0</xdr:colOff>
                    <xdr:row>38</xdr:row>
                    <xdr:rowOff>101600</xdr:rowOff>
                  </to>
                </anchor>
              </controlPr>
            </control>
          </mc:Choice>
        </mc:AlternateContent>
        <mc:AlternateContent xmlns:mc="http://schemas.openxmlformats.org/markup-compatibility/2006">
          <mc:Choice Requires="x14">
            <control shapeId="9306" r:id="rId67" name="Option Button 90">
              <controlPr defaultSize="0" autoFill="0" autoLine="0" autoPict="0">
                <anchor moveWithCells="1">
                  <from>
                    <xdr:col>3</xdr:col>
                    <xdr:colOff>50800</xdr:colOff>
                    <xdr:row>37</xdr:row>
                    <xdr:rowOff>114300</xdr:rowOff>
                  </from>
                  <to>
                    <xdr:col>3</xdr:col>
                    <xdr:colOff>368300</xdr:colOff>
                    <xdr:row>38</xdr:row>
                    <xdr:rowOff>101600</xdr:rowOff>
                  </to>
                </anchor>
              </controlPr>
            </control>
          </mc:Choice>
        </mc:AlternateContent>
        <mc:AlternateContent xmlns:mc="http://schemas.openxmlformats.org/markup-compatibility/2006">
          <mc:Choice Requires="x14">
            <control shapeId="9307" r:id="rId68" name="Option Button 91">
              <controlPr defaultSize="0" autoFill="0" autoLine="0" autoPict="0">
                <anchor moveWithCells="1">
                  <from>
                    <xdr:col>4</xdr:col>
                    <xdr:colOff>50800</xdr:colOff>
                    <xdr:row>37</xdr:row>
                    <xdr:rowOff>114300</xdr:rowOff>
                  </from>
                  <to>
                    <xdr:col>4</xdr:col>
                    <xdr:colOff>342900</xdr:colOff>
                    <xdr:row>38</xdr:row>
                    <xdr:rowOff>101600</xdr:rowOff>
                  </to>
                </anchor>
              </controlPr>
            </control>
          </mc:Choice>
        </mc:AlternateContent>
        <mc:AlternateContent xmlns:mc="http://schemas.openxmlformats.org/markup-compatibility/2006">
          <mc:Choice Requires="x14">
            <control shapeId="9308" r:id="rId69" name="Option Button 92">
              <controlPr defaultSize="0" autoFill="0" autoLine="0" autoPict="0">
                <anchor moveWithCells="1">
                  <from>
                    <xdr:col>5</xdr:col>
                    <xdr:colOff>50800</xdr:colOff>
                    <xdr:row>37</xdr:row>
                    <xdr:rowOff>190500</xdr:rowOff>
                  </from>
                  <to>
                    <xdr:col>5</xdr:col>
                    <xdr:colOff>342900</xdr:colOff>
                    <xdr:row>38</xdr:row>
                    <xdr:rowOff>25400</xdr:rowOff>
                  </to>
                </anchor>
              </controlPr>
            </control>
          </mc:Choice>
        </mc:AlternateContent>
        <mc:AlternateContent xmlns:mc="http://schemas.openxmlformats.org/markup-compatibility/2006">
          <mc:Choice Requires="x14">
            <control shapeId="9309" r:id="rId70" name="Option Button 93">
              <controlPr defaultSize="0" autoFill="0" autoLine="0" autoPict="0">
                <anchor moveWithCells="1">
                  <from>
                    <xdr:col>2</xdr:col>
                    <xdr:colOff>50800</xdr:colOff>
                    <xdr:row>38</xdr:row>
                    <xdr:rowOff>342900</xdr:rowOff>
                  </from>
                  <to>
                    <xdr:col>3</xdr:col>
                    <xdr:colOff>0</xdr:colOff>
                    <xdr:row>38</xdr:row>
                    <xdr:rowOff>762000</xdr:rowOff>
                  </to>
                </anchor>
              </controlPr>
            </control>
          </mc:Choice>
        </mc:AlternateContent>
        <mc:AlternateContent xmlns:mc="http://schemas.openxmlformats.org/markup-compatibility/2006">
          <mc:Choice Requires="x14">
            <control shapeId="9310" r:id="rId71" name="Option Button 94">
              <controlPr defaultSize="0" autoFill="0" autoLine="0" autoPict="0">
                <anchor moveWithCells="1">
                  <from>
                    <xdr:col>3</xdr:col>
                    <xdr:colOff>50800</xdr:colOff>
                    <xdr:row>38</xdr:row>
                    <xdr:rowOff>342900</xdr:rowOff>
                  </from>
                  <to>
                    <xdr:col>3</xdr:col>
                    <xdr:colOff>381000</xdr:colOff>
                    <xdr:row>38</xdr:row>
                    <xdr:rowOff>762000</xdr:rowOff>
                  </to>
                </anchor>
              </controlPr>
            </control>
          </mc:Choice>
        </mc:AlternateContent>
        <mc:AlternateContent xmlns:mc="http://schemas.openxmlformats.org/markup-compatibility/2006">
          <mc:Choice Requires="x14">
            <control shapeId="9311" r:id="rId72" name="Option Button 95">
              <controlPr defaultSize="0" autoFill="0" autoLine="0" autoPict="0">
                <anchor moveWithCells="1">
                  <from>
                    <xdr:col>4</xdr:col>
                    <xdr:colOff>50800</xdr:colOff>
                    <xdr:row>38</xdr:row>
                    <xdr:rowOff>342900</xdr:rowOff>
                  </from>
                  <to>
                    <xdr:col>4</xdr:col>
                    <xdr:colOff>342900</xdr:colOff>
                    <xdr:row>38</xdr:row>
                    <xdr:rowOff>762000</xdr:rowOff>
                  </to>
                </anchor>
              </controlPr>
            </control>
          </mc:Choice>
        </mc:AlternateContent>
        <mc:AlternateContent xmlns:mc="http://schemas.openxmlformats.org/markup-compatibility/2006">
          <mc:Choice Requires="x14">
            <control shapeId="9312" r:id="rId73" name="Option Button 96">
              <controlPr defaultSize="0" autoFill="0" autoLine="0" autoPict="0">
                <anchor moveWithCells="1">
                  <from>
                    <xdr:col>5</xdr:col>
                    <xdr:colOff>50800</xdr:colOff>
                    <xdr:row>38</xdr:row>
                    <xdr:rowOff>342900</xdr:rowOff>
                  </from>
                  <to>
                    <xdr:col>5</xdr:col>
                    <xdr:colOff>355600</xdr:colOff>
                    <xdr:row>38</xdr:row>
                    <xdr:rowOff>762000</xdr:rowOff>
                  </to>
                </anchor>
              </controlPr>
            </control>
          </mc:Choice>
        </mc:AlternateContent>
        <mc:AlternateContent xmlns:mc="http://schemas.openxmlformats.org/markup-compatibility/2006">
          <mc:Choice Requires="x14">
            <control shapeId="9319" r:id="rId74" name="Option Button 103">
              <controlPr defaultSize="0" autoFill="0" autoLine="0" autoPict="0">
                <anchor moveWithCells="1">
                  <from>
                    <xdr:col>5</xdr:col>
                    <xdr:colOff>63500</xdr:colOff>
                    <xdr:row>18</xdr:row>
                    <xdr:rowOff>114300</xdr:rowOff>
                  </from>
                  <to>
                    <xdr:col>5</xdr:col>
                    <xdr:colOff>368300</xdr:colOff>
                    <xdr:row>18</xdr:row>
                    <xdr:rowOff>533400</xdr:rowOff>
                  </to>
                </anchor>
              </controlPr>
            </control>
          </mc:Choice>
        </mc:AlternateContent>
        <mc:AlternateContent xmlns:mc="http://schemas.openxmlformats.org/markup-compatibility/2006">
          <mc:Choice Requires="x14">
            <control shapeId="9320" r:id="rId75" name="Option Button 104">
              <controlPr defaultSize="0" autoFill="0" autoLine="0" autoPict="0">
                <anchor moveWithCells="1">
                  <from>
                    <xdr:col>4</xdr:col>
                    <xdr:colOff>50800</xdr:colOff>
                    <xdr:row>21</xdr:row>
                    <xdr:rowOff>317500</xdr:rowOff>
                  </from>
                  <to>
                    <xdr:col>4</xdr:col>
                    <xdr:colOff>317500</xdr:colOff>
                    <xdr:row>21</xdr:row>
                    <xdr:rowOff>482600</xdr:rowOff>
                  </to>
                </anchor>
              </controlPr>
            </control>
          </mc:Choice>
        </mc:AlternateContent>
        <mc:AlternateContent xmlns:mc="http://schemas.openxmlformats.org/markup-compatibility/2006">
          <mc:Choice Requires="x14">
            <control shapeId="9321" r:id="rId76" name="Option Button 105">
              <controlPr defaultSize="0" autoFill="0" autoLine="0" autoPict="0">
                <anchor moveWithCells="1">
                  <from>
                    <xdr:col>5</xdr:col>
                    <xdr:colOff>63500</xdr:colOff>
                    <xdr:row>21</xdr:row>
                    <xdr:rowOff>317500</xdr:rowOff>
                  </from>
                  <to>
                    <xdr:col>5</xdr:col>
                    <xdr:colOff>381000</xdr:colOff>
                    <xdr:row>21</xdr:row>
                    <xdr:rowOff>482600</xdr:rowOff>
                  </to>
                </anchor>
              </controlPr>
            </control>
          </mc:Choice>
        </mc:AlternateContent>
        <mc:AlternateContent xmlns:mc="http://schemas.openxmlformats.org/markup-compatibility/2006">
          <mc:Choice Requires="x14">
            <control shapeId="9326" r:id="rId77" name="Option Button 110">
              <controlPr defaultSize="0" autoFill="0" autoLine="0" autoPict="0">
                <anchor moveWithCells="1">
                  <from>
                    <xdr:col>2</xdr:col>
                    <xdr:colOff>50800</xdr:colOff>
                    <xdr:row>33</xdr:row>
                    <xdr:rowOff>101600</xdr:rowOff>
                  </from>
                  <to>
                    <xdr:col>2</xdr:col>
                    <xdr:colOff>292100</xdr:colOff>
                    <xdr:row>33</xdr:row>
                    <xdr:rowOff>635000</xdr:rowOff>
                  </to>
                </anchor>
              </controlPr>
            </control>
          </mc:Choice>
        </mc:AlternateContent>
        <mc:AlternateContent xmlns:mc="http://schemas.openxmlformats.org/markup-compatibility/2006">
          <mc:Choice Requires="x14">
            <control shapeId="9327" r:id="rId78" name="Option Button 111">
              <controlPr defaultSize="0" autoFill="0" autoLine="0" autoPict="0">
                <anchor moveWithCells="1">
                  <from>
                    <xdr:col>3</xdr:col>
                    <xdr:colOff>50800</xdr:colOff>
                    <xdr:row>33</xdr:row>
                    <xdr:rowOff>101600</xdr:rowOff>
                  </from>
                  <to>
                    <xdr:col>3</xdr:col>
                    <xdr:colOff>279400</xdr:colOff>
                    <xdr:row>33</xdr:row>
                    <xdr:rowOff>635000</xdr:rowOff>
                  </to>
                </anchor>
              </controlPr>
            </control>
          </mc:Choice>
        </mc:AlternateContent>
        <mc:AlternateContent xmlns:mc="http://schemas.openxmlformats.org/markup-compatibility/2006">
          <mc:Choice Requires="x14">
            <control shapeId="9328" r:id="rId79" name="Option Button 112">
              <controlPr defaultSize="0" autoFill="0" autoLine="0" autoPict="0">
                <anchor moveWithCells="1">
                  <from>
                    <xdr:col>4</xdr:col>
                    <xdr:colOff>50800</xdr:colOff>
                    <xdr:row>33</xdr:row>
                    <xdr:rowOff>101600</xdr:rowOff>
                  </from>
                  <to>
                    <xdr:col>4</xdr:col>
                    <xdr:colOff>342900</xdr:colOff>
                    <xdr:row>33</xdr:row>
                    <xdr:rowOff>635000</xdr:rowOff>
                  </to>
                </anchor>
              </controlPr>
            </control>
          </mc:Choice>
        </mc:AlternateContent>
        <mc:AlternateContent xmlns:mc="http://schemas.openxmlformats.org/markup-compatibility/2006">
          <mc:Choice Requires="x14">
            <control shapeId="9329" r:id="rId80" name="Option Button 113">
              <controlPr defaultSize="0" autoFill="0" autoLine="0" autoPict="0">
                <anchor moveWithCells="1">
                  <from>
                    <xdr:col>5</xdr:col>
                    <xdr:colOff>50800</xdr:colOff>
                    <xdr:row>33</xdr:row>
                    <xdr:rowOff>101600</xdr:rowOff>
                  </from>
                  <to>
                    <xdr:col>5</xdr:col>
                    <xdr:colOff>304800</xdr:colOff>
                    <xdr:row>33</xdr:row>
                    <xdr:rowOff>635000</xdr:rowOff>
                  </to>
                </anchor>
              </controlPr>
            </control>
          </mc:Choice>
        </mc:AlternateContent>
        <mc:AlternateContent xmlns:mc="http://schemas.openxmlformats.org/markup-compatibility/2006">
          <mc:Choice Requires="x14">
            <control shapeId="9330" r:id="rId81" name="Group Box 114">
              <controlPr defaultSize="0" autoFill="0" autoPict="0">
                <anchor moveWithCells="1">
                  <from>
                    <xdr:col>1</xdr:col>
                    <xdr:colOff>5461000</xdr:colOff>
                    <xdr:row>32</xdr:row>
                    <xdr:rowOff>139700</xdr:rowOff>
                  </from>
                  <to>
                    <xdr:col>7</xdr:col>
                    <xdr:colOff>76200</xdr:colOff>
                    <xdr:row>32</xdr:row>
                    <xdr:rowOff>419100</xdr:rowOff>
                  </to>
                </anchor>
              </controlPr>
            </control>
          </mc:Choice>
        </mc:AlternateContent>
        <mc:AlternateContent xmlns:mc="http://schemas.openxmlformats.org/markup-compatibility/2006">
          <mc:Choice Requires="x14">
            <control shapeId="9331" r:id="rId82" name="Option Button 115">
              <controlPr defaultSize="0" autoFill="0" autoLine="0" autoPict="0">
                <anchor moveWithCells="1">
                  <from>
                    <xdr:col>2</xdr:col>
                    <xdr:colOff>50800</xdr:colOff>
                    <xdr:row>32</xdr:row>
                    <xdr:rowOff>190500</xdr:rowOff>
                  </from>
                  <to>
                    <xdr:col>2</xdr:col>
                    <xdr:colOff>292100</xdr:colOff>
                    <xdr:row>32</xdr:row>
                    <xdr:rowOff>406400</xdr:rowOff>
                  </to>
                </anchor>
              </controlPr>
            </control>
          </mc:Choice>
        </mc:AlternateContent>
        <mc:AlternateContent xmlns:mc="http://schemas.openxmlformats.org/markup-compatibility/2006">
          <mc:Choice Requires="x14">
            <control shapeId="9332" r:id="rId83" name="Option Button 116">
              <controlPr defaultSize="0" autoFill="0" autoLine="0" autoPict="0">
                <anchor moveWithCells="1">
                  <from>
                    <xdr:col>3</xdr:col>
                    <xdr:colOff>50800</xdr:colOff>
                    <xdr:row>32</xdr:row>
                    <xdr:rowOff>190500</xdr:rowOff>
                  </from>
                  <to>
                    <xdr:col>3</xdr:col>
                    <xdr:colOff>254000</xdr:colOff>
                    <xdr:row>32</xdr:row>
                    <xdr:rowOff>406400</xdr:rowOff>
                  </to>
                </anchor>
              </controlPr>
            </control>
          </mc:Choice>
        </mc:AlternateContent>
        <mc:AlternateContent xmlns:mc="http://schemas.openxmlformats.org/markup-compatibility/2006">
          <mc:Choice Requires="x14">
            <control shapeId="9333" r:id="rId84" name="Option Button 117">
              <controlPr defaultSize="0" autoFill="0" autoLine="0" autoPict="0">
                <anchor moveWithCells="1">
                  <from>
                    <xdr:col>4</xdr:col>
                    <xdr:colOff>50800</xdr:colOff>
                    <xdr:row>32</xdr:row>
                    <xdr:rowOff>177800</xdr:rowOff>
                  </from>
                  <to>
                    <xdr:col>4</xdr:col>
                    <xdr:colOff>317500</xdr:colOff>
                    <xdr:row>32</xdr:row>
                    <xdr:rowOff>406400</xdr:rowOff>
                  </to>
                </anchor>
              </controlPr>
            </control>
          </mc:Choice>
        </mc:AlternateContent>
        <mc:AlternateContent xmlns:mc="http://schemas.openxmlformats.org/markup-compatibility/2006">
          <mc:Choice Requires="x14">
            <control shapeId="9334" r:id="rId85" name="Option Button 118">
              <controlPr defaultSize="0" autoFill="0" autoLine="0" autoPict="0">
                <anchor moveWithCells="1">
                  <from>
                    <xdr:col>5</xdr:col>
                    <xdr:colOff>50800</xdr:colOff>
                    <xdr:row>32</xdr:row>
                    <xdr:rowOff>177800</xdr:rowOff>
                  </from>
                  <to>
                    <xdr:col>5</xdr:col>
                    <xdr:colOff>368300</xdr:colOff>
                    <xdr:row>32</xdr:row>
                    <xdr:rowOff>406400</xdr:rowOff>
                  </to>
                </anchor>
              </controlPr>
            </control>
          </mc:Choice>
        </mc:AlternateContent>
        <mc:AlternateContent xmlns:mc="http://schemas.openxmlformats.org/markup-compatibility/2006">
          <mc:Choice Requires="x14">
            <control shapeId="9335" r:id="rId86" name="Option Button 119">
              <controlPr defaultSize="0" autoFill="0" autoLine="0" autoPict="0">
                <anchor moveWithCells="1">
                  <from>
                    <xdr:col>6</xdr:col>
                    <xdr:colOff>330200</xdr:colOff>
                    <xdr:row>6</xdr:row>
                    <xdr:rowOff>101600</xdr:rowOff>
                  </from>
                  <to>
                    <xdr:col>6</xdr:col>
                    <xdr:colOff>749300</xdr:colOff>
                    <xdr:row>6</xdr:row>
                    <xdr:rowOff>381000</xdr:rowOff>
                  </to>
                </anchor>
              </controlPr>
            </control>
          </mc:Choice>
        </mc:AlternateContent>
        <mc:AlternateContent xmlns:mc="http://schemas.openxmlformats.org/markup-compatibility/2006">
          <mc:Choice Requires="x14">
            <control shapeId="9336" r:id="rId87" name="Option Button 120">
              <controlPr defaultSize="0" autoFill="0" autoLine="0" autoPict="0">
                <anchor moveWithCells="1">
                  <from>
                    <xdr:col>6</xdr:col>
                    <xdr:colOff>330200</xdr:colOff>
                    <xdr:row>7</xdr:row>
                    <xdr:rowOff>88900</xdr:rowOff>
                  </from>
                  <to>
                    <xdr:col>6</xdr:col>
                    <xdr:colOff>774700</xdr:colOff>
                    <xdr:row>7</xdr:row>
                    <xdr:rowOff>520700</xdr:rowOff>
                  </to>
                </anchor>
              </controlPr>
            </control>
          </mc:Choice>
        </mc:AlternateContent>
        <mc:AlternateContent xmlns:mc="http://schemas.openxmlformats.org/markup-compatibility/2006">
          <mc:Choice Requires="x14">
            <control shapeId="9337" r:id="rId88" name="Option Button 121">
              <controlPr defaultSize="0" autoFill="0" autoLine="0" autoPict="0">
                <anchor moveWithCells="1">
                  <from>
                    <xdr:col>6</xdr:col>
                    <xdr:colOff>330200</xdr:colOff>
                    <xdr:row>8</xdr:row>
                    <xdr:rowOff>127000</xdr:rowOff>
                  </from>
                  <to>
                    <xdr:col>6</xdr:col>
                    <xdr:colOff>774700</xdr:colOff>
                    <xdr:row>8</xdr:row>
                    <xdr:rowOff>355600</xdr:rowOff>
                  </to>
                </anchor>
              </controlPr>
            </control>
          </mc:Choice>
        </mc:AlternateContent>
        <mc:AlternateContent xmlns:mc="http://schemas.openxmlformats.org/markup-compatibility/2006">
          <mc:Choice Requires="x14">
            <control shapeId="9338" r:id="rId89" name="Option Button 122">
              <controlPr defaultSize="0" autoFill="0" autoLine="0" autoPict="0">
                <anchor moveWithCells="1">
                  <from>
                    <xdr:col>6</xdr:col>
                    <xdr:colOff>330200</xdr:colOff>
                    <xdr:row>9</xdr:row>
                    <xdr:rowOff>76200</xdr:rowOff>
                  </from>
                  <to>
                    <xdr:col>6</xdr:col>
                    <xdr:colOff>800100</xdr:colOff>
                    <xdr:row>9</xdr:row>
                    <xdr:rowOff>368300</xdr:rowOff>
                  </to>
                </anchor>
              </controlPr>
            </control>
          </mc:Choice>
        </mc:AlternateContent>
        <mc:AlternateContent xmlns:mc="http://schemas.openxmlformats.org/markup-compatibility/2006">
          <mc:Choice Requires="x14">
            <control shapeId="9339" r:id="rId90" name="Option Button 123">
              <controlPr defaultSize="0" autoFill="0" autoLine="0" autoPict="0">
                <anchor moveWithCells="1">
                  <from>
                    <xdr:col>6</xdr:col>
                    <xdr:colOff>330200</xdr:colOff>
                    <xdr:row>18</xdr:row>
                    <xdr:rowOff>114300</xdr:rowOff>
                  </from>
                  <to>
                    <xdr:col>6</xdr:col>
                    <xdr:colOff>812800</xdr:colOff>
                    <xdr:row>18</xdr:row>
                    <xdr:rowOff>533400</xdr:rowOff>
                  </to>
                </anchor>
              </controlPr>
            </control>
          </mc:Choice>
        </mc:AlternateContent>
        <mc:AlternateContent xmlns:mc="http://schemas.openxmlformats.org/markup-compatibility/2006">
          <mc:Choice Requires="x14">
            <control shapeId="9343" r:id="rId91" name="Option Button 127">
              <controlPr defaultSize="0" autoFill="0" autoLine="0" autoPict="0">
                <anchor moveWithCells="1">
                  <from>
                    <xdr:col>6</xdr:col>
                    <xdr:colOff>330200</xdr:colOff>
                    <xdr:row>22</xdr:row>
                    <xdr:rowOff>558800</xdr:rowOff>
                  </from>
                  <to>
                    <xdr:col>7</xdr:col>
                    <xdr:colOff>63500</xdr:colOff>
                    <xdr:row>22</xdr:row>
                    <xdr:rowOff>1003300</xdr:rowOff>
                  </to>
                </anchor>
              </controlPr>
            </control>
          </mc:Choice>
        </mc:AlternateContent>
        <mc:AlternateContent xmlns:mc="http://schemas.openxmlformats.org/markup-compatibility/2006">
          <mc:Choice Requires="x14">
            <control shapeId="9344" r:id="rId92" name="Option Button 128">
              <controlPr defaultSize="0" autoFill="0" autoLine="0" autoPict="0">
                <anchor moveWithCells="1">
                  <from>
                    <xdr:col>6</xdr:col>
                    <xdr:colOff>330200</xdr:colOff>
                    <xdr:row>23</xdr:row>
                    <xdr:rowOff>254000</xdr:rowOff>
                  </from>
                  <to>
                    <xdr:col>6</xdr:col>
                    <xdr:colOff>939800</xdr:colOff>
                    <xdr:row>23</xdr:row>
                    <xdr:rowOff>520700</xdr:rowOff>
                  </to>
                </anchor>
              </controlPr>
            </control>
          </mc:Choice>
        </mc:AlternateContent>
        <mc:AlternateContent xmlns:mc="http://schemas.openxmlformats.org/markup-compatibility/2006">
          <mc:Choice Requires="x14">
            <control shapeId="9345" r:id="rId93" name="Option Button 129">
              <controlPr defaultSize="0" autoFill="0" autoLine="0" autoPict="0">
                <anchor moveWithCells="1">
                  <from>
                    <xdr:col>6</xdr:col>
                    <xdr:colOff>330200</xdr:colOff>
                    <xdr:row>24</xdr:row>
                    <xdr:rowOff>114300</xdr:rowOff>
                  </from>
                  <to>
                    <xdr:col>7</xdr:col>
                    <xdr:colOff>101600</xdr:colOff>
                    <xdr:row>24</xdr:row>
                    <xdr:rowOff>546100</xdr:rowOff>
                  </to>
                </anchor>
              </controlPr>
            </control>
          </mc:Choice>
        </mc:AlternateContent>
        <mc:AlternateContent xmlns:mc="http://schemas.openxmlformats.org/markup-compatibility/2006">
          <mc:Choice Requires="x14">
            <control shapeId="9346" r:id="rId94" name="Option Button 130">
              <controlPr defaultSize="0" autoFill="0" autoLine="0" autoPict="0">
                <anchor moveWithCells="1">
                  <from>
                    <xdr:col>6</xdr:col>
                    <xdr:colOff>330200</xdr:colOff>
                    <xdr:row>25</xdr:row>
                    <xdr:rowOff>127000</xdr:rowOff>
                  </from>
                  <to>
                    <xdr:col>7</xdr:col>
                    <xdr:colOff>63500</xdr:colOff>
                    <xdr:row>25</xdr:row>
                    <xdr:rowOff>520700</xdr:rowOff>
                  </to>
                </anchor>
              </controlPr>
            </control>
          </mc:Choice>
        </mc:AlternateContent>
        <mc:AlternateContent xmlns:mc="http://schemas.openxmlformats.org/markup-compatibility/2006">
          <mc:Choice Requires="x14">
            <control shapeId="9348" r:id="rId95" name="Option Button 132">
              <controlPr defaultSize="0" autoFill="0" autoLine="0" autoPict="0">
                <anchor moveWithCells="1">
                  <from>
                    <xdr:col>6</xdr:col>
                    <xdr:colOff>330200</xdr:colOff>
                    <xdr:row>32</xdr:row>
                    <xdr:rowOff>190500</xdr:rowOff>
                  </from>
                  <to>
                    <xdr:col>7</xdr:col>
                    <xdr:colOff>0</xdr:colOff>
                    <xdr:row>32</xdr:row>
                    <xdr:rowOff>406400</xdr:rowOff>
                  </to>
                </anchor>
              </controlPr>
            </control>
          </mc:Choice>
        </mc:AlternateContent>
        <mc:AlternateContent xmlns:mc="http://schemas.openxmlformats.org/markup-compatibility/2006">
          <mc:Choice Requires="x14">
            <control shapeId="9349" r:id="rId96" name="Option Button 133">
              <controlPr defaultSize="0" autoFill="0" autoLine="0" autoPict="0">
                <anchor moveWithCells="1">
                  <from>
                    <xdr:col>6</xdr:col>
                    <xdr:colOff>330200</xdr:colOff>
                    <xdr:row>33</xdr:row>
                    <xdr:rowOff>165100</xdr:rowOff>
                  </from>
                  <to>
                    <xdr:col>7</xdr:col>
                    <xdr:colOff>25400</xdr:colOff>
                    <xdr:row>33</xdr:row>
                    <xdr:rowOff>571500</xdr:rowOff>
                  </to>
                </anchor>
              </controlPr>
            </control>
          </mc:Choice>
        </mc:AlternateContent>
        <mc:AlternateContent xmlns:mc="http://schemas.openxmlformats.org/markup-compatibility/2006">
          <mc:Choice Requires="x14">
            <control shapeId="9352" r:id="rId97" name="Option Button 136">
              <controlPr defaultSize="0" autoFill="0" autoLine="0" autoPict="0">
                <anchor moveWithCells="1">
                  <from>
                    <xdr:col>6</xdr:col>
                    <xdr:colOff>330200</xdr:colOff>
                    <xdr:row>37</xdr:row>
                    <xdr:rowOff>254000</xdr:rowOff>
                  </from>
                  <to>
                    <xdr:col>7</xdr:col>
                    <xdr:colOff>127000</xdr:colOff>
                    <xdr:row>37</xdr:row>
                    <xdr:rowOff>749300</xdr:rowOff>
                  </to>
                </anchor>
              </controlPr>
            </control>
          </mc:Choice>
        </mc:AlternateContent>
        <mc:AlternateContent xmlns:mc="http://schemas.openxmlformats.org/markup-compatibility/2006">
          <mc:Choice Requires="x14">
            <control shapeId="9353" r:id="rId98" name="Option Button 137">
              <controlPr defaultSize="0" autoFill="0" autoLine="0" autoPict="0">
                <anchor moveWithCells="1">
                  <from>
                    <xdr:col>6</xdr:col>
                    <xdr:colOff>330200</xdr:colOff>
                    <xdr:row>38</xdr:row>
                    <xdr:rowOff>355600</xdr:rowOff>
                  </from>
                  <to>
                    <xdr:col>7</xdr:col>
                    <xdr:colOff>114300</xdr:colOff>
                    <xdr:row>38</xdr:row>
                    <xdr:rowOff>749300</xdr:rowOff>
                  </to>
                </anchor>
              </controlPr>
            </control>
          </mc:Choice>
        </mc:AlternateContent>
        <mc:AlternateContent xmlns:mc="http://schemas.openxmlformats.org/markup-compatibility/2006">
          <mc:Choice Requires="x14">
            <control shapeId="9356" r:id="rId99" name="Option Button 140">
              <controlPr defaultSize="0" autoFill="0" autoLine="0" autoPict="0">
                <anchor moveWithCells="1">
                  <from>
                    <xdr:col>6</xdr:col>
                    <xdr:colOff>330200</xdr:colOff>
                    <xdr:row>21</xdr:row>
                    <xdr:rowOff>241300</xdr:rowOff>
                  </from>
                  <to>
                    <xdr:col>7</xdr:col>
                    <xdr:colOff>76200</xdr:colOff>
                    <xdr:row>21</xdr:row>
                    <xdr:rowOff>558800</xdr:rowOff>
                  </to>
                </anchor>
              </controlPr>
            </control>
          </mc:Choice>
        </mc:AlternateContent>
        <mc:AlternateContent xmlns:mc="http://schemas.openxmlformats.org/markup-compatibility/2006">
          <mc:Choice Requires="x14">
            <control shapeId="9357" r:id="rId100" name="Option Button 141">
              <controlPr defaultSize="0" autoFill="0" autoLine="0" autoPict="0">
                <anchor moveWithCells="1">
                  <from>
                    <xdr:col>6</xdr:col>
                    <xdr:colOff>330200</xdr:colOff>
                    <xdr:row>34</xdr:row>
                    <xdr:rowOff>50800</xdr:rowOff>
                  </from>
                  <to>
                    <xdr:col>7</xdr:col>
                    <xdr:colOff>12700</xdr:colOff>
                    <xdr:row>34</xdr:row>
                    <xdr:rowOff>444500</xdr:rowOff>
                  </to>
                </anchor>
              </controlPr>
            </control>
          </mc:Choice>
        </mc:AlternateContent>
        <mc:AlternateContent xmlns:mc="http://schemas.openxmlformats.org/markup-compatibility/2006">
          <mc:Choice Requires="x14">
            <control shapeId="9358" r:id="rId101" name="Option Button 142">
              <controlPr defaultSize="0" autoFill="0" autoLine="0" autoPict="0">
                <anchor moveWithCells="1">
                  <from>
                    <xdr:col>6</xdr:col>
                    <xdr:colOff>330200</xdr:colOff>
                    <xdr:row>35</xdr:row>
                    <xdr:rowOff>101600</xdr:rowOff>
                  </from>
                  <to>
                    <xdr:col>6</xdr:col>
                    <xdr:colOff>825500</xdr:colOff>
                    <xdr:row>35</xdr:row>
                    <xdr:rowOff>520700</xdr:rowOff>
                  </to>
                </anchor>
              </controlPr>
            </control>
          </mc:Choice>
        </mc:AlternateContent>
        <mc:AlternateContent xmlns:mc="http://schemas.openxmlformats.org/markup-compatibility/2006">
          <mc:Choice Requires="x14">
            <control shapeId="9366" r:id="rId102" name="Group Box 150">
              <controlPr defaultSize="0" autoFill="0" autoPict="0">
                <anchor moveWithCells="1">
                  <from>
                    <xdr:col>2</xdr:col>
                    <xdr:colOff>0</xdr:colOff>
                    <xdr:row>26</xdr:row>
                    <xdr:rowOff>63500</xdr:rowOff>
                  </from>
                  <to>
                    <xdr:col>7</xdr:col>
                    <xdr:colOff>228600</xdr:colOff>
                    <xdr:row>26</xdr:row>
                    <xdr:rowOff>762000</xdr:rowOff>
                  </to>
                </anchor>
              </controlPr>
            </control>
          </mc:Choice>
        </mc:AlternateContent>
        <mc:AlternateContent xmlns:mc="http://schemas.openxmlformats.org/markup-compatibility/2006">
          <mc:Choice Requires="x14">
            <control shapeId="9367" r:id="rId103" name="Option Button 151">
              <controlPr defaultSize="0" autoFill="0" autoLine="0" autoPict="0">
                <anchor moveWithCells="1">
                  <from>
                    <xdr:col>2</xdr:col>
                    <xdr:colOff>38100</xdr:colOff>
                    <xdr:row>26</xdr:row>
                    <xdr:rowOff>101600</xdr:rowOff>
                  </from>
                  <to>
                    <xdr:col>2</xdr:col>
                    <xdr:colOff>330200</xdr:colOff>
                    <xdr:row>26</xdr:row>
                    <xdr:rowOff>723900</xdr:rowOff>
                  </to>
                </anchor>
              </controlPr>
            </control>
          </mc:Choice>
        </mc:AlternateContent>
        <mc:AlternateContent xmlns:mc="http://schemas.openxmlformats.org/markup-compatibility/2006">
          <mc:Choice Requires="x14">
            <control shapeId="9368" r:id="rId104" name="Option Button 152">
              <controlPr defaultSize="0" autoFill="0" autoLine="0" autoPict="0">
                <anchor moveWithCells="1">
                  <from>
                    <xdr:col>3</xdr:col>
                    <xdr:colOff>50800</xdr:colOff>
                    <xdr:row>26</xdr:row>
                    <xdr:rowOff>101600</xdr:rowOff>
                  </from>
                  <to>
                    <xdr:col>3</xdr:col>
                    <xdr:colOff>406400</xdr:colOff>
                    <xdr:row>26</xdr:row>
                    <xdr:rowOff>711200</xdr:rowOff>
                  </to>
                </anchor>
              </controlPr>
            </control>
          </mc:Choice>
        </mc:AlternateContent>
        <mc:AlternateContent xmlns:mc="http://schemas.openxmlformats.org/markup-compatibility/2006">
          <mc:Choice Requires="x14">
            <control shapeId="9369" r:id="rId105" name="Option Button 153">
              <controlPr defaultSize="0" autoFill="0" autoLine="0" autoPict="0">
                <anchor moveWithCells="1">
                  <from>
                    <xdr:col>4</xdr:col>
                    <xdr:colOff>50800</xdr:colOff>
                    <xdr:row>26</xdr:row>
                    <xdr:rowOff>88900</xdr:rowOff>
                  </from>
                  <to>
                    <xdr:col>4</xdr:col>
                    <xdr:colOff>393700</xdr:colOff>
                    <xdr:row>26</xdr:row>
                    <xdr:rowOff>723900</xdr:rowOff>
                  </to>
                </anchor>
              </controlPr>
            </control>
          </mc:Choice>
        </mc:AlternateContent>
        <mc:AlternateContent xmlns:mc="http://schemas.openxmlformats.org/markup-compatibility/2006">
          <mc:Choice Requires="x14">
            <control shapeId="9370" r:id="rId106" name="Option Button 154">
              <controlPr defaultSize="0" autoFill="0" autoLine="0" autoPict="0">
                <anchor moveWithCells="1">
                  <from>
                    <xdr:col>5</xdr:col>
                    <xdr:colOff>63500</xdr:colOff>
                    <xdr:row>26</xdr:row>
                    <xdr:rowOff>101600</xdr:rowOff>
                  </from>
                  <to>
                    <xdr:col>5</xdr:col>
                    <xdr:colOff>444500</xdr:colOff>
                    <xdr:row>26</xdr:row>
                    <xdr:rowOff>723900</xdr:rowOff>
                  </to>
                </anchor>
              </controlPr>
            </control>
          </mc:Choice>
        </mc:AlternateContent>
        <mc:AlternateContent xmlns:mc="http://schemas.openxmlformats.org/markup-compatibility/2006">
          <mc:Choice Requires="x14">
            <control shapeId="9371" r:id="rId107" name="Option Button 155">
              <controlPr defaultSize="0" autoFill="0" autoLine="0" autoPict="0">
                <anchor moveWithCells="1">
                  <from>
                    <xdr:col>6</xdr:col>
                    <xdr:colOff>330200</xdr:colOff>
                    <xdr:row>26</xdr:row>
                    <xdr:rowOff>101600</xdr:rowOff>
                  </from>
                  <to>
                    <xdr:col>6</xdr:col>
                    <xdr:colOff>736600</xdr:colOff>
                    <xdr:row>26</xdr:row>
                    <xdr:rowOff>711200</xdr:rowOff>
                  </to>
                </anchor>
              </controlPr>
            </control>
          </mc:Choice>
        </mc:AlternateContent>
        <mc:AlternateContent xmlns:mc="http://schemas.openxmlformats.org/markup-compatibility/2006">
          <mc:Choice Requires="x14">
            <control shapeId="9372" r:id="rId108" name="Group Box 156">
              <controlPr defaultSize="0" autoFill="0" autoPict="0">
                <anchor moveWithCells="1">
                  <from>
                    <xdr:col>1</xdr:col>
                    <xdr:colOff>5422900</xdr:colOff>
                    <xdr:row>19</xdr:row>
                    <xdr:rowOff>50800</xdr:rowOff>
                  </from>
                  <to>
                    <xdr:col>7</xdr:col>
                    <xdr:colOff>215900</xdr:colOff>
                    <xdr:row>19</xdr:row>
                    <xdr:rowOff>558800</xdr:rowOff>
                  </to>
                </anchor>
              </controlPr>
            </control>
          </mc:Choice>
        </mc:AlternateContent>
        <mc:AlternateContent xmlns:mc="http://schemas.openxmlformats.org/markup-compatibility/2006">
          <mc:Choice Requires="x14">
            <control shapeId="9373" r:id="rId109" name="Option Button 157">
              <controlPr defaultSize="0" autoFill="0" autoLine="0" autoPict="0">
                <anchor moveWithCells="1">
                  <from>
                    <xdr:col>2</xdr:col>
                    <xdr:colOff>38100</xdr:colOff>
                    <xdr:row>19</xdr:row>
                    <xdr:rowOff>88900</xdr:rowOff>
                  </from>
                  <to>
                    <xdr:col>2</xdr:col>
                    <xdr:colOff>342900</xdr:colOff>
                    <xdr:row>19</xdr:row>
                    <xdr:rowOff>546100</xdr:rowOff>
                  </to>
                </anchor>
              </controlPr>
            </control>
          </mc:Choice>
        </mc:AlternateContent>
        <mc:AlternateContent xmlns:mc="http://schemas.openxmlformats.org/markup-compatibility/2006">
          <mc:Choice Requires="x14">
            <control shapeId="9374" r:id="rId110" name="Option Button 158">
              <controlPr defaultSize="0" autoFill="0" autoLine="0" autoPict="0">
                <anchor moveWithCells="1">
                  <from>
                    <xdr:col>3</xdr:col>
                    <xdr:colOff>50800</xdr:colOff>
                    <xdr:row>19</xdr:row>
                    <xdr:rowOff>88900</xdr:rowOff>
                  </from>
                  <to>
                    <xdr:col>3</xdr:col>
                    <xdr:colOff>406400</xdr:colOff>
                    <xdr:row>19</xdr:row>
                    <xdr:rowOff>546100</xdr:rowOff>
                  </to>
                </anchor>
              </controlPr>
            </control>
          </mc:Choice>
        </mc:AlternateContent>
        <mc:AlternateContent xmlns:mc="http://schemas.openxmlformats.org/markup-compatibility/2006">
          <mc:Choice Requires="x14">
            <control shapeId="9375" r:id="rId111" name="Option Button 159">
              <controlPr defaultSize="0" autoFill="0" autoLine="0" autoPict="0">
                <anchor moveWithCells="1">
                  <from>
                    <xdr:col>4</xdr:col>
                    <xdr:colOff>50800</xdr:colOff>
                    <xdr:row>19</xdr:row>
                    <xdr:rowOff>88900</xdr:rowOff>
                  </from>
                  <to>
                    <xdr:col>4</xdr:col>
                    <xdr:colOff>393700</xdr:colOff>
                    <xdr:row>19</xdr:row>
                    <xdr:rowOff>546100</xdr:rowOff>
                  </to>
                </anchor>
              </controlPr>
            </control>
          </mc:Choice>
        </mc:AlternateContent>
        <mc:AlternateContent xmlns:mc="http://schemas.openxmlformats.org/markup-compatibility/2006">
          <mc:Choice Requires="x14">
            <control shapeId="9376" r:id="rId112" name="Option Button 160">
              <controlPr defaultSize="0" autoFill="0" autoLine="0" autoPict="0">
                <anchor moveWithCells="1">
                  <from>
                    <xdr:col>5</xdr:col>
                    <xdr:colOff>63500</xdr:colOff>
                    <xdr:row>19</xdr:row>
                    <xdr:rowOff>88900</xdr:rowOff>
                  </from>
                  <to>
                    <xdr:col>5</xdr:col>
                    <xdr:colOff>482600</xdr:colOff>
                    <xdr:row>19</xdr:row>
                    <xdr:rowOff>533400</xdr:rowOff>
                  </to>
                </anchor>
              </controlPr>
            </control>
          </mc:Choice>
        </mc:AlternateContent>
        <mc:AlternateContent xmlns:mc="http://schemas.openxmlformats.org/markup-compatibility/2006">
          <mc:Choice Requires="x14">
            <control shapeId="9377" r:id="rId113" name="Option Button 161">
              <controlPr defaultSize="0" autoFill="0" autoLine="0" autoPict="0">
                <anchor moveWithCells="1">
                  <from>
                    <xdr:col>6</xdr:col>
                    <xdr:colOff>330200</xdr:colOff>
                    <xdr:row>19</xdr:row>
                    <xdr:rowOff>101600</xdr:rowOff>
                  </from>
                  <to>
                    <xdr:col>6</xdr:col>
                    <xdr:colOff>787400</xdr:colOff>
                    <xdr:row>19</xdr:row>
                    <xdr:rowOff>533400</xdr:rowOff>
                  </to>
                </anchor>
              </controlPr>
            </control>
          </mc:Choice>
        </mc:AlternateContent>
        <mc:AlternateContent xmlns:mc="http://schemas.openxmlformats.org/markup-compatibility/2006">
          <mc:Choice Requires="x14">
            <control shapeId="9378" r:id="rId114" name="Group Box 162">
              <controlPr defaultSize="0" autoFill="0" autoPict="0">
                <anchor moveWithCells="1">
                  <from>
                    <xdr:col>1</xdr:col>
                    <xdr:colOff>5384800</xdr:colOff>
                    <xdr:row>20</xdr:row>
                    <xdr:rowOff>63500</xdr:rowOff>
                  </from>
                  <to>
                    <xdr:col>7</xdr:col>
                    <xdr:colOff>279400</xdr:colOff>
                    <xdr:row>20</xdr:row>
                    <xdr:rowOff>1168400</xdr:rowOff>
                  </to>
                </anchor>
              </controlPr>
            </control>
          </mc:Choice>
        </mc:AlternateContent>
        <mc:AlternateContent xmlns:mc="http://schemas.openxmlformats.org/markup-compatibility/2006">
          <mc:Choice Requires="x14">
            <control shapeId="9379" r:id="rId115" name="Option Button 163">
              <controlPr defaultSize="0" autoFill="0" autoLine="0" autoPict="0">
                <anchor moveWithCells="1">
                  <from>
                    <xdr:col>2</xdr:col>
                    <xdr:colOff>38100</xdr:colOff>
                    <xdr:row>20</xdr:row>
                    <xdr:rowOff>127000</xdr:rowOff>
                  </from>
                  <to>
                    <xdr:col>2</xdr:col>
                    <xdr:colOff>368300</xdr:colOff>
                    <xdr:row>20</xdr:row>
                    <xdr:rowOff>1066800</xdr:rowOff>
                  </to>
                </anchor>
              </controlPr>
            </control>
          </mc:Choice>
        </mc:AlternateContent>
        <mc:AlternateContent xmlns:mc="http://schemas.openxmlformats.org/markup-compatibility/2006">
          <mc:Choice Requires="x14">
            <control shapeId="9380" r:id="rId116" name="Option Button 164">
              <controlPr defaultSize="0" autoFill="0" autoLine="0" autoPict="0">
                <anchor moveWithCells="1">
                  <from>
                    <xdr:col>3</xdr:col>
                    <xdr:colOff>50800</xdr:colOff>
                    <xdr:row>20</xdr:row>
                    <xdr:rowOff>127000</xdr:rowOff>
                  </from>
                  <to>
                    <xdr:col>3</xdr:col>
                    <xdr:colOff>508000</xdr:colOff>
                    <xdr:row>20</xdr:row>
                    <xdr:rowOff>1104900</xdr:rowOff>
                  </to>
                </anchor>
              </controlPr>
            </control>
          </mc:Choice>
        </mc:AlternateContent>
        <mc:AlternateContent xmlns:mc="http://schemas.openxmlformats.org/markup-compatibility/2006">
          <mc:Choice Requires="x14">
            <control shapeId="9381" r:id="rId117" name="Option Button 165">
              <controlPr defaultSize="0" autoFill="0" autoLine="0" autoPict="0">
                <anchor moveWithCells="1">
                  <from>
                    <xdr:col>4</xdr:col>
                    <xdr:colOff>50800</xdr:colOff>
                    <xdr:row>20</xdr:row>
                    <xdr:rowOff>127000</xdr:rowOff>
                  </from>
                  <to>
                    <xdr:col>4</xdr:col>
                    <xdr:colOff>431800</xdr:colOff>
                    <xdr:row>20</xdr:row>
                    <xdr:rowOff>1117600</xdr:rowOff>
                  </to>
                </anchor>
              </controlPr>
            </control>
          </mc:Choice>
        </mc:AlternateContent>
        <mc:AlternateContent xmlns:mc="http://schemas.openxmlformats.org/markup-compatibility/2006">
          <mc:Choice Requires="x14">
            <control shapeId="9382" r:id="rId118" name="Option Button 166">
              <controlPr defaultSize="0" autoFill="0" autoLine="0" autoPict="0">
                <anchor moveWithCells="1">
                  <from>
                    <xdr:col>5</xdr:col>
                    <xdr:colOff>63500</xdr:colOff>
                    <xdr:row>20</xdr:row>
                    <xdr:rowOff>114300</xdr:rowOff>
                  </from>
                  <to>
                    <xdr:col>5</xdr:col>
                    <xdr:colOff>520700</xdr:colOff>
                    <xdr:row>20</xdr:row>
                    <xdr:rowOff>1130300</xdr:rowOff>
                  </to>
                </anchor>
              </controlPr>
            </control>
          </mc:Choice>
        </mc:AlternateContent>
        <mc:AlternateContent xmlns:mc="http://schemas.openxmlformats.org/markup-compatibility/2006">
          <mc:Choice Requires="x14">
            <control shapeId="9383" r:id="rId119" name="Option Button 167">
              <controlPr defaultSize="0" autoFill="0" autoLine="0" autoPict="0">
                <anchor moveWithCells="1">
                  <from>
                    <xdr:col>6</xdr:col>
                    <xdr:colOff>330200</xdr:colOff>
                    <xdr:row>20</xdr:row>
                    <xdr:rowOff>101600</xdr:rowOff>
                  </from>
                  <to>
                    <xdr:col>6</xdr:col>
                    <xdr:colOff>939800</xdr:colOff>
                    <xdr:row>20</xdr:row>
                    <xdr:rowOff>1130300</xdr:rowOff>
                  </to>
                </anchor>
              </controlPr>
            </control>
          </mc:Choice>
        </mc:AlternateContent>
        <mc:AlternateContent xmlns:mc="http://schemas.openxmlformats.org/markup-compatibility/2006">
          <mc:Choice Requires="x14">
            <control shapeId="9384" r:id="rId120" name="Option Button 168">
              <controlPr defaultSize="0" autoFill="0" autoLine="0" autoPict="0">
                <anchor moveWithCells="1">
                  <from>
                    <xdr:col>2</xdr:col>
                    <xdr:colOff>50800</xdr:colOff>
                    <xdr:row>36</xdr:row>
                    <xdr:rowOff>101600</xdr:rowOff>
                  </from>
                  <to>
                    <xdr:col>3</xdr:col>
                    <xdr:colOff>114300</xdr:colOff>
                    <xdr:row>36</xdr:row>
                    <xdr:rowOff>762000</xdr:rowOff>
                  </to>
                </anchor>
              </controlPr>
            </control>
          </mc:Choice>
        </mc:AlternateContent>
        <mc:AlternateContent xmlns:mc="http://schemas.openxmlformats.org/markup-compatibility/2006">
          <mc:Choice Requires="x14">
            <control shapeId="9385" r:id="rId121" name="Option Button 169">
              <controlPr defaultSize="0" autoFill="0" autoLine="0" autoPict="0">
                <anchor moveWithCells="1">
                  <from>
                    <xdr:col>3</xdr:col>
                    <xdr:colOff>50800</xdr:colOff>
                    <xdr:row>36</xdr:row>
                    <xdr:rowOff>101600</xdr:rowOff>
                  </from>
                  <to>
                    <xdr:col>3</xdr:col>
                    <xdr:colOff>469900</xdr:colOff>
                    <xdr:row>36</xdr:row>
                    <xdr:rowOff>749300</xdr:rowOff>
                  </to>
                </anchor>
              </controlPr>
            </control>
          </mc:Choice>
        </mc:AlternateContent>
        <mc:AlternateContent xmlns:mc="http://schemas.openxmlformats.org/markup-compatibility/2006">
          <mc:Choice Requires="x14">
            <control shapeId="9386" r:id="rId122" name="Option Button 170">
              <controlPr defaultSize="0" autoFill="0" autoLine="0" autoPict="0">
                <anchor moveWithCells="1">
                  <from>
                    <xdr:col>4</xdr:col>
                    <xdr:colOff>50800</xdr:colOff>
                    <xdr:row>36</xdr:row>
                    <xdr:rowOff>101600</xdr:rowOff>
                  </from>
                  <to>
                    <xdr:col>4</xdr:col>
                    <xdr:colOff>419100</xdr:colOff>
                    <xdr:row>36</xdr:row>
                    <xdr:rowOff>762000</xdr:rowOff>
                  </to>
                </anchor>
              </controlPr>
            </control>
          </mc:Choice>
        </mc:AlternateContent>
        <mc:AlternateContent xmlns:mc="http://schemas.openxmlformats.org/markup-compatibility/2006">
          <mc:Choice Requires="x14">
            <control shapeId="9387" r:id="rId123" name="Option Button 171">
              <controlPr defaultSize="0" autoFill="0" autoLine="0" autoPict="0">
                <anchor moveWithCells="1">
                  <from>
                    <xdr:col>5</xdr:col>
                    <xdr:colOff>50800</xdr:colOff>
                    <xdr:row>36</xdr:row>
                    <xdr:rowOff>101600</xdr:rowOff>
                  </from>
                  <to>
                    <xdr:col>5</xdr:col>
                    <xdr:colOff>431800</xdr:colOff>
                    <xdr:row>36</xdr:row>
                    <xdr:rowOff>749300</xdr:rowOff>
                  </to>
                </anchor>
              </controlPr>
            </control>
          </mc:Choice>
        </mc:AlternateContent>
        <mc:AlternateContent xmlns:mc="http://schemas.openxmlformats.org/markup-compatibility/2006">
          <mc:Choice Requires="x14">
            <control shapeId="9388" r:id="rId124" name="Option Button 172">
              <controlPr defaultSize="0" autoFill="0" autoLine="0" autoPict="0">
                <anchor moveWithCells="1">
                  <from>
                    <xdr:col>6</xdr:col>
                    <xdr:colOff>330200</xdr:colOff>
                    <xdr:row>36</xdr:row>
                    <xdr:rowOff>114300</xdr:rowOff>
                  </from>
                  <to>
                    <xdr:col>6</xdr:col>
                    <xdr:colOff>939800</xdr:colOff>
                    <xdr:row>36</xdr:row>
                    <xdr:rowOff>736600</xdr:rowOff>
                  </to>
                </anchor>
              </controlPr>
            </control>
          </mc:Choice>
        </mc:AlternateContent>
        <mc:AlternateContent xmlns:mc="http://schemas.openxmlformats.org/markup-compatibility/2006">
          <mc:Choice Requires="x14">
            <control shapeId="9389" r:id="rId125" name="Option Button 173">
              <controlPr defaultSize="0" autoFill="0" autoLine="0" autoPict="0">
                <anchor moveWithCells="1">
                  <from>
                    <xdr:col>2</xdr:col>
                    <xdr:colOff>50800</xdr:colOff>
                    <xdr:row>39</xdr:row>
                    <xdr:rowOff>76200</xdr:rowOff>
                  </from>
                  <to>
                    <xdr:col>3</xdr:col>
                    <xdr:colOff>25400</xdr:colOff>
                    <xdr:row>39</xdr:row>
                    <xdr:rowOff>952500</xdr:rowOff>
                  </to>
                </anchor>
              </controlPr>
            </control>
          </mc:Choice>
        </mc:AlternateContent>
        <mc:AlternateContent xmlns:mc="http://schemas.openxmlformats.org/markup-compatibility/2006">
          <mc:Choice Requires="x14">
            <control shapeId="9390" r:id="rId126" name="Option Button 174">
              <controlPr defaultSize="0" autoFill="0" autoLine="0" autoPict="0">
                <anchor moveWithCells="1">
                  <from>
                    <xdr:col>3</xdr:col>
                    <xdr:colOff>50800</xdr:colOff>
                    <xdr:row>39</xdr:row>
                    <xdr:rowOff>88900</xdr:rowOff>
                  </from>
                  <to>
                    <xdr:col>3</xdr:col>
                    <xdr:colOff>571500</xdr:colOff>
                    <xdr:row>39</xdr:row>
                    <xdr:rowOff>939800</xdr:rowOff>
                  </to>
                </anchor>
              </controlPr>
            </control>
          </mc:Choice>
        </mc:AlternateContent>
        <mc:AlternateContent xmlns:mc="http://schemas.openxmlformats.org/markup-compatibility/2006">
          <mc:Choice Requires="x14">
            <control shapeId="9391" r:id="rId127" name="Option Button 175">
              <controlPr defaultSize="0" autoFill="0" autoLine="0" autoPict="0">
                <anchor moveWithCells="1">
                  <from>
                    <xdr:col>4</xdr:col>
                    <xdr:colOff>50800</xdr:colOff>
                    <xdr:row>39</xdr:row>
                    <xdr:rowOff>76200</xdr:rowOff>
                  </from>
                  <to>
                    <xdr:col>4</xdr:col>
                    <xdr:colOff>482600</xdr:colOff>
                    <xdr:row>39</xdr:row>
                    <xdr:rowOff>952500</xdr:rowOff>
                  </to>
                </anchor>
              </controlPr>
            </control>
          </mc:Choice>
        </mc:AlternateContent>
        <mc:AlternateContent xmlns:mc="http://schemas.openxmlformats.org/markup-compatibility/2006">
          <mc:Choice Requires="x14">
            <control shapeId="9392" r:id="rId128" name="Option Button 176">
              <controlPr defaultSize="0" autoFill="0" autoLine="0" autoPict="0">
                <anchor moveWithCells="1">
                  <from>
                    <xdr:col>5</xdr:col>
                    <xdr:colOff>50800</xdr:colOff>
                    <xdr:row>39</xdr:row>
                    <xdr:rowOff>88900</xdr:rowOff>
                  </from>
                  <to>
                    <xdr:col>5</xdr:col>
                    <xdr:colOff>406400</xdr:colOff>
                    <xdr:row>39</xdr:row>
                    <xdr:rowOff>939800</xdr:rowOff>
                  </to>
                </anchor>
              </controlPr>
            </control>
          </mc:Choice>
        </mc:AlternateContent>
        <mc:AlternateContent xmlns:mc="http://schemas.openxmlformats.org/markup-compatibility/2006">
          <mc:Choice Requires="x14">
            <control shapeId="9393" r:id="rId129" name="Option Button 177">
              <controlPr defaultSize="0" autoFill="0" autoLine="0" autoPict="0">
                <anchor moveWithCells="1">
                  <from>
                    <xdr:col>6</xdr:col>
                    <xdr:colOff>330200</xdr:colOff>
                    <xdr:row>39</xdr:row>
                    <xdr:rowOff>76200</xdr:rowOff>
                  </from>
                  <to>
                    <xdr:col>6</xdr:col>
                    <xdr:colOff>812800</xdr:colOff>
                    <xdr:row>39</xdr:row>
                    <xdr:rowOff>965200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CFA335"/>
  </sheetPr>
  <dimension ref="A1:J46"/>
  <sheetViews>
    <sheetView topLeftCell="A23" zoomScale="70" zoomScaleNormal="70" workbookViewId="0">
      <selection activeCell="H26" sqref="H26"/>
    </sheetView>
  </sheetViews>
  <sheetFormatPr baseColWidth="10" defaultColWidth="8.83203125" defaultRowHeight="14.5" customHeight="1"/>
  <cols>
    <col min="1" max="1" width="18.5" style="129" customWidth="1"/>
    <col min="2" max="2" width="75.5" style="129" customWidth="1"/>
    <col min="3" max="3" width="5.5" style="129" customWidth="1"/>
    <col min="4" max="5" width="35.5" style="129" customWidth="1"/>
    <col min="6" max="6" width="42.83203125" style="129" customWidth="1"/>
    <col min="7" max="7" width="13" style="129" customWidth="1"/>
    <col min="8" max="8" width="35.5" style="41" customWidth="1"/>
    <col min="9" max="9" width="16.5" style="52" hidden="1" customWidth="1"/>
    <col min="10" max="10" width="35.6640625" style="195" customWidth="1"/>
    <col min="11" max="12" width="8.83203125" style="129" customWidth="1"/>
    <col min="13" max="16384" width="8.83203125" style="129"/>
  </cols>
  <sheetData>
    <row r="1" spans="1:10" s="118" customFormat="1" ht="26">
      <c r="A1" s="608" t="str">
        <f>Raw!A52</f>
        <v>Standard 3</v>
      </c>
      <c r="B1" s="148" t="str">
        <f>Raw!B52</f>
        <v>Recruitment</v>
      </c>
      <c r="H1" s="145"/>
      <c r="I1" s="52"/>
      <c r="J1" s="193"/>
    </row>
    <row r="2" spans="1:10" s="118" customFormat="1" ht="17.25" customHeight="1">
      <c r="A2" s="608"/>
      <c r="B2" s="119" t="str">
        <f>Raw!A53</f>
        <v>The program recruits many physics teacher candidates by taking advantage of local opportunities and offering attractive options for participation.</v>
      </c>
      <c r="H2" s="145"/>
      <c r="I2" s="52"/>
      <c r="J2" s="193"/>
    </row>
    <row r="3" spans="1:10" s="118" customFormat="1" ht="15">
      <c r="A3" s="120"/>
      <c r="H3" s="145"/>
      <c r="I3" s="52"/>
      <c r="J3" s="193"/>
    </row>
    <row r="4" spans="1:10" s="118" customFormat="1" ht="24" thickBot="1">
      <c r="A4" s="149" t="str">
        <f>Raw!A54</f>
        <v>Component 3A: Recruitment Opportunities</v>
      </c>
      <c r="B4" s="123"/>
      <c r="C4" s="123"/>
      <c r="D4" s="123"/>
      <c r="E4" s="123"/>
      <c r="F4" s="123"/>
      <c r="G4" s="123"/>
      <c r="H4" s="146"/>
      <c r="I4" s="52"/>
      <c r="J4" s="193"/>
    </row>
    <row r="5" spans="1:10" s="118" customFormat="1" ht="17">
      <c r="A5" s="119" t="str">
        <f>Raw!A55</f>
        <v>The program has access to a pool of potential teacher candidates and mechanisms to attract them to the profession.</v>
      </c>
      <c r="H5" s="145"/>
      <c r="I5" s="52"/>
      <c r="J5" s="193"/>
    </row>
    <row r="6" spans="1:10" s="118" customFormat="1" ht="51">
      <c r="A6" s="120"/>
      <c r="C6" s="293" t="s">
        <v>0</v>
      </c>
      <c r="D6" s="292" t="s">
        <v>702</v>
      </c>
      <c r="E6" s="291" t="s">
        <v>703</v>
      </c>
      <c r="F6" s="291" t="s">
        <v>704</v>
      </c>
      <c r="G6" s="292" t="s">
        <v>623</v>
      </c>
      <c r="H6" s="294" t="s">
        <v>14</v>
      </c>
      <c r="I6" s="52"/>
      <c r="J6" s="193"/>
    </row>
    <row r="7" spans="1:10" s="118" customFormat="1" ht="85">
      <c r="A7" s="150" t="str">
        <f>Raw!C56</f>
        <v>3A-1</v>
      </c>
      <c r="B7" s="151" t="s">
        <v>327</v>
      </c>
      <c r="C7" s="288"/>
      <c r="D7" s="289" t="str">
        <f>Raw!G56</f>
        <v>The number of physics degrees granted is in 2nd national quartile (3–4/year B.S.-granting programs; 8–13/year PhD-granting  programs).</v>
      </c>
      <c r="E7" s="289" t="str">
        <f>Raw!H56</f>
        <v>The number of physics degrees granted is in 3rd national quartile (5–8/year B.S.-granting; 14–24/year PhD-granting).</v>
      </c>
      <c r="F7" s="289" t="str">
        <f>Raw!I56</f>
        <v>The number of physics degrees granted is in 4th national quartile (9+/year B.S.-granting; 25+/year PhD-granting).</v>
      </c>
      <c r="G7" s="290"/>
      <c r="H7" s="40"/>
      <c r="I7" s="52"/>
      <c r="J7" s="193"/>
    </row>
    <row r="8" spans="1:10" s="118" customFormat="1" ht="51">
      <c r="A8" s="150" t="str">
        <f>Raw!C57</f>
        <v>3A-2</v>
      </c>
      <c r="B8" s="151" t="s">
        <v>328</v>
      </c>
      <c r="C8" s="288"/>
      <c r="D8" s="289" t="str">
        <f>Raw!G57</f>
        <v xml:space="preserve">There is a pool of physics-aligned majors that is equal to the number of physics majors. </v>
      </c>
      <c r="E8" s="289" t="str">
        <f>Raw!H57</f>
        <v>There is a pool of physics-aligned majors that is two to four times the number of physics majors.</v>
      </c>
      <c r="F8" s="289" t="str">
        <f>Raw!I57</f>
        <v>There is a pool of physics-aligned majors that is at least five times the number of physics majors.</v>
      </c>
      <c r="G8" s="290"/>
      <c r="H8" s="40"/>
      <c r="I8" s="52"/>
      <c r="J8" s="193"/>
    </row>
    <row r="9" spans="1:10" s="118" customFormat="1" ht="68">
      <c r="A9" s="150" t="str">
        <f>Raw!C58</f>
        <v>3A-3</v>
      </c>
      <c r="B9" s="151" t="s">
        <v>329</v>
      </c>
      <c r="C9" s="288"/>
      <c r="D9" s="289" t="str">
        <f>Raw!G58</f>
        <v>One person in physics can direct students to a viable path to becoming a physics teacher.</v>
      </c>
      <c r="E9" s="289" t="str">
        <f>Raw!H58</f>
        <v>One person in physics can provide detailed advising regarding the options for becoming a physics teacher.</v>
      </c>
      <c r="F9" s="289" t="str">
        <f>Raw!I58</f>
        <v>One person in physics can provide detailed advising regarding becoming a physics teacher and serves as the PTE mentor for teacher candidates.</v>
      </c>
      <c r="G9" s="290"/>
      <c r="H9" s="40"/>
      <c r="I9" s="52"/>
      <c r="J9" s="193"/>
    </row>
    <row r="10" spans="1:10" s="118" customFormat="1" ht="51">
      <c r="A10" s="131" t="str">
        <f>Raw!C59</f>
        <v>3A-4</v>
      </c>
      <c r="B10" s="132" t="s">
        <v>507</v>
      </c>
      <c r="C10" s="288"/>
      <c r="D10" s="289" t="str">
        <f>Raw!G59</f>
        <v>Several physics faculty/staff actively refer students to the PTE program.</v>
      </c>
      <c r="E10" s="289" t="str">
        <f>Raw!H59</f>
        <v>Several physics faculty/staff and at least one other entity[3] actively refer students to the PTE program.</v>
      </c>
      <c r="F10" s="289" t="str">
        <f>Raw!I59</f>
        <v>Several physics faculty/staff and more than one other entity actively refer students to the PTE program.</v>
      </c>
      <c r="G10" s="290"/>
      <c r="H10" s="40"/>
      <c r="I10" s="52"/>
      <c r="J10" s="193"/>
    </row>
    <row r="11" spans="1:10" s="142" customFormat="1" ht="61.25" customHeight="1">
      <c r="A11" s="131" t="str">
        <f>Raw!C60</f>
        <v>3A-5</v>
      </c>
      <c r="B11" s="132" t="s">
        <v>76</v>
      </c>
      <c r="C11" s="288"/>
      <c r="D11" s="289" t="str">
        <f>Raw!G60</f>
        <v>The program has a name.</v>
      </c>
      <c r="E11" s="289" t="str">
        <f>Raw!H60</f>
        <v>The program has moderate identity and reputation (e.g., brochures, logo, local knowledge of the program).</v>
      </c>
      <c r="F11" s="289" t="str">
        <f>Raw!I60</f>
        <v>The program has strong identity and reputation (e.g., developed branding, website, regional or national reputation).</v>
      </c>
      <c r="G11" s="290"/>
      <c r="H11" s="524"/>
      <c r="I11" s="52"/>
      <c r="J11" s="195"/>
    </row>
    <row r="12" spans="1:10" s="142" customFormat="1" ht="16.75" customHeight="1">
      <c r="A12" s="607" t="s">
        <v>684</v>
      </c>
      <c r="B12" s="603"/>
      <c r="C12" s="603"/>
      <c r="D12" s="603"/>
      <c r="E12" s="603"/>
      <c r="F12" s="603"/>
      <c r="G12" s="231"/>
      <c r="H12" s="233"/>
      <c r="I12" s="52"/>
      <c r="J12" s="195"/>
    </row>
    <row r="13" spans="1:10" s="142" customFormat="1" ht="16.75" customHeight="1">
      <c r="A13" s="610" t="s">
        <v>599</v>
      </c>
      <c r="B13" s="610"/>
      <c r="C13" s="610"/>
      <c r="D13" s="610"/>
      <c r="E13" s="610"/>
      <c r="F13" s="610"/>
      <c r="G13" s="235"/>
      <c r="H13" s="233"/>
      <c r="I13" s="52"/>
      <c r="J13" s="195"/>
    </row>
    <row r="14" spans="1:10" ht="15" customHeight="1">
      <c r="A14" s="152" t="s">
        <v>600</v>
      </c>
      <c r="B14" s="135"/>
      <c r="C14" s="135"/>
      <c r="D14" s="135"/>
      <c r="E14" s="135"/>
      <c r="F14" s="135"/>
      <c r="G14" s="135"/>
    </row>
    <row r="15" spans="1:10" ht="14.5" customHeight="1">
      <c r="A15" s="153"/>
      <c r="B15" s="154"/>
      <c r="D15" s="155"/>
      <c r="E15" s="155"/>
      <c r="F15" s="155"/>
      <c r="G15" s="155"/>
    </row>
    <row r="16" spans="1:10" ht="24" thickBot="1">
      <c r="A16" s="149" t="str">
        <f>Raw!A61</f>
        <v xml:space="preserve">Component 3B: Recruitment Activities </v>
      </c>
      <c r="B16" s="123"/>
      <c r="C16" s="123"/>
      <c r="D16" s="123"/>
      <c r="E16" s="123"/>
      <c r="F16" s="123"/>
      <c r="G16" s="123"/>
      <c r="H16" s="146"/>
    </row>
    <row r="17" spans="1:10" s="118" customFormat="1" ht="17">
      <c r="A17" s="119" t="str">
        <f>Raw!A62</f>
        <v>The program actively recruits physics teacher candidates.</v>
      </c>
      <c r="B17" s="129"/>
      <c r="C17" s="129"/>
      <c r="D17" s="129"/>
      <c r="E17" s="129"/>
      <c r="F17" s="129"/>
      <c r="G17" s="129"/>
      <c r="H17" s="41"/>
      <c r="I17" s="52"/>
      <c r="J17" s="193"/>
    </row>
    <row r="18" spans="1:10" s="118" customFormat="1" ht="51">
      <c r="A18" s="120"/>
      <c r="C18" s="293" t="s">
        <v>0</v>
      </c>
      <c r="D18" s="292" t="s">
        <v>702</v>
      </c>
      <c r="E18" s="291" t="s">
        <v>703</v>
      </c>
      <c r="F18" s="291" t="s">
        <v>704</v>
      </c>
      <c r="G18" s="292" t="s">
        <v>623</v>
      </c>
      <c r="H18" s="294" t="s">
        <v>14</v>
      </c>
      <c r="I18" s="52"/>
      <c r="J18" s="193"/>
    </row>
    <row r="19" spans="1:10" s="118" customFormat="1" ht="68">
      <c r="A19" s="150" t="str">
        <f>Raw!C63</f>
        <v>3B-1</v>
      </c>
      <c r="B19" s="151" t="s">
        <v>849</v>
      </c>
      <c r="C19" s="288"/>
      <c r="D19" s="289" t="str">
        <f>Raw!G63</f>
        <v>Potential PTE candidates are exposed to a positive ambassador for the science teaching profession.</v>
      </c>
      <c r="E19" s="289" t="str">
        <f>Raw!H63</f>
        <v>Potential PTE candidates are exposed to a positive ambassador for the physics teaching profession.</v>
      </c>
      <c r="F19" s="289" t="str">
        <f>Raw!I63</f>
        <v>Potential PTE candidates are exposed to a positive ambassador for the physics teaching profession who has K–12 teaching experience.</v>
      </c>
      <c r="G19" s="290"/>
      <c r="H19" s="296"/>
      <c r="I19" s="52"/>
      <c r="J19" s="193"/>
    </row>
    <row r="20" spans="1:10" s="118" customFormat="1" ht="102">
      <c r="A20" s="150" t="str">
        <f>Raw!C64</f>
        <v>3B-2</v>
      </c>
      <c r="B20" s="151" t="s">
        <v>508</v>
      </c>
      <c r="C20" s="288"/>
      <c r="D20" s="289" t="str">
        <f>Raw!G64</f>
        <v xml:space="preserve">Potential PTE candidates reliably get accurate information about financial compensation for teachers in the U.S. </v>
      </c>
      <c r="E20" s="289" t="str">
        <f>Raw!H64</f>
        <v>Potential PTE candidates reliably get accurate information about financial compensation for teachers in the U.S., as well as at least two less commonly known advantages of the profession.</v>
      </c>
      <c r="F20" s="289" t="str">
        <f>Raw!I64</f>
        <v>Potential PTE candidates reliably get accurate information about financial compensation for local teachers, as well as at least two less commonly known advantages of the profession.</v>
      </c>
      <c r="G20" s="290"/>
      <c r="H20" s="296"/>
      <c r="I20" s="52"/>
      <c r="J20" s="193"/>
    </row>
    <row r="21" spans="1:10" s="118" customFormat="1" ht="34">
      <c r="A21" s="131" t="str">
        <f>Raw!C65</f>
        <v>3B-3</v>
      </c>
      <c r="B21" s="219" t="s">
        <v>509</v>
      </c>
      <c r="C21" s="288"/>
      <c r="D21" s="289" t="str">
        <f>Raw!G65</f>
        <v>There is minimal program promotion (1–2 practices).</v>
      </c>
      <c r="E21" s="289" t="str">
        <f>Raw!H65</f>
        <v>There is modest program promotion (3–4 practices).</v>
      </c>
      <c r="F21" s="289" t="str">
        <f>Raw!I65</f>
        <v>There is substantial program promotion (5+ practices).</v>
      </c>
      <c r="G21" s="290"/>
      <c r="H21" s="296"/>
      <c r="I21" s="52"/>
      <c r="J21" s="193"/>
    </row>
    <row r="22" spans="1:10" s="118" customFormat="1" ht="51">
      <c r="A22" s="131" t="str">
        <f>Raw!C66</f>
        <v>3B-4</v>
      </c>
      <c r="B22" s="132" t="s">
        <v>430</v>
      </c>
      <c r="C22" s="288"/>
      <c r="D22" s="289" t="str">
        <f>Raw!G66</f>
        <v>A few physics faculty discuss teaching as a viable career option (rather than a backup plan).</v>
      </c>
      <c r="E22" s="289" t="str">
        <f>Raw!H66</f>
        <v>Many physics faculty discuss teaching as a viable career option.</v>
      </c>
      <c r="F22" s="289" t="str">
        <f>Raw!I66</f>
        <v>Most physics faculty discuss teaching as a normative career choice (e.g., on equal weight with academic or industrial careers).</v>
      </c>
      <c r="G22" s="290"/>
      <c r="H22" s="297"/>
      <c r="I22" s="52"/>
      <c r="J22" s="193"/>
    </row>
    <row r="23" spans="1:10" s="118" customFormat="1" ht="94.25" customHeight="1">
      <c r="A23" s="131" t="str">
        <f>Raw!C67</f>
        <v>3B-5</v>
      </c>
      <c r="B23" s="132" t="s">
        <v>434</v>
      </c>
      <c r="C23" s="288"/>
      <c r="D23" s="289" t="str">
        <f>Raw!G67</f>
        <v>The physics department offers students some opportunities to learn about diverse careers, including teaching (e.g., career day, alumni talks).</v>
      </c>
      <c r="E23" s="289" t="str">
        <f>Raw!H67</f>
        <v>The physics department’s mission includes preparing students for diverse careers, offering numerous opportunities for them to learn about such careers (including teaching).</v>
      </c>
      <c r="F23" s="289" t="str">
        <f>Raw!I67</f>
        <v>Additionally, the physics department offers a career seminar or other similar sustained career exploration opportunities that discuss teaching careers.</v>
      </c>
      <c r="G23" s="290"/>
      <c r="H23" s="296"/>
      <c r="I23" s="52"/>
      <c r="J23" s="193"/>
    </row>
    <row r="24" spans="1:10" s="109" customFormat="1" ht="54" customHeight="1">
      <c r="A24" s="597" t="s">
        <v>601</v>
      </c>
      <c r="B24" s="598"/>
      <c r="C24" s="598"/>
      <c r="D24" s="598"/>
      <c r="E24" s="598"/>
      <c r="F24" s="598"/>
      <c r="G24" s="226"/>
      <c r="H24" s="106"/>
      <c r="I24" s="52"/>
      <c r="J24" s="194"/>
    </row>
    <row r="25" spans="1:10" s="109" customFormat="1" ht="61" customHeight="1">
      <c r="A25" s="609" t="s">
        <v>855</v>
      </c>
      <c r="B25" s="609"/>
      <c r="C25" s="609"/>
      <c r="D25" s="609"/>
      <c r="E25" s="609"/>
      <c r="F25" s="609"/>
      <c r="G25" s="227"/>
      <c r="H25" s="106"/>
      <c r="I25" s="52"/>
      <c r="J25" s="194"/>
    </row>
    <row r="26" spans="1:10" s="118" customFormat="1" ht="14.5" customHeight="1">
      <c r="A26" s="144"/>
      <c r="B26" s="129"/>
      <c r="C26" s="129"/>
      <c r="D26" s="129"/>
      <c r="E26" s="129"/>
      <c r="F26" s="129"/>
      <c r="G26" s="129"/>
      <c r="H26" s="41"/>
      <c r="I26" s="52"/>
      <c r="J26" s="193"/>
    </row>
    <row r="27" spans="1:10" ht="24" thickBot="1">
      <c r="A27" s="149" t="str">
        <f>Raw!A68</f>
        <v>Component 3C: Early Teaching Experiences for Recruiting Teacher Candidates</v>
      </c>
      <c r="B27" s="123"/>
      <c r="C27" s="123"/>
      <c r="D27" s="123"/>
      <c r="E27" s="123"/>
      <c r="F27" s="123"/>
      <c r="G27" s="123"/>
      <c r="H27" s="146"/>
    </row>
    <row r="28" spans="1:10" s="118" customFormat="1" ht="20">
      <c r="A28" s="119" t="s">
        <v>506</v>
      </c>
      <c r="H28" s="145"/>
      <c r="I28" s="52"/>
      <c r="J28" s="193"/>
    </row>
    <row r="29" spans="1:10" s="118" customFormat="1" ht="51">
      <c r="A29" s="120"/>
      <c r="C29" s="293" t="s">
        <v>0</v>
      </c>
      <c r="D29" s="292" t="s">
        <v>702</v>
      </c>
      <c r="E29" s="291" t="s">
        <v>703</v>
      </c>
      <c r="F29" s="291" t="s">
        <v>704</v>
      </c>
      <c r="G29" s="292" t="s">
        <v>623</v>
      </c>
      <c r="H29" s="294" t="s">
        <v>14</v>
      </c>
      <c r="I29" s="52"/>
      <c r="J29" s="193"/>
    </row>
    <row r="30" spans="1:10" s="118" customFormat="1" ht="68">
      <c r="A30" s="150" t="str">
        <f>Raw!C70</f>
        <v>3C-1</v>
      </c>
      <c r="B30" s="151" t="s">
        <v>510</v>
      </c>
      <c r="C30" s="288"/>
      <c r="D30" s="289" t="str">
        <f>Raw!G70</f>
        <v>Early teaching experiences are somewhat attractive to physics students (e.g., low physics content, time-intensive).</v>
      </c>
      <c r="E30" s="289" t="str">
        <f>Raw!H70</f>
        <v>Early teaching experiences are attractive to physics students (e.g., high physics content, time-efficient, free, or course credit).</v>
      </c>
      <c r="F30" s="289" t="str">
        <f>Raw!I70</f>
        <v>Early teaching experiences are very attractive to physics students (e.g., high physics content, paid, or other incentives to participate).</v>
      </c>
      <c r="G30" s="290"/>
      <c r="H30" s="296"/>
      <c r="I30" s="52"/>
      <c r="J30" s="193"/>
    </row>
    <row r="31" spans="1:10" s="118" customFormat="1" ht="68">
      <c r="A31" s="150" t="str">
        <f>Raw!C71</f>
        <v>3C-2</v>
      </c>
      <c r="B31" s="151" t="s">
        <v>330</v>
      </c>
      <c r="C31" s="288"/>
      <c r="D31" s="289" t="str">
        <f>Raw!G71</f>
        <v>Students participating in early teaching experiences receive informal mentorship in teaching.</v>
      </c>
      <c r="E31" s="289" t="str">
        <f>Raw!H71</f>
        <v>Students participating in early teaching experiences learn about teaching as a rigorous intellectual endeavor.</v>
      </c>
      <c r="F31" s="289" t="str">
        <f>Raw!I71</f>
        <v>Students participating in early teaching experiences are exposed to physics education research and/or the scholarship of teaching.</v>
      </c>
      <c r="G31" s="290"/>
      <c r="H31" s="296"/>
      <c r="I31" s="52"/>
      <c r="J31" s="193"/>
    </row>
    <row r="32" spans="1:10" s="118" customFormat="1" ht="68">
      <c r="A32" s="131" t="str">
        <f>Raw!C72</f>
        <v>3C-3</v>
      </c>
      <c r="B32" s="132" t="s">
        <v>344</v>
      </c>
      <c r="C32" s="288"/>
      <c r="D32" s="289" t="str">
        <f>Raw!G72</f>
        <v xml:space="preserve">Early teaching experiences accommodate the number of physics students who typically enter the certification program. </v>
      </c>
      <c r="E32" s="289" t="str">
        <f>Raw!H72</f>
        <v xml:space="preserve">Early teaching experiences accommodate at least twice the number of physics students who enter the certification program. </v>
      </c>
      <c r="F32" s="289" t="str">
        <f>Raw!I72</f>
        <v xml:space="preserve">Early teaching experiences can accommodate several times the number of physics students who enter the certification program. </v>
      </c>
      <c r="G32" s="290"/>
      <c r="H32" s="296"/>
      <c r="I32" s="52"/>
      <c r="J32" s="193"/>
    </row>
    <row r="33" spans="1:10" s="118" customFormat="1" ht="85">
      <c r="A33" s="131" t="str">
        <f>Raw!C73</f>
        <v>3C-4</v>
      </c>
      <c r="B33" s="132" t="s">
        <v>345</v>
      </c>
      <c r="C33" s="288"/>
      <c r="D33" s="289" t="str">
        <f>Raw!G73</f>
        <v>Students participating in early teaching experiences are informed at least once about teaching careers and/or the PTE program.</v>
      </c>
      <c r="E33" s="289" t="str">
        <f>Raw!H73</f>
        <v>Students participating in early teaching experiences are regularly informed about the PTE program and encouraged (as a group) to consider teaching as a career.</v>
      </c>
      <c r="F33" s="289" t="str">
        <f>Raw!I73</f>
        <v>Students participating in early teaching experiences are individually encouraged to consider teaching as a career and assisted in taking the next steps towards certification.</v>
      </c>
      <c r="G33" s="290"/>
      <c r="H33" s="296"/>
      <c r="I33" s="52"/>
      <c r="J33" s="193"/>
    </row>
    <row r="34" spans="1:10" ht="77.75" customHeight="1">
      <c r="A34" s="131" t="str">
        <f>Raw!C74</f>
        <v>3C-5</v>
      </c>
      <c r="B34" s="132" t="s">
        <v>370</v>
      </c>
      <c r="C34" s="288"/>
      <c r="D34" s="289" t="str">
        <f>Raw!G74</f>
        <v>Early teaching experiences include some exposure to 4th–12th grade environments or students, with a physics or physical science focus.</v>
      </c>
      <c r="E34" s="289" t="str">
        <f>Raw!H74</f>
        <v>Early teaching experiences include substantial exposure to 4th–12th grade environments or students, with a physics or physical science focus.</v>
      </c>
      <c r="F34" s="289" t="str">
        <f>Raw!I74</f>
        <v>Early teaching experiences occur primarily in 4th–12th grade environments, with a physics or physical science focus.</v>
      </c>
      <c r="G34" s="290"/>
      <c r="H34" s="296"/>
    </row>
    <row r="35" spans="1:10" s="109" customFormat="1" ht="30" customHeight="1">
      <c r="A35" s="597" t="s">
        <v>604</v>
      </c>
      <c r="B35" s="598"/>
      <c r="C35" s="598"/>
      <c r="D35" s="598"/>
      <c r="E35" s="598"/>
      <c r="F35" s="598"/>
      <c r="G35" s="226"/>
      <c r="H35" s="106"/>
      <c r="I35" s="52"/>
      <c r="J35" s="194"/>
    </row>
    <row r="36" spans="1:10" ht="14.5" customHeight="1">
      <c r="A36" s="135"/>
    </row>
    <row r="37" spans="1:10" ht="24" thickBot="1">
      <c r="A37" s="149" t="str">
        <f>Raw!A75</f>
        <v>Component 3D: Streamlined and Accessible Program Options</v>
      </c>
      <c r="B37" s="123"/>
      <c r="C37" s="123"/>
      <c r="D37" s="123"/>
      <c r="E37" s="123"/>
      <c r="F37" s="123"/>
      <c r="G37" s="123"/>
      <c r="H37" s="146"/>
    </row>
    <row r="38" spans="1:10" s="118" customFormat="1" ht="17">
      <c r="A38" s="119" t="str">
        <f>Raw!A76</f>
        <v>The teacher education program provides a variety of options for physics and related majors to complete the program without unduly extending their undergraduate career or taking on financial burdens.</v>
      </c>
      <c r="H38" s="145"/>
      <c r="I38" s="52"/>
      <c r="J38" s="193"/>
    </row>
    <row r="39" spans="1:10" s="118" customFormat="1" ht="51">
      <c r="A39" s="120"/>
      <c r="C39" s="293" t="s">
        <v>0</v>
      </c>
      <c r="D39" s="292" t="s">
        <v>702</v>
      </c>
      <c r="E39" s="291" t="s">
        <v>703</v>
      </c>
      <c r="F39" s="291" t="s">
        <v>704</v>
      </c>
      <c r="G39" s="292" t="s">
        <v>623</v>
      </c>
      <c r="H39" s="294" t="s">
        <v>14</v>
      </c>
      <c r="I39" s="52"/>
      <c r="J39" s="193"/>
    </row>
    <row r="40" spans="1:10" s="118" customFormat="1" ht="85">
      <c r="A40" s="150" t="str">
        <f>Raw!C77</f>
        <v>3D-1</v>
      </c>
      <c r="B40" s="151" t="s">
        <v>511</v>
      </c>
      <c r="C40" s="288"/>
      <c r="D40" s="289" t="str">
        <f>Raw!G77</f>
        <v>The physics program allows some teaching credits to count toward physics degree requirements (e.g., electives or humanities requirements).</v>
      </c>
      <c r="E40" s="289" t="str">
        <f>Raw!H77</f>
        <v>There is an undergraduate licensure pathway for physics majors.</v>
      </c>
      <c r="F40" s="289" t="str">
        <f>Raw!I77</f>
        <v>The physics program offers a teaching track or concentration that is well designed and streamlined to integrate with certification requirements.</v>
      </c>
      <c r="G40" s="290"/>
      <c r="H40" s="296"/>
      <c r="I40" s="52"/>
      <c r="J40" s="193"/>
    </row>
    <row r="41" spans="1:10" s="118" customFormat="1" ht="68">
      <c r="A41" s="131" t="str">
        <f>Raw!C78</f>
        <v>3D-2</v>
      </c>
      <c r="B41" s="219" t="s">
        <v>850</v>
      </c>
      <c r="C41" s="288"/>
      <c r="D41" s="289" t="str">
        <f>Raw!G78</f>
        <v>There is a post-baccalaureate or Master's licensure option.</v>
      </c>
      <c r="E41" s="289" t="str">
        <f>Raw!H78</f>
        <v>There is a post-baccalaureate or Master's licensure option that is of appropriate length (up to 1 year post-bac, 2 years Master's)</v>
      </c>
      <c r="F41" s="289" t="str">
        <f>Raw!I78</f>
        <v>Additionally, there are other flexibility or accessibility options (part-time option, evening courses, flexible start date, credits can be earned as undergraduate, etc.)</v>
      </c>
      <c r="G41" s="290"/>
      <c r="H41" s="296"/>
      <c r="I41" s="52"/>
      <c r="J41" s="193"/>
    </row>
    <row r="42" spans="1:10" s="118" customFormat="1" ht="68">
      <c r="A42" s="131" t="str">
        <f>Raw!C79</f>
        <v>3D-3</v>
      </c>
      <c r="B42" s="132" t="s">
        <v>851</v>
      </c>
      <c r="C42" s="288"/>
      <c r="D42" s="289" t="str">
        <f>Raw!G79</f>
        <v>Most physics teacher candidates will require five years (including the undergraduate degree) to achieve certification.</v>
      </c>
      <c r="E42" s="289" t="str">
        <f>Raw!H79</f>
        <v>Most physics teacher candidates will require four and a half years (including the undergraduate degree) to achieve certification.</v>
      </c>
      <c r="F42" s="289" t="str">
        <f>Raw!I79</f>
        <v>Most physics teacher candidates can achieve certification within a four-year undergraduate degree.</v>
      </c>
      <c r="G42" s="290"/>
      <c r="H42" s="296"/>
      <c r="I42" s="52"/>
      <c r="J42" s="193"/>
    </row>
    <row r="43" spans="1:10" s="118" customFormat="1" ht="102">
      <c r="A43" s="131" t="str">
        <f>Raw!C80</f>
        <v>3D-4</v>
      </c>
      <c r="B43" s="132" t="s">
        <v>253</v>
      </c>
      <c r="C43" s="288"/>
      <c r="D43" s="289" t="str">
        <f>Raw!G80</f>
        <v>Substantial financial support (at least half the cost of attendance) is made available to 1–2 PTE candidates, OR several smaller financial support options are available to many students.</v>
      </c>
      <c r="E43" s="289" t="str">
        <f>Raw!H80</f>
        <v xml:space="preserve">Substantial financial support is made available to &gt;25% of the PTE candidates. </v>
      </c>
      <c r="F43" s="289" t="str">
        <f>Raw!I80</f>
        <v>Substantial financial support is made available to &gt;50% of the PTE candidates.</v>
      </c>
      <c r="G43" s="290"/>
      <c r="H43" s="296"/>
      <c r="I43" s="52"/>
      <c r="J43" s="193"/>
    </row>
    <row r="44" spans="1:10" ht="30" customHeight="1">
      <c r="A44" s="607" t="s">
        <v>716</v>
      </c>
      <c r="B44" s="607"/>
      <c r="C44" s="607"/>
      <c r="D44" s="607"/>
      <c r="E44" s="607"/>
      <c r="F44" s="607"/>
      <c r="G44" s="234"/>
      <c r="H44" s="147"/>
    </row>
    <row r="45" spans="1:10" ht="30" customHeight="1">
      <c r="A45" s="605" t="s">
        <v>603</v>
      </c>
      <c r="B45" s="605"/>
      <c r="C45" s="605"/>
      <c r="D45" s="605"/>
      <c r="E45" s="605"/>
      <c r="F45" s="605"/>
      <c r="G45" s="232"/>
    </row>
    <row r="46" spans="1:10" ht="14.5" customHeight="1">
      <c r="A46" s="143" t="s">
        <v>602</v>
      </c>
    </row>
  </sheetData>
  <sheetProtection sheet="1" selectLockedCells="1"/>
  <mergeCells count="8">
    <mergeCell ref="A44:F44"/>
    <mergeCell ref="A45:F45"/>
    <mergeCell ref="A1:A2"/>
    <mergeCell ref="A24:F24"/>
    <mergeCell ref="A25:F25"/>
    <mergeCell ref="A35:F35"/>
    <mergeCell ref="A12:F12"/>
    <mergeCell ref="A13:F13"/>
  </mergeCells>
  <conditionalFormatting sqref="C7">
    <cfRule type="expression" dxfId="896" priority="101">
      <formula>$I7=1</formula>
    </cfRule>
  </conditionalFormatting>
  <conditionalFormatting sqref="D7">
    <cfRule type="expression" dxfId="895" priority="100">
      <formula>$I7=2</formula>
    </cfRule>
  </conditionalFormatting>
  <conditionalFormatting sqref="E7">
    <cfRule type="expression" dxfId="894" priority="99">
      <formula>$I7=3</formula>
    </cfRule>
  </conditionalFormatting>
  <conditionalFormatting sqref="C8">
    <cfRule type="expression" dxfId="893" priority="97">
      <formula>$I8=1</formula>
    </cfRule>
  </conditionalFormatting>
  <conditionalFormatting sqref="D8">
    <cfRule type="expression" dxfId="892" priority="96">
      <formula>$I8=2</formula>
    </cfRule>
  </conditionalFormatting>
  <conditionalFormatting sqref="E8">
    <cfRule type="expression" dxfId="891" priority="95">
      <formula>$I8=3</formula>
    </cfRule>
  </conditionalFormatting>
  <conditionalFormatting sqref="C9">
    <cfRule type="expression" dxfId="890" priority="93">
      <formula>$I9=1</formula>
    </cfRule>
  </conditionalFormatting>
  <conditionalFormatting sqref="D9">
    <cfRule type="expression" dxfId="889" priority="92">
      <formula>$I9=2</formula>
    </cfRule>
  </conditionalFormatting>
  <conditionalFormatting sqref="E9">
    <cfRule type="expression" dxfId="888" priority="91">
      <formula>$I9=3</formula>
    </cfRule>
  </conditionalFormatting>
  <conditionalFormatting sqref="C10">
    <cfRule type="expression" dxfId="887" priority="89">
      <formula>$I10=1</formula>
    </cfRule>
  </conditionalFormatting>
  <conditionalFormatting sqref="D10">
    <cfRule type="expression" dxfId="886" priority="88">
      <formula>$I10=2</formula>
    </cfRule>
  </conditionalFormatting>
  <conditionalFormatting sqref="E10">
    <cfRule type="expression" dxfId="885" priority="87">
      <formula>$I10=3</formula>
    </cfRule>
  </conditionalFormatting>
  <conditionalFormatting sqref="C19">
    <cfRule type="expression" dxfId="884" priority="81">
      <formula>$I19=1</formula>
    </cfRule>
  </conditionalFormatting>
  <conditionalFormatting sqref="D19">
    <cfRule type="expression" dxfId="883" priority="80">
      <formula>$I19=2</formula>
    </cfRule>
  </conditionalFormatting>
  <conditionalFormatting sqref="E19">
    <cfRule type="expression" dxfId="882" priority="79">
      <formula>$I19=3</formula>
    </cfRule>
  </conditionalFormatting>
  <conditionalFormatting sqref="C20">
    <cfRule type="expression" dxfId="881" priority="77">
      <formula>$I20=1</formula>
    </cfRule>
  </conditionalFormatting>
  <conditionalFormatting sqref="D20">
    <cfRule type="expression" dxfId="880" priority="76">
      <formula>$I20=2</formula>
    </cfRule>
  </conditionalFormatting>
  <conditionalFormatting sqref="E20">
    <cfRule type="expression" dxfId="879" priority="75">
      <formula>$I20=3</formula>
    </cfRule>
  </conditionalFormatting>
  <conditionalFormatting sqref="C21">
    <cfRule type="expression" dxfId="878" priority="73">
      <formula>$I21=1</formula>
    </cfRule>
  </conditionalFormatting>
  <conditionalFormatting sqref="D21">
    <cfRule type="expression" dxfId="877" priority="72">
      <formula>$I21=2</formula>
    </cfRule>
  </conditionalFormatting>
  <conditionalFormatting sqref="E21">
    <cfRule type="expression" dxfId="876" priority="71">
      <formula>$I21=3</formula>
    </cfRule>
  </conditionalFormatting>
  <conditionalFormatting sqref="C22">
    <cfRule type="expression" dxfId="875" priority="69">
      <formula>$I22=1</formula>
    </cfRule>
  </conditionalFormatting>
  <conditionalFormatting sqref="D22">
    <cfRule type="expression" dxfId="874" priority="68">
      <formula>$I22=2</formula>
    </cfRule>
  </conditionalFormatting>
  <conditionalFormatting sqref="E22">
    <cfRule type="expression" dxfId="873" priority="67">
      <formula>$I22=3</formula>
    </cfRule>
  </conditionalFormatting>
  <conditionalFormatting sqref="F22">
    <cfRule type="expression" dxfId="872" priority="66">
      <formula>$I22=4</formula>
    </cfRule>
  </conditionalFormatting>
  <conditionalFormatting sqref="C23">
    <cfRule type="expression" dxfId="871" priority="65">
      <formula>$I23=1</formula>
    </cfRule>
  </conditionalFormatting>
  <conditionalFormatting sqref="D23">
    <cfRule type="expression" dxfId="870" priority="64">
      <formula>$I23=2</formula>
    </cfRule>
  </conditionalFormatting>
  <conditionalFormatting sqref="E23">
    <cfRule type="expression" dxfId="869" priority="63">
      <formula>$I23=3</formula>
    </cfRule>
  </conditionalFormatting>
  <conditionalFormatting sqref="F23">
    <cfRule type="expression" dxfId="868" priority="62">
      <formula>$I23=4</formula>
    </cfRule>
  </conditionalFormatting>
  <conditionalFormatting sqref="C30">
    <cfRule type="expression" dxfId="867" priority="61">
      <formula>$I30=1</formula>
    </cfRule>
  </conditionalFormatting>
  <conditionalFormatting sqref="D30">
    <cfRule type="expression" dxfId="866" priority="60">
      <formula>$I30=2</formula>
    </cfRule>
  </conditionalFormatting>
  <conditionalFormatting sqref="E30">
    <cfRule type="expression" dxfId="865" priority="59">
      <formula>$I30=3</formula>
    </cfRule>
  </conditionalFormatting>
  <conditionalFormatting sqref="F30">
    <cfRule type="expression" dxfId="864" priority="58">
      <formula>$I30=4</formula>
    </cfRule>
  </conditionalFormatting>
  <conditionalFormatting sqref="C31">
    <cfRule type="expression" dxfId="863" priority="57">
      <formula>$I31=1</formula>
    </cfRule>
  </conditionalFormatting>
  <conditionalFormatting sqref="D31">
    <cfRule type="expression" dxfId="862" priority="56">
      <formula>$I31=2</formula>
    </cfRule>
  </conditionalFormatting>
  <conditionalFormatting sqref="E31">
    <cfRule type="expression" dxfId="861" priority="55">
      <formula>$I31=3</formula>
    </cfRule>
  </conditionalFormatting>
  <conditionalFormatting sqref="F31">
    <cfRule type="expression" dxfId="860" priority="54">
      <formula>$I31=4</formula>
    </cfRule>
  </conditionalFormatting>
  <conditionalFormatting sqref="C32">
    <cfRule type="expression" dxfId="859" priority="53">
      <formula>$I32=1</formula>
    </cfRule>
  </conditionalFormatting>
  <conditionalFormatting sqref="D32">
    <cfRule type="expression" dxfId="858" priority="52">
      <formula>$I32=2</formula>
    </cfRule>
  </conditionalFormatting>
  <conditionalFormatting sqref="E32">
    <cfRule type="expression" dxfId="857" priority="51">
      <formula>$I32=3</formula>
    </cfRule>
  </conditionalFormatting>
  <conditionalFormatting sqref="F32">
    <cfRule type="expression" dxfId="856" priority="50">
      <formula>$I32=4</formula>
    </cfRule>
  </conditionalFormatting>
  <conditionalFormatting sqref="C33">
    <cfRule type="expression" dxfId="855" priority="49">
      <formula>$I33=1</formula>
    </cfRule>
  </conditionalFormatting>
  <conditionalFormatting sqref="D33">
    <cfRule type="expression" dxfId="854" priority="48">
      <formula>$I33=2</formula>
    </cfRule>
  </conditionalFormatting>
  <conditionalFormatting sqref="E33">
    <cfRule type="expression" dxfId="853" priority="47">
      <formula>$I33=3</formula>
    </cfRule>
  </conditionalFormatting>
  <conditionalFormatting sqref="F33">
    <cfRule type="expression" dxfId="852" priority="46">
      <formula>$I33=4</formula>
    </cfRule>
  </conditionalFormatting>
  <conditionalFormatting sqref="C34">
    <cfRule type="expression" dxfId="851" priority="45">
      <formula>$I34=1</formula>
    </cfRule>
  </conditionalFormatting>
  <conditionalFormatting sqref="D34">
    <cfRule type="expression" dxfId="850" priority="44">
      <formula>$I34=2</formula>
    </cfRule>
  </conditionalFormatting>
  <conditionalFormatting sqref="E34">
    <cfRule type="expression" dxfId="849" priority="43">
      <formula>$I34=3</formula>
    </cfRule>
  </conditionalFormatting>
  <conditionalFormatting sqref="C40">
    <cfRule type="expression" dxfId="848" priority="41">
      <formula>$I40=1</formula>
    </cfRule>
  </conditionalFormatting>
  <conditionalFormatting sqref="D40">
    <cfRule type="expression" dxfId="847" priority="40">
      <formula>$I40=2</formula>
    </cfRule>
  </conditionalFormatting>
  <conditionalFormatting sqref="E40">
    <cfRule type="expression" dxfId="846" priority="39">
      <formula>$I40=3</formula>
    </cfRule>
  </conditionalFormatting>
  <conditionalFormatting sqref="C41">
    <cfRule type="expression" dxfId="845" priority="37">
      <formula>$I41=1</formula>
    </cfRule>
  </conditionalFormatting>
  <conditionalFormatting sqref="D41">
    <cfRule type="expression" dxfId="844" priority="36">
      <formula>$I41=2</formula>
    </cfRule>
  </conditionalFormatting>
  <conditionalFormatting sqref="E41">
    <cfRule type="expression" dxfId="843" priority="35">
      <formula>$I41=3</formula>
    </cfRule>
  </conditionalFormatting>
  <conditionalFormatting sqref="C42">
    <cfRule type="expression" dxfId="842" priority="33">
      <formula>$I42=1</formula>
    </cfRule>
  </conditionalFormatting>
  <conditionalFormatting sqref="D42">
    <cfRule type="expression" dxfId="841" priority="32">
      <formula>$I42=2</formula>
    </cfRule>
  </conditionalFormatting>
  <conditionalFormatting sqref="E42">
    <cfRule type="expression" dxfId="840" priority="31">
      <formula>$I42=3</formula>
    </cfRule>
  </conditionalFormatting>
  <conditionalFormatting sqref="C43">
    <cfRule type="expression" dxfId="839" priority="29">
      <formula>$I43=1</formula>
    </cfRule>
  </conditionalFormatting>
  <conditionalFormatting sqref="D43">
    <cfRule type="expression" dxfId="838" priority="28">
      <formula>$I43=2</formula>
    </cfRule>
  </conditionalFormatting>
  <conditionalFormatting sqref="E43">
    <cfRule type="expression" dxfId="837" priority="27">
      <formula>$I43=3</formula>
    </cfRule>
  </conditionalFormatting>
  <conditionalFormatting sqref="C11">
    <cfRule type="expression" dxfId="836" priority="21">
      <formula>$I11=1</formula>
    </cfRule>
  </conditionalFormatting>
  <conditionalFormatting sqref="D11">
    <cfRule type="expression" dxfId="835" priority="20">
      <formula>$I11=2</formula>
    </cfRule>
  </conditionalFormatting>
  <conditionalFormatting sqref="E11">
    <cfRule type="expression" dxfId="834" priority="19">
      <formula>$I11=3</formula>
    </cfRule>
  </conditionalFormatting>
  <conditionalFormatting sqref="G7:G11">
    <cfRule type="expression" dxfId="833" priority="15">
      <formula>$I7=5</formula>
    </cfRule>
  </conditionalFormatting>
  <conditionalFormatting sqref="G19:G23">
    <cfRule type="expression" dxfId="832" priority="12">
      <formula>$I19=5</formula>
    </cfRule>
  </conditionalFormatting>
  <conditionalFormatting sqref="G30:G34">
    <cfRule type="expression" dxfId="831" priority="9">
      <formula>$I30=5</formula>
    </cfRule>
  </conditionalFormatting>
  <conditionalFormatting sqref="G40:G43">
    <cfRule type="expression" dxfId="830" priority="6">
      <formula>$I40=5</formula>
    </cfRule>
  </conditionalFormatting>
  <conditionalFormatting sqref="F7">
    <cfRule type="expression" dxfId="829" priority="5">
      <formula>I7=4</formula>
    </cfRule>
  </conditionalFormatting>
  <conditionalFormatting sqref="F8:F11">
    <cfRule type="expression" dxfId="828" priority="4">
      <formula>I8=4</formula>
    </cfRule>
  </conditionalFormatting>
  <conditionalFormatting sqref="F19:F21">
    <cfRule type="expression" dxfId="827" priority="3">
      <formula>$I19=4</formula>
    </cfRule>
  </conditionalFormatting>
  <conditionalFormatting sqref="F34">
    <cfRule type="expression" dxfId="826" priority="2">
      <formula>$I34=4</formula>
    </cfRule>
  </conditionalFormatting>
  <conditionalFormatting sqref="F40:F43">
    <cfRule type="expression" dxfId="825" priority="1">
      <formula>$I40=4</formula>
    </cfRule>
  </conditionalFormatting>
  <pageMargins left="0.7" right="0.7" top="0.75" bottom="0.75" header="0.3" footer="0.3"/>
  <pageSetup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1</xdr:col>
                    <xdr:colOff>3606800</xdr:colOff>
                    <xdr:row>6</xdr:row>
                    <xdr:rowOff>50800</xdr:rowOff>
                  </from>
                  <to>
                    <xdr:col>7</xdr:col>
                    <xdr:colOff>165100</xdr:colOff>
                    <xdr:row>6</xdr:row>
                    <xdr:rowOff>508000</xdr:rowOff>
                  </to>
                </anchor>
              </controlPr>
            </control>
          </mc:Choice>
        </mc:AlternateContent>
        <mc:AlternateContent xmlns:mc="http://schemas.openxmlformats.org/markup-compatibility/2006">
          <mc:Choice Requires="x14">
            <control shapeId="5122" r:id="rId5" name="Group Box 2">
              <controlPr defaultSize="0" autoFill="0" autoPict="0">
                <anchor moveWithCells="1">
                  <from>
                    <xdr:col>1</xdr:col>
                    <xdr:colOff>3606800</xdr:colOff>
                    <xdr:row>7</xdr:row>
                    <xdr:rowOff>50800</xdr:rowOff>
                  </from>
                  <to>
                    <xdr:col>7</xdr:col>
                    <xdr:colOff>152400</xdr:colOff>
                    <xdr:row>7</xdr:row>
                    <xdr:rowOff>520700</xdr:rowOff>
                  </to>
                </anchor>
              </controlPr>
            </control>
          </mc:Choice>
        </mc:AlternateContent>
        <mc:AlternateContent xmlns:mc="http://schemas.openxmlformats.org/markup-compatibility/2006">
          <mc:Choice Requires="x14">
            <control shapeId="5123" r:id="rId6" name="Group Box 3">
              <controlPr defaultSize="0" autoFill="0" autoPict="0">
                <anchor moveWithCells="1">
                  <from>
                    <xdr:col>1</xdr:col>
                    <xdr:colOff>3606800</xdr:colOff>
                    <xdr:row>8</xdr:row>
                    <xdr:rowOff>139700</xdr:rowOff>
                  </from>
                  <to>
                    <xdr:col>7</xdr:col>
                    <xdr:colOff>165100</xdr:colOff>
                    <xdr:row>8</xdr:row>
                    <xdr:rowOff>596900</xdr:rowOff>
                  </to>
                </anchor>
              </controlPr>
            </control>
          </mc:Choice>
        </mc:AlternateContent>
        <mc:AlternateContent xmlns:mc="http://schemas.openxmlformats.org/markup-compatibility/2006">
          <mc:Choice Requires="x14">
            <control shapeId="5127" r:id="rId7" name="Group Box 7">
              <controlPr defaultSize="0" autoFill="0" autoPict="0">
                <anchor moveWithCells="1">
                  <from>
                    <xdr:col>1</xdr:col>
                    <xdr:colOff>3568700</xdr:colOff>
                    <xdr:row>19</xdr:row>
                    <xdr:rowOff>38100</xdr:rowOff>
                  </from>
                  <to>
                    <xdr:col>7</xdr:col>
                    <xdr:colOff>152400</xdr:colOff>
                    <xdr:row>19</xdr:row>
                    <xdr:rowOff>1054100</xdr:rowOff>
                  </to>
                </anchor>
              </controlPr>
            </control>
          </mc:Choice>
        </mc:AlternateContent>
        <mc:AlternateContent xmlns:mc="http://schemas.openxmlformats.org/markup-compatibility/2006">
          <mc:Choice Requires="x14">
            <control shapeId="5128" r:id="rId8" name="Group Box 8">
              <controlPr defaultSize="0" autoFill="0" autoPict="0">
                <anchor moveWithCells="1">
                  <from>
                    <xdr:col>1</xdr:col>
                    <xdr:colOff>3568700</xdr:colOff>
                    <xdr:row>20</xdr:row>
                    <xdr:rowOff>38100</xdr:rowOff>
                  </from>
                  <to>
                    <xdr:col>7</xdr:col>
                    <xdr:colOff>177800</xdr:colOff>
                    <xdr:row>20</xdr:row>
                    <xdr:rowOff>342900</xdr:rowOff>
                  </to>
                </anchor>
              </controlPr>
            </control>
          </mc:Choice>
        </mc:AlternateContent>
        <mc:AlternateContent xmlns:mc="http://schemas.openxmlformats.org/markup-compatibility/2006">
          <mc:Choice Requires="x14">
            <control shapeId="5129" r:id="rId9" name="Group Box 9">
              <controlPr defaultSize="0" autoFill="0" autoPict="0">
                <anchor moveWithCells="1">
                  <from>
                    <xdr:col>1</xdr:col>
                    <xdr:colOff>3568700</xdr:colOff>
                    <xdr:row>21</xdr:row>
                    <xdr:rowOff>127000</xdr:rowOff>
                  </from>
                  <to>
                    <xdr:col>7</xdr:col>
                    <xdr:colOff>165100</xdr:colOff>
                    <xdr:row>21</xdr:row>
                    <xdr:rowOff>469900</xdr:rowOff>
                  </to>
                </anchor>
              </controlPr>
            </control>
          </mc:Choice>
        </mc:AlternateContent>
        <mc:AlternateContent xmlns:mc="http://schemas.openxmlformats.org/markup-compatibility/2006">
          <mc:Choice Requires="x14">
            <control shapeId="5130" r:id="rId10" name="Group Box 10">
              <controlPr defaultSize="0" autoFill="0" autoPict="0">
                <anchor moveWithCells="1">
                  <from>
                    <xdr:col>1</xdr:col>
                    <xdr:colOff>3568700</xdr:colOff>
                    <xdr:row>22</xdr:row>
                    <xdr:rowOff>25400</xdr:rowOff>
                  </from>
                  <to>
                    <xdr:col>7</xdr:col>
                    <xdr:colOff>139700</xdr:colOff>
                    <xdr:row>22</xdr:row>
                    <xdr:rowOff>901700</xdr:rowOff>
                  </to>
                </anchor>
              </controlPr>
            </control>
          </mc:Choice>
        </mc:AlternateContent>
        <mc:AlternateContent xmlns:mc="http://schemas.openxmlformats.org/markup-compatibility/2006">
          <mc:Choice Requires="x14">
            <control shapeId="5132" r:id="rId11" name="Group Box 12">
              <controlPr defaultSize="0" autoFill="0" autoPict="0">
                <anchor moveWithCells="1">
                  <from>
                    <xdr:col>1</xdr:col>
                    <xdr:colOff>3632200</xdr:colOff>
                    <xdr:row>29</xdr:row>
                    <xdr:rowOff>736600</xdr:rowOff>
                  </from>
                  <to>
                    <xdr:col>7</xdr:col>
                    <xdr:colOff>76200</xdr:colOff>
                    <xdr:row>30</xdr:row>
                    <xdr:rowOff>736600</xdr:rowOff>
                  </to>
                </anchor>
              </controlPr>
            </control>
          </mc:Choice>
        </mc:AlternateContent>
        <mc:AlternateContent xmlns:mc="http://schemas.openxmlformats.org/markup-compatibility/2006">
          <mc:Choice Requires="x14">
            <control shapeId="5133" r:id="rId12" name="Group Box 13">
              <controlPr defaultSize="0" autoFill="0" autoPict="0">
                <anchor moveWithCells="1">
                  <from>
                    <xdr:col>1</xdr:col>
                    <xdr:colOff>3632200</xdr:colOff>
                    <xdr:row>30</xdr:row>
                    <xdr:rowOff>736600</xdr:rowOff>
                  </from>
                  <to>
                    <xdr:col>7</xdr:col>
                    <xdr:colOff>114300</xdr:colOff>
                    <xdr:row>32</xdr:row>
                    <xdr:rowOff>12700</xdr:rowOff>
                  </to>
                </anchor>
              </controlPr>
            </control>
          </mc:Choice>
        </mc:AlternateContent>
        <mc:AlternateContent xmlns:mc="http://schemas.openxmlformats.org/markup-compatibility/2006">
          <mc:Choice Requires="x14">
            <control shapeId="5134" r:id="rId13" name="Group Box 14">
              <controlPr defaultSize="0" autoFill="0" autoPict="0">
                <anchor moveWithCells="1">
                  <from>
                    <xdr:col>1</xdr:col>
                    <xdr:colOff>3644900</xdr:colOff>
                    <xdr:row>32</xdr:row>
                    <xdr:rowOff>177800</xdr:rowOff>
                  </from>
                  <to>
                    <xdr:col>7</xdr:col>
                    <xdr:colOff>165100</xdr:colOff>
                    <xdr:row>32</xdr:row>
                    <xdr:rowOff>787400</xdr:rowOff>
                  </to>
                </anchor>
              </controlPr>
            </control>
          </mc:Choice>
        </mc:AlternateContent>
        <mc:AlternateContent xmlns:mc="http://schemas.openxmlformats.org/markup-compatibility/2006">
          <mc:Choice Requires="x14">
            <control shapeId="5135" r:id="rId14" name="Group Box 15">
              <controlPr defaultSize="0" autoFill="0" autoPict="0">
                <anchor moveWithCells="1">
                  <from>
                    <xdr:col>1</xdr:col>
                    <xdr:colOff>3644900</xdr:colOff>
                    <xdr:row>33</xdr:row>
                    <xdr:rowOff>50800</xdr:rowOff>
                  </from>
                  <to>
                    <xdr:col>7</xdr:col>
                    <xdr:colOff>139700</xdr:colOff>
                    <xdr:row>33</xdr:row>
                    <xdr:rowOff>876300</xdr:rowOff>
                  </to>
                </anchor>
              </controlPr>
            </control>
          </mc:Choice>
        </mc:AlternateContent>
        <mc:AlternateContent xmlns:mc="http://schemas.openxmlformats.org/markup-compatibility/2006">
          <mc:Choice Requires="x14">
            <control shapeId="5137" r:id="rId15" name="Group Box 17">
              <controlPr defaultSize="0" autoFill="0" autoPict="0">
                <anchor moveWithCells="1">
                  <from>
                    <xdr:col>1</xdr:col>
                    <xdr:colOff>3619500</xdr:colOff>
                    <xdr:row>40</xdr:row>
                    <xdr:rowOff>50800</xdr:rowOff>
                  </from>
                  <to>
                    <xdr:col>7</xdr:col>
                    <xdr:colOff>76200</xdr:colOff>
                    <xdr:row>40</xdr:row>
                    <xdr:rowOff>596900</xdr:rowOff>
                  </to>
                </anchor>
              </controlPr>
            </control>
          </mc:Choice>
        </mc:AlternateContent>
        <mc:AlternateContent xmlns:mc="http://schemas.openxmlformats.org/markup-compatibility/2006">
          <mc:Choice Requires="x14">
            <control shapeId="5138" r:id="rId16" name="Group Box 18">
              <controlPr defaultSize="0" autoFill="0" autoPict="0">
                <anchor moveWithCells="1">
                  <from>
                    <xdr:col>1</xdr:col>
                    <xdr:colOff>3619500</xdr:colOff>
                    <xdr:row>41</xdr:row>
                    <xdr:rowOff>76200</xdr:rowOff>
                  </from>
                  <to>
                    <xdr:col>7</xdr:col>
                    <xdr:colOff>38100</xdr:colOff>
                    <xdr:row>41</xdr:row>
                    <xdr:rowOff>736600</xdr:rowOff>
                  </to>
                </anchor>
              </controlPr>
            </control>
          </mc:Choice>
        </mc:AlternateContent>
        <mc:AlternateContent xmlns:mc="http://schemas.openxmlformats.org/markup-compatibility/2006">
          <mc:Choice Requires="x14">
            <control shapeId="5139" r:id="rId17" name="Group Box 19">
              <controlPr defaultSize="0" autoFill="0" autoPict="0">
                <anchor moveWithCells="1">
                  <from>
                    <xdr:col>1</xdr:col>
                    <xdr:colOff>3606800</xdr:colOff>
                    <xdr:row>42</xdr:row>
                    <xdr:rowOff>292100</xdr:rowOff>
                  </from>
                  <to>
                    <xdr:col>7</xdr:col>
                    <xdr:colOff>88900</xdr:colOff>
                    <xdr:row>42</xdr:row>
                    <xdr:rowOff>825500</xdr:rowOff>
                  </to>
                </anchor>
              </controlPr>
            </control>
          </mc:Choice>
        </mc:AlternateContent>
        <mc:AlternateContent xmlns:mc="http://schemas.openxmlformats.org/markup-compatibility/2006">
          <mc:Choice Requires="x14">
            <control shapeId="5141" r:id="rId18" name="Group Box 21">
              <controlPr defaultSize="0" autoFill="0" autoPict="0">
                <anchor moveWithCells="1">
                  <from>
                    <xdr:col>1</xdr:col>
                    <xdr:colOff>3606800</xdr:colOff>
                    <xdr:row>9</xdr:row>
                    <xdr:rowOff>25400</xdr:rowOff>
                  </from>
                  <to>
                    <xdr:col>7</xdr:col>
                    <xdr:colOff>127000</xdr:colOff>
                    <xdr:row>9</xdr:row>
                    <xdr:rowOff>596900</xdr:rowOff>
                  </to>
                </anchor>
              </controlPr>
            </control>
          </mc:Choice>
        </mc:AlternateContent>
        <mc:AlternateContent xmlns:mc="http://schemas.openxmlformats.org/markup-compatibility/2006">
          <mc:Choice Requires="x14">
            <control shapeId="5142" r:id="rId19" name="Option Button 22">
              <controlPr defaultSize="0" autoFill="0" autoLine="0" autoPict="0">
                <anchor moveWithCells="1">
                  <from>
                    <xdr:col>2</xdr:col>
                    <xdr:colOff>38100</xdr:colOff>
                    <xdr:row>6</xdr:row>
                    <xdr:rowOff>76200</xdr:rowOff>
                  </from>
                  <to>
                    <xdr:col>3</xdr:col>
                    <xdr:colOff>25400</xdr:colOff>
                    <xdr:row>6</xdr:row>
                    <xdr:rowOff>508000</xdr:rowOff>
                  </to>
                </anchor>
              </controlPr>
            </control>
          </mc:Choice>
        </mc:AlternateContent>
        <mc:AlternateContent xmlns:mc="http://schemas.openxmlformats.org/markup-compatibility/2006">
          <mc:Choice Requires="x14">
            <control shapeId="5143" r:id="rId20" name="Option Button 23">
              <controlPr defaultSize="0" autoFill="0" autoLine="0" autoPict="0">
                <anchor moveWithCells="1">
                  <from>
                    <xdr:col>3</xdr:col>
                    <xdr:colOff>38100</xdr:colOff>
                    <xdr:row>6</xdr:row>
                    <xdr:rowOff>88900</xdr:rowOff>
                  </from>
                  <to>
                    <xdr:col>3</xdr:col>
                    <xdr:colOff>342900</xdr:colOff>
                    <xdr:row>6</xdr:row>
                    <xdr:rowOff>508000</xdr:rowOff>
                  </to>
                </anchor>
              </controlPr>
            </control>
          </mc:Choice>
        </mc:AlternateContent>
        <mc:AlternateContent xmlns:mc="http://schemas.openxmlformats.org/markup-compatibility/2006">
          <mc:Choice Requires="x14">
            <control shapeId="5144" r:id="rId21" name="Option Button 24">
              <controlPr defaultSize="0" autoFill="0" autoLine="0" autoPict="0">
                <anchor moveWithCells="1">
                  <from>
                    <xdr:col>4</xdr:col>
                    <xdr:colOff>50800</xdr:colOff>
                    <xdr:row>6</xdr:row>
                    <xdr:rowOff>88900</xdr:rowOff>
                  </from>
                  <to>
                    <xdr:col>4</xdr:col>
                    <xdr:colOff>381000</xdr:colOff>
                    <xdr:row>6</xdr:row>
                    <xdr:rowOff>508000</xdr:rowOff>
                  </to>
                </anchor>
              </controlPr>
            </control>
          </mc:Choice>
        </mc:AlternateContent>
        <mc:AlternateContent xmlns:mc="http://schemas.openxmlformats.org/markup-compatibility/2006">
          <mc:Choice Requires="x14">
            <control shapeId="5145" r:id="rId22" name="Option Button 25">
              <controlPr defaultSize="0" autoFill="0" autoLine="0" autoPict="0">
                <anchor moveWithCells="1">
                  <from>
                    <xdr:col>5</xdr:col>
                    <xdr:colOff>38100</xdr:colOff>
                    <xdr:row>6</xdr:row>
                    <xdr:rowOff>88900</xdr:rowOff>
                  </from>
                  <to>
                    <xdr:col>5</xdr:col>
                    <xdr:colOff>368300</xdr:colOff>
                    <xdr:row>6</xdr:row>
                    <xdr:rowOff>508000</xdr:rowOff>
                  </to>
                </anchor>
              </controlPr>
            </control>
          </mc:Choice>
        </mc:AlternateContent>
        <mc:AlternateContent xmlns:mc="http://schemas.openxmlformats.org/markup-compatibility/2006">
          <mc:Choice Requires="x14">
            <control shapeId="5146" r:id="rId23" name="Option Button 26">
              <controlPr defaultSize="0" autoFill="0" autoLine="0" autoPict="0">
                <anchor moveWithCells="1">
                  <from>
                    <xdr:col>2</xdr:col>
                    <xdr:colOff>38100</xdr:colOff>
                    <xdr:row>7</xdr:row>
                    <xdr:rowOff>88900</xdr:rowOff>
                  </from>
                  <to>
                    <xdr:col>3</xdr:col>
                    <xdr:colOff>50800</xdr:colOff>
                    <xdr:row>7</xdr:row>
                    <xdr:rowOff>520700</xdr:rowOff>
                  </to>
                </anchor>
              </controlPr>
            </control>
          </mc:Choice>
        </mc:AlternateContent>
        <mc:AlternateContent xmlns:mc="http://schemas.openxmlformats.org/markup-compatibility/2006">
          <mc:Choice Requires="x14">
            <control shapeId="5147" r:id="rId24" name="Option Button 27">
              <controlPr defaultSize="0" autoFill="0" autoLine="0" autoPict="0">
                <anchor moveWithCells="1">
                  <from>
                    <xdr:col>3</xdr:col>
                    <xdr:colOff>38100</xdr:colOff>
                    <xdr:row>7</xdr:row>
                    <xdr:rowOff>88900</xdr:rowOff>
                  </from>
                  <to>
                    <xdr:col>3</xdr:col>
                    <xdr:colOff>330200</xdr:colOff>
                    <xdr:row>7</xdr:row>
                    <xdr:rowOff>520700</xdr:rowOff>
                  </to>
                </anchor>
              </controlPr>
            </control>
          </mc:Choice>
        </mc:AlternateContent>
        <mc:AlternateContent xmlns:mc="http://schemas.openxmlformats.org/markup-compatibility/2006">
          <mc:Choice Requires="x14">
            <control shapeId="5148" r:id="rId25" name="Option Button 28">
              <controlPr defaultSize="0" autoFill="0" autoLine="0" autoPict="0">
                <anchor moveWithCells="1">
                  <from>
                    <xdr:col>4</xdr:col>
                    <xdr:colOff>50800</xdr:colOff>
                    <xdr:row>7</xdr:row>
                    <xdr:rowOff>88900</xdr:rowOff>
                  </from>
                  <to>
                    <xdr:col>4</xdr:col>
                    <xdr:colOff>406400</xdr:colOff>
                    <xdr:row>7</xdr:row>
                    <xdr:rowOff>520700</xdr:rowOff>
                  </to>
                </anchor>
              </controlPr>
            </control>
          </mc:Choice>
        </mc:AlternateContent>
        <mc:AlternateContent xmlns:mc="http://schemas.openxmlformats.org/markup-compatibility/2006">
          <mc:Choice Requires="x14">
            <control shapeId="5149" r:id="rId26" name="Option Button 29">
              <controlPr defaultSize="0" autoFill="0" autoLine="0" autoPict="0">
                <anchor moveWithCells="1">
                  <from>
                    <xdr:col>5</xdr:col>
                    <xdr:colOff>38100</xdr:colOff>
                    <xdr:row>7</xdr:row>
                    <xdr:rowOff>88900</xdr:rowOff>
                  </from>
                  <to>
                    <xdr:col>5</xdr:col>
                    <xdr:colOff>368300</xdr:colOff>
                    <xdr:row>7</xdr:row>
                    <xdr:rowOff>520700</xdr:rowOff>
                  </to>
                </anchor>
              </controlPr>
            </control>
          </mc:Choice>
        </mc:AlternateContent>
        <mc:AlternateContent xmlns:mc="http://schemas.openxmlformats.org/markup-compatibility/2006">
          <mc:Choice Requires="x14">
            <control shapeId="5150" r:id="rId27" name="Option Button 30">
              <controlPr defaultSize="0" autoFill="0" autoLine="0" autoPict="0">
                <anchor moveWithCells="1">
                  <from>
                    <xdr:col>2</xdr:col>
                    <xdr:colOff>38100</xdr:colOff>
                    <xdr:row>8</xdr:row>
                    <xdr:rowOff>177800</xdr:rowOff>
                  </from>
                  <to>
                    <xdr:col>3</xdr:col>
                    <xdr:colOff>25400</xdr:colOff>
                    <xdr:row>8</xdr:row>
                    <xdr:rowOff>558800</xdr:rowOff>
                  </to>
                </anchor>
              </controlPr>
            </control>
          </mc:Choice>
        </mc:AlternateContent>
        <mc:AlternateContent xmlns:mc="http://schemas.openxmlformats.org/markup-compatibility/2006">
          <mc:Choice Requires="x14">
            <control shapeId="5151" r:id="rId28" name="Option Button 31">
              <controlPr defaultSize="0" autoFill="0" autoLine="0" autoPict="0">
                <anchor moveWithCells="1">
                  <from>
                    <xdr:col>3</xdr:col>
                    <xdr:colOff>38100</xdr:colOff>
                    <xdr:row>8</xdr:row>
                    <xdr:rowOff>165100</xdr:rowOff>
                  </from>
                  <to>
                    <xdr:col>3</xdr:col>
                    <xdr:colOff>355600</xdr:colOff>
                    <xdr:row>8</xdr:row>
                    <xdr:rowOff>584200</xdr:rowOff>
                  </to>
                </anchor>
              </controlPr>
            </control>
          </mc:Choice>
        </mc:AlternateContent>
        <mc:AlternateContent xmlns:mc="http://schemas.openxmlformats.org/markup-compatibility/2006">
          <mc:Choice Requires="x14">
            <control shapeId="5152" r:id="rId29" name="Option Button 32">
              <controlPr defaultSize="0" autoFill="0" autoLine="0" autoPict="0">
                <anchor moveWithCells="1">
                  <from>
                    <xdr:col>4</xdr:col>
                    <xdr:colOff>50800</xdr:colOff>
                    <xdr:row>8</xdr:row>
                    <xdr:rowOff>165100</xdr:rowOff>
                  </from>
                  <to>
                    <xdr:col>4</xdr:col>
                    <xdr:colOff>381000</xdr:colOff>
                    <xdr:row>8</xdr:row>
                    <xdr:rowOff>584200</xdr:rowOff>
                  </to>
                </anchor>
              </controlPr>
            </control>
          </mc:Choice>
        </mc:AlternateContent>
        <mc:AlternateContent xmlns:mc="http://schemas.openxmlformats.org/markup-compatibility/2006">
          <mc:Choice Requires="x14">
            <control shapeId="5153" r:id="rId30" name="Option Button 33">
              <controlPr defaultSize="0" autoFill="0" autoLine="0" autoPict="0">
                <anchor moveWithCells="1">
                  <from>
                    <xdr:col>5</xdr:col>
                    <xdr:colOff>38100</xdr:colOff>
                    <xdr:row>8</xdr:row>
                    <xdr:rowOff>165100</xdr:rowOff>
                  </from>
                  <to>
                    <xdr:col>5</xdr:col>
                    <xdr:colOff>393700</xdr:colOff>
                    <xdr:row>8</xdr:row>
                    <xdr:rowOff>584200</xdr:rowOff>
                  </to>
                </anchor>
              </controlPr>
            </control>
          </mc:Choice>
        </mc:AlternateContent>
        <mc:AlternateContent xmlns:mc="http://schemas.openxmlformats.org/markup-compatibility/2006">
          <mc:Choice Requires="x14">
            <control shapeId="5154" r:id="rId31" name="Option Button 34">
              <controlPr defaultSize="0" autoFill="0" autoLine="0" autoPict="0">
                <anchor moveWithCells="1">
                  <from>
                    <xdr:col>2</xdr:col>
                    <xdr:colOff>38100</xdr:colOff>
                    <xdr:row>9</xdr:row>
                    <xdr:rowOff>63500</xdr:rowOff>
                  </from>
                  <to>
                    <xdr:col>3</xdr:col>
                    <xdr:colOff>50800</xdr:colOff>
                    <xdr:row>9</xdr:row>
                    <xdr:rowOff>546100</xdr:rowOff>
                  </to>
                </anchor>
              </controlPr>
            </control>
          </mc:Choice>
        </mc:AlternateContent>
        <mc:AlternateContent xmlns:mc="http://schemas.openxmlformats.org/markup-compatibility/2006">
          <mc:Choice Requires="x14">
            <control shapeId="5155" r:id="rId32" name="Option Button 35">
              <controlPr defaultSize="0" autoFill="0" autoLine="0" autoPict="0">
                <anchor moveWithCells="1">
                  <from>
                    <xdr:col>3</xdr:col>
                    <xdr:colOff>38100</xdr:colOff>
                    <xdr:row>9</xdr:row>
                    <xdr:rowOff>63500</xdr:rowOff>
                  </from>
                  <to>
                    <xdr:col>3</xdr:col>
                    <xdr:colOff>330200</xdr:colOff>
                    <xdr:row>9</xdr:row>
                    <xdr:rowOff>546100</xdr:rowOff>
                  </to>
                </anchor>
              </controlPr>
            </control>
          </mc:Choice>
        </mc:AlternateContent>
        <mc:AlternateContent xmlns:mc="http://schemas.openxmlformats.org/markup-compatibility/2006">
          <mc:Choice Requires="x14">
            <control shapeId="5156" r:id="rId33" name="Option Button 36">
              <controlPr defaultSize="0" autoFill="0" autoLine="0" autoPict="0">
                <anchor moveWithCells="1">
                  <from>
                    <xdr:col>4</xdr:col>
                    <xdr:colOff>50800</xdr:colOff>
                    <xdr:row>9</xdr:row>
                    <xdr:rowOff>76200</xdr:rowOff>
                  </from>
                  <to>
                    <xdr:col>4</xdr:col>
                    <xdr:colOff>406400</xdr:colOff>
                    <xdr:row>9</xdr:row>
                    <xdr:rowOff>533400</xdr:rowOff>
                  </to>
                </anchor>
              </controlPr>
            </control>
          </mc:Choice>
        </mc:AlternateContent>
        <mc:AlternateContent xmlns:mc="http://schemas.openxmlformats.org/markup-compatibility/2006">
          <mc:Choice Requires="x14">
            <control shapeId="5157" r:id="rId34" name="Option Button 37">
              <controlPr defaultSize="0" autoFill="0" autoLine="0" autoPict="0">
                <anchor moveWithCells="1">
                  <from>
                    <xdr:col>5</xdr:col>
                    <xdr:colOff>38100</xdr:colOff>
                    <xdr:row>9</xdr:row>
                    <xdr:rowOff>63500</xdr:rowOff>
                  </from>
                  <to>
                    <xdr:col>5</xdr:col>
                    <xdr:colOff>368300</xdr:colOff>
                    <xdr:row>9</xdr:row>
                    <xdr:rowOff>546100</xdr:rowOff>
                  </to>
                </anchor>
              </controlPr>
            </control>
          </mc:Choice>
        </mc:AlternateContent>
        <mc:AlternateContent xmlns:mc="http://schemas.openxmlformats.org/markup-compatibility/2006">
          <mc:Choice Requires="x14">
            <control shapeId="5170" r:id="rId35" name="Option Button 50">
              <controlPr defaultSize="0" autoFill="0" autoLine="0" autoPict="0">
                <anchor moveWithCells="1">
                  <from>
                    <xdr:col>2</xdr:col>
                    <xdr:colOff>38100</xdr:colOff>
                    <xdr:row>20</xdr:row>
                    <xdr:rowOff>76200</xdr:rowOff>
                  </from>
                  <to>
                    <xdr:col>3</xdr:col>
                    <xdr:colOff>25400</xdr:colOff>
                    <xdr:row>20</xdr:row>
                    <xdr:rowOff>279400</xdr:rowOff>
                  </to>
                </anchor>
              </controlPr>
            </control>
          </mc:Choice>
        </mc:AlternateContent>
        <mc:AlternateContent xmlns:mc="http://schemas.openxmlformats.org/markup-compatibility/2006">
          <mc:Choice Requires="x14">
            <control shapeId="5174" r:id="rId36" name="Option Button 54">
              <controlPr defaultSize="0" autoFill="0" autoLine="0" autoPict="0">
                <anchor moveWithCells="1">
                  <from>
                    <xdr:col>2</xdr:col>
                    <xdr:colOff>38100</xdr:colOff>
                    <xdr:row>21</xdr:row>
                    <xdr:rowOff>165100</xdr:rowOff>
                  </from>
                  <to>
                    <xdr:col>3</xdr:col>
                    <xdr:colOff>25400</xdr:colOff>
                    <xdr:row>21</xdr:row>
                    <xdr:rowOff>444500</xdr:rowOff>
                  </to>
                </anchor>
              </controlPr>
            </control>
          </mc:Choice>
        </mc:AlternateContent>
        <mc:AlternateContent xmlns:mc="http://schemas.openxmlformats.org/markup-compatibility/2006">
          <mc:Choice Requires="x14">
            <control shapeId="5175" r:id="rId37" name="Option Button 55">
              <controlPr defaultSize="0" autoFill="0" autoLine="0" autoPict="0">
                <anchor moveWithCells="1">
                  <from>
                    <xdr:col>3</xdr:col>
                    <xdr:colOff>38100</xdr:colOff>
                    <xdr:row>21</xdr:row>
                    <xdr:rowOff>165100</xdr:rowOff>
                  </from>
                  <to>
                    <xdr:col>3</xdr:col>
                    <xdr:colOff>457200</xdr:colOff>
                    <xdr:row>21</xdr:row>
                    <xdr:rowOff>444500</xdr:rowOff>
                  </to>
                </anchor>
              </controlPr>
            </control>
          </mc:Choice>
        </mc:AlternateContent>
        <mc:AlternateContent xmlns:mc="http://schemas.openxmlformats.org/markup-compatibility/2006">
          <mc:Choice Requires="x14">
            <control shapeId="5176" r:id="rId38" name="Option Button 56">
              <controlPr defaultSize="0" autoFill="0" autoLine="0" autoPict="0">
                <anchor moveWithCells="1">
                  <from>
                    <xdr:col>4</xdr:col>
                    <xdr:colOff>50800</xdr:colOff>
                    <xdr:row>21</xdr:row>
                    <xdr:rowOff>165100</xdr:rowOff>
                  </from>
                  <to>
                    <xdr:col>4</xdr:col>
                    <xdr:colOff>482600</xdr:colOff>
                    <xdr:row>21</xdr:row>
                    <xdr:rowOff>444500</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5</xdr:col>
                    <xdr:colOff>50800</xdr:colOff>
                    <xdr:row>21</xdr:row>
                    <xdr:rowOff>165100</xdr:rowOff>
                  </from>
                  <to>
                    <xdr:col>5</xdr:col>
                    <xdr:colOff>381000</xdr:colOff>
                    <xdr:row>21</xdr:row>
                    <xdr:rowOff>444500</xdr:rowOff>
                  </to>
                </anchor>
              </controlPr>
            </control>
          </mc:Choice>
        </mc:AlternateContent>
        <mc:AlternateContent xmlns:mc="http://schemas.openxmlformats.org/markup-compatibility/2006">
          <mc:Choice Requires="x14">
            <control shapeId="5178" r:id="rId40" name="Option Button 58">
              <controlPr defaultSize="0" autoFill="0" autoLine="0" autoPict="0">
                <anchor moveWithCells="1">
                  <from>
                    <xdr:col>2</xdr:col>
                    <xdr:colOff>38100</xdr:colOff>
                    <xdr:row>22</xdr:row>
                    <xdr:rowOff>63500</xdr:rowOff>
                  </from>
                  <to>
                    <xdr:col>3</xdr:col>
                    <xdr:colOff>50800</xdr:colOff>
                    <xdr:row>22</xdr:row>
                    <xdr:rowOff>876300</xdr:rowOff>
                  </to>
                </anchor>
              </controlPr>
            </control>
          </mc:Choice>
        </mc:AlternateContent>
        <mc:AlternateContent xmlns:mc="http://schemas.openxmlformats.org/markup-compatibility/2006">
          <mc:Choice Requires="x14">
            <control shapeId="5179" r:id="rId41" name="Option Button 59">
              <controlPr defaultSize="0" autoFill="0" autoLine="0" autoPict="0">
                <anchor moveWithCells="1">
                  <from>
                    <xdr:col>3</xdr:col>
                    <xdr:colOff>38100</xdr:colOff>
                    <xdr:row>22</xdr:row>
                    <xdr:rowOff>63500</xdr:rowOff>
                  </from>
                  <to>
                    <xdr:col>3</xdr:col>
                    <xdr:colOff>406400</xdr:colOff>
                    <xdr:row>22</xdr:row>
                    <xdr:rowOff>876300</xdr:rowOff>
                  </to>
                </anchor>
              </controlPr>
            </control>
          </mc:Choice>
        </mc:AlternateContent>
        <mc:AlternateContent xmlns:mc="http://schemas.openxmlformats.org/markup-compatibility/2006">
          <mc:Choice Requires="x14">
            <control shapeId="5180" r:id="rId42" name="Option Button 60">
              <controlPr defaultSize="0" autoFill="0" autoLine="0" autoPict="0">
                <anchor moveWithCells="1">
                  <from>
                    <xdr:col>4</xdr:col>
                    <xdr:colOff>50800</xdr:colOff>
                    <xdr:row>22</xdr:row>
                    <xdr:rowOff>63500</xdr:rowOff>
                  </from>
                  <to>
                    <xdr:col>4</xdr:col>
                    <xdr:colOff>419100</xdr:colOff>
                    <xdr:row>22</xdr:row>
                    <xdr:rowOff>876300</xdr:rowOff>
                  </to>
                </anchor>
              </controlPr>
            </control>
          </mc:Choice>
        </mc:AlternateContent>
        <mc:AlternateContent xmlns:mc="http://schemas.openxmlformats.org/markup-compatibility/2006">
          <mc:Choice Requires="x14">
            <control shapeId="5181" r:id="rId43" name="Option Button 61">
              <controlPr defaultSize="0" autoFill="0" autoLine="0" autoPict="0">
                <anchor moveWithCells="1">
                  <from>
                    <xdr:col>5</xdr:col>
                    <xdr:colOff>50800</xdr:colOff>
                    <xdr:row>22</xdr:row>
                    <xdr:rowOff>63500</xdr:rowOff>
                  </from>
                  <to>
                    <xdr:col>5</xdr:col>
                    <xdr:colOff>406400</xdr:colOff>
                    <xdr:row>22</xdr:row>
                    <xdr:rowOff>876300</xdr:rowOff>
                  </to>
                </anchor>
              </controlPr>
            </control>
          </mc:Choice>
        </mc:AlternateContent>
        <mc:AlternateContent xmlns:mc="http://schemas.openxmlformats.org/markup-compatibility/2006">
          <mc:Choice Requires="x14">
            <control shapeId="5184" r:id="rId44" name="Option Button 64">
              <controlPr defaultSize="0" autoFill="0" autoLine="0" autoPict="0">
                <anchor moveWithCells="1">
                  <from>
                    <xdr:col>3</xdr:col>
                    <xdr:colOff>38100</xdr:colOff>
                    <xdr:row>20</xdr:row>
                    <xdr:rowOff>88900</xdr:rowOff>
                  </from>
                  <to>
                    <xdr:col>3</xdr:col>
                    <xdr:colOff>368300</xdr:colOff>
                    <xdr:row>20</xdr:row>
                    <xdr:rowOff>279400</xdr:rowOff>
                  </to>
                </anchor>
              </controlPr>
            </control>
          </mc:Choice>
        </mc:AlternateContent>
        <mc:AlternateContent xmlns:mc="http://schemas.openxmlformats.org/markup-compatibility/2006">
          <mc:Choice Requires="x14">
            <control shapeId="5185" r:id="rId45" name="Option Button 65">
              <controlPr defaultSize="0" autoFill="0" autoLine="0" autoPict="0">
                <anchor moveWithCells="1">
                  <from>
                    <xdr:col>4</xdr:col>
                    <xdr:colOff>50800</xdr:colOff>
                    <xdr:row>20</xdr:row>
                    <xdr:rowOff>76200</xdr:rowOff>
                  </from>
                  <to>
                    <xdr:col>4</xdr:col>
                    <xdr:colOff>381000</xdr:colOff>
                    <xdr:row>20</xdr:row>
                    <xdr:rowOff>279400</xdr:rowOff>
                  </to>
                </anchor>
              </controlPr>
            </control>
          </mc:Choice>
        </mc:AlternateContent>
        <mc:AlternateContent xmlns:mc="http://schemas.openxmlformats.org/markup-compatibility/2006">
          <mc:Choice Requires="x14">
            <control shapeId="5186" r:id="rId46" name="Option Button 66">
              <controlPr defaultSize="0" autoFill="0" autoLine="0" autoPict="0">
                <anchor moveWithCells="1">
                  <from>
                    <xdr:col>5</xdr:col>
                    <xdr:colOff>50800</xdr:colOff>
                    <xdr:row>20</xdr:row>
                    <xdr:rowOff>88900</xdr:rowOff>
                  </from>
                  <to>
                    <xdr:col>5</xdr:col>
                    <xdr:colOff>368300</xdr:colOff>
                    <xdr:row>20</xdr:row>
                    <xdr:rowOff>279400</xdr:rowOff>
                  </to>
                </anchor>
              </controlPr>
            </control>
          </mc:Choice>
        </mc:AlternateContent>
        <mc:AlternateContent xmlns:mc="http://schemas.openxmlformats.org/markup-compatibility/2006">
          <mc:Choice Requires="x14">
            <control shapeId="5191" r:id="rId47" name="Option Button 71">
              <controlPr defaultSize="0" autoFill="0" autoLine="0" autoPict="0">
                <anchor moveWithCells="1">
                  <from>
                    <xdr:col>2</xdr:col>
                    <xdr:colOff>38100</xdr:colOff>
                    <xdr:row>30</xdr:row>
                    <xdr:rowOff>25400</xdr:rowOff>
                  </from>
                  <to>
                    <xdr:col>3</xdr:col>
                    <xdr:colOff>63500</xdr:colOff>
                    <xdr:row>30</xdr:row>
                    <xdr:rowOff>723900</xdr:rowOff>
                  </to>
                </anchor>
              </controlPr>
            </control>
          </mc:Choice>
        </mc:AlternateContent>
        <mc:AlternateContent xmlns:mc="http://schemas.openxmlformats.org/markup-compatibility/2006">
          <mc:Choice Requires="x14">
            <control shapeId="5192" r:id="rId48" name="Option Button 72">
              <controlPr defaultSize="0" autoFill="0" autoLine="0" autoPict="0">
                <anchor moveWithCells="1">
                  <from>
                    <xdr:col>3</xdr:col>
                    <xdr:colOff>38100</xdr:colOff>
                    <xdr:row>30</xdr:row>
                    <xdr:rowOff>25400</xdr:rowOff>
                  </from>
                  <to>
                    <xdr:col>3</xdr:col>
                    <xdr:colOff>393700</xdr:colOff>
                    <xdr:row>30</xdr:row>
                    <xdr:rowOff>711200</xdr:rowOff>
                  </to>
                </anchor>
              </controlPr>
            </control>
          </mc:Choice>
        </mc:AlternateContent>
        <mc:AlternateContent xmlns:mc="http://schemas.openxmlformats.org/markup-compatibility/2006">
          <mc:Choice Requires="x14">
            <control shapeId="5193" r:id="rId49" name="Option Button 73">
              <controlPr defaultSize="0" autoFill="0" autoLine="0" autoPict="0">
                <anchor moveWithCells="1">
                  <from>
                    <xdr:col>4</xdr:col>
                    <xdr:colOff>50800</xdr:colOff>
                    <xdr:row>30</xdr:row>
                    <xdr:rowOff>25400</xdr:rowOff>
                  </from>
                  <to>
                    <xdr:col>4</xdr:col>
                    <xdr:colOff>368300</xdr:colOff>
                    <xdr:row>30</xdr:row>
                    <xdr:rowOff>723900</xdr:rowOff>
                  </to>
                </anchor>
              </controlPr>
            </control>
          </mc:Choice>
        </mc:AlternateContent>
        <mc:AlternateContent xmlns:mc="http://schemas.openxmlformats.org/markup-compatibility/2006">
          <mc:Choice Requires="x14">
            <control shapeId="5194" r:id="rId50" name="Option Button 74">
              <controlPr defaultSize="0" autoFill="0" autoLine="0" autoPict="0">
                <anchor moveWithCells="1">
                  <from>
                    <xdr:col>5</xdr:col>
                    <xdr:colOff>50800</xdr:colOff>
                    <xdr:row>30</xdr:row>
                    <xdr:rowOff>12700</xdr:rowOff>
                  </from>
                  <to>
                    <xdr:col>5</xdr:col>
                    <xdr:colOff>368300</xdr:colOff>
                    <xdr:row>30</xdr:row>
                    <xdr:rowOff>723900</xdr:rowOff>
                  </to>
                </anchor>
              </controlPr>
            </control>
          </mc:Choice>
        </mc:AlternateContent>
        <mc:AlternateContent xmlns:mc="http://schemas.openxmlformats.org/markup-compatibility/2006">
          <mc:Choice Requires="x14">
            <control shapeId="5199" r:id="rId51" name="Option Button 79">
              <controlPr defaultSize="0" autoFill="0" autoLine="0" autoPict="0">
                <anchor moveWithCells="1">
                  <from>
                    <xdr:col>2</xdr:col>
                    <xdr:colOff>38100</xdr:colOff>
                    <xdr:row>32</xdr:row>
                    <xdr:rowOff>215900</xdr:rowOff>
                  </from>
                  <to>
                    <xdr:col>3</xdr:col>
                    <xdr:colOff>25400</xdr:colOff>
                    <xdr:row>32</xdr:row>
                    <xdr:rowOff>762000</xdr:rowOff>
                  </to>
                </anchor>
              </controlPr>
            </control>
          </mc:Choice>
        </mc:AlternateContent>
        <mc:AlternateContent xmlns:mc="http://schemas.openxmlformats.org/markup-compatibility/2006">
          <mc:Choice Requires="x14">
            <control shapeId="5200" r:id="rId52" name="Option Button 80">
              <controlPr defaultSize="0" autoFill="0" autoLine="0" autoPict="0">
                <anchor moveWithCells="1">
                  <from>
                    <xdr:col>3</xdr:col>
                    <xdr:colOff>38100</xdr:colOff>
                    <xdr:row>32</xdr:row>
                    <xdr:rowOff>215900</xdr:rowOff>
                  </from>
                  <to>
                    <xdr:col>3</xdr:col>
                    <xdr:colOff>393700</xdr:colOff>
                    <xdr:row>32</xdr:row>
                    <xdr:rowOff>762000</xdr:rowOff>
                  </to>
                </anchor>
              </controlPr>
            </control>
          </mc:Choice>
        </mc:AlternateContent>
        <mc:AlternateContent xmlns:mc="http://schemas.openxmlformats.org/markup-compatibility/2006">
          <mc:Choice Requires="x14">
            <control shapeId="5201" r:id="rId53" name="Option Button 81">
              <controlPr defaultSize="0" autoFill="0" autoLine="0" autoPict="0">
                <anchor moveWithCells="1">
                  <from>
                    <xdr:col>4</xdr:col>
                    <xdr:colOff>50800</xdr:colOff>
                    <xdr:row>32</xdr:row>
                    <xdr:rowOff>228600</xdr:rowOff>
                  </from>
                  <to>
                    <xdr:col>4</xdr:col>
                    <xdr:colOff>381000</xdr:colOff>
                    <xdr:row>32</xdr:row>
                    <xdr:rowOff>762000</xdr:rowOff>
                  </to>
                </anchor>
              </controlPr>
            </control>
          </mc:Choice>
        </mc:AlternateContent>
        <mc:AlternateContent xmlns:mc="http://schemas.openxmlformats.org/markup-compatibility/2006">
          <mc:Choice Requires="x14">
            <control shapeId="5202" r:id="rId54" name="Option Button 82">
              <controlPr defaultSize="0" autoFill="0" autoLine="0" autoPict="0">
                <anchor moveWithCells="1">
                  <from>
                    <xdr:col>5</xdr:col>
                    <xdr:colOff>50800</xdr:colOff>
                    <xdr:row>32</xdr:row>
                    <xdr:rowOff>215900</xdr:rowOff>
                  </from>
                  <to>
                    <xdr:col>5</xdr:col>
                    <xdr:colOff>355600</xdr:colOff>
                    <xdr:row>32</xdr:row>
                    <xdr:rowOff>762000</xdr:rowOff>
                  </to>
                </anchor>
              </controlPr>
            </control>
          </mc:Choice>
        </mc:AlternateContent>
        <mc:AlternateContent xmlns:mc="http://schemas.openxmlformats.org/markup-compatibility/2006">
          <mc:Choice Requires="x14">
            <control shapeId="5203" r:id="rId55" name="Option Button 83">
              <controlPr defaultSize="0" autoFill="0" autoLine="0" autoPict="0">
                <anchor moveWithCells="1">
                  <from>
                    <xdr:col>2</xdr:col>
                    <xdr:colOff>38100</xdr:colOff>
                    <xdr:row>33</xdr:row>
                    <xdr:rowOff>76200</xdr:rowOff>
                  </from>
                  <to>
                    <xdr:col>3</xdr:col>
                    <xdr:colOff>101600</xdr:colOff>
                    <xdr:row>33</xdr:row>
                    <xdr:rowOff>749300</xdr:rowOff>
                  </to>
                </anchor>
              </controlPr>
            </control>
          </mc:Choice>
        </mc:AlternateContent>
        <mc:AlternateContent xmlns:mc="http://schemas.openxmlformats.org/markup-compatibility/2006">
          <mc:Choice Requires="x14">
            <control shapeId="5204" r:id="rId56" name="Option Button 84">
              <controlPr defaultSize="0" autoFill="0" autoLine="0" autoPict="0">
                <anchor moveWithCells="1">
                  <from>
                    <xdr:col>3</xdr:col>
                    <xdr:colOff>38100</xdr:colOff>
                    <xdr:row>33</xdr:row>
                    <xdr:rowOff>76200</xdr:rowOff>
                  </from>
                  <to>
                    <xdr:col>3</xdr:col>
                    <xdr:colOff>342900</xdr:colOff>
                    <xdr:row>33</xdr:row>
                    <xdr:rowOff>749300</xdr:rowOff>
                  </to>
                </anchor>
              </controlPr>
            </control>
          </mc:Choice>
        </mc:AlternateContent>
        <mc:AlternateContent xmlns:mc="http://schemas.openxmlformats.org/markup-compatibility/2006">
          <mc:Choice Requires="x14">
            <control shapeId="5205" r:id="rId57" name="Option Button 85">
              <controlPr defaultSize="0" autoFill="0" autoLine="0" autoPict="0">
                <anchor moveWithCells="1">
                  <from>
                    <xdr:col>4</xdr:col>
                    <xdr:colOff>50800</xdr:colOff>
                    <xdr:row>33</xdr:row>
                    <xdr:rowOff>88900</xdr:rowOff>
                  </from>
                  <to>
                    <xdr:col>4</xdr:col>
                    <xdr:colOff>381000</xdr:colOff>
                    <xdr:row>33</xdr:row>
                    <xdr:rowOff>749300</xdr:rowOff>
                  </to>
                </anchor>
              </controlPr>
            </control>
          </mc:Choice>
        </mc:AlternateContent>
        <mc:AlternateContent xmlns:mc="http://schemas.openxmlformats.org/markup-compatibility/2006">
          <mc:Choice Requires="x14">
            <control shapeId="5206" r:id="rId58" name="Option Button 86">
              <controlPr defaultSize="0" autoFill="0" autoLine="0" autoPict="0">
                <anchor moveWithCells="1">
                  <from>
                    <xdr:col>5</xdr:col>
                    <xdr:colOff>50800</xdr:colOff>
                    <xdr:row>33</xdr:row>
                    <xdr:rowOff>50800</xdr:rowOff>
                  </from>
                  <to>
                    <xdr:col>5</xdr:col>
                    <xdr:colOff>368300</xdr:colOff>
                    <xdr:row>33</xdr:row>
                    <xdr:rowOff>774700</xdr:rowOff>
                  </to>
                </anchor>
              </controlPr>
            </control>
          </mc:Choice>
        </mc:AlternateContent>
        <mc:AlternateContent xmlns:mc="http://schemas.openxmlformats.org/markup-compatibility/2006">
          <mc:Choice Requires="x14">
            <control shapeId="5211" r:id="rId59" name="Option Button 91">
              <controlPr defaultSize="0" autoFill="0" autoLine="0" autoPict="0">
                <anchor moveWithCells="1">
                  <from>
                    <xdr:col>2</xdr:col>
                    <xdr:colOff>38100</xdr:colOff>
                    <xdr:row>40</xdr:row>
                    <xdr:rowOff>127000</xdr:rowOff>
                  </from>
                  <to>
                    <xdr:col>3</xdr:col>
                    <xdr:colOff>25400</xdr:colOff>
                    <xdr:row>40</xdr:row>
                    <xdr:rowOff>457200</xdr:rowOff>
                  </to>
                </anchor>
              </controlPr>
            </control>
          </mc:Choice>
        </mc:AlternateContent>
        <mc:AlternateContent xmlns:mc="http://schemas.openxmlformats.org/markup-compatibility/2006">
          <mc:Choice Requires="x14">
            <control shapeId="5212" r:id="rId60" name="Option Button 92">
              <controlPr defaultSize="0" autoFill="0" autoLine="0" autoPict="0">
                <anchor moveWithCells="1">
                  <from>
                    <xdr:col>3</xdr:col>
                    <xdr:colOff>38100</xdr:colOff>
                    <xdr:row>40</xdr:row>
                    <xdr:rowOff>127000</xdr:rowOff>
                  </from>
                  <to>
                    <xdr:col>3</xdr:col>
                    <xdr:colOff>469900</xdr:colOff>
                    <xdr:row>40</xdr:row>
                    <xdr:rowOff>457200</xdr:rowOff>
                  </to>
                </anchor>
              </controlPr>
            </control>
          </mc:Choice>
        </mc:AlternateContent>
        <mc:AlternateContent xmlns:mc="http://schemas.openxmlformats.org/markup-compatibility/2006">
          <mc:Choice Requires="x14">
            <control shapeId="5213" r:id="rId61" name="Option Button 93">
              <controlPr defaultSize="0" autoFill="0" autoLine="0" autoPict="0">
                <anchor moveWithCells="1">
                  <from>
                    <xdr:col>4</xdr:col>
                    <xdr:colOff>50800</xdr:colOff>
                    <xdr:row>40</xdr:row>
                    <xdr:rowOff>127000</xdr:rowOff>
                  </from>
                  <to>
                    <xdr:col>4</xdr:col>
                    <xdr:colOff>355600</xdr:colOff>
                    <xdr:row>40</xdr:row>
                    <xdr:rowOff>457200</xdr:rowOff>
                  </to>
                </anchor>
              </controlPr>
            </control>
          </mc:Choice>
        </mc:AlternateContent>
        <mc:AlternateContent xmlns:mc="http://schemas.openxmlformats.org/markup-compatibility/2006">
          <mc:Choice Requires="x14">
            <control shapeId="5214" r:id="rId62" name="Option Button 94">
              <controlPr defaultSize="0" autoFill="0" autoLine="0" autoPict="0">
                <anchor moveWithCells="1">
                  <from>
                    <xdr:col>5</xdr:col>
                    <xdr:colOff>50800</xdr:colOff>
                    <xdr:row>40</xdr:row>
                    <xdr:rowOff>127000</xdr:rowOff>
                  </from>
                  <to>
                    <xdr:col>5</xdr:col>
                    <xdr:colOff>355600</xdr:colOff>
                    <xdr:row>40</xdr:row>
                    <xdr:rowOff>457200</xdr:rowOff>
                  </to>
                </anchor>
              </controlPr>
            </control>
          </mc:Choice>
        </mc:AlternateContent>
        <mc:AlternateContent xmlns:mc="http://schemas.openxmlformats.org/markup-compatibility/2006">
          <mc:Choice Requires="x14">
            <control shapeId="5215" r:id="rId63" name="Option Button 95">
              <controlPr defaultSize="0" autoFill="0" autoLine="0" autoPict="0">
                <anchor moveWithCells="1">
                  <from>
                    <xdr:col>2</xdr:col>
                    <xdr:colOff>38100</xdr:colOff>
                    <xdr:row>41</xdr:row>
                    <xdr:rowOff>88900</xdr:rowOff>
                  </from>
                  <to>
                    <xdr:col>3</xdr:col>
                    <xdr:colOff>25400</xdr:colOff>
                    <xdr:row>41</xdr:row>
                    <xdr:rowOff>711200</xdr:rowOff>
                  </to>
                </anchor>
              </controlPr>
            </control>
          </mc:Choice>
        </mc:AlternateContent>
        <mc:AlternateContent xmlns:mc="http://schemas.openxmlformats.org/markup-compatibility/2006">
          <mc:Choice Requires="x14">
            <control shapeId="5216" r:id="rId64" name="Option Button 96">
              <controlPr defaultSize="0" autoFill="0" autoLine="0" autoPict="0">
                <anchor moveWithCells="1">
                  <from>
                    <xdr:col>3</xdr:col>
                    <xdr:colOff>38100</xdr:colOff>
                    <xdr:row>41</xdr:row>
                    <xdr:rowOff>88900</xdr:rowOff>
                  </from>
                  <to>
                    <xdr:col>3</xdr:col>
                    <xdr:colOff>406400</xdr:colOff>
                    <xdr:row>41</xdr:row>
                    <xdr:rowOff>711200</xdr:rowOff>
                  </to>
                </anchor>
              </controlPr>
            </control>
          </mc:Choice>
        </mc:AlternateContent>
        <mc:AlternateContent xmlns:mc="http://schemas.openxmlformats.org/markup-compatibility/2006">
          <mc:Choice Requires="x14">
            <control shapeId="5217" r:id="rId65" name="Option Button 97">
              <controlPr defaultSize="0" autoFill="0" autoLine="0" autoPict="0">
                <anchor moveWithCells="1">
                  <from>
                    <xdr:col>4</xdr:col>
                    <xdr:colOff>50800</xdr:colOff>
                    <xdr:row>41</xdr:row>
                    <xdr:rowOff>88900</xdr:rowOff>
                  </from>
                  <to>
                    <xdr:col>4</xdr:col>
                    <xdr:colOff>406400</xdr:colOff>
                    <xdr:row>41</xdr:row>
                    <xdr:rowOff>711200</xdr:rowOff>
                  </to>
                </anchor>
              </controlPr>
            </control>
          </mc:Choice>
        </mc:AlternateContent>
        <mc:AlternateContent xmlns:mc="http://schemas.openxmlformats.org/markup-compatibility/2006">
          <mc:Choice Requires="x14">
            <control shapeId="5218" r:id="rId66" name="Option Button 98">
              <controlPr defaultSize="0" autoFill="0" autoLine="0" autoPict="0">
                <anchor moveWithCells="1">
                  <from>
                    <xdr:col>5</xdr:col>
                    <xdr:colOff>50800</xdr:colOff>
                    <xdr:row>41</xdr:row>
                    <xdr:rowOff>88900</xdr:rowOff>
                  </from>
                  <to>
                    <xdr:col>5</xdr:col>
                    <xdr:colOff>368300</xdr:colOff>
                    <xdr:row>41</xdr:row>
                    <xdr:rowOff>711200</xdr:rowOff>
                  </to>
                </anchor>
              </controlPr>
            </control>
          </mc:Choice>
        </mc:AlternateContent>
        <mc:AlternateContent xmlns:mc="http://schemas.openxmlformats.org/markup-compatibility/2006">
          <mc:Choice Requires="x14">
            <control shapeId="5219" r:id="rId67" name="Option Button 99">
              <controlPr defaultSize="0" autoFill="0" autoLine="0" autoPict="0">
                <anchor moveWithCells="1">
                  <from>
                    <xdr:col>2</xdr:col>
                    <xdr:colOff>38100</xdr:colOff>
                    <xdr:row>42</xdr:row>
                    <xdr:rowOff>444500</xdr:rowOff>
                  </from>
                  <to>
                    <xdr:col>2</xdr:col>
                    <xdr:colOff>342900</xdr:colOff>
                    <xdr:row>42</xdr:row>
                    <xdr:rowOff>673100</xdr:rowOff>
                  </to>
                </anchor>
              </controlPr>
            </control>
          </mc:Choice>
        </mc:AlternateContent>
        <mc:AlternateContent xmlns:mc="http://schemas.openxmlformats.org/markup-compatibility/2006">
          <mc:Choice Requires="x14">
            <control shapeId="5220" r:id="rId68" name="Option Button 100">
              <controlPr defaultSize="0" autoFill="0" autoLine="0" autoPict="0">
                <anchor moveWithCells="1">
                  <from>
                    <xdr:col>3</xdr:col>
                    <xdr:colOff>38100</xdr:colOff>
                    <xdr:row>42</xdr:row>
                    <xdr:rowOff>444500</xdr:rowOff>
                  </from>
                  <to>
                    <xdr:col>3</xdr:col>
                    <xdr:colOff>381000</xdr:colOff>
                    <xdr:row>42</xdr:row>
                    <xdr:rowOff>673100</xdr:rowOff>
                  </to>
                </anchor>
              </controlPr>
            </control>
          </mc:Choice>
        </mc:AlternateContent>
        <mc:AlternateContent xmlns:mc="http://schemas.openxmlformats.org/markup-compatibility/2006">
          <mc:Choice Requires="x14">
            <control shapeId="5221" r:id="rId69" name="Option Button 101">
              <controlPr defaultSize="0" autoFill="0" autoLine="0" autoPict="0">
                <anchor moveWithCells="1">
                  <from>
                    <xdr:col>4</xdr:col>
                    <xdr:colOff>50800</xdr:colOff>
                    <xdr:row>42</xdr:row>
                    <xdr:rowOff>419100</xdr:rowOff>
                  </from>
                  <to>
                    <xdr:col>4</xdr:col>
                    <xdr:colOff>381000</xdr:colOff>
                    <xdr:row>42</xdr:row>
                    <xdr:rowOff>685800</xdr:rowOff>
                  </to>
                </anchor>
              </controlPr>
            </control>
          </mc:Choice>
        </mc:AlternateContent>
        <mc:AlternateContent xmlns:mc="http://schemas.openxmlformats.org/markup-compatibility/2006">
          <mc:Choice Requires="x14">
            <control shapeId="5222" r:id="rId70" name="Option Button 102">
              <controlPr defaultSize="0" autoFill="0" autoLine="0" autoPict="0">
                <anchor moveWithCells="1">
                  <from>
                    <xdr:col>5</xdr:col>
                    <xdr:colOff>50800</xdr:colOff>
                    <xdr:row>42</xdr:row>
                    <xdr:rowOff>431800</xdr:rowOff>
                  </from>
                  <to>
                    <xdr:col>5</xdr:col>
                    <xdr:colOff>381000</xdr:colOff>
                    <xdr:row>42</xdr:row>
                    <xdr:rowOff>673100</xdr:rowOff>
                  </to>
                </anchor>
              </controlPr>
            </control>
          </mc:Choice>
        </mc:AlternateContent>
        <mc:AlternateContent xmlns:mc="http://schemas.openxmlformats.org/markup-compatibility/2006">
          <mc:Choice Requires="x14">
            <control shapeId="5231" r:id="rId71" name="Option Button 111">
              <controlPr defaultSize="0" autoFill="0" autoLine="0" autoPict="0">
                <anchor moveWithCells="1">
                  <from>
                    <xdr:col>2</xdr:col>
                    <xdr:colOff>38100</xdr:colOff>
                    <xdr:row>31</xdr:row>
                    <xdr:rowOff>76200</xdr:rowOff>
                  </from>
                  <to>
                    <xdr:col>2</xdr:col>
                    <xdr:colOff>342900</xdr:colOff>
                    <xdr:row>31</xdr:row>
                    <xdr:rowOff>711200</xdr:rowOff>
                  </to>
                </anchor>
              </controlPr>
            </control>
          </mc:Choice>
        </mc:AlternateContent>
        <mc:AlternateContent xmlns:mc="http://schemas.openxmlformats.org/markup-compatibility/2006">
          <mc:Choice Requires="x14">
            <control shapeId="5232" r:id="rId72" name="Option Button 112">
              <controlPr defaultSize="0" autoFill="0" autoLine="0" autoPict="0">
                <anchor moveWithCells="1">
                  <from>
                    <xdr:col>3</xdr:col>
                    <xdr:colOff>38100</xdr:colOff>
                    <xdr:row>31</xdr:row>
                    <xdr:rowOff>50800</xdr:rowOff>
                  </from>
                  <to>
                    <xdr:col>3</xdr:col>
                    <xdr:colOff>342900</xdr:colOff>
                    <xdr:row>31</xdr:row>
                    <xdr:rowOff>723900</xdr:rowOff>
                  </to>
                </anchor>
              </controlPr>
            </control>
          </mc:Choice>
        </mc:AlternateContent>
        <mc:AlternateContent xmlns:mc="http://schemas.openxmlformats.org/markup-compatibility/2006">
          <mc:Choice Requires="x14">
            <control shapeId="5233" r:id="rId73" name="Option Button 113">
              <controlPr defaultSize="0" autoFill="0" autoLine="0" autoPict="0">
                <anchor moveWithCells="1">
                  <from>
                    <xdr:col>4</xdr:col>
                    <xdr:colOff>50800</xdr:colOff>
                    <xdr:row>31</xdr:row>
                    <xdr:rowOff>63500</xdr:rowOff>
                  </from>
                  <to>
                    <xdr:col>4</xdr:col>
                    <xdr:colOff>355600</xdr:colOff>
                    <xdr:row>31</xdr:row>
                    <xdr:rowOff>723900</xdr:rowOff>
                  </to>
                </anchor>
              </controlPr>
            </control>
          </mc:Choice>
        </mc:AlternateContent>
        <mc:AlternateContent xmlns:mc="http://schemas.openxmlformats.org/markup-compatibility/2006">
          <mc:Choice Requires="x14">
            <control shapeId="5234" r:id="rId74" name="Option Button 114">
              <controlPr defaultSize="0" autoFill="0" autoLine="0" autoPict="0">
                <anchor moveWithCells="1">
                  <from>
                    <xdr:col>5</xdr:col>
                    <xdr:colOff>50800</xdr:colOff>
                    <xdr:row>31</xdr:row>
                    <xdr:rowOff>63500</xdr:rowOff>
                  </from>
                  <to>
                    <xdr:col>5</xdr:col>
                    <xdr:colOff>355600</xdr:colOff>
                    <xdr:row>31</xdr:row>
                    <xdr:rowOff>723900</xdr:rowOff>
                  </to>
                </anchor>
              </controlPr>
            </control>
          </mc:Choice>
        </mc:AlternateContent>
        <mc:AlternateContent xmlns:mc="http://schemas.openxmlformats.org/markup-compatibility/2006">
          <mc:Choice Requires="x14">
            <control shapeId="5235" r:id="rId75" name="Option Button 115">
              <controlPr defaultSize="0" autoFill="0" autoLine="0" autoPict="0">
                <anchor moveWithCells="1">
                  <from>
                    <xdr:col>6</xdr:col>
                    <xdr:colOff>342900</xdr:colOff>
                    <xdr:row>6</xdr:row>
                    <xdr:rowOff>127000</xdr:rowOff>
                  </from>
                  <to>
                    <xdr:col>6</xdr:col>
                    <xdr:colOff>876300</xdr:colOff>
                    <xdr:row>6</xdr:row>
                    <xdr:rowOff>469900</xdr:rowOff>
                  </to>
                </anchor>
              </controlPr>
            </control>
          </mc:Choice>
        </mc:AlternateContent>
        <mc:AlternateContent xmlns:mc="http://schemas.openxmlformats.org/markup-compatibility/2006">
          <mc:Choice Requires="x14">
            <control shapeId="5236" r:id="rId76" name="Option Button 116">
              <controlPr defaultSize="0" autoFill="0" autoLine="0" autoPict="0">
                <anchor moveWithCells="1">
                  <from>
                    <xdr:col>6</xdr:col>
                    <xdr:colOff>342900</xdr:colOff>
                    <xdr:row>7</xdr:row>
                    <xdr:rowOff>114300</xdr:rowOff>
                  </from>
                  <to>
                    <xdr:col>7</xdr:col>
                    <xdr:colOff>25400</xdr:colOff>
                    <xdr:row>7</xdr:row>
                    <xdr:rowOff>495300</xdr:rowOff>
                  </to>
                </anchor>
              </controlPr>
            </control>
          </mc:Choice>
        </mc:AlternateContent>
        <mc:AlternateContent xmlns:mc="http://schemas.openxmlformats.org/markup-compatibility/2006">
          <mc:Choice Requires="x14">
            <control shapeId="5237" r:id="rId77" name="Option Button 117">
              <controlPr defaultSize="0" autoFill="0" autoLine="0" autoPict="0">
                <anchor moveWithCells="1">
                  <from>
                    <xdr:col>6</xdr:col>
                    <xdr:colOff>342900</xdr:colOff>
                    <xdr:row>8</xdr:row>
                    <xdr:rowOff>177800</xdr:rowOff>
                  </from>
                  <to>
                    <xdr:col>7</xdr:col>
                    <xdr:colOff>38100</xdr:colOff>
                    <xdr:row>8</xdr:row>
                    <xdr:rowOff>558800</xdr:rowOff>
                  </to>
                </anchor>
              </controlPr>
            </control>
          </mc:Choice>
        </mc:AlternateContent>
        <mc:AlternateContent xmlns:mc="http://schemas.openxmlformats.org/markup-compatibility/2006">
          <mc:Choice Requires="x14">
            <control shapeId="5238" r:id="rId78" name="Option Button 118">
              <controlPr defaultSize="0" autoFill="0" autoLine="0" autoPict="0">
                <anchor moveWithCells="1">
                  <from>
                    <xdr:col>6</xdr:col>
                    <xdr:colOff>342900</xdr:colOff>
                    <xdr:row>9</xdr:row>
                    <xdr:rowOff>63500</xdr:rowOff>
                  </from>
                  <to>
                    <xdr:col>7</xdr:col>
                    <xdr:colOff>88900</xdr:colOff>
                    <xdr:row>9</xdr:row>
                    <xdr:rowOff>546100</xdr:rowOff>
                  </to>
                </anchor>
              </controlPr>
            </control>
          </mc:Choice>
        </mc:AlternateContent>
        <mc:AlternateContent xmlns:mc="http://schemas.openxmlformats.org/markup-compatibility/2006">
          <mc:Choice Requires="x14">
            <control shapeId="5245" r:id="rId79" name="Group Box 125">
              <controlPr defaultSize="0" autoFill="0" autoPict="0">
                <anchor moveWithCells="1">
                  <from>
                    <xdr:col>1</xdr:col>
                    <xdr:colOff>3619500</xdr:colOff>
                    <xdr:row>10</xdr:row>
                    <xdr:rowOff>88900</xdr:rowOff>
                  </from>
                  <to>
                    <xdr:col>7</xdr:col>
                    <xdr:colOff>139700</xdr:colOff>
                    <xdr:row>10</xdr:row>
                    <xdr:rowOff>520700</xdr:rowOff>
                  </to>
                </anchor>
              </controlPr>
            </control>
          </mc:Choice>
        </mc:AlternateContent>
        <mc:AlternateContent xmlns:mc="http://schemas.openxmlformats.org/markup-compatibility/2006">
          <mc:Choice Requires="x14">
            <control shapeId="5246" r:id="rId80" name="Option Button 126">
              <controlPr defaultSize="0" autoFill="0" autoLine="0" autoPict="0">
                <anchor moveWithCells="1">
                  <from>
                    <xdr:col>2</xdr:col>
                    <xdr:colOff>38100</xdr:colOff>
                    <xdr:row>10</xdr:row>
                    <xdr:rowOff>152400</xdr:rowOff>
                  </from>
                  <to>
                    <xdr:col>2</xdr:col>
                    <xdr:colOff>355600</xdr:colOff>
                    <xdr:row>10</xdr:row>
                    <xdr:rowOff>469900</xdr:rowOff>
                  </to>
                </anchor>
              </controlPr>
            </control>
          </mc:Choice>
        </mc:AlternateContent>
        <mc:AlternateContent xmlns:mc="http://schemas.openxmlformats.org/markup-compatibility/2006">
          <mc:Choice Requires="x14">
            <control shapeId="5247" r:id="rId81" name="Option Button 127">
              <controlPr defaultSize="0" autoFill="0" autoLine="0" autoPict="0">
                <anchor moveWithCells="1">
                  <from>
                    <xdr:col>3</xdr:col>
                    <xdr:colOff>38100</xdr:colOff>
                    <xdr:row>10</xdr:row>
                    <xdr:rowOff>127000</xdr:rowOff>
                  </from>
                  <to>
                    <xdr:col>3</xdr:col>
                    <xdr:colOff>292100</xdr:colOff>
                    <xdr:row>10</xdr:row>
                    <xdr:rowOff>482600</xdr:rowOff>
                  </to>
                </anchor>
              </controlPr>
            </control>
          </mc:Choice>
        </mc:AlternateContent>
        <mc:AlternateContent xmlns:mc="http://schemas.openxmlformats.org/markup-compatibility/2006">
          <mc:Choice Requires="x14">
            <control shapeId="5248" r:id="rId82" name="Option Button 128">
              <controlPr defaultSize="0" autoFill="0" autoLine="0" autoPict="0">
                <anchor moveWithCells="1">
                  <from>
                    <xdr:col>4</xdr:col>
                    <xdr:colOff>50800</xdr:colOff>
                    <xdr:row>10</xdr:row>
                    <xdr:rowOff>127000</xdr:rowOff>
                  </from>
                  <to>
                    <xdr:col>4</xdr:col>
                    <xdr:colOff>330200</xdr:colOff>
                    <xdr:row>10</xdr:row>
                    <xdr:rowOff>495300</xdr:rowOff>
                  </to>
                </anchor>
              </controlPr>
            </control>
          </mc:Choice>
        </mc:AlternateContent>
        <mc:AlternateContent xmlns:mc="http://schemas.openxmlformats.org/markup-compatibility/2006">
          <mc:Choice Requires="x14">
            <control shapeId="5249" r:id="rId83" name="Option Button 129">
              <controlPr defaultSize="0" autoFill="0" autoLine="0" autoPict="0">
                <anchor moveWithCells="1">
                  <from>
                    <xdr:col>5</xdr:col>
                    <xdr:colOff>38100</xdr:colOff>
                    <xdr:row>10</xdr:row>
                    <xdr:rowOff>127000</xdr:rowOff>
                  </from>
                  <to>
                    <xdr:col>5</xdr:col>
                    <xdr:colOff>330200</xdr:colOff>
                    <xdr:row>10</xdr:row>
                    <xdr:rowOff>495300</xdr:rowOff>
                  </to>
                </anchor>
              </controlPr>
            </control>
          </mc:Choice>
        </mc:AlternateContent>
        <mc:AlternateContent xmlns:mc="http://schemas.openxmlformats.org/markup-compatibility/2006">
          <mc:Choice Requires="x14">
            <control shapeId="5253" r:id="rId84" name="Option Button 133">
              <controlPr defaultSize="0" autoFill="0" autoLine="0" autoPict="0">
                <anchor moveWithCells="1">
                  <from>
                    <xdr:col>6</xdr:col>
                    <xdr:colOff>342900</xdr:colOff>
                    <xdr:row>20</xdr:row>
                    <xdr:rowOff>63500</xdr:rowOff>
                  </from>
                  <to>
                    <xdr:col>7</xdr:col>
                    <xdr:colOff>177800</xdr:colOff>
                    <xdr:row>20</xdr:row>
                    <xdr:rowOff>292100</xdr:rowOff>
                  </to>
                </anchor>
              </controlPr>
            </control>
          </mc:Choice>
        </mc:AlternateContent>
        <mc:AlternateContent xmlns:mc="http://schemas.openxmlformats.org/markup-compatibility/2006">
          <mc:Choice Requires="x14">
            <control shapeId="5256" r:id="rId85" name="Option Button 136">
              <controlPr defaultSize="0" autoFill="0" autoLine="0" autoPict="0">
                <anchor moveWithCells="1">
                  <from>
                    <xdr:col>6</xdr:col>
                    <xdr:colOff>342900</xdr:colOff>
                    <xdr:row>10</xdr:row>
                    <xdr:rowOff>114300</xdr:rowOff>
                  </from>
                  <to>
                    <xdr:col>6</xdr:col>
                    <xdr:colOff>825500</xdr:colOff>
                    <xdr:row>10</xdr:row>
                    <xdr:rowOff>495300</xdr:rowOff>
                  </to>
                </anchor>
              </controlPr>
            </control>
          </mc:Choice>
        </mc:AlternateContent>
        <mc:AlternateContent xmlns:mc="http://schemas.openxmlformats.org/markup-compatibility/2006">
          <mc:Choice Requires="x14">
            <control shapeId="5260" r:id="rId86" name="Option Button 140">
              <controlPr defaultSize="0" autoFill="0" autoLine="0" autoPict="0">
                <anchor moveWithCells="1">
                  <from>
                    <xdr:col>2</xdr:col>
                    <xdr:colOff>38100</xdr:colOff>
                    <xdr:row>19</xdr:row>
                    <xdr:rowOff>152400</xdr:rowOff>
                  </from>
                  <to>
                    <xdr:col>2</xdr:col>
                    <xdr:colOff>317500</xdr:colOff>
                    <xdr:row>19</xdr:row>
                    <xdr:rowOff>1003300</xdr:rowOff>
                  </to>
                </anchor>
              </controlPr>
            </control>
          </mc:Choice>
        </mc:AlternateContent>
        <mc:AlternateContent xmlns:mc="http://schemas.openxmlformats.org/markup-compatibility/2006">
          <mc:Choice Requires="x14">
            <control shapeId="5261" r:id="rId87" name="Option Button 141">
              <controlPr defaultSize="0" autoFill="0" autoLine="0" autoPict="0">
                <anchor moveWithCells="1">
                  <from>
                    <xdr:col>3</xdr:col>
                    <xdr:colOff>38100</xdr:colOff>
                    <xdr:row>19</xdr:row>
                    <xdr:rowOff>139700</xdr:rowOff>
                  </from>
                  <to>
                    <xdr:col>3</xdr:col>
                    <xdr:colOff>368300</xdr:colOff>
                    <xdr:row>19</xdr:row>
                    <xdr:rowOff>1016000</xdr:rowOff>
                  </to>
                </anchor>
              </controlPr>
            </control>
          </mc:Choice>
        </mc:AlternateContent>
        <mc:AlternateContent xmlns:mc="http://schemas.openxmlformats.org/markup-compatibility/2006">
          <mc:Choice Requires="x14">
            <control shapeId="5262" r:id="rId88" name="Option Button 142">
              <controlPr defaultSize="0" autoFill="0" autoLine="0" autoPict="0">
                <anchor moveWithCells="1">
                  <from>
                    <xdr:col>4</xdr:col>
                    <xdr:colOff>50800</xdr:colOff>
                    <xdr:row>19</xdr:row>
                    <xdr:rowOff>152400</xdr:rowOff>
                  </from>
                  <to>
                    <xdr:col>4</xdr:col>
                    <xdr:colOff>419100</xdr:colOff>
                    <xdr:row>19</xdr:row>
                    <xdr:rowOff>1003300</xdr:rowOff>
                  </to>
                </anchor>
              </controlPr>
            </control>
          </mc:Choice>
        </mc:AlternateContent>
        <mc:AlternateContent xmlns:mc="http://schemas.openxmlformats.org/markup-compatibility/2006">
          <mc:Choice Requires="x14">
            <control shapeId="5263" r:id="rId89" name="Option Button 143">
              <controlPr defaultSize="0" autoFill="0" autoLine="0" autoPict="0">
                <anchor moveWithCells="1">
                  <from>
                    <xdr:col>5</xdr:col>
                    <xdr:colOff>50800</xdr:colOff>
                    <xdr:row>19</xdr:row>
                    <xdr:rowOff>152400</xdr:rowOff>
                  </from>
                  <to>
                    <xdr:col>5</xdr:col>
                    <xdr:colOff>444500</xdr:colOff>
                    <xdr:row>19</xdr:row>
                    <xdr:rowOff>1016000</xdr:rowOff>
                  </to>
                </anchor>
              </controlPr>
            </control>
          </mc:Choice>
        </mc:AlternateContent>
        <mc:AlternateContent xmlns:mc="http://schemas.openxmlformats.org/markup-compatibility/2006">
          <mc:Choice Requires="x14">
            <control shapeId="5264" r:id="rId90" name="Option Button 144">
              <controlPr defaultSize="0" autoFill="0" autoLine="0" autoPict="0">
                <anchor moveWithCells="1">
                  <from>
                    <xdr:col>6</xdr:col>
                    <xdr:colOff>342900</xdr:colOff>
                    <xdr:row>19</xdr:row>
                    <xdr:rowOff>177800</xdr:rowOff>
                  </from>
                  <to>
                    <xdr:col>6</xdr:col>
                    <xdr:colOff>927100</xdr:colOff>
                    <xdr:row>19</xdr:row>
                    <xdr:rowOff>977900</xdr:rowOff>
                  </to>
                </anchor>
              </controlPr>
            </control>
          </mc:Choice>
        </mc:AlternateContent>
        <mc:AlternateContent xmlns:mc="http://schemas.openxmlformats.org/markup-compatibility/2006">
          <mc:Choice Requires="x14">
            <control shapeId="5266" r:id="rId91" name="Option Button 146">
              <controlPr defaultSize="0" autoFill="0" autoLine="0" autoPict="0">
                <anchor moveWithCells="1">
                  <from>
                    <xdr:col>6</xdr:col>
                    <xdr:colOff>342900</xdr:colOff>
                    <xdr:row>30</xdr:row>
                    <xdr:rowOff>165100</xdr:rowOff>
                  </from>
                  <to>
                    <xdr:col>6</xdr:col>
                    <xdr:colOff>723900</xdr:colOff>
                    <xdr:row>30</xdr:row>
                    <xdr:rowOff>584200</xdr:rowOff>
                  </to>
                </anchor>
              </controlPr>
            </control>
          </mc:Choice>
        </mc:AlternateContent>
        <mc:AlternateContent xmlns:mc="http://schemas.openxmlformats.org/markup-compatibility/2006">
          <mc:Choice Requires="x14">
            <control shapeId="5267" r:id="rId92" name="Option Button 147">
              <controlPr defaultSize="0" autoFill="0" autoLine="0" autoPict="0">
                <anchor moveWithCells="1">
                  <from>
                    <xdr:col>6</xdr:col>
                    <xdr:colOff>342900</xdr:colOff>
                    <xdr:row>31</xdr:row>
                    <xdr:rowOff>127000</xdr:rowOff>
                  </from>
                  <to>
                    <xdr:col>7</xdr:col>
                    <xdr:colOff>25400</xdr:colOff>
                    <xdr:row>31</xdr:row>
                    <xdr:rowOff>647700</xdr:rowOff>
                  </to>
                </anchor>
              </controlPr>
            </control>
          </mc:Choice>
        </mc:AlternateContent>
        <mc:AlternateContent xmlns:mc="http://schemas.openxmlformats.org/markup-compatibility/2006">
          <mc:Choice Requires="x14">
            <control shapeId="5268" r:id="rId93" name="Option Button 148">
              <controlPr defaultSize="0" autoFill="0" autoLine="0" autoPict="0">
                <anchor moveWithCells="1">
                  <from>
                    <xdr:col>6</xdr:col>
                    <xdr:colOff>342900</xdr:colOff>
                    <xdr:row>32</xdr:row>
                    <xdr:rowOff>241300</xdr:rowOff>
                  </from>
                  <to>
                    <xdr:col>7</xdr:col>
                    <xdr:colOff>25400</xdr:colOff>
                    <xdr:row>32</xdr:row>
                    <xdr:rowOff>736600</xdr:rowOff>
                  </to>
                </anchor>
              </controlPr>
            </control>
          </mc:Choice>
        </mc:AlternateContent>
        <mc:AlternateContent xmlns:mc="http://schemas.openxmlformats.org/markup-compatibility/2006">
          <mc:Choice Requires="x14">
            <control shapeId="5272" r:id="rId94" name="Option Button 152">
              <controlPr defaultSize="0" autoFill="0" autoLine="0" autoPict="0">
                <anchor moveWithCells="1">
                  <from>
                    <xdr:col>6</xdr:col>
                    <xdr:colOff>342900</xdr:colOff>
                    <xdr:row>33</xdr:row>
                    <xdr:rowOff>139700</xdr:rowOff>
                  </from>
                  <to>
                    <xdr:col>6</xdr:col>
                    <xdr:colOff>812800</xdr:colOff>
                    <xdr:row>33</xdr:row>
                    <xdr:rowOff>685800</xdr:rowOff>
                  </to>
                </anchor>
              </controlPr>
            </control>
          </mc:Choice>
        </mc:AlternateContent>
        <mc:AlternateContent xmlns:mc="http://schemas.openxmlformats.org/markup-compatibility/2006">
          <mc:Choice Requires="x14">
            <control shapeId="5273" r:id="rId95" name="Group Box 153">
              <controlPr defaultSize="0" autoFill="0" autoPict="0">
                <anchor moveWithCells="1">
                  <from>
                    <xdr:col>1</xdr:col>
                    <xdr:colOff>3619500</xdr:colOff>
                    <xdr:row>29</xdr:row>
                    <xdr:rowOff>25400</xdr:rowOff>
                  </from>
                  <to>
                    <xdr:col>7</xdr:col>
                    <xdr:colOff>139700</xdr:colOff>
                    <xdr:row>29</xdr:row>
                    <xdr:rowOff>711200</xdr:rowOff>
                  </to>
                </anchor>
              </controlPr>
            </control>
          </mc:Choice>
        </mc:AlternateContent>
        <mc:AlternateContent xmlns:mc="http://schemas.openxmlformats.org/markup-compatibility/2006">
          <mc:Choice Requires="x14">
            <control shapeId="5274" r:id="rId96" name="Option Button 154">
              <controlPr defaultSize="0" autoFill="0" autoLine="0" autoPict="0">
                <anchor moveWithCells="1">
                  <from>
                    <xdr:col>2</xdr:col>
                    <xdr:colOff>38100</xdr:colOff>
                    <xdr:row>29</xdr:row>
                    <xdr:rowOff>76200</xdr:rowOff>
                  </from>
                  <to>
                    <xdr:col>3</xdr:col>
                    <xdr:colOff>76200</xdr:colOff>
                    <xdr:row>29</xdr:row>
                    <xdr:rowOff>685800</xdr:rowOff>
                  </to>
                </anchor>
              </controlPr>
            </control>
          </mc:Choice>
        </mc:AlternateContent>
        <mc:AlternateContent xmlns:mc="http://schemas.openxmlformats.org/markup-compatibility/2006">
          <mc:Choice Requires="x14">
            <control shapeId="5275" r:id="rId97" name="Option Button 155">
              <controlPr defaultSize="0" autoFill="0" autoLine="0" autoPict="0">
                <anchor moveWithCells="1">
                  <from>
                    <xdr:col>3</xdr:col>
                    <xdr:colOff>38100</xdr:colOff>
                    <xdr:row>29</xdr:row>
                    <xdr:rowOff>88900</xdr:rowOff>
                  </from>
                  <to>
                    <xdr:col>3</xdr:col>
                    <xdr:colOff>381000</xdr:colOff>
                    <xdr:row>29</xdr:row>
                    <xdr:rowOff>685800</xdr:rowOff>
                  </to>
                </anchor>
              </controlPr>
            </control>
          </mc:Choice>
        </mc:AlternateContent>
        <mc:AlternateContent xmlns:mc="http://schemas.openxmlformats.org/markup-compatibility/2006">
          <mc:Choice Requires="x14">
            <control shapeId="5276" r:id="rId98" name="Option Button 156">
              <controlPr defaultSize="0" autoFill="0" autoLine="0" autoPict="0">
                <anchor moveWithCells="1">
                  <from>
                    <xdr:col>4</xdr:col>
                    <xdr:colOff>50800</xdr:colOff>
                    <xdr:row>29</xdr:row>
                    <xdr:rowOff>76200</xdr:rowOff>
                  </from>
                  <to>
                    <xdr:col>4</xdr:col>
                    <xdr:colOff>469900</xdr:colOff>
                    <xdr:row>29</xdr:row>
                    <xdr:rowOff>698500</xdr:rowOff>
                  </to>
                </anchor>
              </controlPr>
            </control>
          </mc:Choice>
        </mc:AlternateContent>
        <mc:AlternateContent xmlns:mc="http://schemas.openxmlformats.org/markup-compatibility/2006">
          <mc:Choice Requires="x14">
            <control shapeId="5277" r:id="rId99" name="Option Button 157">
              <controlPr defaultSize="0" autoFill="0" autoLine="0" autoPict="0">
                <anchor moveWithCells="1">
                  <from>
                    <xdr:col>5</xdr:col>
                    <xdr:colOff>50800</xdr:colOff>
                    <xdr:row>29</xdr:row>
                    <xdr:rowOff>76200</xdr:rowOff>
                  </from>
                  <to>
                    <xdr:col>5</xdr:col>
                    <xdr:colOff>469900</xdr:colOff>
                    <xdr:row>29</xdr:row>
                    <xdr:rowOff>698500</xdr:rowOff>
                  </to>
                </anchor>
              </controlPr>
            </control>
          </mc:Choice>
        </mc:AlternateContent>
        <mc:AlternateContent xmlns:mc="http://schemas.openxmlformats.org/markup-compatibility/2006">
          <mc:Choice Requires="x14">
            <control shapeId="5278" r:id="rId100" name="Option Button 158">
              <controlPr defaultSize="0" autoFill="0" autoLine="0" autoPict="0">
                <anchor moveWithCells="1">
                  <from>
                    <xdr:col>6</xdr:col>
                    <xdr:colOff>342900</xdr:colOff>
                    <xdr:row>29</xdr:row>
                    <xdr:rowOff>63500</xdr:rowOff>
                  </from>
                  <to>
                    <xdr:col>6</xdr:col>
                    <xdr:colOff>698500</xdr:colOff>
                    <xdr:row>29</xdr:row>
                    <xdr:rowOff>698500</xdr:rowOff>
                  </to>
                </anchor>
              </controlPr>
            </control>
          </mc:Choice>
        </mc:AlternateContent>
        <mc:AlternateContent xmlns:mc="http://schemas.openxmlformats.org/markup-compatibility/2006">
          <mc:Choice Requires="x14">
            <control shapeId="5279" r:id="rId101" name="Group Box 159">
              <controlPr defaultSize="0" autoFill="0" autoPict="0">
                <anchor moveWithCells="1">
                  <from>
                    <xdr:col>1</xdr:col>
                    <xdr:colOff>3644900</xdr:colOff>
                    <xdr:row>18</xdr:row>
                    <xdr:rowOff>0</xdr:rowOff>
                  </from>
                  <to>
                    <xdr:col>7</xdr:col>
                    <xdr:colOff>139700</xdr:colOff>
                    <xdr:row>18</xdr:row>
                    <xdr:rowOff>520700</xdr:rowOff>
                  </to>
                </anchor>
              </controlPr>
            </control>
          </mc:Choice>
        </mc:AlternateContent>
        <mc:AlternateContent xmlns:mc="http://schemas.openxmlformats.org/markup-compatibility/2006">
          <mc:Choice Requires="x14">
            <control shapeId="5280" r:id="rId102" name="Option Button 160">
              <controlPr defaultSize="0" autoFill="0" autoLine="0" autoPict="0">
                <anchor moveWithCells="1">
                  <from>
                    <xdr:col>2</xdr:col>
                    <xdr:colOff>38100</xdr:colOff>
                    <xdr:row>18</xdr:row>
                    <xdr:rowOff>50800</xdr:rowOff>
                  </from>
                  <to>
                    <xdr:col>2</xdr:col>
                    <xdr:colOff>355600</xdr:colOff>
                    <xdr:row>18</xdr:row>
                    <xdr:rowOff>508000</xdr:rowOff>
                  </to>
                </anchor>
              </controlPr>
            </control>
          </mc:Choice>
        </mc:AlternateContent>
        <mc:AlternateContent xmlns:mc="http://schemas.openxmlformats.org/markup-compatibility/2006">
          <mc:Choice Requires="x14">
            <control shapeId="5281" r:id="rId103" name="Option Button 161">
              <controlPr defaultSize="0" autoFill="0" autoLine="0" autoPict="0">
                <anchor moveWithCells="1">
                  <from>
                    <xdr:col>3</xdr:col>
                    <xdr:colOff>38100</xdr:colOff>
                    <xdr:row>18</xdr:row>
                    <xdr:rowOff>38100</xdr:rowOff>
                  </from>
                  <to>
                    <xdr:col>3</xdr:col>
                    <xdr:colOff>368300</xdr:colOff>
                    <xdr:row>18</xdr:row>
                    <xdr:rowOff>520700</xdr:rowOff>
                  </to>
                </anchor>
              </controlPr>
            </control>
          </mc:Choice>
        </mc:AlternateContent>
        <mc:AlternateContent xmlns:mc="http://schemas.openxmlformats.org/markup-compatibility/2006">
          <mc:Choice Requires="x14">
            <control shapeId="5282" r:id="rId104" name="Option Button 162">
              <controlPr defaultSize="0" autoFill="0" autoLine="0" autoPict="0">
                <anchor moveWithCells="1">
                  <from>
                    <xdr:col>4</xdr:col>
                    <xdr:colOff>50800</xdr:colOff>
                    <xdr:row>18</xdr:row>
                    <xdr:rowOff>50800</xdr:rowOff>
                  </from>
                  <to>
                    <xdr:col>4</xdr:col>
                    <xdr:colOff>469900</xdr:colOff>
                    <xdr:row>18</xdr:row>
                    <xdr:rowOff>520700</xdr:rowOff>
                  </to>
                </anchor>
              </controlPr>
            </control>
          </mc:Choice>
        </mc:AlternateContent>
        <mc:AlternateContent xmlns:mc="http://schemas.openxmlformats.org/markup-compatibility/2006">
          <mc:Choice Requires="x14">
            <control shapeId="5283" r:id="rId105" name="Option Button 163">
              <controlPr defaultSize="0" autoFill="0" autoLine="0" autoPict="0">
                <anchor moveWithCells="1">
                  <from>
                    <xdr:col>5</xdr:col>
                    <xdr:colOff>50800</xdr:colOff>
                    <xdr:row>18</xdr:row>
                    <xdr:rowOff>50800</xdr:rowOff>
                  </from>
                  <to>
                    <xdr:col>5</xdr:col>
                    <xdr:colOff>469900</xdr:colOff>
                    <xdr:row>18</xdr:row>
                    <xdr:rowOff>508000</xdr:rowOff>
                  </to>
                </anchor>
              </controlPr>
            </control>
          </mc:Choice>
        </mc:AlternateContent>
        <mc:AlternateContent xmlns:mc="http://schemas.openxmlformats.org/markup-compatibility/2006">
          <mc:Choice Requires="x14">
            <control shapeId="5284" r:id="rId106" name="Option Button 164">
              <controlPr defaultSize="0" autoFill="0" autoLine="0" autoPict="0">
                <anchor moveWithCells="1">
                  <from>
                    <xdr:col>6</xdr:col>
                    <xdr:colOff>342900</xdr:colOff>
                    <xdr:row>18</xdr:row>
                    <xdr:rowOff>63500</xdr:rowOff>
                  </from>
                  <to>
                    <xdr:col>6</xdr:col>
                    <xdr:colOff>825500</xdr:colOff>
                    <xdr:row>18</xdr:row>
                    <xdr:rowOff>495300</xdr:rowOff>
                  </to>
                </anchor>
              </controlPr>
            </control>
          </mc:Choice>
        </mc:AlternateContent>
        <mc:AlternateContent xmlns:mc="http://schemas.openxmlformats.org/markup-compatibility/2006">
          <mc:Choice Requires="x14">
            <control shapeId="5286" r:id="rId107" name="Option Button 166">
              <controlPr defaultSize="0" autoFill="0" autoLine="0" autoPict="0">
                <anchor moveWithCells="1">
                  <from>
                    <xdr:col>6</xdr:col>
                    <xdr:colOff>342900</xdr:colOff>
                    <xdr:row>40</xdr:row>
                    <xdr:rowOff>76200</xdr:rowOff>
                  </from>
                  <to>
                    <xdr:col>7</xdr:col>
                    <xdr:colOff>63500</xdr:colOff>
                    <xdr:row>40</xdr:row>
                    <xdr:rowOff>495300</xdr:rowOff>
                  </to>
                </anchor>
              </controlPr>
            </control>
          </mc:Choice>
        </mc:AlternateContent>
        <mc:AlternateContent xmlns:mc="http://schemas.openxmlformats.org/markup-compatibility/2006">
          <mc:Choice Requires="x14">
            <control shapeId="5290" r:id="rId108" name="Group Box 170">
              <controlPr defaultSize="0" autoFill="0" autoPict="0">
                <anchor moveWithCells="1">
                  <from>
                    <xdr:col>1</xdr:col>
                    <xdr:colOff>3632200</xdr:colOff>
                    <xdr:row>39</xdr:row>
                    <xdr:rowOff>25400</xdr:rowOff>
                  </from>
                  <to>
                    <xdr:col>7</xdr:col>
                    <xdr:colOff>76200</xdr:colOff>
                    <xdr:row>39</xdr:row>
                    <xdr:rowOff>876300</xdr:rowOff>
                  </to>
                </anchor>
              </controlPr>
            </control>
          </mc:Choice>
        </mc:AlternateContent>
        <mc:AlternateContent xmlns:mc="http://schemas.openxmlformats.org/markup-compatibility/2006">
          <mc:Choice Requires="x14">
            <control shapeId="5291" r:id="rId109" name="Option Button 171">
              <controlPr defaultSize="0" autoFill="0" autoLine="0" autoPict="0">
                <anchor moveWithCells="1">
                  <from>
                    <xdr:col>2</xdr:col>
                    <xdr:colOff>38100</xdr:colOff>
                    <xdr:row>39</xdr:row>
                    <xdr:rowOff>139700</xdr:rowOff>
                  </from>
                  <to>
                    <xdr:col>2</xdr:col>
                    <xdr:colOff>330200</xdr:colOff>
                    <xdr:row>39</xdr:row>
                    <xdr:rowOff>800100</xdr:rowOff>
                  </to>
                </anchor>
              </controlPr>
            </control>
          </mc:Choice>
        </mc:AlternateContent>
        <mc:AlternateContent xmlns:mc="http://schemas.openxmlformats.org/markup-compatibility/2006">
          <mc:Choice Requires="x14">
            <control shapeId="5292" r:id="rId110" name="Option Button 172">
              <controlPr defaultSize="0" autoFill="0" autoLine="0" autoPict="0">
                <anchor moveWithCells="1">
                  <from>
                    <xdr:col>3</xdr:col>
                    <xdr:colOff>38100</xdr:colOff>
                    <xdr:row>39</xdr:row>
                    <xdr:rowOff>101600</xdr:rowOff>
                  </from>
                  <to>
                    <xdr:col>3</xdr:col>
                    <xdr:colOff>330200</xdr:colOff>
                    <xdr:row>39</xdr:row>
                    <xdr:rowOff>838200</xdr:rowOff>
                  </to>
                </anchor>
              </controlPr>
            </control>
          </mc:Choice>
        </mc:AlternateContent>
        <mc:AlternateContent xmlns:mc="http://schemas.openxmlformats.org/markup-compatibility/2006">
          <mc:Choice Requires="x14">
            <control shapeId="5293" r:id="rId111" name="Option Button 173">
              <controlPr defaultSize="0" autoFill="0" autoLine="0" autoPict="0">
                <anchor moveWithCells="1">
                  <from>
                    <xdr:col>4</xdr:col>
                    <xdr:colOff>50800</xdr:colOff>
                    <xdr:row>39</xdr:row>
                    <xdr:rowOff>114300</xdr:rowOff>
                  </from>
                  <to>
                    <xdr:col>4</xdr:col>
                    <xdr:colOff>419100</xdr:colOff>
                    <xdr:row>39</xdr:row>
                    <xdr:rowOff>825500</xdr:rowOff>
                  </to>
                </anchor>
              </controlPr>
            </control>
          </mc:Choice>
        </mc:AlternateContent>
        <mc:AlternateContent xmlns:mc="http://schemas.openxmlformats.org/markup-compatibility/2006">
          <mc:Choice Requires="x14">
            <control shapeId="5294" r:id="rId112" name="Option Button 174">
              <controlPr defaultSize="0" autoFill="0" autoLine="0" autoPict="0">
                <anchor moveWithCells="1">
                  <from>
                    <xdr:col>5</xdr:col>
                    <xdr:colOff>50800</xdr:colOff>
                    <xdr:row>39</xdr:row>
                    <xdr:rowOff>101600</xdr:rowOff>
                  </from>
                  <to>
                    <xdr:col>5</xdr:col>
                    <xdr:colOff>368300</xdr:colOff>
                    <xdr:row>39</xdr:row>
                    <xdr:rowOff>838200</xdr:rowOff>
                  </to>
                </anchor>
              </controlPr>
            </control>
          </mc:Choice>
        </mc:AlternateContent>
        <mc:AlternateContent xmlns:mc="http://schemas.openxmlformats.org/markup-compatibility/2006">
          <mc:Choice Requires="x14">
            <control shapeId="5295" r:id="rId113" name="Option Button 175">
              <controlPr defaultSize="0" autoFill="0" autoLine="0" autoPict="0">
                <anchor moveWithCells="1">
                  <from>
                    <xdr:col>6</xdr:col>
                    <xdr:colOff>342900</xdr:colOff>
                    <xdr:row>39</xdr:row>
                    <xdr:rowOff>101600</xdr:rowOff>
                  </from>
                  <to>
                    <xdr:col>6</xdr:col>
                    <xdr:colOff>749300</xdr:colOff>
                    <xdr:row>39</xdr:row>
                    <xdr:rowOff>838200</xdr:rowOff>
                  </to>
                </anchor>
              </controlPr>
            </control>
          </mc:Choice>
        </mc:AlternateContent>
        <mc:AlternateContent xmlns:mc="http://schemas.openxmlformats.org/markup-compatibility/2006">
          <mc:Choice Requires="x14">
            <control shapeId="5296" r:id="rId114" name="Option Button 176">
              <controlPr defaultSize="0" autoFill="0" autoLine="0" autoPict="0">
                <anchor moveWithCells="1">
                  <from>
                    <xdr:col>6</xdr:col>
                    <xdr:colOff>342900</xdr:colOff>
                    <xdr:row>41</xdr:row>
                    <xdr:rowOff>127000</xdr:rowOff>
                  </from>
                  <to>
                    <xdr:col>6</xdr:col>
                    <xdr:colOff>876300</xdr:colOff>
                    <xdr:row>41</xdr:row>
                    <xdr:rowOff>673100</xdr:rowOff>
                  </to>
                </anchor>
              </controlPr>
            </control>
          </mc:Choice>
        </mc:AlternateContent>
        <mc:AlternateContent xmlns:mc="http://schemas.openxmlformats.org/markup-compatibility/2006">
          <mc:Choice Requires="x14">
            <control shapeId="5297" r:id="rId115" name="Option Button 177">
              <controlPr defaultSize="0" autoFill="0" autoLine="0" autoPict="0">
                <anchor moveWithCells="1">
                  <from>
                    <xdr:col>6</xdr:col>
                    <xdr:colOff>342900</xdr:colOff>
                    <xdr:row>42</xdr:row>
                    <xdr:rowOff>304800</xdr:rowOff>
                  </from>
                  <to>
                    <xdr:col>6</xdr:col>
                    <xdr:colOff>914400</xdr:colOff>
                    <xdr:row>42</xdr:row>
                    <xdr:rowOff>800100</xdr:rowOff>
                  </to>
                </anchor>
              </controlPr>
            </control>
          </mc:Choice>
        </mc:AlternateContent>
        <mc:AlternateContent xmlns:mc="http://schemas.openxmlformats.org/markup-compatibility/2006">
          <mc:Choice Requires="x14">
            <control shapeId="5298" r:id="rId116" name="Option Button 178">
              <controlPr defaultSize="0" autoFill="0" autoLine="0" autoPict="0">
                <anchor moveWithCells="1">
                  <from>
                    <xdr:col>6</xdr:col>
                    <xdr:colOff>342900</xdr:colOff>
                    <xdr:row>21</xdr:row>
                    <xdr:rowOff>177800</xdr:rowOff>
                  </from>
                  <to>
                    <xdr:col>6</xdr:col>
                    <xdr:colOff>889000</xdr:colOff>
                    <xdr:row>21</xdr:row>
                    <xdr:rowOff>431800</xdr:rowOff>
                  </to>
                </anchor>
              </controlPr>
            </control>
          </mc:Choice>
        </mc:AlternateContent>
        <mc:AlternateContent xmlns:mc="http://schemas.openxmlformats.org/markup-compatibility/2006">
          <mc:Choice Requires="x14">
            <control shapeId="5299" r:id="rId117" name="Option Button 179">
              <controlPr defaultSize="0" autoFill="0" autoLine="0" autoPict="0">
                <anchor moveWithCells="1">
                  <from>
                    <xdr:col>6</xdr:col>
                    <xdr:colOff>342900</xdr:colOff>
                    <xdr:row>22</xdr:row>
                    <xdr:rowOff>88900</xdr:rowOff>
                  </from>
                  <to>
                    <xdr:col>6</xdr:col>
                    <xdr:colOff>838200</xdr:colOff>
                    <xdr:row>22</xdr:row>
                    <xdr:rowOff>863600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4496D1"/>
    <pageSetUpPr fitToPage="1"/>
  </sheetPr>
  <dimension ref="A1:J41"/>
  <sheetViews>
    <sheetView topLeftCell="A3" zoomScale="70" zoomScaleNormal="70" workbookViewId="0">
      <selection activeCell="H19" sqref="H19"/>
    </sheetView>
  </sheetViews>
  <sheetFormatPr baseColWidth="10" defaultColWidth="8.83203125" defaultRowHeight="14.5" customHeight="1"/>
  <cols>
    <col min="1" max="1" width="18.5" style="129" customWidth="1"/>
    <col min="2" max="2" width="75.5" style="129" customWidth="1"/>
    <col min="3" max="3" width="5.5" style="129" customWidth="1"/>
    <col min="4" max="5" width="35.5" style="129" customWidth="1"/>
    <col min="6" max="6" width="42.83203125" style="129" customWidth="1"/>
    <col min="7" max="7" width="12.83203125" style="129" customWidth="1"/>
    <col min="8" max="8" width="35.5" style="41" customWidth="1"/>
    <col min="9" max="9" width="16.5" style="52" hidden="1" customWidth="1"/>
    <col min="10" max="10" width="35.5" style="195" customWidth="1"/>
    <col min="11" max="12" width="8.83203125" style="129" customWidth="1"/>
    <col min="13" max="16384" width="8.83203125" style="129"/>
  </cols>
  <sheetData>
    <row r="1" spans="1:10" s="118" customFormat="1" ht="26">
      <c r="A1" s="611" t="str">
        <f>Raw!A81</f>
        <v>Standard 4</v>
      </c>
      <c r="B1" s="156" t="str">
        <f>Raw!B81</f>
        <v>Knowledge and Skills for Teaching Physics</v>
      </c>
      <c r="H1" s="145"/>
      <c r="I1" s="52"/>
      <c r="J1" s="193"/>
    </row>
    <row r="2" spans="1:10" s="118" customFormat="1" ht="17">
      <c r="A2" s="611"/>
      <c r="B2" s="119" t="str">
        <f>Raw!A82</f>
        <v xml:space="preserve">The program ensures that teacher candidates are well prepared to teach physics effectively through rigorous and experiential preparation in physics content and pedagogy. </v>
      </c>
      <c r="H2" s="145"/>
      <c r="I2" s="52"/>
      <c r="J2" s="193"/>
    </row>
    <row r="3" spans="1:10" s="118" customFormat="1" ht="15">
      <c r="A3" s="120"/>
      <c r="H3" s="145"/>
      <c r="I3" s="52"/>
      <c r="J3" s="193"/>
    </row>
    <row r="4" spans="1:10" s="118" customFormat="1" ht="24" thickBot="1">
      <c r="A4" s="157" t="str">
        <f>Raw!A83</f>
        <v>Component 4A: Physics Content Knowledge</v>
      </c>
      <c r="B4" s="123"/>
      <c r="C4" s="123"/>
      <c r="D4" s="123"/>
      <c r="E4" s="123"/>
      <c r="F4" s="123"/>
      <c r="G4" s="123"/>
      <c r="H4" s="146"/>
      <c r="I4" s="52"/>
      <c r="J4" s="193"/>
    </row>
    <row r="5" spans="1:10" s="118" customFormat="1" ht="20">
      <c r="A5" s="119" t="s">
        <v>512</v>
      </c>
      <c r="H5" s="145"/>
      <c r="I5" s="52"/>
      <c r="J5" s="193"/>
    </row>
    <row r="6" spans="1:10" s="118" customFormat="1" ht="51">
      <c r="A6" s="120"/>
      <c r="C6" s="293" t="s">
        <v>0</v>
      </c>
      <c r="D6" s="292" t="s">
        <v>702</v>
      </c>
      <c r="E6" s="291" t="s">
        <v>703</v>
      </c>
      <c r="F6" s="291" t="s">
        <v>704</v>
      </c>
      <c r="G6" s="292" t="s">
        <v>623</v>
      </c>
      <c r="H6" s="294" t="s">
        <v>14</v>
      </c>
      <c r="I6" s="52"/>
      <c r="J6" s="193"/>
    </row>
    <row r="7" spans="1:10" s="118" customFormat="1" ht="51">
      <c r="A7" s="158" t="str">
        <f>Raw!C85</f>
        <v>4A-1</v>
      </c>
      <c r="B7" s="159" t="s">
        <v>513</v>
      </c>
      <c r="C7" s="288"/>
      <c r="D7" s="289" t="str">
        <f>Raw!G85</f>
        <v>Most physics teacher candidates complete a physics minor or equivalent, but it is not required.</v>
      </c>
      <c r="E7" s="289" t="str">
        <f>Raw!H85</f>
        <v>A physics minor or equivalent is required for physics teacher candidates.</v>
      </c>
      <c r="F7" s="289" t="str">
        <f>Raw!I85</f>
        <v xml:space="preserve">Essentially all physics teacher candidates complete a physics major or equivalent (which may or may not be required). </v>
      </c>
      <c r="G7" s="289"/>
      <c r="H7" s="296"/>
      <c r="I7" s="52"/>
      <c r="J7" s="193"/>
    </row>
    <row r="8" spans="1:10" s="118" customFormat="1" ht="68">
      <c r="A8" s="131" t="str">
        <f>Raw!C86</f>
        <v>4A-2</v>
      </c>
      <c r="B8" s="132" t="s">
        <v>260</v>
      </c>
      <c r="C8" s="288"/>
      <c r="D8" s="289" t="str">
        <f>Raw!G86</f>
        <v>A minority of majors experience introductory physics courses that use research-based teaching methods.</v>
      </c>
      <c r="E8" s="289" t="str">
        <f>Raw!H86</f>
        <v>At least half of majors experience introductory physics courses that use research-based teaching methods.</v>
      </c>
      <c r="F8" s="289" t="str">
        <f>Raw!I86</f>
        <v>Almost all of majors experience introductory physics courses that use research-based teaching methods.</v>
      </c>
      <c r="G8" s="289"/>
      <c r="H8" s="296"/>
      <c r="I8" s="52"/>
      <c r="J8" s="193"/>
    </row>
    <row r="9" spans="1:10" s="118" customFormat="1" ht="85">
      <c r="A9" s="131" t="str">
        <f>Raw!C87</f>
        <v>4A-3</v>
      </c>
      <c r="B9" s="132" t="s">
        <v>101</v>
      </c>
      <c r="C9" s="288"/>
      <c r="D9" s="289" t="str">
        <f>Raw!G87</f>
        <v>There is an optional research experience available to teacher candidates.</v>
      </c>
      <c r="E9" s="289" t="str">
        <f>Raw!H87</f>
        <v>At least half of teacher candidates participate in a research experience that culminates in a presentation, poster, or paper.</v>
      </c>
      <c r="F9" s="289" t="str">
        <f>Raw!I87</f>
        <v>At least half of teacher candidates participate in a research experience that culminates in a presentation, poster, or paper and connects research with educational practice.</v>
      </c>
      <c r="G9" s="289"/>
      <c r="H9" s="296"/>
      <c r="I9" s="52"/>
      <c r="J9" s="193"/>
    </row>
    <row r="10" spans="1:10" s="118" customFormat="1" ht="30" customHeight="1">
      <c r="A10" s="607" t="s">
        <v>605</v>
      </c>
      <c r="B10" s="603"/>
      <c r="C10" s="603"/>
      <c r="D10" s="603"/>
      <c r="E10" s="603"/>
      <c r="F10" s="603"/>
      <c r="G10" s="231"/>
      <c r="H10" s="41"/>
      <c r="I10" s="52"/>
      <c r="J10" s="193"/>
    </row>
    <row r="11" spans="1:10" s="118" customFormat="1" ht="16.75" customHeight="1">
      <c r="A11" s="610" t="s">
        <v>606</v>
      </c>
      <c r="B11" s="604"/>
      <c r="C11" s="604"/>
      <c r="D11" s="604"/>
      <c r="E11" s="604"/>
      <c r="F11" s="604"/>
      <c r="G11" s="230"/>
      <c r="H11" s="41"/>
      <c r="I11" s="52"/>
      <c r="J11" s="193"/>
    </row>
    <row r="12" spans="1:10" s="109" customFormat="1" ht="15" customHeight="1">
      <c r="A12" s="609" t="s">
        <v>607</v>
      </c>
      <c r="B12" s="609"/>
      <c r="C12" s="609"/>
      <c r="D12" s="609"/>
      <c r="E12" s="609"/>
      <c r="F12" s="609"/>
      <c r="G12" s="236"/>
      <c r="H12" s="106"/>
      <c r="I12" s="52"/>
      <c r="J12" s="194"/>
    </row>
    <row r="13" spans="1:10" ht="14.5" customHeight="1">
      <c r="A13" s="160"/>
      <c r="B13" s="154"/>
      <c r="D13" s="155"/>
      <c r="E13" s="155"/>
      <c r="F13" s="155"/>
      <c r="G13" s="155"/>
    </row>
    <row r="14" spans="1:10" s="118" customFormat="1" ht="26" thickBot="1">
      <c r="A14" s="157" t="s">
        <v>514</v>
      </c>
      <c r="B14" s="123"/>
      <c r="C14" s="123"/>
      <c r="D14" s="123"/>
      <c r="E14" s="123"/>
      <c r="F14" s="123"/>
      <c r="G14" s="123"/>
      <c r="H14" s="146"/>
      <c r="I14" s="52"/>
      <c r="J14" s="193"/>
    </row>
    <row r="15" spans="1:10" s="118" customFormat="1" ht="17">
      <c r="A15" s="119" t="str">
        <f>Raw!A89</f>
        <v>The program ensures that physics teacher candidates have strong knowledge of physics pedagogy.</v>
      </c>
      <c r="B15" s="129"/>
      <c r="C15" s="129"/>
      <c r="D15" s="129"/>
      <c r="E15" s="129"/>
      <c r="F15" s="129"/>
      <c r="G15" s="129"/>
      <c r="H15" s="41"/>
      <c r="I15" s="52"/>
      <c r="J15" s="193"/>
    </row>
    <row r="16" spans="1:10" s="118" customFormat="1" ht="51">
      <c r="A16" s="120"/>
      <c r="C16" s="293" t="s">
        <v>0</v>
      </c>
      <c r="D16" s="292" t="s">
        <v>702</v>
      </c>
      <c r="E16" s="291" t="s">
        <v>703</v>
      </c>
      <c r="F16" s="291" t="s">
        <v>704</v>
      </c>
      <c r="G16" s="292" t="s">
        <v>623</v>
      </c>
      <c r="H16" s="294" t="s">
        <v>14</v>
      </c>
      <c r="I16" s="52"/>
      <c r="J16" s="193"/>
    </row>
    <row r="17" spans="1:10" s="118" customFormat="1" ht="51">
      <c r="A17" s="131" t="str">
        <f>Raw!C90</f>
        <v>4B-1</v>
      </c>
      <c r="B17" s="132" t="s">
        <v>862</v>
      </c>
      <c r="C17" s="288"/>
      <c r="D17" s="289" t="str">
        <f>Raw!G90</f>
        <v>At least half of physics teacher candidates take the equivalent of 1–3 credits of physics pedagogy.</v>
      </c>
      <c r="E17" s="289" t="str">
        <f>Raw!H90</f>
        <v>Almost all physics teacher candidates take the equivalent of 1–3 credits of physics pedagogy.</v>
      </c>
      <c r="F17" s="289" t="str">
        <f>Raw!I90</f>
        <v>Almost all physics teacher candidates take the equivalent of four or more credits of physics pedagogy.</v>
      </c>
      <c r="G17" s="289"/>
      <c r="H17" s="296"/>
      <c r="I17" s="52"/>
      <c r="J17" s="193"/>
    </row>
    <row r="18" spans="1:10" s="118" customFormat="1" ht="34">
      <c r="A18" s="131" t="str">
        <f>Raw!C91</f>
        <v>4B-2</v>
      </c>
      <c r="B18" s="132" t="s">
        <v>863</v>
      </c>
      <c r="C18" s="288"/>
      <c r="D18" s="289" t="str">
        <f>Raw!G91</f>
        <v>Scientific practices account for 1–2 credits within the curriculum.</v>
      </c>
      <c r="E18" s="289" t="str">
        <f>Raw!H91</f>
        <v>Scientific practices account for 3–5 credits within the curriculum.</v>
      </c>
      <c r="F18" s="289" t="str">
        <f>Raw!I91</f>
        <v>Scientific practices account for six or more credits within the curriculum.</v>
      </c>
      <c r="G18" s="289"/>
      <c r="H18" s="296"/>
      <c r="I18" s="52"/>
      <c r="J18" s="193"/>
    </row>
    <row r="19" spans="1:10" s="118" customFormat="1" ht="51">
      <c r="A19" s="131" t="str">
        <f>Raw!C92</f>
        <v>4B-3</v>
      </c>
      <c r="B19" s="132" t="s">
        <v>142</v>
      </c>
      <c r="C19" s="288"/>
      <c r="D19" s="289" t="str">
        <f>Raw!G92</f>
        <v>Some of the required certification coursework is taught in the context of teaching science and/or physics.</v>
      </c>
      <c r="E19" s="289" t="str">
        <f>Raw!H92</f>
        <v>Most of the required certification coursework is taught in the context of teaching science and/or physics.</v>
      </c>
      <c r="F19" s="289" t="str">
        <f>Raw!I92</f>
        <v>Essentially all of the required certification coursework is taught in the context of teaching science and/or physics.</v>
      </c>
      <c r="G19" s="289"/>
      <c r="H19" s="296"/>
      <c r="I19" s="52"/>
      <c r="J19" s="193"/>
    </row>
    <row r="20" spans="1:10" s="118" customFormat="1" ht="51">
      <c r="A20" s="131" t="str">
        <f>Raw!C93</f>
        <v>4B-4</v>
      </c>
      <c r="B20" s="132" t="s">
        <v>515</v>
      </c>
      <c r="C20" s="288"/>
      <c r="D20" s="289" t="str">
        <f>Raw!G93</f>
        <v>At least half the physics teacher candidates participate in physics microteaching with peers.</v>
      </c>
      <c r="E20" s="289" t="str">
        <f>Raw!H93</f>
        <v>Essentially all physics teacher candidates participate in physics microteaching with peers.</v>
      </c>
      <c r="F20" s="289" t="str">
        <f>Raw!I93</f>
        <v>Essentially all physics teacher candidates deliver physics microteaching lessons to peers at least twice.</v>
      </c>
      <c r="G20" s="289"/>
      <c r="H20" s="297"/>
      <c r="I20" s="52"/>
      <c r="J20" s="193"/>
    </row>
    <row r="21" spans="1:10" s="118" customFormat="1" ht="51">
      <c r="A21" s="131" t="str">
        <f>Raw!C94</f>
        <v>4B-5</v>
      </c>
      <c r="B21" s="132" t="s">
        <v>516</v>
      </c>
      <c r="C21" s="288"/>
      <c r="D21" s="289" t="str">
        <f>Raw!G94</f>
        <v>There are physics TA/LA opportunities, and some physics teacher candidates participate.</v>
      </c>
      <c r="E21" s="289" t="str">
        <f>Raw!H94</f>
        <v>At least half of the physics teacher candidates are physics TAs/LAs at some point.</v>
      </c>
      <c r="F21" s="289" t="str">
        <f>Raw!I94</f>
        <v>Essentially all physics teacher candidates are physics TAs/LAs at some point.</v>
      </c>
      <c r="G21" s="289"/>
      <c r="H21" s="296"/>
      <c r="I21" s="52"/>
      <c r="J21" s="193"/>
    </row>
    <row r="22" spans="1:10" ht="29.5" customHeight="1">
      <c r="A22" s="607" t="s">
        <v>608</v>
      </c>
      <c r="B22" s="607"/>
      <c r="C22" s="607"/>
      <c r="D22" s="607"/>
      <c r="E22" s="607"/>
      <c r="F22" s="607"/>
      <c r="G22" s="232"/>
    </row>
    <row r="23" spans="1:10" ht="44.75" customHeight="1">
      <c r="A23" s="605" t="s">
        <v>680</v>
      </c>
      <c r="B23" s="605"/>
      <c r="C23" s="605"/>
      <c r="D23" s="605"/>
      <c r="E23" s="605"/>
      <c r="F23" s="605"/>
      <c r="G23" s="232"/>
    </row>
    <row r="24" spans="1:10" s="109" customFormat="1" ht="30" customHeight="1">
      <c r="A24" s="597" t="s">
        <v>609</v>
      </c>
      <c r="B24" s="598"/>
      <c r="C24" s="598"/>
      <c r="D24" s="598"/>
      <c r="E24" s="598"/>
      <c r="F24" s="598"/>
      <c r="G24" s="226"/>
      <c r="H24" s="106"/>
      <c r="I24" s="52"/>
      <c r="J24" s="194"/>
    </row>
    <row r="25" spans="1:10" s="109" customFormat="1" ht="15" customHeight="1">
      <c r="A25" s="597" t="s">
        <v>679</v>
      </c>
      <c r="B25" s="597"/>
      <c r="C25" s="597"/>
      <c r="D25" s="597"/>
      <c r="E25" s="597"/>
      <c r="F25" s="597"/>
      <c r="G25" s="225"/>
      <c r="H25" s="106"/>
      <c r="I25" s="52"/>
      <c r="J25" s="194"/>
    </row>
    <row r="26" spans="1:10" s="109" customFormat="1" ht="30" customHeight="1">
      <c r="A26" s="597" t="s">
        <v>610</v>
      </c>
      <c r="B26" s="597"/>
      <c r="C26" s="597"/>
      <c r="D26" s="597"/>
      <c r="E26" s="597"/>
      <c r="F26" s="597"/>
      <c r="G26" s="225"/>
      <c r="H26" s="106"/>
      <c r="I26" s="52"/>
      <c r="J26" s="194"/>
    </row>
    <row r="27" spans="1:10" s="118" customFormat="1" ht="14.5" customHeight="1">
      <c r="A27" s="129"/>
      <c r="B27" s="129"/>
      <c r="C27" s="129"/>
      <c r="D27" s="129"/>
      <c r="E27" s="129"/>
      <c r="F27" s="129"/>
      <c r="G27" s="129"/>
      <c r="H27" s="41"/>
      <c r="I27" s="52"/>
      <c r="J27" s="193"/>
    </row>
    <row r="28" spans="1:10" s="118" customFormat="1" ht="24" thickBot="1">
      <c r="A28" s="157" t="str">
        <f>Raw!A95</f>
        <v xml:space="preserve">Component 4C: Practical K–12 School Experiences </v>
      </c>
      <c r="B28" s="123"/>
      <c r="C28" s="123"/>
      <c r="D28" s="123"/>
      <c r="E28" s="123"/>
      <c r="F28" s="123"/>
      <c r="G28" s="123"/>
      <c r="H28" s="146"/>
      <c r="I28" s="52"/>
      <c r="J28" s="193"/>
    </row>
    <row r="29" spans="1:10" s="118" customFormat="1" ht="20">
      <c r="A29" s="119" t="s">
        <v>577</v>
      </c>
      <c r="H29" s="145"/>
      <c r="I29" s="52"/>
      <c r="J29" s="193"/>
    </row>
    <row r="30" spans="1:10" s="118" customFormat="1" ht="51">
      <c r="A30" s="120"/>
      <c r="C30" s="293" t="s">
        <v>0</v>
      </c>
      <c r="D30" s="292" t="s">
        <v>702</v>
      </c>
      <c r="E30" s="291" t="s">
        <v>703</v>
      </c>
      <c r="F30" s="291" t="s">
        <v>704</v>
      </c>
      <c r="G30" s="292" t="s">
        <v>623</v>
      </c>
      <c r="H30" s="294" t="s">
        <v>14</v>
      </c>
      <c r="I30" s="52"/>
      <c r="J30" s="193"/>
    </row>
    <row r="31" spans="1:10" s="118" customFormat="1" ht="68">
      <c r="A31" s="158" t="str">
        <f>Raw!C97</f>
        <v>4C-1</v>
      </c>
      <c r="B31" s="159" t="s">
        <v>517</v>
      </c>
      <c r="C31" s="288"/>
      <c r="D31" s="289" t="str">
        <f>Raw!G97</f>
        <v>Program has access to a minimally sufficient number of cooperating physics teachers for classroom placements.</v>
      </c>
      <c r="E31" s="289" t="str">
        <f>Raw!H97</f>
        <v>Program has access to a sufficient number of cooperating physics teachers for classroom placements.</v>
      </c>
      <c r="F31" s="289" t="str">
        <f>Raw!I97</f>
        <v>Program has access to more than a sufficient number of cooperating physics teachers for classroom placements.</v>
      </c>
      <c r="G31" s="289"/>
      <c r="H31" s="296"/>
      <c r="I31" s="52"/>
      <c r="J31" s="193"/>
    </row>
    <row r="32" spans="1:10" s="118" customFormat="1" ht="68">
      <c r="A32" s="158" t="str">
        <f>Raw!C98</f>
        <v>4C-2</v>
      </c>
      <c r="B32" s="159" t="s">
        <v>518</v>
      </c>
      <c r="C32" s="288"/>
      <c r="D32" s="289" t="str">
        <f>Raw!G98</f>
        <v>Some cooperating physics teachers have more than three years of physics teaching experience.</v>
      </c>
      <c r="E32" s="289" t="str">
        <f>Raw!H98</f>
        <v>Essentially all cooperating physics teachers have more than three years of physics teaching experience.</v>
      </c>
      <c r="F32" s="289" t="str">
        <f>Raw!I98</f>
        <v>Additionally, at least half of cooperating physics teachers are excellent quality (e.g., teach physics and primarily use research-validated teaching practices).</v>
      </c>
      <c r="G32" s="289"/>
      <c r="H32" s="296"/>
      <c r="I32" s="52"/>
      <c r="J32" s="193"/>
    </row>
    <row r="33" spans="1:10" s="118" customFormat="1" ht="85">
      <c r="A33" s="158" t="str">
        <f>Raw!C99</f>
        <v>4C-3</v>
      </c>
      <c r="B33" s="159" t="s">
        <v>519</v>
      </c>
      <c r="C33" s="288"/>
      <c r="D33" s="289" t="str">
        <f>Raw!G99</f>
        <v>Candidates engage in structured observation of a K–12 physics or physical science classroom accompanied by reflection and connection to coursework.</v>
      </c>
      <c r="E33" s="289" t="str">
        <f>Raw!H99</f>
        <v xml:space="preserve">Candidates have a K–12 physics or physical science field experience, including teaching at least one lesson and receiving feedback. </v>
      </c>
      <c r="F33" s="289" t="str">
        <f>Raw!I99</f>
        <v>Candidates have a high-quality[9] K–12 physics or physical science field experience.</v>
      </c>
      <c r="G33" s="289"/>
      <c r="H33" s="296"/>
      <c r="I33" s="52"/>
      <c r="J33" s="193"/>
    </row>
    <row r="34" spans="1:10" s="118" customFormat="1" ht="85">
      <c r="A34" s="158" t="str">
        <f>Raw!C100</f>
        <v>4C-4</v>
      </c>
      <c r="B34" s="159" t="s">
        <v>520</v>
      </c>
      <c r="C34" s="288"/>
      <c r="D34" s="289" t="str">
        <f>Raw!G100</f>
        <v>The university supervisor has experience teaching physics.</v>
      </c>
      <c r="E34" s="289" t="str">
        <f>Raw!H100</f>
        <v>The university supervisor has experience teaching physics and knowledge of evidence-based teaching practices and K–12 teaching environments.</v>
      </c>
      <c r="F34" s="289" t="str">
        <f>Raw!I100</f>
        <v>The university supervisor has extensive experience teaching physics using evidence-based teaching practices and rich knowledge of K–12 teaching environments.</v>
      </c>
      <c r="G34" s="289"/>
      <c r="H34" s="296"/>
      <c r="I34" s="52"/>
      <c r="J34" s="193"/>
    </row>
    <row r="35" spans="1:10" s="109" customFormat="1" ht="45" customHeight="1">
      <c r="A35" s="597" t="s">
        <v>681</v>
      </c>
      <c r="B35" s="598"/>
      <c r="C35" s="598"/>
      <c r="D35" s="598"/>
      <c r="E35" s="598"/>
      <c r="F35" s="598"/>
      <c r="G35" s="226"/>
      <c r="H35" s="106"/>
      <c r="I35" s="52"/>
      <c r="J35" s="194"/>
    </row>
    <row r="36" spans="1:10" s="161" customFormat="1" ht="29.75" customHeight="1">
      <c r="A36" s="605" t="s">
        <v>613</v>
      </c>
      <c r="B36" s="605"/>
      <c r="C36" s="605"/>
      <c r="D36" s="605"/>
      <c r="E36" s="605"/>
      <c r="F36" s="605"/>
      <c r="G36" s="232"/>
      <c r="H36" s="115"/>
      <c r="I36" s="52"/>
      <c r="J36" s="196"/>
    </row>
    <row r="37" spans="1:10" s="161" customFormat="1" ht="30.25" customHeight="1">
      <c r="A37" s="605" t="s">
        <v>612</v>
      </c>
      <c r="B37" s="605"/>
      <c r="C37" s="605"/>
      <c r="D37" s="605"/>
      <c r="E37" s="605"/>
      <c r="F37" s="605"/>
      <c r="G37" s="232"/>
      <c r="H37" s="115"/>
      <c r="I37" s="52"/>
      <c r="J37" s="196"/>
    </row>
    <row r="38" spans="1:10" s="109" customFormat="1" ht="15.25" customHeight="1">
      <c r="A38" s="597" t="s">
        <v>611</v>
      </c>
      <c r="B38" s="598"/>
      <c r="C38" s="598"/>
      <c r="D38" s="598"/>
      <c r="E38" s="598"/>
      <c r="F38" s="598"/>
      <c r="G38" s="226"/>
      <c r="H38" s="106"/>
      <c r="I38" s="52"/>
      <c r="J38" s="194"/>
    </row>
    <row r="39" spans="1:10" s="109" customFormat="1" ht="30.5" customHeight="1">
      <c r="A39" s="597"/>
      <c r="B39" s="598"/>
      <c r="C39" s="598"/>
      <c r="D39" s="598"/>
      <c r="E39" s="598"/>
      <c r="F39" s="598"/>
      <c r="G39" s="226"/>
      <c r="H39" s="106"/>
      <c r="I39" s="52"/>
      <c r="J39" s="194"/>
    </row>
    <row r="40" spans="1:10" s="109" customFormat="1" ht="45" customHeight="1">
      <c r="A40" s="597"/>
      <c r="B40" s="598"/>
      <c r="C40" s="598"/>
      <c r="D40" s="598"/>
      <c r="E40" s="598"/>
      <c r="F40" s="598"/>
      <c r="G40" s="226"/>
      <c r="H40" s="106"/>
      <c r="I40" s="52"/>
      <c r="J40" s="194"/>
    </row>
    <row r="41" spans="1:10" ht="14.5" customHeight="1">
      <c r="A41" s="612"/>
      <c r="B41" s="612"/>
      <c r="C41" s="612"/>
      <c r="D41" s="612"/>
      <c r="E41" s="612"/>
      <c r="F41" s="612"/>
      <c r="G41" s="228"/>
    </row>
  </sheetData>
  <sheetProtection sheet="1" selectLockedCells="1"/>
  <mergeCells count="16">
    <mergeCell ref="A37:F37"/>
    <mergeCell ref="A1:A2"/>
    <mergeCell ref="A39:F39"/>
    <mergeCell ref="A40:F40"/>
    <mergeCell ref="A41:F41"/>
    <mergeCell ref="A12:F12"/>
    <mergeCell ref="A24:F24"/>
    <mergeCell ref="A35:F35"/>
    <mergeCell ref="A38:F38"/>
    <mergeCell ref="A10:F10"/>
    <mergeCell ref="A11:F11"/>
    <mergeCell ref="A22:F22"/>
    <mergeCell ref="A23:F23"/>
    <mergeCell ref="A25:F25"/>
    <mergeCell ref="A26:F26"/>
    <mergeCell ref="A36:F36"/>
  </mergeCells>
  <conditionalFormatting sqref="C7">
    <cfRule type="expression" dxfId="824" priority="88">
      <formula>$I7=1</formula>
    </cfRule>
  </conditionalFormatting>
  <conditionalFormatting sqref="D7">
    <cfRule type="expression" dxfId="823" priority="87">
      <formula>$I7=2</formula>
    </cfRule>
  </conditionalFormatting>
  <conditionalFormatting sqref="E7">
    <cfRule type="expression" dxfId="822" priority="86">
      <formula>$I7=3</formula>
    </cfRule>
  </conditionalFormatting>
  <conditionalFormatting sqref="F7">
    <cfRule type="expression" dxfId="821" priority="85">
      <formula>$I7=4</formula>
    </cfRule>
  </conditionalFormatting>
  <conditionalFormatting sqref="C8">
    <cfRule type="expression" dxfId="820" priority="84">
      <formula>$I8=1</formula>
    </cfRule>
  </conditionalFormatting>
  <conditionalFormatting sqref="D8">
    <cfRule type="expression" dxfId="819" priority="83">
      <formula>$I8=2</formula>
    </cfRule>
  </conditionalFormatting>
  <conditionalFormatting sqref="E8">
    <cfRule type="expression" dxfId="818" priority="82">
      <formula>$I8=3</formula>
    </cfRule>
  </conditionalFormatting>
  <conditionalFormatting sqref="F8">
    <cfRule type="expression" dxfId="817" priority="81">
      <formula>$I8=4</formula>
    </cfRule>
  </conditionalFormatting>
  <conditionalFormatting sqref="C9">
    <cfRule type="expression" dxfId="816" priority="80">
      <formula>$I9=1</formula>
    </cfRule>
  </conditionalFormatting>
  <conditionalFormatting sqref="D9">
    <cfRule type="expression" dxfId="815" priority="79">
      <formula>$I9=2</formula>
    </cfRule>
  </conditionalFormatting>
  <conditionalFormatting sqref="E9">
    <cfRule type="expression" dxfId="814" priority="78">
      <formula>$I9=3</formula>
    </cfRule>
  </conditionalFormatting>
  <conditionalFormatting sqref="F9">
    <cfRule type="expression" dxfId="813" priority="77">
      <formula>$I9=4</formula>
    </cfRule>
  </conditionalFormatting>
  <conditionalFormatting sqref="C17">
    <cfRule type="expression" dxfId="812" priority="72">
      <formula>$I17=1</formula>
    </cfRule>
  </conditionalFormatting>
  <conditionalFormatting sqref="D17">
    <cfRule type="expression" dxfId="811" priority="71">
      <formula>$I17=2</formula>
    </cfRule>
  </conditionalFormatting>
  <conditionalFormatting sqref="E17">
    <cfRule type="expression" dxfId="810" priority="70">
      <formula>$I17=3</formula>
    </cfRule>
  </conditionalFormatting>
  <conditionalFormatting sqref="F17">
    <cfRule type="expression" dxfId="809" priority="69">
      <formula>$I17=4</formula>
    </cfRule>
  </conditionalFormatting>
  <conditionalFormatting sqref="C18">
    <cfRule type="expression" dxfId="808" priority="68">
      <formula>$I18=1</formula>
    </cfRule>
  </conditionalFormatting>
  <conditionalFormatting sqref="D18">
    <cfRule type="expression" dxfId="807" priority="67">
      <formula>$I18=2</formula>
    </cfRule>
  </conditionalFormatting>
  <conditionalFormatting sqref="E18">
    <cfRule type="expression" dxfId="806" priority="66">
      <formula>$I18=3</formula>
    </cfRule>
  </conditionalFormatting>
  <conditionalFormatting sqref="F18">
    <cfRule type="expression" dxfId="805" priority="65">
      <formula>$I18=4</formula>
    </cfRule>
  </conditionalFormatting>
  <conditionalFormatting sqref="C19">
    <cfRule type="expression" dxfId="804" priority="64">
      <formula>$I19=1</formula>
    </cfRule>
  </conditionalFormatting>
  <conditionalFormatting sqref="D19">
    <cfRule type="expression" dxfId="803" priority="63">
      <formula>$I19=2</formula>
    </cfRule>
  </conditionalFormatting>
  <conditionalFormatting sqref="E19">
    <cfRule type="expression" dxfId="802" priority="62">
      <formula>$I19=3</formula>
    </cfRule>
  </conditionalFormatting>
  <conditionalFormatting sqref="F19">
    <cfRule type="expression" dxfId="801" priority="61">
      <formula>$I19=4</formula>
    </cfRule>
  </conditionalFormatting>
  <conditionalFormatting sqref="C20">
    <cfRule type="expression" dxfId="800" priority="60">
      <formula>$I20=1</formula>
    </cfRule>
  </conditionalFormatting>
  <conditionalFormatting sqref="D20">
    <cfRule type="expression" dxfId="799" priority="59">
      <formula>$I20=2</formula>
    </cfRule>
  </conditionalFormatting>
  <conditionalFormatting sqref="E20">
    <cfRule type="expression" dxfId="798" priority="58">
      <formula>$I20=3</formula>
    </cfRule>
  </conditionalFormatting>
  <conditionalFormatting sqref="F20">
    <cfRule type="expression" dxfId="797" priority="57">
      <formula>$I20=4</formula>
    </cfRule>
  </conditionalFormatting>
  <conditionalFormatting sqref="C21">
    <cfRule type="expression" dxfId="796" priority="56">
      <formula>$I21=1</formula>
    </cfRule>
  </conditionalFormatting>
  <conditionalFormatting sqref="D21">
    <cfRule type="expression" dxfId="795" priority="55">
      <formula>$I21=2</formula>
    </cfRule>
  </conditionalFormatting>
  <conditionalFormatting sqref="E21">
    <cfRule type="expression" dxfId="794" priority="54">
      <formula>$I21=3</formula>
    </cfRule>
  </conditionalFormatting>
  <conditionalFormatting sqref="F21">
    <cfRule type="expression" dxfId="793" priority="53">
      <formula>$I21=4</formula>
    </cfRule>
  </conditionalFormatting>
  <conditionalFormatting sqref="C31">
    <cfRule type="expression" dxfId="792" priority="48">
      <formula>$I31=1</formula>
    </cfRule>
  </conditionalFormatting>
  <conditionalFormatting sqref="D31">
    <cfRule type="expression" dxfId="791" priority="47">
      <formula>$I31=2</formula>
    </cfRule>
  </conditionalFormatting>
  <conditionalFormatting sqref="E31">
    <cfRule type="expression" dxfId="790" priority="46">
      <formula>$I31=3</formula>
    </cfRule>
  </conditionalFormatting>
  <conditionalFormatting sqref="F31">
    <cfRule type="expression" dxfId="789" priority="45">
      <formula>$I31=4</formula>
    </cfRule>
  </conditionalFormatting>
  <conditionalFormatting sqref="C32">
    <cfRule type="expression" dxfId="788" priority="44">
      <formula>$I32=1</formula>
    </cfRule>
  </conditionalFormatting>
  <conditionalFormatting sqref="D32">
    <cfRule type="expression" dxfId="787" priority="43">
      <formula>$I32=2</formula>
    </cfRule>
  </conditionalFormatting>
  <conditionalFormatting sqref="E32">
    <cfRule type="expression" dxfId="786" priority="42">
      <formula>$I32=3</formula>
    </cfRule>
  </conditionalFormatting>
  <conditionalFormatting sqref="F32">
    <cfRule type="expression" dxfId="785" priority="41">
      <formula>$I32=4</formula>
    </cfRule>
  </conditionalFormatting>
  <conditionalFormatting sqref="C33">
    <cfRule type="expression" dxfId="784" priority="40">
      <formula>$I33=1</formula>
    </cfRule>
  </conditionalFormatting>
  <conditionalFormatting sqref="D33">
    <cfRule type="expression" dxfId="783" priority="39">
      <formula>$I33=2</formula>
    </cfRule>
  </conditionalFormatting>
  <conditionalFormatting sqref="E33">
    <cfRule type="expression" dxfId="782" priority="38">
      <formula>$I33=3</formula>
    </cfRule>
  </conditionalFormatting>
  <conditionalFormatting sqref="F33">
    <cfRule type="expression" dxfId="781" priority="37">
      <formula>$I33=4</formula>
    </cfRule>
  </conditionalFormatting>
  <conditionalFormatting sqref="C34">
    <cfRule type="expression" dxfId="780" priority="36">
      <formula>$I34=1</formula>
    </cfRule>
  </conditionalFormatting>
  <conditionalFormatting sqref="D34">
    <cfRule type="expression" dxfId="779" priority="35">
      <formula>$I34=2</formula>
    </cfRule>
  </conditionalFormatting>
  <conditionalFormatting sqref="E34">
    <cfRule type="expression" dxfId="778" priority="34">
      <formula>$I34=3</formula>
    </cfRule>
  </conditionalFormatting>
  <conditionalFormatting sqref="F34">
    <cfRule type="expression" dxfId="777" priority="33">
      <formula>$I34=4</formula>
    </cfRule>
  </conditionalFormatting>
  <conditionalFormatting sqref="G17">
    <cfRule type="expression" dxfId="776" priority="4">
      <formula>I17=5</formula>
    </cfRule>
  </conditionalFormatting>
  <conditionalFormatting sqref="G18:G21">
    <cfRule type="expression" dxfId="775" priority="3">
      <formula>I18=5</formula>
    </cfRule>
  </conditionalFormatting>
  <conditionalFormatting sqref="G31:G34">
    <cfRule type="expression" dxfId="774" priority="2">
      <formula>I31=5</formula>
    </cfRule>
  </conditionalFormatting>
  <conditionalFormatting sqref="G7:G9">
    <cfRule type="expression" dxfId="773" priority="1">
      <formula>I7=5</formula>
    </cfRule>
  </conditionalFormatting>
  <pageMargins left="0.25" right="0.25" top="0.75" bottom="0.75" header="0.3" footer="0.3"/>
  <pageSetup scale="42"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42" r:id="rId4" name="Group Box 2">
              <controlPr defaultSize="0" autoFill="0" autoPict="0">
                <anchor moveWithCells="1">
                  <from>
                    <xdr:col>1</xdr:col>
                    <xdr:colOff>4597400</xdr:colOff>
                    <xdr:row>7</xdr:row>
                    <xdr:rowOff>63500</xdr:rowOff>
                  </from>
                  <to>
                    <xdr:col>7</xdr:col>
                    <xdr:colOff>254000</xdr:colOff>
                    <xdr:row>7</xdr:row>
                    <xdr:rowOff>533400</xdr:rowOff>
                  </to>
                </anchor>
              </controlPr>
            </control>
          </mc:Choice>
        </mc:AlternateContent>
        <mc:AlternateContent xmlns:mc="http://schemas.openxmlformats.org/markup-compatibility/2006">
          <mc:Choice Requires="x14">
            <control shapeId="10243" r:id="rId5" name="Group Box 3">
              <controlPr defaultSize="0" autoFill="0" autoPict="0">
                <anchor moveWithCells="1">
                  <from>
                    <xdr:col>1</xdr:col>
                    <xdr:colOff>4610100</xdr:colOff>
                    <xdr:row>8</xdr:row>
                    <xdr:rowOff>139700</xdr:rowOff>
                  </from>
                  <to>
                    <xdr:col>7</xdr:col>
                    <xdr:colOff>292100</xdr:colOff>
                    <xdr:row>8</xdr:row>
                    <xdr:rowOff>609600</xdr:rowOff>
                  </to>
                </anchor>
              </controlPr>
            </control>
          </mc:Choice>
        </mc:AlternateContent>
        <mc:AlternateContent xmlns:mc="http://schemas.openxmlformats.org/markup-compatibility/2006">
          <mc:Choice Requires="x14">
            <control shapeId="10249" r:id="rId6" name="Option Button 9">
              <controlPr defaultSize="0" autoFill="0" autoLine="0" autoPict="0">
                <anchor moveWithCells="1">
                  <from>
                    <xdr:col>2</xdr:col>
                    <xdr:colOff>50800</xdr:colOff>
                    <xdr:row>7</xdr:row>
                    <xdr:rowOff>101600</xdr:rowOff>
                  </from>
                  <to>
                    <xdr:col>3</xdr:col>
                    <xdr:colOff>12700</xdr:colOff>
                    <xdr:row>7</xdr:row>
                    <xdr:rowOff>520700</xdr:rowOff>
                  </to>
                </anchor>
              </controlPr>
            </control>
          </mc:Choice>
        </mc:AlternateContent>
        <mc:AlternateContent xmlns:mc="http://schemas.openxmlformats.org/markup-compatibility/2006">
          <mc:Choice Requires="x14">
            <control shapeId="10250" r:id="rId7" name="Option Button 10">
              <controlPr defaultSize="0" autoFill="0" autoLine="0" autoPict="0">
                <anchor moveWithCells="1">
                  <from>
                    <xdr:col>3</xdr:col>
                    <xdr:colOff>63500</xdr:colOff>
                    <xdr:row>7</xdr:row>
                    <xdr:rowOff>101600</xdr:rowOff>
                  </from>
                  <to>
                    <xdr:col>3</xdr:col>
                    <xdr:colOff>368300</xdr:colOff>
                    <xdr:row>7</xdr:row>
                    <xdr:rowOff>520700</xdr:rowOff>
                  </to>
                </anchor>
              </controlPr>
            </control>
          </mc:Choice>
        </mc:AlternateContent>
        <mc:AlternateContent xmlns:mc="http://schemas.openxmlformats.org/markup-compatibility/2006">
          <mc:Choice Requires="x14">
            <control shapeId="10251" r:id="rId8" name="Option Button 11">
              <controlPr defaultSize="0" autoFill="0" autoLine="0" autoPict="0">
                <anchor moveWithCells="1">
                  <from>
                    <xdr:col>4</xdr:col>
                    <xdr:colOff>25400</xdr:colOff>
                    <xdr:row>7</xdr:row>
                    <xdr:rowOff>101600</xdr:rowOff>
                  </from>
                  <to>
                    <xdr:col>4</xdr:col>
                    <xdr:colOff>304800</xdr:colOff>
                    <xdr:row>7</xdr:row>
                    <xdr:rowOff>520700</xdr:rowOff>
                  </to>
                </anchor>
              </controlPr>
            </control>
          </mc:Choice>
        </mc:AlternateContent>
        <mc:AlternateContent xmlns:mc="http://schemas.openxmlformats.org/markup-compatibility/2006">
          <mc:Choice Requires="x14">
            <control shapeId="10252" r:id="rId9" name="Option Button 12">
              <controlPr defaultSize="0" autoFill="0" autoLine="0" autoPict="0">
                <anchor moveWithCells="1">
                  <from>
                    <xdr:col>5</xdr:col>
                    <xdr:colOff>63500</xdr:colOff>
                    <xdr:row>7</xdr:row>
                    <xdr:rowOff>101600</xdr:rowOff>
                  </from>
                  <to>
                    <xdr:col>5</xdr:col>
                    <xdr:colOff>381000</xdr:colOff>
                    <xdr:row>7</xdr:row>
                    <xdr:rowOff>520700</xdr:rowOff>
                  </to>
                </anchor>
              </controlPr>
            </control>
          </mc:Choice>
        </mc:AlternateContent>
        <mc:AlternateContent xmlns:mc="http://schemas.openxmlformats.org/markup-compatibility/2006">
          <mc:Choice Requires="x14">
            <control shapeId="10253" r:id="rId10" name="Option Button 13">
              <controlPr defaultSize="0" autoFill="0" autoLine="0" autoPict="0">
                <anchor moveWithCells="1">
                  <from>
                    <xdr:col>2</xdr:col>
                    <xdr:colOff>50800</xdr:colOff>
                    <xdr:row>8</xdr:row>
                    <xdr:rowOff>177800</xdr:rowOff>
                  </from>
                  <to>
                    <xdr:col>3</xdr:col>
                    <xdr:colOff>38100</xdr:colOff>
                    <xdr:row>8</xdr:row>
                    <xdr:rowOff>596900</xdr:rowOff>
                  </to>
                </anchor>
              </controlPr>
            </control>
          </mc:Choice>
        </mc:AlternateContent>
        <mc:AlternateContent xmlns:mc="http://schemas.openxmlformats.org/markup-compatibility/2006">
          <mc:Choice Requires="x14">
            <control shapeId="10254" r:id="rId11" name="Option Button 14">
              <controlPr defaultSize="0" autoFill="0" autoLine="0" autoPict="0">
                <anchor moveWithCells="1">
                  <from>
                    <xdr:col>3</xdr:col>
                    <xdr:colOff>63500</xdr:colOff>
                    <xdr:row>8</xdr:row>
                    <xdr:rowOff>177800</xdr:rowOff>
                  </from>
                  <to>
                    <xdr:col>3</xdr:col>
                    <xdr:colOff>342900</xdr:colOff>
                    <xdr:row>8</xdr:row>
                    <xdr:rowOff>609600</xdr:rowOff>
                  </to>
                </anchor>
              </controlPr>
            </control>
          </mc:Choice>
        </mc:AlternateContent>
        <mc:AlternateContent xmlns:mc="http://schemas.openxmlformats.org/markup-compatibility/2006">
          <mc:Choice Requires="x14">
            <control shapeId="10255" r:id="rId12" name="Option Button 15">
              <controlPr defaultSize="0" autoFill="0" autoLine="0" autoPict="0">
                <anchor moveWithCells="1">
                  <from>
                    <xdr:col>4</xdr:col>
                    <xdr:colOff>25400</xdr:colOff>
                    <xdr:row>8</xdr:row>
                    <xdr:rowOff>177800</xdr:rowOff>
                  </from>
                  <to>
                    <xdr:col>4</xdr:col>
                    <xdr:colOff>368300</xdr:colOff>
                    <xdr:row>8</xdr:row>
                    <xdr:rowOff>596900</xdr:rowOff>
                  </to>
                </anchor>
              </controlPr>
            </control>
          </mc:Choice>
        </mc:AlternateContent>
        <mc:AlternateContent xmlns:mc="http://schemas.openxmlformats.org/markup-compatibility/2006">
          <mc:Choice Requires="x14">
            <control shapeId="10256" r:id="rId13" name="Option Button 16">
              <controlPr defaultSize="0" autoFill="0" autoLine="0" autoPict="0">
                <anchor moveWithCells="1">
                  <from>
                    <xdr:col>5</xdr:col>
                    <xdr:colOff>63500</xdr:colOff>
                    <xdr:row>8</xdr:row>
                    <xdr:rowOff>165100</xdr:rowOff>
                  </from>
                  <to>
                    <xdr:col>5</xdr:col>
                    <xdr:colOff>393700</xdr:colOff>
                    <xdr:row>8</xdr:row>
                    <xdr:rowOff>609600</xdr:rowOff>
                  </to>
                </anchor>
              </controlPr>
            </control>
          </mc:Choice>
        </mc:AlternateContent>
        <mc:AlternateContent xmlns:mc="http://schemas.openxmlformats.org/markup-compatibility/2006">
          <mc:Choice Requires="x14">
            <control shapeId="10261" r:id="rId14" name="Group Box 21">
              <controlPr defaultSize="0" autoFill="0" autoPict="0">
                <anchor moveWithCells="1">
                  <from>
                    <xdr:col>1</xdr:col>
                    <xdr:colOff>4203700</xdr:colOff>
                    <xdr:row>16</xdr:row>
                    <xdr:rowOff>76200</xdr:rowOff>
                  </from>
                  <to>
                    <xdr:col>7</xdr:col>
                    <xdr:colOff>165100</xdr:colOff>
                    <xdr:row>16</xdr:row>
                    <xdr:rowOff>482600</xdr:rowOff>
                  </to>
                </anchor>
              </controlPr>
            </control>
          </mc:Choice>
        </mc:AlternateContent>
        <mc:AlternateContent xmlns:mc="http://schemas.openxmlformats.org/markup-compatibility/2006">
          <mc:Choice Requires="x14">
            <control shapeId="10262" r:id="rId15" name="Group Box 22">
              <controlPr defaultSize="0" autoFill="0" autoPict="0">
                <anchor moveWithCells="1">
                  <from>
                    <xdr:col>1</xdr:col>
                    <xdr:colOff>4203700</xdr:colOff>
                    <xdr:row>17</xdr:row>
                    <xdr:rowOff>12700</xdr:rowOff>
                  </from>
                  <to>
                    <xdr:col>7</xdr:col>
                    <xdr:colOff>241300</xdr:colOff>
                    <xdr:row>17</xdr:row>
                    <xdr:rowOff>368300</xdr:rowOff>
                  </to>
                </anchor>
              </controlPr>
            </control>
          </mc:Choice>
        </mc:AlternateContent>
        <mc:AlternateContent xmlns:mc="http://schemas.openxmlformats.org/markup-compatibility/2006">
          <mc:Choice Requires="x14">
            <control shapeId="10264" r:id="rId16" name="Group Box 24">
              <controlPr defaultSize="0" autoFill="0" autoPict="0">
                <anchor moveWithCells="1">
                  <from>
                    <xdr:col>1</xdr:col>
                    <xdr:colOff>4203700</xdr:colOff>
                    <xdr:row>19</xdr:row>
                    <xdr:rowOff>12700</xdr:rowOff>
                  </from>
                  <to>
                    <xdr:col>7</xdr:col>
                    <xdr:colOff>292100</xdr:colOff>
                    <xdr:row>20</xdr:row>
                    <xdr:rowOff>38100</xdr:rowOff>
                  </to>
                </anchor>
              </controlPr>
            </control>
          </mc:Choice>
        </mc:AlternateContent>
        <mc:AlternateContent xmlns:mc="http://schemas.openxmlformats.org/markup-compatibility/2006">
          <mc:Choice Requires="x14">
            <control shapeId="10265" r:id="rId17" name="Group Box 25">
              <controlPr defaultSize="0" autoFill="0" autoPict="0">
                <anchor moveWithCells="1">
                  <from>
                    <xdr:col>1</xdr:col>
                    <xdr:colOff>4178300</xdr:colOff>
                    <xdr:row>20</xdr:row>
                    <xdr:rowOff>88900</xdr:rowOff>
                  </from>
                  <to>
                    <xdr:col>7</xdr:col>
                    <xdr:colOff>279400</xdr:colOff>
                    <xdr:row>20</xdr:row>
                    <xdr:rowOff>495300</xdr:rowOff>
                  </to>
                </anchor>
              </controlPr>
            </control>
          </mc:Choice>
        </mc:AlternateContent>
        <mc:AlternateContent xmlns:mc="http://schemas.openxmlformats.org/markup-compatibility/2006">
          <mc:Choice Requires="x14">
            <control shapeId="10267" r:id="rId18" name="Group Box 27">
              <controlPr defaultSize="0" autoFill="0" autoPict="0">
                <anchor moveWithCells="1">
                  <from>
                    <xdr:col>1</xdr:col>
                    <xdr:colOff>4140200</xdr:colOff>
                    <xdr:row>30</xdr:row>
                    <xdr:rowOff>88900</xdr:rowOff>
                  </from>
                  <to>
                    <xdr:col>7</xdr:col>
                    <xdr:colOff>127000</xdr:colOff>
                    <xdr:row>30</xdr:row>
                    <xdr:rowOff>685800</xdr:rowOff>
                  </to>
                </anchor>
              </controlPr>
            </control>
          </mc:Choice>
        </mc:AlternateContent>
        <mc:AlternateContent xmlns:mc="http://schemas.openxmlformats.org/markup-compatibility/2006">
          <mc:Choice Requires="x14">
            <control shapeId="10269" r:id="rId19" name="Group Box 29">
              <controlPr defaultSize="0" autoFill="0" autoPict="0">
                <anchor moveWithCells="1">
                  <from>
                    <xdr:col>1</xdr:col>
                    <xdr:colOff>4102100</xdr:colOff>
                    <xdr:row>32</xdr:row>
                    <xdr:rowOff>38100</xdr:rowOff>
                  </from>
                  <to>
                    <xdr:col>7</xdr:col>
                    <xdr:colOff>279400</xdr:colOff>
                    <xdr:row>32</xdr:row>
                    <xdr:rowOff>901700</xdr:rowOff>
                  </to>
                </anchor>
              </controlPr>
            </control>
          </mc:Choice>
        </mc:AlternateContent>
        <mc:AlternateContent xmlns:mc="http://schemas.openxmlformats.org/markup-compatibility/2006">
          <mc:Choice Requires="x14">
            <control shapeId="10270" r:id="rId20" name="Group Box 30">
              <controlPr defaultSize="0" autoFill="0" autoPict="0">
                <anchor moveWithCells="1">
                  <from>
                    <xdr:col>1</xdr:col>
                    <xdr:colOff>4102100</xdr:colOff>
                    <xdr:row>33</xdr:row>
                    <xdr:rowOff>25400</xdr:rowOff>
                  </from>
                  <to>
                    <xdr:col>7</xdr:col>
                    <xdr:colOff>381000</xdr:colOff>
                    <xdr:row>34</xdr:row>
                    <xdr:rowOff>25400</xdr:rowOff>
                  </to>
                </anchor>
              </controlPr>
            </control>
          </mc:Choice>
        </mc:AlternateContent>
        <mc:AlternateContent xmlns:mc="http://schemas.openxmlformats.org/markup-compatibility/2006">
          <mc:Choice Requires="x14">
            <control shapeId="10273" r:id="rId21" name="Option Button 33">
              <controlPr defaultSize="0" autoFill="0" autoLine="0" autoPict="0">
                <anchor moveWithCells="1">
                  <from>
                    <xdr:col>2</xdr:col>
                    <xdr:colOff>63500</xdr:colOff>
                    <xdr:row>16</xdr:row>
                    <xdr:rowOff>114300</xdr:rowOff>
                  </from>
                  <to>
                    <xdr:col>3</xdr:col>
                    <xdr:colOff>25400</xdr:colOff>
                    <xdr:row>16</xdr:row>
                    <xdr:rowOff>482600</xdr:rowOff>
                  </to>
                </anchor>
              </controlPr>
            </control>
          </mc:Choice>
        </mc:AlternateContent>
        <mc:AlternateContent xmlns:mc="http://schemas.openxmlformats.org/markup-compatibility/2006">
          <mc:Choice Requires="x14">
            <control shapeId="10274" r:id="rId22" name="Option Button 34">
              <controlPr defaultSize="0" autoFill="0" autoLine="0" autoPict="0">
                <anchor moveWithCells="1">
                  <from>
                    <xdr:col>3</xdr:col>
                    <xdr:colOff>63500</xdr:colOff>
                    <xdr:row>16</xdr:row>
                    <xdr:rowOff>127000</xdr:rowOff>
                  </from>
                  <to>
                    <xdr:col>3</xdr:col>
                    <xdr:colOff>342900</xdr:colOff>
                    <xdr:row>16</xdr:row>
                    <xdr:rowOff>482600</xdr:rowOff>
                  </to>
                </anchor>
              </controlPr>
            </control>
          </mc:Choice>
        </mc:AlternateContent>
        <mc:AlternateContent xmlns:mc="http://schemas.openxmlformats.org/markup-compatibility/2006">
          <mc:Choice Requires="x14">
            <control shapeId="10275" r:id="rId23" name="Option Button 35">
              <controlPr defaultSize="0" autoFill="0" autoLine="0" autoPict="0">
                <anchor moveWithCells="1">
                  <from>
                    <xdr:col>4</xdr:col>
                    <xdr:colOff>63500</xdr:colOff>
                    <xdr:row>16</xdr:row>
                    <xdr:rowOff>114300</xdr:rowOff>
                  </from>
                  <to>
                    <xdr:col>4</xdr:col>
                    <xdr:colOff>368300</xdr:colOff>
                    <xdr:row>16</xdr:row>
                    <xdr:rowOff>482600</xdr:rowOff>
                  </to>
                </anchor>
              </controlPr>
            </control>
          </mc:Choice>
        </mc:AlternateContent>
        <mc:AlternateContent xmlns:mc="http://schemas.openxmlformats.org/markup-compatibility/2006">
          <mc:Choice Requires="x14">
            <control shapeId="10276" r:id="rId24" name="Option Button 36">
              <controlPr defaultSize="0" autoFill="0" autoLine="0" autoPict="0">
                <anchor moveWithCells="1">
                  <from>
                    <xdr:col>5</xdr:col>
                    <xdr:colOff>63500</xdr:colOff>
                    <xdr:row>16</xdr:row>
                    <xdr:rowOff>114300</xdr:rowOff>
                  </from>
                  <to>
                    <xdr:col>5</xdr:col>
                    <xdr:colOff>393700</xdr:colOff>
                    <xdr:row>16</xdr:row>
                    <xdr:rowOff>482600</xdr:rowOff>
                  </to>
                </anchor>
              </controlPr>
            </control>
          </mc:Choice>
        </mc:AlternateContent>
        <mc:AlternateContent xmlns:mc="http://schemas.openxmlformats.org/markup-compatibility/2006">
          <mc:Choice Requires="x14">
            <control shapeId="10277" r:id="rId25" name="Option Button 37">
              <controlPr defaultSize="0" autoFill="0" autoLine="0" autoPict="0">
                <anchor moveWithCells="1">
                  <from>
                    <xdr:col>2</xdr:col>
                    <xdr:colOff>63500</xdr:colOff>
                    <xdr:row>17</xdr:row>
                    <xdr:rowOff>76200</xdr:rowOff>
                  </from>
                  <to>
                    <xdr:col>3</xdr:col>
                    <xdr:colOff>25400</xdr:colOff>
                    <xdr:row>17</xdr:row>
                    <xdr:rowOff>368300</xdr:rowOff>
                  </to>
                </anchor>
              </controlPr>
            </control>
          </mc:Choice>
        </mc:AlternateContent>
        <mc:AlternateContent xmlns:mc="http://schemas.openxmlformats.org/markup-compatibility/2006">
          <mc:Choice Requires="x14">
            <control shapeId="10278" r:id="rId26" name="Option Button 38">
              <controlPr defaultSize="0" autoFill="0" autoLine="0" autoPict="0">
                <anchor moveWithCells="1">
                  <from>
                    <xdr:col>3</xdr:col>
                    <xdr:colOff>63500</xdr:colOff>
                    <xdr:row>17</xdr:row>
                    <xdr:rowOff>76200</xdr:rowOff>
                  </from>
                  <to>
                    <xdr:col>3</xdr:col>
                    <xdr:colOff>368300</xdr:colOff>
                    <xdr:row>17</xdr:row>
                    <xdr:rowOff>368300</xdr:rowOff>
                  </to>
                </anchor>
              </controlPr>
            </control>
          </mc:Choice>
        </mc:AlternateContent>
        <mc:AlternateContent xmlns:mc="http://schemas.openxmlformats.org/markup-compatibility/2006">
          <mc:Choice Requires="x14">
            <control shapeId="10279" r:id="rId27" name="Option Button 39">
              <controlPr defaultSize="0" autoFill="0" autoLine="0" autoPict="0">
                <anchor moveWithCells="1">
                  <from>
                    <xdr:col>4</xdr:col>
                    <xdr:colOff>63500</xdr:colOff>
                    <xdr:row>17</xdr:row>
                    <xdr:rowOff>76200</xdr:rowOff>
                  </from>
                  <to>
                    <xdr:col>4</xdr:col>
                    <xdr:colOff>381000</xdr:colOff>
                    <xdr:row>17</xdr:row>
                    <xdr:rowOff>368300</xdr:rowOff>
                  </to>
                </anchor>
              </controlPr>
            </control>
          </mc:Choice>
        </mc:AlternateContent>
        <mc:AlternateContent xmlns:mc="http://schemas.openxmlformats.org/markup-compatibility/2006">
          <mc:Choice Requires="x14">
            <control shapeId="10280" r:id="rId28" name="Option Button 40">
              <controlPr defaultSize="0" autoFill="0" autoLine="0" autoPict="0">
                <anchor moveWithCells="1">
                  <from>
                    <xdr:col>5</xdr:col>
                    <xdr:colOff>63500</xdr:colOff>
                    <xdr:row>17</xdr:row>
                    <xdr:rowOff>76200</xdr:rowOff>
                  </from>
                  <to>
                    <xdr:col>5</xdr:col>
                    <xdr:colOff>393700</xdr:colOff>
                    <xdr:row>17</xdr:row>
                    <xdr:rowOff>368300</xdr:rowOff>
                  </to>
                </anchor>
              </controlPr>
            </control>
          </mc:Choice>
        </mc:AlternateContent>
        <mc:AlternateContent xmlns:mc="http://schemas.openxmlformats.org/markup-compatibility/2006">
          <mc:Choice Requires="x14">
            <control shapeId="10285" r:id="rId29" name="Option Button 45">
              <controlPr defaultSize="0" autoFill="0" autoLine="0" autoPict="0">
                <anchor moveWithCells="1">
                  <from>
                    <xdr:col>2</xdr:col>
                    <xdr:colOff>63500</xdr:colOff>
                    <xdr:row>19</xdr:row>
                    <xdr:rowOff>50800</xdr:rowOff>
                  </from>
                  <to>
                    <xdr:col>3</xdr:col>
                    <xdr:colOff>25400</xdr:colOff>
                    <xdr:row>20</xdr:row>
                    <xdr:rowOff>12700</xdr:rowOff>
                  </to>
                </anchor>
              </controlPr>
            </control>
          </mc:Choice>
        </mc:AlternateContent>
        <mc:AlternateContent xmlns:mc="http://schemas.openxmlformats.org/markup-compatibility/2006">
          <mc:Choice Requires="x14">
            <control shapeId="10286" r:id="rId30" name="Option Button 46">
              <controlPr defaultSize="0" autoFill="0" autoLine="0" autoPict="0">
                <anchor moveWithCells="1">
                  <from>
                    <xdr:col>3</xdr:col>
                    <xdr:colOff>63500</xdr:colOff>
                    <xdr:row>19</xdr:row>
                    <xdr:rowOff>38100</xdr:rowOff>
                  </from>
                  <to>
                    <xdr:col>3</xdr:col>
                    <xdr:colOff>381000</xdr:colOff>
                    <xdr:row>20</xdr:row>
                    <xdr:rowOff>25400</xdr:rowOff>
                  </to>
                </anchor>
              </controlPr>
            </control>
          </mc:Choice>
        </mc:AlternateContent>
        <mc:AlternateContent xmlns:mc="http://schemas.openxmlformats.org/markup-compatibility/2006">
          <mc:Choice Requires="x14">
            <control shapeId="10287" r:id="rId31" name="Option Button 47">
              <controlPr defaultSize="0" autoFill="0" autoLine="0" autoPict="0">
                <anchor moveWithCells="1">
                  <from>
                    <xdr:col>4</xdr:col>
                    <xdr:colOff>63500</xdr:colOff>
                    <xdr:row>19</xdr:row>
                    <xdr:rowOff>63500</xdr:rowOff>
                  </from>
                  <to>
                    <xdr:col>4</xdr:col>
                    <xdr:colOff>368300</xdr:colOff>
                    <xdr:row>20</xdr:row>
                    <xdr:rowOff>12700</xdr:rowOff>
                  </to>
                </anchor>
              </controlPr>
            </control>
          </mc:Choice>
        </mc:AlternateContent>
        <mc:AlternateContent xmlns:mc="http://schemas.openxmlformats.org/markup-compatibility/2006">
          <mc:Choice Requires="x14">
            <control shapeId="10288" r:id="rId32" name="Option Button 48">
              <controlPr defaultSize="0" autoFill="0" autoLine="0" autoPict="0">
                <anchor moveWithCells="1">
                  <from>
                    <xdr:col>5</xdr:col>
                    <xdr:colOff>63500</xdr:colOff>
                    <xdr:row>19</xdr:row>
                    <xdr:rowOff>50800</xdr:rowOff>
                  </from>
                  <to>
                    <xdr:col>5</xdr:col>
                    <xdr:colOff>368300</xdr:colOff>
                    <xdr:row>20</xdr:row>
                    <xdr:rowOff>12700</xdr:rowOff>
                  </to>
                </anchor>
              </controlPr>
            </control>
          </mc:Choice>
        </mc:AlternateContent>
        <mc:AlternateContent xmlns:mc="http://schemas.openxmlformats.org/markup-compatibility/2006">
          <mc:Choice Requires="x14">
            <control shapeId="10289" r:id="rId33" name="Option Button 49">
              <controlPr defaultSize="0" autoFill="0" autoLine="0" autoPict="0">
                <anchor moveWithCells="1">
                  <from>
                    <xdr:col>2</xdr:col>
                    <xdr:colOff>63500</xdr:colOff>
                    <xdr:row>20</xdr:row>
                    <xdr:rowOff>152400</xdr:rowOff>
                  </from>
                  <to>
                    <xdr:col>3</xdr:col>
                    <xdr:colOff>0</xdr:colOff>
                    <xdr:row>20</xdr:row>
                    <xdr:rowOff>495300</xdr:rowOff>
                  </to>
                </anchor>
              </controlPr>
            </control>
          </mc:Choice>
        </mc:AlternateContent>
        <mc:AlternateContent xmlns:mc="http://schemas.openxmlformats.org/markup-compatibility/2006">
          <mc:Choice Requires="x14">
            <control shapeId="10290" r:id="rId34" name="Option Button 50">
              <controlPr defaultSize="0" autoFill="0" autoLine="0" autoPict="0">
                <anchor moveWithCells="1">
                  <from>
                    <xdr:col>3</xdr:col>
                    <xdr:colOff>63500</xdr:colOff>
                    <xdr:row>20</xdr:row>
                    <xdr:rowOff>152400</xdr:rowOff>
                  </from>
                  <to>
                    <xdr:col>3</xdr:col>
                    <xdr:colOff>381000</xdr:colOff>
                    <xdr:row>20</xdr:row>
                    <xdr:rowOff>495300</xdr:rowOff>
                  </to>
                </anchor>
              </controlPr>
            </control>
          </mc:Choice>
        </mc:AlternateContent>
        <mc:AlternateContent xmlns:mc="http://schemas.openxmlformats.org/markup-compatibility/2006">
          <mc:Choice Requires="x14">
            <control shapeId="10291" r:id="rId35" name="Option Button 51">
              <controlPr defaultSize="0" autoFill="0" autoLine="0" autoPict="0">
                <anchor moveWithCells="1">
                  <from>
                    <xdr:col>4</xdr:col>
                    <xdr:colOff>63500</xdr:colOff>
                    <xdr:row>20</xdr:row>
                    <xdr:rowOff>152400</xdr:rowOff>
                  </from>
                  <to>
                    <xdr:col>4</xdr:col>
                    <xdr:colOff>381000</xdr:colOff>
                    <xdr:row>20</xdr:row>
                    <xdr:rowOff>495300</xdr:rowOff>
                  </to>
                </anchor>
              </controlPr>
            </control>
          </mc:Choice>
        </mc:AlternateContent>
        <mc:AlternateContent xmlns:mc="http://schemas.openxmlformats.org/markup-compatibility/2006">
          <mc:Choice Requires="x14">
            <control shapeId="10292" r:id="rId36" name="Option Button 52">
              <controlPr defaultSize="0" autoFill="0" autoLine="0" autoPict="0">
                <anchor moveWithCells="1">
                  <from>
                    <xdr:col>5</xdr:col>
                    <xdr:colOff>63500</xdr:colOff>
                    <xdr:row>20</xdr:row>
                    <xdr:rowOff>165100</xdr:rowOff>
                  </from>
                  <to>
                    <xdr:col>5</xdr:col>
                    <xdr:colOff>393700</xdr:colOff>
                    <xdr:row>20</xdr:row>
                    <xdr:rowOff>495300</xdr:rowOff>
                  </to>
                </anchor>
              </controlPr>
            </control>
          </mc:Choice>
        </mc:AlternateContent>
        <mc:AlternateContent xmlns:mc="http://schemas.openxmlformats.org/markup-compatibility/2006">
          <mc:Choice Requires="x14">
            <control shapeId="10297" r:id="rId37" name="Option Button 57">
              <controlPr defaultSize="0" autoFill="0" autoLine="0" autoPict="0">
                <anchor moveWithCells="1">
                  <from>
                    <xdr:col>2</xdr:col>
                    <xdr:colOff>63500</xdr:colOff>
                    <xdr:row>30</xdr:row>
                    <xdr:rowOff>152400</xdr:rowOff>
                  </from>
                  <to>
                    <xdr:col>3</xdr:col>
                    <xdr:colOff>25400</xdr:colOff>
                    <xdr:row>30</xdr:row>
                    <xdr:rowOff>673100</xdr:rowOff>
                  </to>
                </anchor>
              </controlPr>
            </control>
          </mc:Choice>
        </mc:AlternateContent>
        <mc:AlternateContent xmlns:mc="http://schemas.openxmlformats.org/markup-compatibility/2006">
          <mc:Choice Requires="x14">
            <control shapeId="10298" r:id="rId38" name="Option Button 58">
              <controlPr defaultSize="0" autoFill="0" autoLine="0" autoPict="0">
                <anchor moveWithCells="1">
                  <from>
                    <xdr:col>3</xdr:col>
                    <xdr:colOff>63500</xdr:colOff>
                    <xdr:row>30</xdr:row>
                    <xdr:rowOff>139700</xdr:rowOff>
                  </from>
                  <to>
                    <xdr:col>3</xdr:col>
                    <xdr:colOff>342900</xdr:colOff>
                    <xdr:row>30</xdr:row>
                    <xdr:rowOff>673100</xdr:rowOff>
                  </to>
                </anchor>
              </controlPr>
            </control>
          </mc:Choice>
        </mc:AlternateContent>
        <mc:AlternateContent xmlns:mc="http://schemas.openxmlformats.org/markup-compatibility/2006">
          <mc:Choice Requires="x14">
            <control shapeId="10299" r:id="rId39" name="Option Button 59">
              <controlPr defaultSize="0" autoFill="0" autoLine="0" autoPict="0">
                <anchor moveWithCells="1">
                  <from>
                    <xdr:col>4</xdr:col>
                    <xdr:colOff>63500</xdr:colOff>
                    <xdr:row>30</xdr:row>
                    <xdr:rowOff>152400</xdr:rowOff>
                  </from>
                  <to>
                    <xdr:col>4</xdr:col>
                    <xdr:colOff>342900</xdr:colOff>
                    <xdr:row>30</xdr:row>
                    <xdr:rowOff>673100</xdr:rowOff>
                  </to>
                </anchor>
              </controlPr>
            </control>
          </mc:Choice>
        </mc:AlternateContent>
        <mc:AlternateContent xmlns:mc="http://schemas.openxmlformats.org/markup-compatibility/2006">
          <mc:Choice Requires="x14">
            <control shapeId="10300" r:id="rId40" name="Option Button 60">
              <controlPr defaultSize="0" autoFill="0" autoLine="0" autoPict="0">
                <anchor moveWithCells="1">
                  <from>
                    <xdr:col>5</xdr:col>
                    <xdr:colOff>63500</xdr:colOff>
                    <xdr:row>30</xdr:row>
                    <xdr:rowOff>139700</xdr:rowOff>
                  </from>
                  <to>
                    <xdr:col>5</xdr:col>
                    <xdr:colOff>368300</xdr:colOff>
                    <xdr:row>30</xdr:row>
                    <xdr:rowOff>673100</xdr:rowOff>
                  </to>
                </anchor>
              </controlPr>
            </control>
          </mc:Choice>
        </mc:AlternateContent>
        <mc:AlternateContent xmlns:mc="http://schemas.openxmlformats.org/markup-compatibility/2006">
          <mc:Choice Requires="x14">
            <control shapeId="10305" r:id="rId41" name="Option Button 65">
              <controlPr defaultSize="0" autoFill="0" autoLine="0" autoPict="0">
                <anchor moveWithCells="1">
                  <from>
                    <xdr:col>2</xdr:col>
                    <xdr:colOff>63500</xdr:colOff>
                    <xdr:row>32</xdr:row>
                    <xdr:rowOff>76200</xdr:rowOff>
                  </from>
                  <to>
                    <xdr:col>3</xdr:col>
                    <xdr:colOff>88900</xdr:colOff>
                    <xdr:row>32</xdr:row>
                    <xdr:rowOff>876300</xdr:rowOff>
                  </to>
                </anchor>
              </controlPr>
            </control>
          </mc:Choice>
        </mc:AlternateContent>
        <mc:AlternateContent xmlns:mc="http://schemas.openxmlformats.org/markup-compatibility/2006">
          <mc:Choice Requires="x14">
            <control shapeId="10306" r:id="rId42" name="Option Button 66">
              <controlPr defaultSize="0" autoFill="0" autoLine="0" autoPict="0">
                <anchor moveWithCells="1">
                  <from>
                    <xdr:col>3</xdr:col>
                    <xdr:colOff>63500</xdr:colOff>
                    <xdr:row>32</xdr:row>
                    <xdr:rowOff>76200</xdr:rowOff>
                  </from>
                  <to>
                    <xdr:col>3</xdr:col>
                    <xdr:colOff>368300</xdr:colOff>
                    <xdr:row>32</xdr:row>
                    <xdr:rowOff>889000</xdr:rowOff>
                  </to>
                </anchor>
              </controlPr>
            </control>
          </mc:Choice>
        </mc:AlternateContent>
        <mc:AlternateContent xmlns:mc="http://schemas.openxmlformats.org/markup-compatibility/2006">
          <mc:Choice Requires="x14">
            <control shapeId="10307" r:id="rId43" name="Option Button 67">
              <controlPr defaultSize="0" autoFill="0" autoLine="0" autoPict="0">
                <anchor moveWithCells="1">
                  <from>
                    <xdr:col>4</xdr:col>
                    <xdr:colOff>63500</xdr:colOff>
                    <xdr:row>32</xdr:row>
                    <xdr:rowOff>63500</xdr:rowOff>
                  </from>
                  <to>
                    <xdr:col>4</xdr:col>
                    <xdr:colOff>368300</xdr:colOff>
                    <xdr:row>32</xdr:row>
                    <xdr:rowOff>889000</xdr:rowOff>
                  </to>
                </anchor>
              </controlPr>
            </control>
          </mc:Choice>
        </mc:AlternateContent>
        <mc:AlternateContent xmlns:mc="http://schemas.openxmlformats.org/markup-compatibility/2006">
          <mc:Choice Requires="x14">
            <control shapeId="10308" r:id="rId44" name="Option Button 68">
              <controlPr defaultSize="0" autoFill="0" autoLine="0" autoPict="0">
                <anchor moveWithCells="1">
                  <from>
                    <xdr:col>5</xdr:col>
                    <xdr:colOff>63500</xdr:colOff>
                    <xdr:row>32</xdr:row>
                    <xdr:rowOff>88900</xdr:rowOff>
                  </from>
                  <to>
                    <xdr:col>5</xdr:col>
                    <xdr:colOff>393700</xdr:colOff>
                    <xdr:row>32</xdr:row>
                    <xdr:rowOff>876300</xdr:rowOff>
                  </to>
                </anchor>
              </controlPr>
            </control>
          </mc:Choice>
        </mc:AlternateContent>
        <mc:AlternateContent xmlns:mc="http://schemas.openxmlformats.org/markup-compatibility/2006">
          <mc:Choice Requires="x14">
            <control shapeId="10309" r:id="rId45" name="Option Button 69">
              <controlPr defaultSize="0" autoFill="0" autoLine="0" autoPict="0">
                <anchor moveWithCells="1">
                  <from>
                    <xdr:col>2</xdr:col>
                    <xdr:colOff>63500</xdr:colOff>
                    <xdr:row>33</xdr:row>
                    <xdr:rowOff>139700</xdr:rowOff>
                  </from>
                  <to>
                    <xdr:col>3</xdr:col>
                    <xdr:colOff>0</xdr:colOff>
                    <xdr:row>33</xdr:row>
                    <xdr:rowOff>850900</xdr:rowOff>
                  </to>
                </anchor>
              </controlPr>
            </control>
          </mc:Choice>
        </mc:AlternateContent>
        <mc:AlternateContent xmlns:mc="http://schemas.openxmlformats.org/markup-compatibility/2006">
          <mc:Choice Requires="x14">
            <control shapeId="10310" r:id="rId46" name="Option Button 70">
              <controlPr defaultSize="0" autoFill="0" autoLine="0" autoPict="0">
                <anchor moveWithCells="1">
                  <from>
                    <xdr:col>3</xdr:col>
                    <xdr:colOff>63500</xdr:colOff>
                    <xdr:row>33</xdr:row>
                    <xdr:rowOff>152400</xdr:rowOff>
                  </from>
                  <to>
                    <xdr:col>3</xdr:col>
                    <xdr:colOff>368300</xdr:colOff>
                    <xdr:row>33</xdr:row>
                    <xdr:rowOff>838200</xdr:rowOff>
                  </to>
                </anchor>
              </controlPr>
            </control>
          </mc:Choice>
        </mc:AlternateContent>
        <mc:AlternateContent xmlns:mc="http://schemas.openxmlformats.org/markup-compatibility/2006">
          <mc:Choice Requires="x14">
            <control shapeId="10312" r:id="rId47" name="Option Button 72">
              <controlPr defaultSize="0" autoFill="0" autoLine="0" autoPict="0">
                <anchor moveWithCells="1">
                  <from>
                    <xdr:col>4</xdr:col>
                    <xdr:colOff>63500</xdr:colOff>
                    <xdr:row>33</xdr:row>
                    <xdr:rowOff>114300</xdr:rowOff>
                  </from>
                  <to>
                    <xdr:col>4</xdr:col>
                    <xdr:colOff>406400</xdr:colOff>
                    <xdr:row>33</xdr:row>
                    <xdr:rowOff>876300</xdr:rowOff>
                  </to>
                </anchor>
              </controlPr>
            </control>
          </mc:Choice>
        </mc:AlternateContent>
        <mc:AlternateContent xmlns:mc="http://schemas.openxmlformats.org/markup-compatibility/2006">
          <mc:Choice Requires="x14">
            <control shapeId="10345" r:id="rId48" name="Option Button 105">
              <controlPr defaultSize="0" autoFill="0" autoLine="0" autoPict="0">
                <anchor moveWithCells="1">
                  <from>
                    <xdr:col>5</xdr:col>
                    <xdr:colOff>63500</xdr:colOff>
                    <xdr:row>33</xdr:row>
                    <xdr:rowOff>139700</xdr:rowOff>
                  </from>
                  <to>
                    <xdr:col>5</xdr:col>
                    <xdr:colOff>368300</xdr:colOff>
                    <xdr:row>33</xdr:row>
                    <xdr:rowOff>850900</xdr:rowOff>
                  </to>
                </anchor>
              </controlPr>
            </control>
          </mc:Choice>
        </mc:AlternateContent>
        <mc:AlternateContent xmlns:mc="http://schemas.openxmlformats.org/markup-compatibility/2006">
          <mc:Choice Requires="x14">
            <control shapeId="10346" r:id="rId49" name="Group Box 106">
              <controlPr defaultSize="0" autoFill="0" autoPict="0">
                <anchor moveWithCells="1">
                  <from>
                    <xdr:col>2</xdr:col>
                    <xdr:colOff>0</xdr:colOff>
                    <xdr:row>18</xdr:row>
                    <xdr:rowOff>50800</xdr:rowOff>
                  </from>
                  <to>
                    <xdr:col>7</xdr:col>
                    <xdr:colOff>241300</xdr:colOff>
                    <xdr:row>18</xdr:row>
                    <xdr:rowOff>508000</xdr:rowOff>
                  </to>
                </anchor>
              </controlPr>
            </control>
          </mc:Choice>
        </mc:AlternateContent>
        <mc:AlternateContent xmlns:mc="http://schemas.openxmlformats.org/markup-compatibility/2006">
          <mc:Choice Requires="x14">
            <control shapeId="10347" r:id="rId50" name="Option Button 107">
              <controlPr defaultSize="0" autoFill="0" autoLine="0" autoPict="0">
                <anchor moveWithCells="1">
                  <from>
                    <xdr:col>2</xdr:col>
                    <xdr:colOff>63500</xdr:colOff>
                    <xdr:row>18</xdr:row>
                    <xdr:rowOff>101600</xdr:rowOff>
                  </from>
                  <to>
                    <xdr:col>2</xdr:col>
                    <xdr:colOff>317500</xdr:colOff>
                    <xdr:row>18</xdr:row>
                    <xdr:rowOff>495300</xdr:rowOff>
                  </to>
                </anchor>
              </controlPr>
            </control>
          </mc:Choice>
        </mc:AlternateContent>
        <mc:AlternateContent xmlns:mc="http://schemas.openxmlformats.org/markup-compatibility/2006">
          <mc:Choice Requires="x14">
            <control shapeId="10348" r:id="rId51" name="Option Button 108">
              <controlPr defaultSize="0" autoFill="0" autoLine="0" autoPict="0">
                <anchor moveWithCells="1">
                  <from>
                    <xdr:col>3</xdr:col>
                    <xdr:colOff>63500</xdr:colOff>
                    <xdr:row>18</xdr:row>
                    <xdr:rowOff>101600</xdr:rowOff>
                  </from>
                  <to>
                    <xdr:col>3</xdr:col>
                    <xdr:colOff>317500</xdr:colOff>
                    <xdr:row>18</xdr:row>
                    <xdr:rowOff>495300</xdr:rowOff>
                  </to>
                </anchor>
              </controlPr>
            </control>
          </mc:Choice>
        </mc:AlternateContent>
        <mc:AlternateContent xmlns:mc="http://schemas.openxmlformats.org/markup-compatibility/2006">
          <mc:Choice Requires="x14">
            <control shapeId="10349" r:id="rId52" name="Option Button 109">
              <controlPr defaultSize="0" autoFill="0" autoLine="0" autoPict="0">
                <anchor moveWithCells="1">
                  <from>
                    <xdr:col>4</xdr:col>
                    <xdr:colOff>63500</xdr:colOff>
                    <xdr:row>18</xdr:row>
                    <xdr:rowOff>101600</xdr:rowOff>
                  </from>
                  <to>
                    <xdr:col>4</xdr:col>
                    <xdr:colOff>419100</xdr:colOff>
                    <xdr:row>18</xdr:row>
                    <xdr:rowOff>495300</xdr:rowOff>
                  </to>
                </anchor>
              </controlPr>
            </control>
          </mc:Choice>
        </mc:AlternateContent>
        <mc:AlternateContent xmlns:mc="http://schemas.openxmlformats.org/markup-compatibility/2006">
          <mc:Choice Requires="x14">
            <control shapeId="10350" r:id="rId53" name="Option Button 110">
              <controlPr defaultSize="0" autoFill="0" autoLine="0" autoPict="0">
                <anchor moveWithCells="1">
                  <from>
                    <xdr:col>5</xdr:col>
                    <xdr:colOff>63500</xdr:colOff>
                    <xdr:row>18</xdr:row>
                    <xdr:rowOff>101600</xdr:rowOff>
                  </from>
                  <to>
                    <xdr:col>5</xdr:col>
                    <xdr:colOff>342900</xdr:colOff>
                    <xdr:row>18</xdr:row>
                    <xdr:rowOff>495300</xdr:rowOff>
                  </to>
                </anchor>
              </controlPr>
            </control>
          </mc:Choice>
        </mc:AlternateContent>
        <mc:AlternateContent xmlns:mc="http://schemas.openxmlformats.org/markup-compatibility/2006">
          <mc:Choice Requires="x14">
            <control shapeId="10351" r:id="rId54" name="Group Box 111">
              <controlPr defaultSize="0" autoFill="0" autoPict="0">
                <anchor moveWithCells="1">
                  <from>
                    <xdr:col>2</xdr:col>
                    <xdr:colOff>0</xdr:colOff>
                    <xdr:row>31</xdr:row>
                    <xdr:rowOff>12700</xdr:rowOff>
                  </from>
                  <to>
                    <xdr:col>7</xdr:col>
                    <xdr:colOff>114300</xdr:colOff>
                    <xdr:row>31</xdr:row>
                    <xdr:rowOff>736600</xdr:rowOff>
                  </to>
                </anchor>
              </controlPr>
            </control>
          </mc:Choice>
        </mc:AlternateContent>
        <mc:AlternateContent xmlns:mc="http://schemas.openxmlformats.org/markup-compatibility/2006">
          <mc:Choice Requires="x14">
            <control shapeId="10352" r:id="rId55" name="Option Button 112">
              <controlPr defaultSize="0" autoFill="0" autoLine="0" autoPict="0">
                <anchor moveWithCells="1">
                  <from>
                    <xdr:col>2</xdr:col>
                    <xdr:colOff>63500</xdr:colOff>
                    <xdr:row>31</xdr:row>
                    <xdr:rowOff>63500</xdr:rowOff>
                  </from>
                  <to>
                    <xdr:col>3</xdr:col>
                    <xdr:colOff>0</xdr:colOff>
                    <xdr:row>31</xdr:row>
                    <xdr:rowOff>723900</xdr:rowOff>
                  </to>
                </anchor>
              </controlPr>
            </control>
          </mc:Choice>
        </mc:AlternateContent>
        <mc:AlternateContent xmlns:mc="http://schemas.openxmlformats.org/markup-compatibility/2006">
          <mc:Choice Requires="x14">
            <control shapeId="10353" r:id="rId56" name="Option Button 113">
              <controlPr defaultSize="0" autoFill="0" autoLine="0" autoPict="0">
                <anchor moveWithCells="1">
                  <from>
                    <xdr:col>3</xdr:col>
                    <xdr:colOff>63500</xdr:colOff>
                    <xdr:row>31</xdr:row>
                    <xdr:rowOff>63500</xdr:rowOff>
                  </from>
                  <to>
                    <xdr:col>3</xdr:col>
                    <xdr:colOff>330200</xdr:colOff>
                    <xdr:row>31</xdr:row>
                    <xdr:rowOff>723900</xdr:rowOff>
                  </to>
                </anchor>
              </controlPr>
            </control>
          </mc:Choice>
        </mc:AlternateContent>
        <mc:AlternateContent xmlns:mc="http://schemas.openxmlformats.org/markup-compatibility/2006">
          <mc:Choice Requires="x14">
            <control shapeId="10354" r:id="rId57" name="Option Button 114">
              <controlPr defaultSize="0" autoFill="0" autoLine="0" autoPict="0">
                <anchor moveWithCells="1">
                  <from>
                    <xdr:col>4</xdr:col>
                    <xdr:colOff>63500</xdr:colOff>
                    <xdr:row>31</xdr:row>
                    <xdr:rowOff>76200</xdr:rowOff>
                  </from>
                  <to>
                    <xdr:col>4</xdr:col>
                    <xdr:colOff>292100</xdr:colOff>
                    <xdr:row>31</xdr:row>
                    <xdr:rowOff>723900</xdr:rowOff>
                  </to>
                </anchor>
              </controlPr>
            </control>
          </mc:Choice>
        </mc:AlternateContent>
        <mc:AlternateContent xmlns:mc="http://schemas.openxmlformats.org/markup-compatibility/2006">
          <mc:Choice Requires="x14">
            <control shapeId="10355" r:id="rId58" name="Option Button 115">
              <controlPr defaultSize="0" autoFill="0" autoLine="0" autoPict="0">
                <anchor moveWithCells="1">
                  <from>
                    <xdr:col>5</xdr:col>
                    <xdr:colOff>63500</xdr:colOff>
                    <xdr:row>31</xdr:row>
                    <xdr:rowOff>76200</xdr:rowOff>
                  </from>
                  <to>
                    <xdr:col>5</xdr:col>
                    <xdr:colOff>342900</xdr:colOff>
                    <xdr:row>31</xdr:row>
                    <xdr:rowOff>723900</xdr:rowOff>
                  </to>
                </anchor>
              </controlPr>
            </control>
          </mc:Choice>
        </mc:AlternateContent>
        <mc:AlternateContent xmlns:mc="http://schemas.openxmlformats.org/markup-compatibility/2006">
          <mc:Choice Requires="x14">
            <control shapeId="10357" r:id="rId59" name="Option Button 117">
              <controlPr defaultSize="0" autoFill="0" autoLine="0" autoPict="0">
                <anchor moveWithCells="1">
                  <from>
                    <xdr:col>6</xdr:col>
                    <xdr:colOff>330200</xdr:colOff>
                    <xdr:row>7</xdr:row>
                    <xdr:rowOff>114300</xdr:rowOff>
                  </from>
                  <to>
                    <xdr:col>6</xdr:col>
                    <xdr:colOff>863600</xdr:colOff>
                    <xdr:row>7</xdr:row>
                    <xdr:rowOff>508000</xdr:rowOff>
                  </to>
                </anchor>
              </controlPr>
            </control>
          </mc:Choice>
        </mc:AlternateContent>
        <mc:AlternateContent xmlns:mc="http://schemas.openxmlformats.org/markup-compatibility/2006">
          <mc:Choice Requires="x14">
            <control shapeId="10358" r:id="rId60" name="Option Button 118">
              <controlPr defaultSize="0" autoFill="0" autoLine="0" autoPict="0">
                <anchor moveWithCells="1">
                  <from>
                    <xdr:col>6</xdr:col>
                    <xdr:colOff>330200</xdr:colOff>
                    <xdr:row>8</xdr:row>
                    <xdr:rowOff>177800</xdr:rowOff>
                  </from>
                  <to>
                    <xdr:col>6</xdr:col>
                    <xdr:colOff>901700</xdr:colOff>
                    <xdr:row>8</xdr:row>
                    <xdr:rowOff>596900</xdr:rowOff>
                  </to>
                </anchor>
              </controlPr>
            </control>
          </mc:Choice>
        </mc:AlternateContent>
        <mc:AlternateContent xmlns:mc="http://schemas.openxmlformats.org/markup-compatibility/2006">
          <mc:Choice Requires="x14">
            <control shapeId="10361" r:id="rId61" name="Option Button 121">
              <controlPr defaultSize="0" autoFill="0" autoLine="0" autoPict="0">
                <anchor moveWithCells="1">
                  <from>
                    <xdr:col>6</xdr:col>
                    <xdr:colOff>330200</xdr:colOff>
                    <xdr:row>16</xdr:row>
                    <xdr:rowOff>114300</xdr:rowOff>
                  </from>
                  <to>
                    <xdr:col>6</xdr:col>
                    <xdr:colOff>812800</xdr:colOff>
                    <xdr:row>16</xdr:row>
                    <xdr:rowOff>482600</xdr:rowOff>
                  </to>
                </anchor>
              </controlPr>
            </control>
          </mc:Choice>
        </mc:AlternateContent>
        <mc:AlternateContent xmlns:mc="http://schemas.openxmlformats.org/markup-compatibility/2006">
          <mc:Choice Requires="x14">
            <control shapeId="10362" r:id="rId62" name="Option Button 122">
              <controlPr defaultSize="0" autoFill="0" autoLine="0" autoPict="0">
                <anchor moveWithCells="1">
                  <from>
                    <xdr:col>6</xdr:col>
                    <xdr:colOff>330200</xdr:colOff>
                    <xdr:row>17</xdr:row>
                    <xdr:rowOff>88900</xdr:rowOff>
                  </from>
                  <to>
                    <xdr:col>6</xdr:col>
                    <xdr:colOff>825500</xdr:colOff>
                    <xdr:row>17</xdr:row>
                    <xdr:rowOff>342900</xdr:rowOff>
                  </to>
                </anchor>
              </controlPr>
            </control>
          </mc:Choice>
        </mc:AlternateContent>
        <mc:AlternateContent xmlns:mc="http://schemas.openxmlformats.org/markup-compatibility/2006">
          <mc:Choice Requires="x14">
            <control shapeId="10363" r:id="rId63" name="Option Button 123">
              <controlPr defaultSize="0" autoFill="0" autoLine="0" autoPict="0">
                <anchor moveWithCells="1">
                  <from>
                    <xdr:col>6</xdr:col>
                    <xdr:colOff>330200</xdr:colOff>
                    <xdr:row>18</xdr:row>
                    <xdr:rowOff>114300</xdr:rowOff>
                  </from>
                  <to>
                    <xdr:col>6</xdr:col>
                    <xdr:colOff>838200</xdr:colOff>
                    <xdr:row>18</xdr:row>
                    <xdr:rowOff>482600</xdr:rowOff>
                  </to>
                </anchor>
              </controlPr>
            </control>
          </mc:Choice>
        </mc:AlternateContent>
        <mc:AlternateContent xmlns:mc="http://schemas.openxmlformats.org/markup-compatibility/2006">
          <mc:Choice Requires="x14">
            <control shapeId="10364" r:id="rId64" name="Option Button 124">
              <controlPr defaultSize="0" autoFill="0" autoLine="0" autoPict="0">
                <anchor moveWithCells="1">
                  <from>
                    <xdr:col>6</xdr:col>
                    <xdr:colOff>330200</xdr:colOff>
                    <xdr:row>19</xdr:row>
                    <xdr:rowOff>152400</xdr:rowOff>
                  </from>
                  <to>
                    <xdr:col>6</xdr:col>
                    <xdr:colOff>863600</xdr:colOff>
                    <xdr:row>19</xdr:row>
                    <xdr:rowOff>520700</xdr:rowOff>
                  </to>
                </anchor>
              </controlPr>
            </control>
          </mc:Choice>
        </mc:AlternateContent>
        <mc:AlternateContent xmlns:mc="http://schemas.openxmlformats.org/markup-compatibility/2006">
          <mc:Choice Requires="x14">
            <control shapeId="10365" r:id="rId65" name="Option Button 125">
              <controlPr defaultSize="0" autoFill="0" autoLine="0" autoPict="0">
                <anchor moveWithCells="1">
                  <from>
                    <xdr:col>6</xdr:col>
                    <xdr:colOff>330200</xdr:colOff>
                    <xdr:row>20</xdr:row>
                    <xdr:rowOff>152400</xdr:rowOff>
                  </from>
                  <to>
                    <xdr:col>6</xdr:col>
                    <xdr:colOff>812800</xdr:colOff>
                    <xdr:row>20</xdr:row>
                    <xdr:rowOff>495300</xdr:rowOff>
                  </to>
                </anchor>
              </controlPr>
            </control>
          </mc:Choice>
        </mc:AlternateContent>
        <mc:AlternateContent xmlns:mc="http://schemas.openxmlformats.org/markup-compatibility/2006">
          <mc:Choice Requires="x14">
            <control shapeId="10367" r:id="rId66" name="Option Button 127">
              <controlPr defaultSize="0" autoFill="0" autoLine="0" autoPict="0">
                <anchor moveWithCells="1">
                  <from>
                    <xdr:col>6</xdr:col>
                    <xdr:colOff>330200</xdr:colOff>
                    <xdr:row>30</xdr:row>
                    <xdr:rowOff>152400</xdr:rowOff>
                  </from>
                  <to>
                    <xdr:col>6</xdr:col>
                    <xdr:colOff>774700</xdr:colOff>
                    <xdr:row>30</xdr:row>
                    <xdr:rowOff>673100</xdr:rowOff>
                  </to>
                </anchor>
              </controlPr>
            </control>
          </mc:Choice>
        </mc:AlternateContent>
        <mc:AlternateContent xmlns:mc="http://schemas.openxmlformats.org/markup-compatibility/2006">
          <mc:Choice Requires="x14">
            <control shapeId="10368" r:id="rId67" name="Option Button 128">
              <controlPr defaultSize="0" autoFill="0" autoLine="0" autoPict="0">
                <anchor moveWithCells="1">
                  <from>
                    <xdr:col>6</xdr:col>
                    <xdr:colOff>330200</xdr:colOff>
                    <xdr:row>31</xdr:row>
                    <xdr:rowOff>76200</xdr:rowOff>
                  </from>
                  <to>
                    <xdr:col>6</xdr:col>
                    <xdr:colOff>825500</xdr:colOff>
                    <xdr:row>31</xdr:row>
                    <xdr:rowOff>711200</xdr:rowOff>
                  </to>
                </anchor>
              </controlPr>
            </control>
          </mc:Choice>
        </mc:AlternateContent>
        <mc:AlternateContent xmlns:mc="http://schemas.openxmlformats.org/markup-compatibility/2006">
          <mc:Choice Requires="x14">
            <control shapeId="10369" r:id="rId68" name="Option Button 129">
              <controlPr defaultSize="0" autoFill="0" autoLine="0" autoPict="0">
                <anchor moveWithCells="1">
                  <from>
                    <xdr:col>6</xdr:col>
                    <xdr:colOff>330200</xdr:colOff>
                    <xdr:row>32</xdr:row>
                    <xdr:rowOff>114300</xdr:rowOff>
                  </from>
                  <to>
                    <xdr:col>6</xdr:col>
                    <xdr:colOff>838200</xdr:colOff>
                    <xdr:row>32</xdr:row>
                    <xdr:rowOff>850900</xdr:rowOff>
                  </to>
                </anchor>
              </controlPr>
            </control>
          </mc:Choice>
        </mc:AlternateContent>
        <mc:AlternateContent xmlns:mc="http://schemas.openxmlformats.org/markup-compatibility/2006">
          <mc:Choice Requires="x14">
            <control shapeId="10370" r:id="rId69" name="Option Button 130">
              <controlPr defaultSize="0" autoFill="0" autoLine="0" autoPict="0">
                <anchor moveWithCells="1">
                  <from>
                    <xdr:col>6</xdr:col>
                    <xdr:colOff>330200</xdr:colOff>
                    <xdr:row>33</xdr:row>
                    <xdr:rowOff>101600</xdr:rowOff>
                  </from>
                  <to>
                    <xdr:col>6</xdr:col>
                    <xdr:colOff>774700</xdr:colOff>
                    <xdr:row>33</xdr:row>
                    <xdr:rowOff>876300</xdr:rowOff>
                  </to>
                </anchor>
              </controlPr>
            </control>
          </mc:Choice>
        </mc:AlternateContent>
        <mc:AlternateContent xmlns:mc="http://schemas.openxmlformats.org/markup-compatibility/2006">
          <mc:Choice Requires="x14">
            <control shapeId="10372" r:id="rId70" name="Group Box 132">
              <controlPr defaultSize="0" autoFill="0" autoPict="0">
                <anchor moveWithCells="1">
                  <from>
                    <xdr:col>1</xdr:col>
                    <xdr:colOff>4648200</xdr:colOff>
                    <xdr:row>6</xdr:row>
                    <xdr:rowOff>25400</xdr:rowOff>
                  </from>
                  <to>
                    <xdr:col>7</xdr:col>
                    <xdr:colOff>228600</xdr:colOff>
                    <xdr:row>6</xdr:row>
                    <xdr:rowOff>508000</xdr:rowOff>
                  </to>
                </anchor>
              </controlPr>
            </control>
          </mc:Choice>
        </mc:AlternateContent>
        <mc:AlternateContent xmlns:mc="http://schemas.openxmlformats.org/markup-compatibility/2006">
          <mc:Choice Requires="x14">
            <control shapeId="10373" r:id="rId71" name="Option Button 133">
              <controlPr defaultSize="0" autoFill="0" autoLine="0" autoPict="0">
                <anchor moveWithCells="1">
                  <from>
                    <xdr:col>2</xdr:col>
                    <xdr:colOff>50800</xdr:colOff>
                    <xdr:row>6</xdr:row>
                    <xdr:rowOff>50800</xdr:rowOff>
                  </from>
                  <to>
                    <xdr:col>2</xdr:col>
                    <xdr:colOff>381000</xdr:colOff>
                    <xdr:row>6</xdr:row>
                    <xdr:rowOff>469900</xdr:rowOff>
                  </to>
                </anchor>
              </controlPr>
            </control>
          </mc:Choice>
        </mc:AlternateContent>
        <mc:AlternateContent xmlns:mc="http://schemas.openxmlformats.org/markup-compatibility/2006">
          <mc:Choice Requires="x14">
            <control shapeId="10374" r:id="rId72" name="Option Button 134">
              <controlPr defaultSize="0" autoFill="0" autoLine="0" autoPict="0">
                <anchor moveWithCells="1">
                  <from>
                    <xdr:col>3</xdr:col>
                    <xdr:colOff>63500</xdr:colOff>
                    <xdr:row>6</xdr:row>
                    <xdr:rowOff>63500</xdr:rowOff>
                  </from>
                  <to>
                    <xdr:col>3</xdr:col>
                    <xdr:colOff>393700</xdr:colOff>
                    <xdr:row>6</xdr:row>
                    <xdr:rowOff>469900</xdr:rowOff>
                  </to>
                </anchor>
              </controlPr>
            </control>
          </mc:Choice>
        </mc:AlternateContent>
        <mc:AlternateContent xmlns:mc="http://schemas.openxmlformats.org/markup-compatibility/2006">
          <mc:Choice Requires="x14">
            <control shapeId="10375" r:id="rId73" name="Option Button 135">
              <controlPr defaultSize="0" autoFill="0" autoLine="0" autoPict="0">
                <anchor moveWithCells="1">
                  <from>
                    <xdr:col>4</xdr:col>
                    <xdr:colOff>25400</xdr:colOff>
                    <xdr:row>6</xdr:row>
                    <xdr:rowOff>63500</xdr:rowOff>
                  </from>
                  <to>
                    <xdr:col>4</xdr:col>
                    <xdr:colOff>355600</xdr:colOff>
                    <xdr:row>6</xdr:row>
                    <xdr:rowOff>469900</xdr:rowOff>
                  </to>
                </anchor>
              </controlPr>
            </control>
          </mc:Choice>
        </mc:AlternateContent>
        <mc:AlternateContent xmlns:mc="http://schemas.openxmlformats.org/markup-compatibility/2006">
          <mc:Choice Requires="x14">
            <control shapeId="10376" r:id="rId74" name="Option Button 136">
              <controlPr defaultSize="0" autoFill="0" autoLine="0" autoPict="0">
                <anchor moveWithCells="1">
                  <from>
                    <xdr:col>5</xdr:col>
                    <xdr:colOff>63500</xdr:colOff>
                    <xdr:row>6</xdr:row>
                    <xdr:rowOff>50800</xdr:rowOff>
                  </from>
                  <to>
                    <xdr:col>5</xdr:col>
                    <xdr:colOff>444500</xdr:colOff>
                    <xdr:row>6</xdr:row>
                    <xdr:rowOff>482600</xdr:rowOff>
                  </to>
                </anchor>
              </controlPr>
            </control>
          </mc:Choice>
        </mc:AlternateContent>
        <mc:AlternateContent xmlns:mc="http://schemas.openxmlformats.org/markup-compatibility/2006">
          <mc:Choice Requires="x14">
            <control shapeId="10377" r:id="rId75" name="Option Button 137">
              <controlPr defaultSize="0" autoFill="0" autoLine="0" autoPict="0">
                <anchor moveWithCells="1">
                  <from>
                    <xdr:col>6</xdr:col>
                    <xdr:colOff>330200</xdr:colOff>
                    <xdr:row>6</xdr:row>
                    <xdr:rowOff>38100</xdr:rowOff>
                  </from>
                  <to>
                    <xdr:col>6</xdr:col>
                    <xdr:colOff>812800</xdr:colOff>
                    <xdr:row>6</xdr:row>
                    <xdr:rowOff>482600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B2702E"/>
    <pageSetUpPr fitToPage="1"/>
  </sheetPr>
  <dimension ref="A1:J28"/>
  <sheetViews>
    <sheetView topLeftCell="A7" zoomScale="70" zoomScaleNormal="70" workbookViewId="0">
      <selection activeCell="H16" sqref="H16"/>
    </sheetView>
  </sheetViews>
  <sheetFormatPr baseColWidth="10" defaultColWidth="8.83203125" defaultRowHeight="14.5" customHeight="1"/>
  <cols>
    <col min="1" max="1" width="18.5" style="129" customWidth="1"/>
    <col min="2" max="2" width="75.5" style="129" customWidth="1"/>
    <col min="3" max="3" width="5.5" style="129" customWidth="1"/>
    <col min="4" max="5" width="35.5" style="129" customWidth="1"/>
    <col min="6" max="6" width="42.6640625" style="129" customWidth="1"/>
    <col min="7" max="7" width="12.6640625" style="129" customWidth="1"/>
    <col min="8" max="8" width="35.5" style="41" customWidth="1"/>
    <col min="9" max="9" width="16.5" style="52" hidden="1" customWidth="1"/>
    <col min="10" max="10" width="35.5" style="195" customWidth="1"/>
    <col min="11" max="12" width="8.83203125" style="129" customWidth="1"/>
    <col min="13" max="16384" width="8.83203125" style="129"/>
  </cols>
  <sheetData>
    <row r="1" spans="1:10" s="118" customFormat="1" ht="26">
      <c r="A1" s="613" t="str">
        <f>Raw!A101</f>
        <v>Standard 5</v>
      </c>
      <c r="B1" s="162" t="str">
        <f>Raw!B101</f>
        <v>Mentoring, Community, and Professional Support</v>
      </c>
      <c r="H1" s="145"/>
      <c r="I1" s="52"/>
      <c r="J1" s="193"/>
    </row>
    <row r="2" spans="1:10" s="118" customFormat="1" ht="17">
      <c r="A2" s="613"/>
      <c r="B2" s="119" t="str">
        <f>Raw!A102</f>
        <v>The program provides mentoring and induction to support progress toward degree, certification, and retention in the profession, supported by strong student community.</v>
      </c>
      <c r="H2" s="145"/>
      <c r="I2" s="52"/>
      <c r="J2" s="193"/>
    </row>
    <row r="3" spans="1:10" s="118" customFormat="1" ht="15">
      <c r="A3" s="120"/>
      <c r="H3" s="145"/>
      <c r="I3" s="52"/>
      <c r="J3" s="193"/>
    </row>
    <row r="4" spans="1:10" s="118" customFormat="1" ht="24" thickBot="1">
      <c r="A4" s="163" t="str">
        <f>Raw!A103</f>
        <v>Component 5A: Mentoring and Community Support Toward a Physics Degree</v>
      </c>
      <c r="B4" s="123"/>
      <c r="C4" s="123"/>
      <c r="D4" s="123"/>
      <c r="E4" s="123"/>
      <c r="F4" s="123"/>
      <c r="G4" s="123"/>
      <c r="H4" s="146"/>
      <c r="I4" s="52"/>
      <c r="J4" s="193"/>
    </row>
    <row r="5" spans="1:10" s="118" customFormat="1" ht="17">
      <c r="A5" s="119" t="str">
        <f>Raw!A104</f>
        <v>The physics program structures and its student community help teacher candidates persist and thrive in their progress toward a physics degree.</v>
      </c>
      <c r="H5" s="145"/>
      <c r="I5" s="52"/>
      <c r="J5" s="193"/>
    </row>
    <row r="6" spans="1:10" s="118" customFormat="1" ht="51">
      <c r="A6" s="120"/>
      <c r="C6" s="293" t="s">
        <v>0</v>
      </c>
      <c r="D6" s="292" t="s">
        <v>702</v>
      </c>
      <c r="E6" s="291" t="s">
        <v>703</v>
      </c>
      <c r="F6" s="291" t="s">
        <v>704</v>
      </c>
      <c r="G6" s="292" t="s">
        <v>623</v>
      </c>
      <c r="H6" s="294" t="s">
        <v>14</v>
      </c>
      <c r="I6" s="52"/>
      <c r="J6" s="193"/>
    </row>
    <row r="7" spans="1:10" s="118" customFormat="1" ht="51">
      <c r="A7" s="164" t="str">
        <f>Raw!C105</f>
        <v>5A-1</v>
      </c>
      <c r="B7" s="165" t="s">
        <v>331</v>
      </c>
      <c r="C7" s="288"/>
      <c r="D7" s="289" t="str">
        <f>Raw!G105</f>
        <v>There are one or two community-building activities each year (e.g., welcome picnics).</v>
      </c>
      <c r="E7" s="289" t="str">
        <f>Raw!H105</f>
        <v>There is an active Society of Physics Students (SPS) chapter or a student lounge.</v>
      </c>
      <c r="F7" s="289" t="str">
        <f>Raw!I105</f>
        <v>There is an active SPS chapter and a student lounge.</v>
      </c>
      <c r="G7" s="289"/>
      <c r="H7" s="296"/>
      <c r="I7" s="52"/>
      <c r="J7" s="193"/>
    </row>
    <row r="8" spans="1:10" s="118" customFormat="1" ht="85">
      <c r="A8" s="166" t="str">
        <f>Raw!C106</f>
        <v>5A-2</v>
      </c>
      <c r="B8" s="132" t="s">
        <v>332</v>
      </c>
      <c r="C8" s="288"/>
      <c r="D8" s="289" t="str">
        <f>Raw!G106</f>
        <v>Advising provides students with consistent and accurate information about degree options.</v>
      </c>
      <c r="E8" s="289" t="str">
        <f>Raw!H106</f>
        <v xml:space="preserve">Advising provides a clear roadmap of courses to accomplish different career goals, and majors are consistently mentored regarding career options. </v>
      </c>
      <c r="F8" s="289" t="str">
        <f>Raw!I106</f>
        <v xml:space="preserve">Advising supports students in tailoring academic programs to their career interests, and majors are consistently mentored regarding career options. </v>
      </c>
      <c r="G8" s="289"/>
      <c r="H8" s="296"/>
      <c r="I8" s="52"/>
      <c r="J8" s="193"/>
    </row>
    <row r="9" spans="1:10" s="109" customFormat="1" ht="30" customHeight="1">
      <c r="A9" s="597" t="s">
        <v>614</v>
      </c>
      <c r="B9" s="598"/>
      <c r="C9" s="598"/>
      <c r="D9" s="598"/>
      <c r="E9" s="598"/>
      <c r="F9" s="598"/>
      <c r="G9" s="226"/>
      <c r="H9" s="106"/>
      <c r="I9" s="52"/>
      <c r="J9" s="194"/>
    </row>
    <row r="11" spans="1:10" ht="24" thickBot="1">
      <c r="A11" s="163" t="str">
        <f>Raw!A107</f>
        <v>Component 5B: Mentoring and Community Support Toward Becoming a Physics Teacher</v>
      </c>
      <c r="B11" s="123"/>
      <c r="C11" s="123"/>
      <c r="D11" s="123"/>
      <c r="E11" s="123"/>
      <c r="F11" s="123"/>
      <c r="G11" s="123"/>
      <c r="H11" s="146"/>
    </row>
    <row r="12" spans="1:10" s="118" customFormat="1" ht="17">
      <c r="A12" s="119" t="str">
        <f>Raw!A108</f>
        <v>The program and teacher community help teacher candidates persist and thrive in their progress toward becoming physics teachers.</v>
      </c>
      <c r="H12" s="145"/>
      <c r="I12" s="52"/>
      <c r="J12" s="193"/>
    </row>
    <row r="13" spans="1:10" s="118" customFormat="1" ht="51">
      <c r="A13" s="120"/>
      <c r="C13" s="293" t="s">
        <v>0</v>
      </c>
      <c r="D13" s="292" t="s">
        <v>702</v>
      </c>
      <c r="E13" s="291" t="s">
        <v>703</v>
      </c>
      <c r="F13" s="291" t="s">
        <v>704</v>
      </c>
      <c r="G13" s="292" t="s">
        <v>623</v>
      </c>
      <c r="H13" s="294" t="s">
        <v>14</v>
      </c>
      <c r="I13" s="52"/>
      <c r="J13" s="193"/>
    </row>
    <row r="14" spans="1:10" s="118" customFormat="1" ht="119">
      <c r="A14" s="164" t="str">
        <f>Raw!C109</f>
        <v>5B-1</v>
      </c>
      <c r="B14" s="165" t="s">
        <v>864</v>
      </c>
      <c r="C14" s="288"/>
      <c r="D14" s="289" t="str">
        <f>Raw!G109</f>
        <v>Teacher candidates receive academic advising from one or more advisors (e.g., in physics and/or education) knowledgeable about PTE.</v>
      </c>
      <c r="E14" s="289" t="str">
        <f>Raw!H109</f>
        <v xml:space="preserve">Teacher candidates receive academic advising from a single advisor who provides a clear roadmap of courses to complete physics and PTE requirements as efficiently as possible. </v>
      </c>
      <c r="F14" s="289" t="str">
        <f>Raw!I109</f>
        <v>Teacher candidates receive academic advising from a single advisor who is able to navigate the PTE requirements, who is knowledgeable about scholarships and external opportunities, and who can provide creative solutions for completion of requirements.</v>
      </c>
      <c r="G14" s="289"/>
      <c r="H14" s="296"/>
      <c r="I14" s="52"/>
      <c r="J14" s="193"/>
    </row>
    <row r="15" spans="1:10" s="118" customFormat="1" ht="85">
      <c r="A15" s="164" t="str">
        <f>Raw!C110</f>
        <v>5B-2</v>
      </c>
      <c r="B15" s="165" t="s">
        <v>865</v>
      </c>
      <c r="C15" s="288"/>
      <c r="D15" s="289" t="str">
        <f>Raw!G110</f>
        <v xml:space="preserve">Teacher candidates have access to a PTE mentor. </v>
      </c>
      <c r="E15" s="289" t="str">
        <f>Raw!H110</f>
        <v>Teacher candidates are paired with a dedicated PTE mentor.</v>
      </c>
      <c r="F15" s="289" t="str">
        <f>Raw!I110</f>
        <v xml:space="preserve">Additionally, PTE mentors have a close relationship with each mentee because they interact with mentees in multiple contexts over the course of their undergraduate careers. </v>
      </c>
      <c r="G15" s="289"/>
      <c r="H15" s="296"/>
      <c r="I15" s="52"/>
      <c r="J15" s="193"/>
    </row>
    <row r="16" spans="1:10" s="118" customFormat="1" ht="119">
      <c r="A16" s="166" t="str">
        <f>Raw!C111</f>
        <v>5B-3</v>
      </c>
      <c r="B16" s="132" t="s">
        <v>521</v>
      </c>
      <c r="C16" s="288"/>
      <c r="D16" s="289" t="str">
        <f>Raw!G111</f>
        <v>There is some coordination among the PTE mentor, university supervisor, cooperating teacher(s), and academic advisor.</v>
      </c>
      <c r="E16" s="289" t="str">
        <f>Raw!H111</f>
        <v>There is moderate coordination among the PTE mentor, university supervisor, cooperating teacher(s), and academic advisor.</v>
      </c>
      <c r="F16" s="289" t="str">
        <f>Raw!I111</f>
        <v>There is substantial coordination among the PTE mentor, university supervisor, cooperating teacher(s), and academic advisor, which may include written expectations and frequent communication about candidate progress and skill development.</v>
      </c>
      <c r="G16" s="289"/>
      <c r="H16" s="296"/>
      <c r="I16" s="52"/>
      <c r="J16" s="193"/>
    </row>
    <row r="17" spans="1:10" s="118" customFormat="1" ht="110.5" customHeight="1">
      <c r="A17" s="166" t="str">
        <f>Raw!C112</f>
        <v>5B-4</v>
      </c>
      <c r="B17" s="132" t="s">
        <v>522</v>
      </c>
      <c r="C17" s="288"/>
      <c r="D17" s="289" t="str">
        <f>Raw!G112</f>
        <v>Physics/STEM teacher candidates do one of these:
- collaborate in classes;
- attend community-building events;
- have a lounge or shared workspace.</v>
      </c>
      <c r="E17" s="289" t="str">
        <f>Raw!H112</f>
        <v>Physics/STEM teacher candidates do two of these:
- collaborate in classes;
- attend community-building events;
- have a lounge or shared workspace.</v>
      </c>
      <c r="F17" s="289" t="str">
        <f>Raw!I112</f>
        <v>Physics/STEM teacher candidates collaborate in classes, attend community-building events, and have a lounge or shared workspace.</v>
      </c>
      <c r="G17" s="289"/>
      <c r="H17" s="297"/>
      <c r="I17" s="52"/>
      <c r="J17" s="193"/>
    </row>
    <row r="18" spans="1:10" ht="68">
      <c r="A18" s="166" t="str">
        <f>Raw!C113</f>
        <v>5B-5</v>
      </c>
      <c r="B18" s="132" t="s">
        <v>280</v>
      </c>
      <c r="C18" s="288"/>
      <c r="D18" s="289" t="str">
        <f>Raw!G113</f>
        <v>Some teacher candidates attend campus events with working teachers.</v>
      </c>
      <c r="E18" s="289" t="str">
        <f>Raw!H113</f>
        <v>Most teacher candidates attend campus events with working teachers, but such events are occasional.</v>
      </c>
      <c r="F18" s="289" t="str">
        <f>Raw!I113</f>
        <v>Many teacher candidates attend campus events with working teachers, and these events are frequent (several times per year).</v>
      </c>
      <c r="G18" s="289"/>
      <c r="H18" s="296"/>
    </row>
    <row r="19" spans="1:10" s="109" customFormat="1" ht="30" customHeight="1">
      <c r="A19" s="597" t="s">
        <v>615</v>
      </c>
      <c r="B19" s="598"/>
      <c r="C19" s="598"/>
      <c r="D19" s="598"/>
      <c r="E19" s="598"/>
      <c r="F19" s="598"/>
      <c r="G19" s="226"/>
      <c r="H19" s="106"/>
      <c r="I19" s="52"/>
      <c r="J19" s="194"/>
    </row>
    <row r="20" spans="1:10" s="118" customFormat="1" ht="15" customHeight="1">
      <c r="A20" s="143" t="s">
        <v>616</v>
      </c>
      <c r="B20" s="129"/>
      <c r="C20" s="129"/>
      <c r="D20" s="129"/>
      <c r="E20" s="129"/>
      <c r="F20" s="129"/>
      <c r="G20" s="129"/>
      <c r="H20" s="41"/>
      <c r="I20" s="52"/>
      <c r="J20" s="193"/>
    </row>
    <row r="21" spans="1:10" s="118" customFormat="1" ht="14.5" customHeight="1">
      <c r="A21" s="129"/>
      <c r="B21" s="129"/>
      <c r="C21" s="129"/>
      <c r="D21" s="129"/>
      <c r="E21" s="129"/>
      <c r="F21" s="129"/>
      <c r="G21" s="129"/>
      <c r="H21" s="41"/>
      <c r="I21" s="52"/>
      <c r="J21" s="193"/>
    </row>
    <row r="22" spans="1:10" ht="24" thickBot="1">
      <c r="A22" s="163" t="str">
        <f>Raw!A114</f>
        <v>Component 5C: In-service Mentoring and Professional Community</v>
      </c>
      <c r="B22" s="123"/>
      <c r="C22" s="123"/>
      <c r="D22" s="123"/>
      <c r="E22" s="123"/>
      <c r="F22" s="123"/>
      <c r="G22" s="123"/>
      <c r="H22" s="146"/>
    </row>
    <row r="23" spans="1:10" s="118" customFormat="1" ht="17">
      <c r="A23" s="119" t="str">
        <f>Raw!A115</f>
        <v>The program monitors and supports teacher graduates, giving them access to a professional community that helps to retain them in the profession and to develop their physics teaching expertise.</v>
      </c>
      <c r="H23" s="145"/>
      <c r="I23" s="52"/>
      <c r="J23" s="193"/>
    </row>
    <row r="24" spans="1:10" s="118" customFormat="1" ht="51">
      <c r="A24" s="120"/>
      <c r="C24" s="293" t="s">
        <v>0</v>
      </c>
      <c r="D24" s="292" t="s">
        <v>702</v>
      </c>
      <c r="E24" s="291" t="s">
        <v>703</v>
      </c>
      <c r="F24" s="291" t="s">
        <v>704</v>
      </c>
      <c r="G24" s="292" t="s">
        <v>623</v>
      </c>
      <c r="H24" s="294" t="s">
        <v>14</v>
      </c>
      <c r="I24" s="52"/>
      <c r="J24" s="193"/>
    </row>
    <row r="25" spans="1:10" s="118" customFormat="1" ht="51">
      <c r="A25" s="166" t="str">
        <f>Raw!C116</f>
        <v>5C-1</v>
      </c>
      <c r="B25" s="132" t="s">
        <v>284</v>
      </c>
      <c r="C25" s="288"/>
      <c r="D25" s="289" t="str">
        <f>Raw!G116</f>
        <v>The program offers occasional alumni events.</v>
      </c>
      <c r="E25" s="289" t="str">
        <f>Raw!H116</f>
        <v>There are meetings of program alumni every year.</v>
      </c>
      <c r="F25" s="289" t="str">
        <f>Raw!I116</f>
        <v>There are meetings of program alumni every semester and/or an active online network.</v>
      </c>
      <c r="G25" s="289"/>
      <c r="H25" s="296"/>
      <c r="I25" s="52"/>
      <c r="J25" s="193"/>
    </row>
    <row r="26" spans="1:10" s="118" customFormat="1" ht="68">
      <c r="A26" s="166" t="str">
        <f>Raw!C117</f>
        <v>5C-2</v>
      </c>
      <c r="B26" s="132" t="s">
        <v>480</v>
      </c>
      <c r="C26" s="288"/>
      <c r="D26" s="289" t="str">
        <f>Raw!G117</f>
        <v>There is a local/regional physics teachers group (e.g., AAPT affiliate group).</v>
      </c>
      <c r="E26" s="289" t="str">
        <f>Raw!H117</f>
        <v>There is a local/regional physics teachers group that meets at least two times/year.</v>
      </c>
      <c r="F26" s="289" t="str">
        <f>Raw!I117</f>
        <v>There is a local/regional physics teachers group that meets at least two times/year and has significant interaction with the PTE program.</v>
      </c>
      <c r="G26" s="289"/>
      <c r="H26" s="296"/>
      <c r="I26" s="52"/>
      <c r="J26" s="193"/>
    </row>
    <row r="27" spans="1:10" s="118" customFormat="1" ht="85">
      <c r="A27" s="166" t="str">
        <f>Raw!C118</f>
        <v>5C-3</v>
      </c>
      <c r="B27" s="132" t="s">
        <v>333</v>
      </c>
      <c r="C27" s="288"/>
      <c r="D27" s="289" t="str">
        <f>Raw!G118</f>
        <v>Many alumni receive some mentoring from a PTE mentor.</v>
      </c>
      <c r="E27" s="289" t="str">
        <f>Raw!H118</f>
        <v>Many alumni receive regular mentoring from a PTE mentor with experience in K–12 environments.</v>
      </c>
      <c r="F27" s="289" t="str">
        <f>Raw!I118</f>
        <v xml:space="preserve">Many alumni receive regular, sustained, holistic mentoring (including career progress and skills development) from a PTE mentor with experience in K–12 environments. </v>
      </c>
      <c r="G27" s="289"/>
      <c r="H27" s="296"/>
      <c r="I27" s="52"/>
      <c r="J27" s="193"/>
    </row>
    <row r="28" spans="1:10" s="109" customFormat="1" ht="29" customHeight="1">
      <c r="A28" s="166" t="str">
        <f>Raw!C119</f>
        <v>5C-4</v>
      </c>
      <c r="B28" s="132" t="s">
        <v>286</v>
      </c>
      <c r="C28" s="288"/>
      <c r="D28" s="289" t="str">
        <f>Raw!G119</f>
        <v>Less than 25 hours of professional development are offered per year.</v>
      </c>
      <c r="E28" s="289" t="str">
        <f>Raw!H119</f>
        <v>25–80 hours of professional development are offered per year.</v>
      </c>
      <c r="F28" s="289" t="str">
        <f>Raw!I119</f>
        <v>80+ hours of professional development are offered per year.</v>
      </c>
      <c r="G28" s="289"/>
      <c r="H28" s="525"/>
      <c r="I28" s="52"/>
      <c r="J28" s="194"/>
    </row>
  </sheetData>
  <sheetProtection sheet="1" selectLockedCells="1"/>
  <mergeCells count="3">
    <mergeCell ref="A1:A2"/>
    <mergeCell ref="A9:F9"/>
    <mergeCell ref="A19:F19"/>
  </mergeCells>
  <conditionalFormatting sqref="C7">
    <cfRule type="expression" dxfId="772" priority="58">
      <formula>$I7=1</formula>
    </cfRule>
  </conditionalFormatting>
  <conditionalFormatting sqref="D7">
    <cfRule type="expression" dxfId="771" priority="57">
      <formula>$I7=2</formula>
    </cfRule>
  </conditionalFormatting>
  <conditionalFormatting sqref="E7">
    <cfRule type="expression" dxfId="770" priority="56">
      <formula>$I7=3</formula>
    </cfRule>
  </conditionalFormatting>
  <conditionalFormatting sqref="F7">
    <cfRule type="expression" dxfId="769" priority="55">
      <formula>I7=4</formula>
    </cfRule>
  </conditionalFormatting>
  <conditionalFormatting sqref="C8">
    <cfRule type="expression" dxfId="768" priority="54">
      <formula>$I8=1</formula>
    </cfRule>
  </conditionalFormatting>
  <conditionalFormatting sqref="D8">
    <cfRule type="expression" dxfId="767" priority="53">
      <formula>$I8=2</formula>
    </cfRule>
  </conditionalFormatting>
  <conditionalFormatting sqref="E8">
    <cfRule type="expression" dxfId="766" priority="52">
      <formula>$I8=3</formula>
    </cfRule>
  </conditionalFormatting>
  <conditionalFormatting sqref="F8">
    <cfRule type="expression" dxfId="765" priority="51">
      <formula>I8=4</formula>
    </cfRule>
  </conditionalFormatting>
  <conditionalFormatting sqref="C14">
    <cfRule type="expression" dxfId="764" priority="50">
      <formula>$I14=1</formula>
    </cfRule>
  </conditionalFormatting>
  <conditionalFormatting sqref="D14">
    <cfRule type="expression" dxfId="763" priority="49">
      <formula>$I14=2</formula>
    </cfRule>
  </conditionalFormatting>
  <conditionalFormatting sqref="E14">
    <cfRule type="expression" dxfId="762" priority="48">
      <formula>$I14=3</formula>
    </cfRule>
  </conditionalFormatting>
  <conditionalFormatting sqref="F14">
    <cfRule type="expression" dxfId="761" priority="47">
      <formula>I14=4</formula>
    </cfRule>
  </conditionalFormatting>
  <conditionalFormatting sqref="C15">
    <cfRule type="expression" dxfId="760" priority="46">
      <formula>$I15=1</formula>
    </cfRule>
  </conditionalFormatting>
  <conditionalFormatting sqref="D15">
    <cfRule type="expression" dxfId="759" priority="45">
      <formula>$I15=2</formula>
    </cfRule>
  </conditionalFormatting>
  <conditionalFormatting sqref="E15">
    <cfRule type="expression" dxfId="758" priority="44">
      <formula>$I15=3</formula>
    </cfRule>
  </conditionalFormatting>
  <conditionalFormatting sqref="F15">
    <cfRule type="expression" dxfId="757" priority="43">
      <formula>I15=4</formula>
    </cfRule>
  </conditionalFormatting>
  <conditionalFormatting sqref="C16">
    <cfRule type="expression" dxfId="756" priority="42">
      <formula>$I16=1</formula>
    </cfRule>
  </conditionalFormatting>
  <conditionalFormatting sqref="D16">
    <cfRule type="expression" dxfId="755" priority="41">
      <formula>$I16=2</formula>
    </cfRule>
  </conditionalFormatting>
  <conditionalFormatting sqref="E16">
    <cfRule type="expression" dxfId="754" priority="40">
      <formula>$I16=3</formula>
    </cfRule>
  </conditionalFormatting>
  <conditionalFormatting sqref="F16">
    <cfRule type="expression" dxfId="753" priority="39">
      <formula>I16=4</formula>
    </cfRule>
  </conditionalFormatting>
  <conditionalFormatting sqref="C17">
    <cfRule type="expression" dxfId="752" priority="38">
      <formula>$I17=1</formula>
    </cfRule>
  </conditionalFormatting>
  <conditionalFormatting sqref="D17">
    <cfRule type="expression" dxfId="751" priority="37">
      <formula>$I17=2</formula>
    </cfRule>
  </conditionalFormatting>
  <conditionalFormatting sqref="E17">
    <cfRule type="expression" dxfId="750" priority="36">
      <formula>$I17=3</formula>
    </cfRule>
  </conditionalFormatting>
  <conditionalFormatting sqref="F17">
    <cfRule type="expression" dxfId="749" priority="35">
      <formula>I17=4</formula>
    </cfRule>
  </conditionalFormatting>
  <conditionalFormatting sqref="C25">
    <cfRule type="expression" dxfId="748" priority="34">
      <formula>$I25=1</formula>
    </cfRule>
  </conditionalFormatting>
  <conditionalFormatting sqref="D25">
    <cfRule type="expression" dxfId="747" priority="33">
      <formula>$I25=2</formula>
    </cfRule>
  </conditionalFormatting>
  <conditionalFormatting sqref="C26">
    <cfRule type="expression" dxfId="746" priority="30">
      <formula>$I26=1</formula>
    </cfRule>
  </conditionalFormatting>
  <conditionalFormatting sqref="C27">
    <cfRule type="expression" dxfId="745" priority="26">
      <formula>$I27=1</formula>
    </cfRule>
  </conditionalFormatting>
  <conditionalFormatting sqref="E26">
    <cfRule type="expression" dxfId="744" priority="20">
      <formula>$I26=3</formula>
    </cfRule>
  </conditionalFormatting>
  <conditionalFormatting sqref="F25">
    <cfRule type="expression" dxfId="743" priority="19">
      <formula>I25=4</formula>
    </cfRule>
  </conditionalFormatting>
  <conditionalFormatting sqref="D26">
    <cfRule type="expression" dxfId="742" priority="18">
      <formula>$I26=2</formula>
    </cfRule>
  </conditionalFormatting>
  <conditionalFormatting sqref="D27">
    <cfRule type="expression" dxfId="741" priority="17">
      <formula>I27=2</formula>
    </cfRule>
  </conditionalFormatting>
  <conditionalFormatting sqref="E27">
    <cfRule type="expression" dxfId="740" priority="16">
      <formula>I27=3</formula>
    </cfRule>
  </conditionalFormatting>
  <conditionalFormatting sqref="E25">
    <cfRule type="expression" dxfId="739" priority="15">
      <formula>$I25=3</formula>
    </cfRule>
  </conditionalFormatting>
  <conditionalFormatting sqref="C18">
    <cfRule type="expression" dxfId="738" priority="14">
      <formula>$I18=1</formula>
    </cfRule>
  </conditionalFormatting>
  <conditionalFormatting sqref="D18">
    <cfRule type="expression" dxfId="737" priority="13">
      <formula>$I18=2</formula>
    </cfRule>
  </conditionalFormatting>
  <conditionalFormatting sqref="E18">
    <cfRule type="expression" dxfId="736" priority="12">
      <formula>$I18=3</formula>
    </cfRule>
  </conditionalFormatting>
  <conditionalFormatting sqref="F18">
    <cfRule type="expression" dxfId="735" priority="11">
      <formula>I18=4</formula>
    </cfRule>
  </conditionalFormatting>
  <conditionalFormatting sqref="C28">
    <cfRule type="expression" dxfId="734" priority="10">
      <formula>$I28=1</formula>
    </cfRule>
  </conditionalFormatting>
  <conditionalFormatting sqref="F28">
    <cfRule type="expression" dxfId="733" priority="9">
      <formula>I28=4</formula>
    </cfRule>
  </conditionalFormatting>
  <conditionalFormatting sqref="D28">
    <cfRule type="expression" dxfId="732" priority="8">
      <formula>I28=2</formula>
    </cfRule>
  </conditionalFormatting>
  <conditionalFormatting sqref="E28">
    <cfRule type="expression" dxfId="731" priority="7">
      <formula>I28=3</formula>
    </cfRule>
  </conditionalFormatting>
  <conditionalFormatting sqref="G7">
    <cfRule type="expression" dxfId="730" priority="6">
      <formula>I7=5</formula>
    </cfRule>
  </conditionalFormatting>
  <conditionalFormatting sqref="G8">
    <cfRule type="expression" dxfId="729" priority="5">
      <formula>I8=5</formula>
    </cfRule>
  </conditionalFormatting>
  <conditionalFormatting sqref="G14:G18">
    <cfRule type="expression" dxfId="728" priority="4">
      <formula>I14=5</formula>
    </cfRule>
  </conditionalFormatting>
  <conditionalFormatting sqref="G25:G28">
    <cfRule type="expression" dxfId="727" priority="3">
      <formula>I25=5</formula>
    </cfRule>
  </conditionalFormatting>
  <conditionalFormatting sqref="F27">
    <cfRule type="expression" dxfId="726" priority="1">
      <formula>I27=4</formula>
    </cfRule>
  </conditionalFormatting>
  <conditionalFormatting sqref="F26">
    <cfRule type="expression" dxfId="725" priority="2">
      <formula>I26=4</formula>
    </cfRule>
  </conditionalFormatting>
  <pageMargins left="0.7" right="0.7" top="0.75" bottom="0.75" header="0.3" footer="0.3"/>
  <pageSetup scale="38"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Group Box 1">
              <controlPr defaultSize="0" autoFill="0" autoPict="0">
                <anchor moveWithCells="1">
                  <from>
                    <xdr:col>2</xdr:col>
                    <xdr:colOff>12700</xdr:colOff>
                    <xdr:row>13</xdr:row>
                    <xdr:rowOff>63500</xdr:rowOff>
                  </from>
                  <to>
                    <xdr:col>7</xdr:col>
                    <xdr:colOff>215900</xdr:colOff>
                    <xdr:row>13</xdr:row>
                    <xdr:rowOff>1104900</xdr:rowOff>
                  </to>
                </anchor>
              </controlPr>
            </control>
          </mc:Choice>
        </mc:AlternateContent>
        <mc:AlternateContent xmlns:mc="http://schemas.openxmlformats.org/markup-compatibility/2006">
          <mc:Choice Requires="x14">
            <control shapeId="11266" r:id="rId5" name="Group Box 2">
              <controlPr defaultSize="0" autoFill="0" autoPict="0">
                <anchor moveWithCells="1">
                  <from>
                    <xdr:col>2</xdr:col>
                    <xdr:colOff>0</xdr:colOff>
                    <xdr:row>14</xdr:row>
                    <xdr:rowOff>50800</xdr:rowOff>
                  </from>
                  <to>
                    <xdr:col>7</xdr:col>
                    <xdr:colOff>228600</xdr:colOff>
                    <xdr:row>14</xdr:row>
                    <xdr:rowOff>876300</xdr:rowOff>
                  </to>
                </anchor>
              </controlPr>
            </control>
          </mc:Choice>
        </mc:AlternateContent>
        <mc:AlternateContent xmlns:mc="http://schemas.openxmlformats.org/markup-compatibility/2006">
          <mc:Choice Requires="x14">
            <control shapeId="11267" r:id="rId6" name="Group Box 3">
              <controlPr defaultSize="0" autoFill="0" autoPict="0">
                <anchor moveWithCells="1">
                  <from>
                    <xdr:col>2</xdr:col>
                    <xdr:colOff>0</xdr:colOff>
                    <xdr:row>15</xdr:row>
                    <xdr:rowOff>317500</xdr:rowOff>
                  </from>
                  <to>
                    <xdr:col>7</xdr:col>
                    <xdr:colOff>203200</xdr:colOff>
                    <xdr:row>15</xdr:row>
                    <xdr:rowOff>736600</xdr:rowOff>
                  </to>
                </anchor>
              </controlPr>
            </control>
          </mc:Choice>
        </mc:AlternateContent>
        <mc:AlternateContent xmlns:mc="http://schemas.openxmlformats.org/markup-compatibility/2006">
          <mc:Choice Requires="x14">
            <control shapeId="11268" r:id="rId7" name="Group Box 4">
              <controlPr defaultSize="0" autoFill="0" autoPict="0">
                <anchor moveWithCells="1">
                  <from>
                    <xdr:col>1</xdr:col>
                    <xdr:colOff>3962400</xdr:colOff>
                    <xdr:row>16</xdr:row>
                    <xdr:rowOff>63500</xdr:rowOff>
                  </from>
                  <to>
                    <xdr:col>7</xdr:col>
                    <xdr:colOff>203200</xdr:colOff>
                    <xdr:row>16</xdr:row>
                    <xdr:rowOff>889000</xdr:rowOff>
                  </to>
                </anchor>
              </controlPr>
            </control>
          </mc:Choice>
        </mc:AlternateContent>
        <mc:AlternateContent xmlns:mc="http://schemas.openxmlformats.org/markup-compatibility/2006">
          <mc:Choice Requires="x14">
            <control shapeId="11282" r:id="rId8" name="Option Button 18">
              <controlPr defaultSize="0" autoFill="0" autoLine="0" autoPict="0">
                <anchor moveWithCells="1">
                  <from>
                    <xdr:col>2</xdr:col>
                    <xdr:colOff>63500</xdr:colOff>
                    <xdr:row>13</xdr:row>
                    <xdr:rowOff>114300</xdr:rowOff>
                  </from>
                  <to>
                    <xdr:col>3</xdr:col>
                    <xdr:colOff>25400</xdr:colOff>
                    <xdr:row>13</xdr:row>
                    <xdr:rowOff>1041400</xdr:rowOff>
                  </to>
                </anchor>
              </controlPr>
            </control>
          </mc:Choice>
        </mc:AlternateContent>
        <mc:AlternateContent xmlns:mc="http://schemas.openxmlformats.org/markup-compatibility/2006">
          <mc:Choice Requires="x14">
            <control shapeId="11283" r:id="rId9" name="Option Button 19">
              <controlPr defaultSize="0" autoFill="0" autoLine="0" autoPict="0">
                <anchor moveWithCells="1">
                  <from>
                    <xdr:col>3</xdr:col>
                    <xdr:colOff>63500</xdr:colOff>
                    <xdr:row>13</xdr:row>
                    <xdr:rowOff>127000</xdr:rowOff>
                  </from>
                  <to>
                    <xdr:col>3</xdr:col>
                    <xdr:colOff>304800</xdr:colOff>
                    <xdr:row>13</xdr:row>
                    <xdr:rowOff>1028700</xdr:rowOff>
                  </to>
                </anchor>
              </controlPr>
            </control>
          </mc:Choice>
        </mc:AlternateContent>
        <mc:AlternateContent xmlns:mc="http://schemas.openxmlformats.org/markup-compatibility/2006">
          <mc:Choice Requires="x14">
            <control shapeId="11284" r:id="rId10" name="Option Button 20">
              <controlPr defaultSize="0" autoFill="0" autoLine="0" autoPict="0">
                <anchor moveWithCells="1">
                  <from>
                    <xdr:col>4</xdr:col>
                    <xdr:colOff>63500</xdr:colOff>
                    <xdr:row>13</xdr:row>
                    <xdr:rowOff>152400</xdr:rowOff>
                  </from>
                  <to>
                    <xdr:col>4</xdr:col>
                    <xdr:colOff>406400</xdr:colOff>
                    <xdr:row>13</xdr:row>
                    <xdr:rowOff>1003300</xdr:rowOff>
                  </to>
                </anchor>
              </controlPr>
            </control>
          </mc:Choice>
        </mc:AlternateContent>
        <mc:AlternateContent xmlns:mc="http://schemas.openxmlformats.org/markup-compatibility/2006">
          <mc:Choice Requires="x14">
            <control shapeId="11285" r:id="rId11" name="Option Button 21">
              <controlPr defaultSize="0" autoFill="0" autoLine="0" autoPict="0">
                <anchor moveWithCells="1">
                  <from>
                    <xdr:col>5</xdr:col>
                    <xdr:colOff>63500</xdr:colOff>
                    <xdr:row>13</xdr:row>
                    <xdr:rowOff>101600</xdr:rowOff>
                  </from>
                  <to>
                    <xdr:col>5</xdr:col>
                    <xdr:colOff>406400</xdr:colOff>
                    <xdr:row>13</xdr:row>
                    <xdr:rowOff>1054100</xdr:rowOff>
                  </to>
                </anchor>
              </controlPr>
            </control>
          </mc:Choice>
        </mc:AlternateContent>
        <mc:AlternateContent xmlns:mc="http://schemas.openxmlformats.org/markup-compatibility/2006">
          <mc:Choice Requires="x14">
            <control shapeId="11286" r:id="rId12" name="Option Button 22">
              <controlPr defaultSize="0" autoFill="0" autoLine="0" autoPict="0">
                <anchor moveWithCells="1">
                  <from>
                    <xdr:col>2</xdr:col>
                    <xdr:colOff>63500</xdr:colOff>
                    <xdr:row>14</xdr:row>
                    <xdr:rowOff>88900</xdr:rowOff>
                  </from>
                  <to>
                    <xdr:col>3</xdr:col>
                    <xdr:colOff>0</xdr:colOff>
                    <xdr:row>14</xdr:row>
                    <xdr:rowOff>838200</xdr:rowOff>
                  </to>
                </anchor>
              </controlPr>
            </control>
          </mc:Choice>
        </mc:AlternateContent>
        <mc:AlternateContent xmlns:mc="http://schemas.openxmlformats.org/markup-compatibility/2006">
          <mc:Choice Requires="x14">
            <control shapeId="11287" r:id="rId13" name="Option Button 23">
              <controlPr defaultSize="0" autoFill="0" autoLine="0" autoPict="0">
                <anchor moveWithCells="1">
                  <from>
                    <xdr:col>3</xdr:col>
                    <xdr:colOff>63500</xdr:colOff>
                    <xdr:row>14</xdr:row>
                    <xdr:rowOff>88900</xdr:rowOff>
                  </from>
                  <to>
                    <xdr:col>3</xdr:col>
                    <xdr:colOff>419100</xdr:colOff>
                    <xdr:row>14</xdr:row>
                    <xdr:rowOff>838200</xdr:rowOff>
                  </to>
                </anchor>
              </controlPr>
            </control>
          </mc:Choice>
        </mc:AlternateContent>
        <mc:AlternateContent xmlns:mc="http://schemas.openxmlformats.org/markup-compatibility/2006">
          <mc:Choice Requires="x14">
            <control shapeId="11288" r:id="rId14" name="Option Button 24">
              <controlPr defaultSize="0" autoFill="0" autoLine="0" autoPict="0">
                <anchor moveWithCells="1">
                  <from>
                    <xdr:col>4</xdr:col>
                    <xdr:colOff>63500</xdr:colOff>
                    <xdr:row>14</xdr:row>
                    <xdr:rowOff>101600</xdr:rowOff>
                  </from>
                  <to>
                    <xdr:col>4</xdr:col>
                    <xdr:colOff>381000</xdr:colOff>
                    <xdr:row>14</xdr:row>
                    <xdr:rowOff>825500</xdr:rowOff>
                  </to>
                </anchor>
              </controlPr>
            </control>
          </mc:Choice>
        </mc:AlternateContent>
        <mc:AlternateContent xmlns:mc="http://schemas.openxmlformats.org/markup-compatibility/2006">
          <mc:Choice Requires="x14">
            <control shapeId="11289" r:id="rId15" name="Option Button 25">
              <controlPr defaultSize="0" autoFill="0" autoLine="0" autoPict="0">
                <anchor moveWithCells="1">
                  <from>
                    <xdr:col>5</xdr:col>
                    <xdr:colOff>63500</xdr:colOff>
                    <xdr:row>14</xdr:row>
                    <xdr:rowOff>101600</xdr:rowOff>
                  </from>
                  <to>
                    <xdr:col>5</xdr:col>
                    <xdr:colOff>355600</xdr:colOff>
                    <xdr:row>14</xdr:row>
                    <xdr:rowOff>825500</xdr:rowOff>
                  </to>
                </anchor>
              </controlPr>
            </control>
          </mc:Choice>
        </mc:AlternateContent>
        <mc:AlternateContent xmlns:mc="http://schemas.openxmlformats.org/markup-compatibility/2006">
          <mc:Choice Requires="x14">
            <control shapeId="11290" r:id="rId16" name="Option Button 26">
              <controlPr defaultSize="0" autoFill="0" autoLine="0" autoPict="0">
                <anchor moveWithCells="1">
                  <from>
                    <xdr:col>2</xdr:col>
                    <xdr:colOff>63500</xdr:colOff>
                    <xdr:row>15</xdr:row>
                    <xdr:rowOff>381000</xdr:rowOff>
                  </from>
                  <to>
                    <xdr:col>3</xdr:col>
                    <xdr:colOff>25400</xdr:colOff>
                    <xdr:row>15</xdr:row>
                    <xdr:rowOff>711200</xdr:rowOff>
                  </to>
                </anchor>
              </controlPr>
            </control>
          </mc:Choice>
        </mc:AlternateContent>
        <mc:AlternateContent xmlns:mc="http://schemas.openxmlformats.org/markup-compatibility/2006">
          <mc:Choice Requires="x14">
            <control shapeId="11291" r:id="rId17" name="Option Button 27">
              <controlPr defaultSize="0" autoFill="0" autoLine="0" autoPict="0">
                <anchor moveWithCells="1">
                  <from>
                    <xdr:col>3</xdr:col>
                    <xdr:colOff>63500</xdr:colOff>
                    <xdr:row>15</xdr:row>
                    <xdr:rowOff>381000</xdr:rowOff>
                  </from>
                  <to>
                    <xdr:col>3</xdr:col>
                    <xdr:colOff>355600</xdr:colOff>
                    <xdr:row>15</xdr:row>
                    <xdr:rowOff>723900</xdr:rowOff>
                  </to>
                </anchor>
              </controlPr>
            </control>
          </mc:Choice>
        </mc:AlternateContent>
        <mc:AlternateContent xmlns:mc="http://schemas.openxmlformats.org/markup-compatibility/2006">
          <mc:Choice Requires="x14">
            <control shapeId="11292" r:id="rId18" name="Option Button 28">
              <controlPr defaultSize="0" autoFill="0" autoLine="0" autoPict="0">
                <anchor moveWithCells="1">
                  <from>
                    <xdr:col>4</xdr:col>
                    <xdr:colOff>63500</xdr:colOff>
                    <xdr:row>15</xdr:row>
                    <xdr:rowOff>368300</xdr:rowOff>
                  </from>
                  <to>
                    <xdr:col>4</xdr:col>
                    <xdr:colOff>368300</xdr:colOff>
                    <xdr:row>15</xdr:row>
                    <xdr:rowOff>723900</xdr:rowOff>
                  </to>
                </anchor>
              </controlPr>
            </control>
          </mc:Choice>
        </mc:AlternateContent>
        <mc:AlternateContent xmlns:mc="http://schemas.openxmlformats.org/markup-compatibility/2006">
          <mc:Choice Requires="x14">
            <control shapeId="11293" r:id="rId19" name="Option Button 29">
              <controlPr defaultSize="0" autoFill="0" autoLine="0" autoPict="0">
                <anchor moveWithCells="1">
                  <from>
                    <xdr:col>5</xdr:col>
                    <xdr:colOff>63500</xdr:colOff>
                    <xdr:row>15</xdr:row>
                    <xdr:rowOff>368300</xdr:rowOff>
                  </from>
                  <to>
                    <xdr:col>5</xdr:col>
                    <xdr:colOff>368300</xdr:colOff>
                    <xdr:row>15</xdr:row>
                    <xdr:rowOff>723900</xdr:rowOff>
                  </to>
                </anchor>
              </controlPr>
            </control>
          </mc:Choice>
        </mc:AlternateContent>
        <mc:AlternateContent xmlns:mc="http://schemas.openxmlformats.org/markup-compatibility/2006">
          <mc:Choice Requires="x14">
            <control shapeId="11294" r:id="rId20" name="Option Button 30">
              <controlPr defaultSize="0" autoFill="0" autoLine="0" autoPict="0">
                <anchor moveWithCells="1">
                  <from>
                    <xdr:col>2</xdr:col>
                    <xdr:colOff>63500</xdr:colOff>
                    <xdr:row>16</xdr:row>
                    <xdr:rowOff>101600</xdr:rowOff>
                  </from>
                  <to>
                    <xdr:col>3</xdr:col>
                    <xdr:colOff>25400</xdr:colOff>
                    <xdr:row>16</xdr:row>
                    <xdr:rowOff>863600</xdr:rowOff>
                  </to>
                </anchor>
              </controlPr>
            </control>
          </mc:Choice>
        </mc:AlternateContent>
        <mc:AlternateContent xmlns:mc="http://schemas.openxmlformats.org/markup-compatibility/2006">
          <mc:Choice Requires="x14">
            <control shapeId="11295" r:id="rId21" name="Option Button 31">
              <controlPr defaultSize="0" autoFill="0" autoLine="0" autoPict="0">
                <anchor moveWithCells="1">
                  <from>
                    <xdr:col>3</xdr:col>
                    <xdr:colOff>63500</xdr:colOff>
                    <xdr:row>16</xdr:row>
                    <xdr:rowOff>101600</xdr:rowOff>
                  </from>
                  <to>
                    <xdr:col>3</xdr:col>
                    <xdr:colOff>355600</xdr:colOff>
                    <xdr:row>16</xdr:row>
                    <xdr:rowOff>863600</xdr:rowOff>
                  </to>
                </anchor>
              </controlPr>
            </control>
          </mc:Choice>
        </mc:AlternateContent>
        <mc:AlternateContent xmlns:mc="http://schemas.openxmlformats.org/markup-compatibility/2006">
          <mc:Choice Requires="x14">
            <control shapeId="11296" r:id="rId22" name="Option Button 32">
              <controlPr defaultSize="0" autoFill="0" autoLine="0" autoPict="0">
                <anchor moveWithCells="1">
                  <from>
                    <xdr:col>4</xdr:col>
                    <xdr:colOff>63500</xdr:colOff>
                    <xdr:row>16</xdr:row>
                    <xdr:rowOff>114300</xdr:rowOff>
                  </from>
                  <to>
                    <xdr:col>4</xdr:col>
                    <xdr:colOff>381000</xdr:colOff>
                    <xdr:row>16</xdr:row>
                    <xdr:rowOff>850900</xdr:rowOff>
                  </to>
                </anchor>
              </controlPr>
            </control>
          </mc:Choice>
        </mc:AlternateContent>
        <mc:AlternateContent xmlns:mc="http://schemas.openxmlformats.org/markup-compatibility/2006">
          <mc:Choice Requires="x14">
            <control shapeId="11297" r:id="rId23" name="Option Button 33">
              <controlPr defaultSize="0" autoFill="0" autoLine="0" autoPict="0">
                <anchor moveWithCells="1">
                  <from>
                    <xdr:col>5</xdr:col>
                    <xdr:colOff>63500</xdr:colOff>
                    <xdr:row>16</xdr:row>
                    <xdr:rowOff>114300</xdr:rowOff>
                  </from>
                  <to>
                    <xdr:col>5</xdr:col>
                    <xdr:colOff>355600</xdr:colOff>
                    <xdr:row>16</xdr:row>
                    <xdr:rowOff>850900</xdr:rowOff>
                  </to>
                </anchor>
              </controlPr>
            </control>
          </mc:Choice>
        </mc:AlternateContent>
        <mc:AlternateContent xmlns:mc="http://schemas.openxmlformats.org/markup-compatibility/2006">
          <mc:Choice Requires="x14">
            <control shapeId="11322" r:id="rId24" name="Group Box 58">
              <controlPr defaultSize="0" autoFill="0" autoPict="0">
                <anchor moveWithCells="1">
                  <from>
                    <xdr:col>2</xdr:col>
                    <xdr:colOff>12700</xdr:colOff>
                    <xdr:row>6</xdr:row>
                    <xdr:rowOff>63500</xdr:rowOff>
                  </from>
                  <to>
                    <xdr:col>7</xdr:col>
                    <xdr:colOff>76200</xdr:colOff>
                    <xdr:row>6</xdr:row>
                    <xdr:rowOff>457200</xdr:rowOff>
                  </to>
                </anchor>
              </controlPr>
            </control>
          </mc:Choice>
        </mc:AlternateContent>
        <mc:AlternateContent xmlns:mc="http://schemas.openxmlformats.org/markup-compatibility/2006">
          <mc:Choice Requires="x14">
            <control shapeId="11323" r:id="rId25" name="Group Box 59">
              <controlPr defaultSize="0" autoFill="0" autoPict="0">
                <anchor moveWithCells="1">
                  <from>
                    <xdr:col>2</xdr:col>
                    <xdr:colOff>0</xdr:colOff>
                    <xdr:row>7</xdr:row>
                    <xdr:rowOff>50800</xdr:rowOff>
                  </from>
                  <to>
                    <xdr:col>7</xdr:col>
                    <xdr:colOff>127000</xdr:colOff>
                    <xdr:row>7</xdr:row>
                    <xdr:rowOff>800100</xdr:rowOff>
                  </to>
                </anchor>
              </controlPr>
            </control>
          </mc:Choice>
        </mc:AlternateContent>
        <mc:AlternateContent xmlns:mc="http://schemas.openxmlformats.org/markup-compatibility/2006">
          <mc:Choice Requires="x14">
            <control shapeId="11324" r:id="rId26" name="Option Button 60">
              <controlPr defaultSize="0" autoFill="0" autoLine="0" autoPict="0">
                <anchor moveWithCells="1">
                  <from>
                    <xdr:col>2</xdr:col>
                    <xdr:colOff>63500</xdr:colOff>
                    <xdr:row>6</xdr:row>
                    <xdr:rowOff>114300</xdr:rowOff>
                  </from>
                  <to>
                    <xdr:col>3</xdr:col>
                    <xdr:colOff>0</xdr:colOff>
                    <xdr:row>6</xdr:row>
                    <xdr:rowOff>457200</xdr:rowOff>
                  </to>
                </anchor>
              </controlPr>
            </control>
          </mc:Choice>
        </mc:AlternateContent>
        <mc:AlternateContent xmlns:mc="http://schemas.openxmlformats.org/markup-compatibility/2006">
          <mc:Choice Requires="x14">
            <control shapeId="11325" r:id="rId27" name="Option Button 61">
              <controlPr defaultSize="0" autoFill="0" autoLine="0" autoPict="0">
                <anchor moveWithCells="1">
                  <from>
                    <xdr:col>3</xdr:col>
                    <xdr:colOff>63500</xdr:colOff>
                    <xdr:row>6</xdr:row>
                    <xdr:rowOff>114300</xdr:rowOff>
                  </from>
                  <to>
                    <xdr:col>3</xdr:col>
                    <xdr:colOff>381000</xdr:colOff>
                    <xdr:row>6</xdr:row>
                    <xdr:rowOff>457200</xdr:rowOff>
                  </to>
                </anchor>
              </controlPr>
            </control>
          </mc:Choice>
        </mc:AlternateContent>
        <mc:AlternateContent xmlns:mc="http://schemas.openxmlformats.org/markup-compatibility/2006">
          <mc:Choice Requires="x14">
            <control shapeId="11326" r:id="rId28" name="Option Button 62">
              <controlPr defaultSize="0" autoFill="0" autoLine="0" autoPict="0">
                <anchor moveWithCells="1">
                  <from>
                    <xdr:col>4</xdr:col>
                    <xdr:colOff>63500</xdr:colOff>
                    <xdr:row>6</xdr:row>
                    <xdr:rowOff>114300</xdr:rowOff>
                  </from>
                  <to>
                    <xdr:col>4</xdr:col>
                    <xdr:colOff>381000</xdr:colOff>
                    <xdr:row>6</xdr:row>
                    <xdr:rowOff>457200</xdr:rowOff>
                  </to>
                </anchor>
              </controlPr>
            </control>
          </mc:Choice>
        </mc:AlternateContent>
        <mc:AlternateContent xmlns:mc="http://schemas.openxmlformats.org/markup-compatibility/2006">
          <mc:Choice Requires="x14">
            <control shapeId="11327" r:id="rId29" name="Option Button 63">
              <controlPr defaultSize="0" autoFill="0" autoLine="0" autoPict="0">
                <anchor moveWithCells="1">
                  <from>
                    <xdr:col>5</xdr:col>
                    <xdr:colOff>63500</xdr:colOff>
                    <xdr:row>6</xdr:row>
                    <xdr:rowOff>101600</xdr:rowOff>
                  </from>
                  <to>
                    <xdr:col>5</xdr:col>
                    <xdr:colOff>406400</xdr:colOff>
                    <xdr:row>6</xdr:row>
                    <xdr:rowOff>457200</xdr:rowOff>
                  </to>
                </anchor>
              </controlPr>
            </control>
          </mc:Choice>
        </mc:AlternateContent>
        <mc:AlternateContent xmlns:mc="http://schemas.openxmlformats.org/markup-compatibility/2006">
          <mc:Choice Requires="x14">
            <control shapeId="11328" r:id="rId30" name="Option Button 64">
              <controlPr defaultSize="0" autoFill="0" autoLine="0" autoPict="0">
                <anchor moveWithCells="1">
                  <from>
                    <xdr:col>2</xdr:col>
                    <xdr:colOff>63500</xdr:colOff>
                    <xdr:row>7</xdr:row>
                    <xdr:rowOff>190500</xdr:rowOff>
                  </from>
                  <to>
                    <xdr:col>3</xdr:col>
                    <xdr:colOff>0</xdr:colOff>
                    <xdr:row>7</xdr:row>
                    <xdr:rowOff>711200</xdr:rowOff>
                  </to>
                </anchor>
              </controlPr>
            </control>
          </mc:Choice>
        </mc:AlternateContent>
        <mc:AlternateContent xmlns:mc="http://schemas.openxmlformats.org/markup-compatibility/2006">
          <mc:Choice Requires="x14">
            <control shapeId="11329" r:id="rId31" name="Option Button 65">
              <controlPr defaultSize="0" autoFill="0" autoLine="0" autoPict="0">
                <anchor moveWithCells="1">
                  <from>
                    <xdr:col>3</xdr:col>
                    <xdr:colOff>63500</xdr:colOff>
                    <xdr:row>7</xdr:row>
                    <xdr:rowOff>165100</xdr:rowOff>
                  </from>
                  <to>
                    <xdr:col>3</xdr:col>
                    <xdr:colOff>368300</xdr:colOff>
                    <xdr:row>7</xdr:row>
                    <xdr:rowOff>736600</xdr:rowOff>
                  </to>
                </anchor>
              </controlPr>
            </control>
          </mc:Choice>
        </mc:AlternateContent>
        <mc:AlternateContent xmlns:mc="http://schemas.openxmlformats.org/markup-compatibility/2006">
          <mc:Choice Requires="x14">
            <control shapeId="11330" r:id="rId32" name="Option Button 66">
              <controlPr defaultSize="0" autoFill="0" autoLine="0" autoPict="0">
                <anchor moveWithCells="1">
                  <from>
                    <xdr:col>4</xdr:col>
                    <xdr:colOff>63500</xdr:colOff>
                    <xdr:row>7</xdr:row>
                    <xdr:rowOff>127000</xdr:rowOff>
                  </from>
                  <to>
                    <xdr:col>4</xdr:col>
                    <xdr:colOff>368300</xdr:colOff>
                    <xdr:row>7</xdr:row>
                    <xdr:rowOff>774700</xdr:rowOff>
                  </to>
                </anchor>
              </controlPr>
            </control>
          </mc:Choice>
        </mc:AlternateContent>
        <mc:AlternateContent xmlns:mc="http://schemas.openxmlformats.org/markup-compatibility/2006">
          <mc:Choice Requires="x14">
            <control shapeId="11331" r:id="rId33" name="Option Button 67">
              <controlPr defaultSize="0" autoFill="0" autoLine="0" autoPict="0">
                <anchor moveWithCells="1">
                  <from>
                    <xdr:col>5</xdr:col>
                    <xdr:colOff>63500</xdr:colOff>
                    <xdr:row>7</xdr:row>
                    <xdr:rowOff>127000</xdr:rowOff>
                  </from>
                  <to>
                    <xdr:col>5</xdr:col>
                    <xdr:colOff>393700</xdr:colOff>
                    <xdr:row>7</xdr:row>
                    <xdr:rowOff>774700</xdr:rowOff>
                  </to>
                </anchor>
              </controlPr>
            </control>
          </mc:Choice>
        </mc:AlternateContent>
        <mc:AlternateContent xmlns:mc="http://schemas.openxmlformats.org/markup-compatibility/2006">
          <mc:Choice Requires="x14">
            <control shapeId="11332" r:id="rId34" name="Group Box 68">
              <controlPr defaultSize="0" autoFill="0" autoPict="0">
                <anchor moveWithCells="1">
                  <from>
                    <xdr:col>2</xdr:col>
                    <xdr:colOff>12700</xdr:colOff>
                    <xdr:row>24</xdr:row>
                    <xdr:rowOff>38100</xdr:rowOff>
                  </from>
                  <to>
                    <xdr:col>7</xdr:col>
                    <xdr:colOff>114300</xdr:colOff>
                    <xdr:row>24</xdr:row>
                    <xdr:rowOff>495300</xdr:rowOff>
                  </to>
                </anchor>
              </controlPr>
            </control>
          </mc:Choice>
        </mc:AlternateContent>
        <mc:AlternateContent xmlns:mc="http://schemas.openxmlformats.org/markup-compatibility/2006">
          <mc:Choice Requires="x14">
            <control shapeId="11333" r:id="rId35" name="Group Box 69">
              <controlPr defaultSize="0" autoFill="0" autoPict="0">
                <anchor moveWithCells="1">
                  <from>
                    <xdr:col>2</xdr:col>
                    <xdr:colOff>12700</xdr:colOff>
                    <xdr:row>25</xdr:row>
                    <xdr:rowOff>38100</xdr:rowOff>
                  </from>
                  <to>
                    <xdr:col>7</xdr:col>
                    <xdr:colOff>152400</xdr:colOff>
                    <xdr:row>25</xdr:row>
                    <xdr:rowOff>571500</xdr:rowOff>
                  </to>
                </anchor>
              </controlPr>
            </control>
          </mc:Choice>
        </mc:AlternateContent>
        <mc:AlternateContent xmlns:mc="http://schemas.openxmlformats.org/markup-compatibility/2006">
          <mc:Choice Requires="x14">
            <control shapeId="11334" r:id="rId36" name="Group Box 70">
              <controlPr defaultSize="0" autoFill="0" autoPict="0">
                <anchor moveWithCells="1">
                  <from>
                    <xdr:col>2</xdr:col>
                    <xdr:colOff>12700</xdr:colOff>
                    <xdr:row>26</xdr:row>
                    <xdr:rowOff>177800</xdr:rowOff>
                  </from>
                  <to>
                    <xdr:col>7</xdr:col>
                    <xdr:colOff>203200</xdr:colOff>
                    <xdr:row>26</xdr:row>
                    <xdr:rowOff>774700</xdr:rowOff>
                  </to>
                </anchor>
              </controlPr>
            </control>
          </mc:Choice>
        </mc:AlternateContent>
        <mc:AlternateContent xmlns:mc="http://schemas.openxmlformats.org/markup-compatibility/2006">
          <mc:Choice Requires="x14">
            <control shapeId="11340" r:id="rId37" name="Option Button 76">
              <controlPr defaultSize="0" autoFill="0" autoLine="0" autoPict="0">
                <anchor moveWithCells="1">
                  <from>
                    <xdr:col>2</xdr:col>
                    <xdr:colOff>63500</xdr:colOff>
                    <xdr:row>25</xdr:row>
                    <xdr:rowOff>63500</xdr:rowOff>
                  </from>
                  <to>
                    <xdr:col>2</xdr:col>
                    <xdr:colOff>330200</xdr:colOff>
                    <xdr:row>25</xdr:row>
                    <xdr:rowOff>571500</xdr:rowOff>
                  </to>
                </anchor>
              </controlPr>
            </control>
          </mc:Choice>
        </mc:AlternateContent>
        <mc:AlternateContent xmlns:mc="http://schemas.openxmlformats.org/markup-compatibility/2006">
          <mc:Choice Requires="x14">
            <control shapeId="11341" r:id="rId38" name="Option Button 77">
              <controlPr defaultSize="0" autoFill="0" autoLine="0" autoPict="0">
                <anchor moveWithCells="1">
                  <from>
                    <xdr:col>3</xdr:col>
                    <xdr:colOff>63500</xdr:colOff>
                    <xdr:row>25</xdr:row>
                    <xdr:rowOff>63500</xdr:rowOff>
                  </from>
                  <to>
                    <xdr:col>3</xdr:col>
                    <xdr:colOff>292100</xdr:colOff>
                    <xdr:row>25</xdr:row>
                    <xdr:rowOff>571500</xdr:rowOff>
                  </to>
                </anchor>
              </controlPr>
            </control>
          </mc:Choice>
        </mc:AlternateContent>
        <mc:AlternateContent xmlns:mc="http://schemas.openxmlformats.org/markup-compatibility/2006">
          <mc:Choice Requires="x14">
            <control shapeId="11342" r:id="rId39" name="Option Button 78">
              <controlPr defaultSize="0" autoFill="0" autoLine="0" autoPict="0">
                <anchor moveWithCells="1">
                  <from>
                    <xdr:col>4</xdr:col>
                    <xdr:colOff>63500</xdr:colOff>
                    <xdr:row>25</xdr:row>
                    <xdr:rowOff>76200</xdr:rowOff>
                  </from>
                  <to>
                    <xdr:col>4</xdr:col>
                    <xdr:colOff>342900</xdr:colOff>
                    <xdr:row>25</xdr:row>
                    <xdr:rowOff>571500</xdr:rowOff>
                  </to>
                </anchor>
              </controlPr>
            </control>
          </mc:Choice>
        </mc:AlternateContent>
        <mc:AlternateContent xmlns:mc="http://schemas.openxmlformats.org/markup-compatibility/2006">
          <mc:Choice Requires="x14">
            <control shapeId="11343" r:id="rId40" name="Option Button 79">
              <controlPr defaultSize="0" autoFill="0" autoLine="0" autoPict="0">
                <anchor moveWithCells="1">
                  <from>
                    <xdr:col>5</xdr:col>
                    <xdr:colOff>63500</xdr:colOff>
                    <xdr:row>25</xdr:row>
                    <xdr:rowOff>63500</xdr:rowOff>
                  </from>
                  <to>
                    <xdr:col>5</xdr:col>
                    <xdr:colOff>330200</xdr:colOff>
                    <xdr:row>25</xdr:row>
                    <xdr:rowOff>571500</xdr:rowOff>
                  </to>
                </anchor>
              </controlPr>
            </control>
          </mc:Choice>
        </mc:AlternateContent>
        <mc:AlternateContent xmlns:mc="http://schemas.openxmlformats.org/markup-compatibility/2006">
          <mc:Choice Requires="x14">
            <control shapeId="11344" r:id="rId41" name="Option Button 80">
              <controlPr defaultSize="0" autoFill="0" autoLine="0" autoPict="0">
                <anchor moveWithCells="1">
                  <from>
                    <xdr:col>2</xdr:col>
                    <xdr:colOff>63500</xdr:colOff>
                    <xdr:row>26</xdr:row>
                    <xdr:rowOff>203200</xdr:rowOff>
                  </from>
                  <to>
                    <xdr:col>2</xdr:col>
                    <xdr:colOff>330200</xdr:colOff>
                    <xdr:row>26</xdr:row>
                    <xdr:rowOff>749300</xdr:rowOff>
                  </to>
                </anchor>
              </controlPr>
            </control>
          </mc:Choice>
        </mc:AlternateContent>
        <mc:AlternateContent xmlns:mc="http://schemas.openxmlformats.org/markup-compatibility/2006">
          <mc:Choice Requires="x14">
            <control shapeId="11345" r:id="rId42" name="Option Button 81">
              <controlPr defaultSize="0" autoFill="0" autoLine="0" autoPict="0">
                <anchor moveWithCells="1">
                  <from>
                    <xdr:col>3</xdr:col>
                    <xdr:colOff>63500</xdr:colOff>
                    <xdr:row>26</xdr:row>
                    <xdr:rowOff>203200</xdr:rowOff>
                  </from>
                  <to>
                    <xdr:col>3</xdr:col>
                    <xdr:colOff>317500</xdr:colOff>
                    <xdr:row>26</xdr:row>
                    <xdr:rowOff>749300</xdr:rowOff>
                  </to>
                </anchor>
              </controlPr>
            </control>
          </mc:Choice>
        </mc:AlternateContent>
        <mc:AlternateContent xmlns:mc="http://schemas.openxmlformats.org/markup-compatibility/2006">
          <mc:Choice Requires="x14">
            <control shapeId="11346" r:id="rId43" name="Option Button 82">
              <controlPr defaultSize="0" autoFill="0" autoLine="0" autoPict="0">
                <anchor moveWithCells="1">
                  <from>
                    <xdr:col>4</xdr:col>
                    <xdr:colOff>63500</xdr:colOff>
                    <xdr:row>26</xdr:row>
                    <xdr:rowOff>203200</xdr:rowOff>
                  </from>
                  <to>
                    <xdr:col>4</xdr:col>
                    <xdr:colOff>317500</xdr:colOff>
                    <xdr:row>26</xdr:row>
                    <xdr:rowOff>749300</xdr:rowOff>
                  </to>
                </anchor>
              </controlPr>
            </control>
          </mc:Choice>
        </mc:AlternateContent>
        <mc:AlternateContent xmlns:mc="http://schemas.openxmlformats.org/markup-compatibility/2006">
          <mc:Choice Requires="x14">
            <control shapeId="11347" r:id="rId44" name="Option Button 83">
              <controlPr defaultSize="0" autoFill="0" autoLine="0" autoPict="0">
                <anchor moveWithCells="1">
                  <from>
                    <xdr:col>5</xdr:col>
                    <xdr:colOff>63500</xdr:colOff>
                    <xdr:row>26</xdr:row>
                    <xdr:rowOff>190500</xdr:rowOff>
                  </from>
                  <to>
                    <xdr:col>5</xdr:col>
                    <xdr:colOff>317500</xdr:colOff>
                    <xdr:row>26</xdr:row>
                    <xdr:rowOff>762000</xdr:rowOff>
                  </to>
                </anchor>
              </controlPr>
            </control>
          </mc:Choice>
        </mc:AlternateContent>
        <mc:AlternateContent xmlns:mc="http://schemas.openxmlformats.org/markup-compatibility/2006">
          <mc:Choice Requires="x14">
            <control shapeId="11348" r:id="rId45" name="Option Button 84">
              <controlPr defaultSize="0" autoFill="0" autoLine="0" autoPict="0">
                <anchor moveWithCells="1">
                  <from>
                    <xdr:col>6</xdr:col>
                    <xdr:colOff>330200</xdr:colOff>
                    <xdr:row>6</xdr:row>
                    <xdr:rowOff>139700</xdr:rowOff>
                  </from>
                  <to>
                    <xdr:col>7</xdr:col>
                    <xdr:colOff>25400</xdr:colOff>
                    <xdr:row>6</xdr:row>
                    <xdr:rowOff>431800</xdr:rowOff>
                  </to>
                </anchor>
              </controlPr>
            </control>
          </mc:Choice>
        </mc:AlternateContent>
        <mc:AlternateContent xmlns:mc="http://schemas.openxmlformats.org/markup-compatibility/2006">
          <mc:Choice Requires="x14">
            <control shapeId="11350" r:id="rId46" name="Option Button 86">
              <controlPr defaultSize="0" autoFill="0" autoLine="0" autoPict="0">
                <anchor moveWithCells="1">
                  <from>
                    <xdr:col>6</xdr:col>
                    <xdr:colOff>330200</xdr:colOff>
                    <xdr:row>13</xdr:row>
                    <xdr:rowOff>152400</xdr:rowOff>
                  </from>
                  <to>
                    <xdr:col>7</xdr:col>
                    <xdr:colOff>25400</xdr:colOff>
                    <xdr:row>13</xdr:row>
                    <xdr:rowOff>1003300</xdr:rowOff>
                  </to>
                </anchor>
              </controlPr>
            </control>
          </mc:Choice>
        </mc:AlternateContent>
        <mc:AlternateContent xmlns:mc="http://schemas.openxmlformats.org/markup-compatibility/2006">
          <mc:Choice Requires="x14">
            <control shapeId="11351" r:id="rId47" name="Option Button 87">
              <controlPr defaultSize="0" autoFill="0" autoLine="0" autoPict="0">
                <anchor moveWithCells="1">
                  <from>
                    <xdr:col>6</xdr:col>
                    <xdr:colOff>330200</xdr:colOff>
                    <xdr:row>14</xdr:row>
                    <xdr:rowOff>88900</xdr:rowOff>
                  </from>
                  <to>
                    <xdr:col>7</xdr:col>
                    <xdr:colOff>76200</xdr:colOff>
                    <xdr:row>14</xdr:row>
                    <xdr:rowOff>838200</xdr:rowOff>
                  </to>
                </anchor>
              </controlPr>
            </control>
          </mc:Choice>
        </mc:AlternateContent>
        <mc:AlternateContent xmlns:mc="http://schemas.openxmlformats.org/markup-compatibility/2006">
          <mc:Choice Requires="x14">
            <control shapeId="11352" r:id="rId48" name="Option Button 88">
              <controlPr defaultSize="0" autoFill="0" autoLine="0" autoPict="0">
                <anchor moveWithCells="1">
                  <from>
                    <xdr:col>6</xdr:col>
                    <xdr:colOff>330200</xdr:colOff>
                    <xdr:row>15</xdr:row>
                    <xdr:rowOff>381000</xdr:rowOff>
                  </from>
                  <to>
                    <xdr:col>7</xdr:col>
                    <xdr:colOff>88900</xdr:colOff>
                    <xdr:row>15</xdr:row>
                    <xdr:rowOff>723900</xdr:rowOff>
                  </to>
                </anchor>
              </controlPr>
            </control>
          </mc:Choice>
        </mc:AlternateContent>
        <mc:AlternateContent xmlns:mc="http://schemas.openxmlformats.org/markup-compatibility/2006">
          <mc:Choice Requires="x14">
            <control shapeId="11354" r:id="rId49" name="Group Box 90">
              <controlPr defaultSize="0" autoFill="0" autoPict="0">
                <anchor moveWithCells="1">
                  <from>
                    <xdr:col>1</xdr:col>
                    <xdr:colOff>5448300</xdr:colOff>
                    <xdr:row>17</xdr:row>
                    <xdr:rowOff>38100</xdr:rowOff>
                  </from>
                  <to>
                    <xdr:col>7</xdr:col>
                    <xdr:colOff>266700</xdr:colOff>
                    <xdr:row>17</xdr:row>
                    <xdr:rowOff>711200</xdr:rowOff>
                  </to>
                </anchor>
              </controlPr>
            </control>
          </mc:Choice>
        </mc:AlternateContent>
        <mc:AlternateContent xmlns:mc="http://schemas.openxmlformats.org/markup-compatibility/2006">
          <mc:Choice Requires="x14">
            <control shapeId="11355" r:id="rId50" name="Option Button 91">
              <controlPr defaultSize="0" autoFill="0" autoLine="0" autoPict="0">
                <anchor moveWithCells="1">
                  <from>
                    <xdr:col>2</xdr:col>
                    <xdr:colOff>63500</xdr:colOff>
                    <xdr:row>17</xdr:row>
                    <xdr:rowOff>88900</xdr:rowOff>
                  </from>
                  <to>
                    <xdr:col>2</xdr:col>
                    <xdr:colOff>368300</xdr:colOff>
                    <xdr:row>17</xdr:row>
                    <xdr:rowOff>673100</xdr:rowOff>
                  </to>
                </anchor>
              </controlPr>
            </control>
          </mc:Choice>
        </mc:AlternateContent>
        <mc:AlternateContent xmlns:mc="http://schemas.openxmlformats.org/markup-compatibility/2006">
          <mc:Choice Requires="x14">
            <control shapeId="11356" r:id="rId51" name="Option Button 92">
              <controlPr defaultSize="0" autoFill="0" autoLine="0" autoPict="0">
                <anchor moveWithCells="1">
                  <from>
                    <xdr:col>3</xdr:col>
                    <xdr:colOff>63500</xdr:colOff>
                    <xdr:row>17</xdr:row>
                    <xdr:rowOff>88900</xdr:rowOff>
                  </from>
                  <to>
                    <xdr:col>3</xdr:col>
                    <xdr:colOff>355600</xdr:colOff>
                    <xdr:row>17</xdr:row>
                    <xdr:rowOff>673100</xdr:rowOff>
                  </to>
                </anchor>
              </controlPr>
            </control>
          </mc:Choice>
        </mc:AlternateContent>
        <mc:AlternateContent xmlns:mc="http://schemas.openxmlformats.org/markup-compatibility/2006">
          <mc:Choice Requires="x14">
            <control shapeId="11357" r:id="rId52" name="Option Button 93">
              <controlPr defaultSize="0" autoFill="0" autoLine="0" autoPict="0">
                <anchor moveWithCells="1">
                  <from>
                    <xdr:col>4</xdr:col>
                    <xdr:colOff>63500</xdr:colOff>
                    <xdr:row>17</xdr:row>
                    <xdr:rowOff>88900</xdr:rowOff>
                  </from>
                  <to>
                    <xdr:col>4</xdr:col>
                    <xdr:colOff>355600</xdr:colOff>
                    <xdr:row>17</xdr:row>
                    <xdr:rowOff>673100</xdr:rowOff>
                  </to>
                </anchor>
              </controlPr>
            </control>
          </mc:Choice>
        </mc:AlternateContent>
        <mc:AlternateContent xmlns:mc="http://schemas.openxmlformats.org/markup-compatibility/2006">
          <mc:Choice Requires="x14">
            <control shapeId="11358" r:id="rId53" name="Option Button 94">
              <controlPr defaultSize="0" autoFill="0" autoLine="0" autoPict="0">
                <anchor moveWithCells="1">
                  <from>
                    <xdr:col>5</xdr:col>
                    <xdr:colOff>63500</xdr:colOff>
                    <xdr:row>17</xdr:row>
                    <xdr:rowOff>88900</xdr:rowOff>
                  </from>
                  <to>
                    <xdr:col>5</xdr:col>
                    <xdr:colOff>393700</xdr:colOff>
                    <xdr:row>17</xdr:row>
                    <xdr:rowOff>673100</xdr:rowOff>
                  </to>
                </anchor>
              </controlPr>
            </control>
          </mc:Choice>
        </mc:AlternateContent>
        <mc:AlternateContent xmlns:mc="http://schemas.openxmlformats.org/markup-compatibility/2006">
          <mc:Choice Requires="x14">
            <control shapeId="11359" r:id="rId54" name="Option Button 95">
              <controlPr defaultSize="0" autoFill="0" autoLine="0" autoPict="0">
                <anchor moveWithCells="1">
                  <from>
                    <xdr:col>6</xdr:col>
                    <xdr:colOff>330200</xdr:colOff>
                    <xdr:row>17</xdr:row>
                    <xdr:rowOff>88900</xdr:rowOff>
                  </from>
                  <to>
                    <xdr:col>6</xdr:col>
                    <xdr:colOff>825500</xdr:colOff>
                    <xdr:row>17</xdr:row>
                    <xdr:rowOff>673100</xdr:rowOff>
                  </to>
                </anchor>
              </controlPr>
            </control>
          </mc:Choice>
        </mc:AlternateContent>
        <mc:AlternateContent xmlns:mc="http://schemas.openxmlformats.org/markup-compatibility/2006">
          <mc:Choice Requires="x14">
            <control shapeId="11360" r:id="rId55" name="Group Box 96">
              <controlPr defaultSize="0" autoFill="0" autoPict="0">
                <anchor moveWithCells="1">
                  <from>
                    <xdr:col>2</xdr:col>
                    <xdr:colOff>12700</xdr:colOff>
                    <xdr:row>27</xdr:row>
                    <xdr:rowOff>12700</xdr:rowOff>
                  </from>
                  <to>
                    <xdr:col>7</xdr:col>
                    <xdr:colOff>190500</xdr:colOff>
                    <xdr:row>28</xdr:row>
                    <xdr:rowOff>25400</xdr:rowOff>
                  </to>
                </anchor>
              </controlPr>
            </control>
          </mc:Choice>
        </mc:AlternateContent>
        <mc:AlternateContent xmlns:mc="http://schemas.openxmlformats.org/markup-compatibility/2006">
          <mc:Choice Requires="x14">
            <control shapeId="11361" r:id="rId56" name="Option Button 97">
              <controlPr defaultSize="0" autoFill="0" autoLine="0" autoPict="0">
                <anchor moveWithCells="1">
                  <from>
                    <xdr:col>2</xdr:col>
                    <xdr:colOff>63500</xdr:colOff>
                    <xdr:row>27</xdr:row>
                    <xdr:rowOff>38100</xdr:rowOff>
                  </from>
                  <to>
                    <xdr:col>2</xdr:col>
                    <xdr:colOff>355600</xdr:colOff>
                    <xdr:row>27</xdr:row>
                    <xdr:rowOff>342900</xdr:rowOff>
                  </to>
                </anchor>
              </controlPr>
            </control>
          </mc:Choice>
        </mc:AlternateContent>
        <mc:AlternateContent xmlns:mc="http://schemas.openxmlformats.org/markup-compatibility/2006">
          <mc:Choice Requires="x14">
            <control shapeId="11362" r:id="rId57" name="Option Button 98">
              <controlPr defaultSize="0" autoFill="0" autoLine="0" autoPict="0">
                <anchor moveWithCells="1">
                  <from>
                    <xdr:col>3</xdr:col>
                    <xdr:colOff>63500</xdr:colOff>
                    <xdr:row>27</xdr:row>
                    <xdr:rowOff>38100</xdr:rowOff>
                  </from>
                  <to>
                    <xdr:col>3</xdr:col>
                    <xdr:colOff>355600</xdr:colOff>
                    <xdr:row>27</xdr:row>
                    <xdr:rowOff>330200</xdr:rowOff>
                  </to>
                </anchor>
              </controlPr>
            </control>
          </mc:Choice>
        </mc:AlternateContent>
        <mc:AlternateContent xmlns:mc="http://schemas.openxmlformats.org/markup-compatibility/2006">
          <mc:Choice Requires="x14">
            <control shapeId="11363" r:id="rId58" name="Option Button 99">
              <controlPr defaultSize="0" autoFill="0" autoLine="0" autoPict="0">
                <anchor moveWithCells="1">
                  <from>
                    <xdr:col>4</xdr:col>
                    <xdr:colOff>63500</xdr:colOff>
                    <xdr:row>27</xdr:row>
                    <xdr:rowOff>38100</xdr:rowOff>
                  </from>
                  <to>
                    <xdr:col>4</xdr:col>
                    <xdr:colOff>381000</xdr:colOff>
                    <xdr:row>27</xdr:row>
                    <xdr:rowOff>342900</xdr:rowOff>
                  </to>
                </anchor>
              </controlPr>
            </control>
          </mc:Choice>
        </mc:AlternateContent>
        <mc:AlternateContent xmlns:mc="http://schemas.openxmlformats.org/markup-compatibility/2006">
          <mc:Choice Requires="x14">
            <control shapeId="11364" r:id="rId59" name="Option Button 100">
              <controlPr defaultSize="0" autoFill="0" autoLine="0" autoPict="0">
                <anchor moveWithCells="1">
                  <from>
                    <xdr:col>5</xdr:col>
                    <xdr:colOff>63500</xdr:colOff>
                    <xdr:row>27</xdr:row>
                    <xdr:rowOff>25400</xdr:rowOff>
                  </from>
                  <to>
                    <xdr:col>5</xdr:col>
                    <xdr:colOff>368300</xdr:colOff>
                    <xdr:row>27</xdr:row>
                    <xdr:rowOff>342900</xdr:rowOff>
                  </to>
                </anchor>
              </controlPr>
            </control>
          </mc:Choice>
        </mc:AlternateContent>
        <mc:AlternateContent xmlns:mc="http://schemas.openxmlformats.org/markup-compatibility/2006">
          <mc:Choice Requires="x14">
            <control shapeId="11365" r:id="rId60" name="Option Button 101">
              <controlPr defaultSize="0" autoFill="0" autoLine="0" autoPict="0">
                <anchor moveWithCells="1">
                  <from>
                    <xdr:col>6</xdr:col>
                    <xdr:colOff>330200</xdr:colOff>
                    <xdr:row>27</xdr:row>
                    <xdr:rowOff>38100</xdr:rowOff>
                  </from>
                  <to>
                    <xdr:col>6</xdr:col>
                    <xdr:colOff>762000</xdr:colOff>
                    <xdr:row>27</xdr:row>
                    <xdr:rowOff>342900</xdr:rowOff>
                  </to>
                </anchor>
              </controlPr>
            </control>
          </mc:Choice>
        </mc:AlternateContent>
        <mc:AlternateContent xmlns:mc="http://schemas.openxmlformats.org/markup-compatibility/2006">
          <mc:Choice Requires="x14">
            <control shapeId="11366" r:id="rId61" name="Option Button 102">
              <controlPr defaultSize="0" autoFill="0" autoLine="0" autoPict="0">
                <anchor moveWithCells="1">
                  <from>
                    <xdr:col>6</xdr:col>
                    <xdr:colOff>330200</xdr:colOff>
                    <xdr:row>26</xdr:row>
                    <xdr:rowOff>317500</xdr:rowOff>
                  </from>
                  <to>
                    <xdr:col>6</xdr:col>
                    <xdr:colOff>838200</xdr:colOff>
                    <xdr:row>26</xdr:row>
                    <xdr:rowOff>635000</xdr:rowOff>
                  </to>
                </anchor>
              </controlPr>
            </control>
          </mc:Choice>
        </mc:AlternateContent>
        <mc:AlternateContent xmlns:mc="http://schemas.openxmlformats.org/markup-compatibility/2006">
          <mc:Choice Requires="x14">
            <control shapeId="11367" r:id="rId62" name="Option Button 103">
              <controlPr defaultSize="0" autoFill="0" autoLine="0" autoPict="0">
                <anchor moveWithCells="1">
                  <from>
                    <xdr:col>6</xdr:col>
                    <xdr:colOff>330200</xdr:colOff>
                    <xdr:row>25</xdr:row>
                    <xdr:rowOff>88900</xdr:rowOff>
                  </from>
                  <to>
                    <xdr:col>6</xdr:col>
                    <xdr:colOff>876300</xdr:colOff>
                    <xdr:row>25</xdr:row>
                    <xdr:rowOff>546100</xdr:rowOff>
                  </to>
                </anchor>
              </controlPr>
            </control>
          </mc:Choice>
        </mc:AlternateContent>
        <mc:AlternateContent xmlns:mc="http://schemas.openxmlformats.org/markup-compatibility/2006">
          <mc:Choice Requires="x14">
            <control shapeId="11369" r:id="rId63" name="Option Button 105">
              <controlPr defaultSize="0" autoFill="0" autoLine="0" autoPict="0">
                <anchor moveWithCells="1">
                  <from>
                    <xdr:col>6</xdr:col>
                    <xdr:colOff>330200</xdr:colOff>
                    <xdr:row>7</xdr:row>
                    <xdr:rowOff>127000</xdr:rowOff>
                  </from>
                  <to>
                    <xdr:col>6</xdr:col>
                    <xdr:colOff>901700</xdr:colOff>
                    <xdr:row>7</xdr:row>
                    <xdr:rowOff>787400</xdr:rowOff>
                  </to>
                </anchor>
              </controlPr>
            </control>
          </mc:Choice>
        </mc:AlternateContent>
        <mc:AlternateContent xmlns:mc="http://schemas.openxmlformats.org/markup-compatibility/2006">
          <mc:Choice Requires="x14">
            <control shapeId="11370" r:id="rId64" name="Option Button 106">
              <controlPr defaultSize="0" autoFill="0" autoLine="0" autoPict="0">
                <anchor moveWithCells="1">
                  <from>
                    <xdr:col>6</xdr:col>
                    <xdr:colOff>330200</xdr:colOff>
                    <xdr:row>16</xdr:row>
                    <xdr:rowOff>177800</xdr:rowOff>
                  </from>
                  <to>
                    <xdr:col>6</xdr:col>
                    <xdr:colOff>863600</xdr:colOff>
                    <xdr:row>16</xdr:row>
                    <xdr:rowOff>787400</xdr:rowOff>
                  </to>
                </anchor>
              </controlPr>
            </control>
          </mc:Choice>
        </mc:AlternateContent>
        <mc:AlternateContent xmlns:mc="http://schemas.openxmlformats.org/markup-compatibility/2006">
          <mc:Choice Requires="x14">
            <control shapeId="11371" r:id="rId65" name="Option Button 107">
              <controlPr defaultSize="0" autoFill="0" autoLine="0" autoPict="0">
                <anchor moveWithCells="1">
                  <from>
                    <xdr:col>2</xdr:col>
                    <xdr:colOff>63500</xdr:colOff>
                    <xdr:row>24</xdr:row>
                    <xdr:rowOff>76200</xdr:rowOff>
                  </from>
                  <to>
                    <xdr:col>2</xdr:col>
                    <xdr:colOff>355600</xdr:colOff>
                    <xdr:row>24</xdr:row>
                    <xdr:rowOff>495300</xdr:rowOff>
                  </to>
                </anchor>
              </controlPr>
            </control>
          </mc:Choice>
        </mc:AlternateContent>
        <mc:AlternateContent xmlns:mc="http://schemas.openxmlformats.org/markup-compatibility/2006">
          <mc:Choice Requires="x14">
            <control shapeId="11372" r:id="rId66" name="Option Button 108">
              <controlPr defaultSize="0" autoFill="0" autoLine="0" autoPict="0">
                <anchor moveWithCells="1">
                  <from>
                    <xdr:col>3</xdr:col>
                    <xdr:colOff>63500</xdr:colOff>
                    <xdr:row>24</xdr:row>
                    <xdr:rowOff>88900</xdr:rowOff>
                  </from>
                  <to>
                    <xdr:col>3</xdr:col>
                    <xdr:colOff>304800</xdr:colOff>
                    <xdr:row>24</xdr:row>
                    <xdr:rowOff>482600</xdr:rowOff>
                  </to>
                </anchor>
              </controlPr>
            </control>
          </mc:Choice>
        </mc:AlternateContent>
        <mc:AlternateContent xmlns:mc="http://schemas.openxmlformats.org/markup-compatibility/2006">
          <mc:Choice Requires="x14">
            <control shapeId="11373" r:id="rId67" name="Option Button 109">
              <controlPr defaultSize="0" autoFill="0" autoLine="0" autoPict="0">
                <anchor moveWithCells="1">
                  <from>
                    <xdr:col>4</xdr:col>
                    <xdr:colOff>63500</xdr:colOff>
                    <xdr:row>24</xdr:row>
                    <xdr:rowOff>76200</xdr:rowOff>
                  </from>
                  <to>
                    <xdr:col>4</xdr:col>
                    <xdr:colOff>330200</xdr:colOff>
                    <xdr:row>24</xdr:row>
                    <xdr:rowOff>495300</xdr:rowOff>
                  </to>
                </anchor>
              </controlPr>
            </control>
          </mc:Choice>
        </mc:AlternateContent>
        <mc:AlternateContent xmlns:mc="http://schemas.openxmlformats.org/markup-compatibility/2006">
          <mc:Choice Requires="x14">
            <control shapeId="11374" r:id="rId68" name="Option Button 110">
              <controlPr defaultSize="0" autoFill="0" autoLine="0" autoPict="0">
                <anchor moveWithCells="1">
                  <from>
                    <xdr:col>5</xdr:col>
                    <xdr:colOff>63500</xdr:colOff>
                    <xdr:row>24</xdr:row>
                    <xdr:rowOff>88900</xdr:rowOff>
                  </from>
                  <to>
                    <xdr:col>5</xdr:col>
                    <xdr:colOff>330200</xdr:colOff>
                    <xdr:row>24</xdr:row>
                    <xdr:rowOff>482600</xdr:rowOff>
                  </to>
                </anchor>
              </controlPr>
            </control>
          </mc:Choice>
        </mc:AlternateContent>
        <mc:AlternateContent xmlns:mc="http://schemas.openxmlformats.org/markup-compatibility/2006">
          <mc:Choice Requires="x14">
            <control shapeId="11375" r:id="rId69" name="Option Button 111">
              <controlPr defaultSize="0" autoFill="0" autoLine="0" autoPict="0">
                <anchor moveWithCells="1">
                  <from>
                    <xdr:col>6</xdr:col>
                    <xdr:colOff>330200</xdr:colOff>
                    <xdr:row>24</xdr:row>
                    <xdr:rowOff>101600</xdr:rowOff>
                  </from>
                  <to>
                    <xdr:col>6</xdr:col>
                    <xdr:colOff>825500</xdr:colOff>
                    <xdr:row>24</xdr:row>
                    <xdr:rowOff>482600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rgb="FF9CA725"/>
  </sheetPr>
  <dimension ref="A1:J33"/>
  <sheetViews>
    <sheetView zoomScale="70" zoomScaleNormal="70" workbookViewId="0">
      <selection activeCell="H7" sqref="H7"/>
    </sheetView>
  </sheetViews>
  <sheetFormatPr baseColWidth="10" defaultColWidth="8.83203125" defaultRowHeight="14.5" customHeight="1"/>
  <cols>
    <col min="1" max="1" width="18.5" style="129" customWidth="1"/>
    <col min="2" max="2" width="75.5" style="129" customWidth="1"/>
    <col min="3" max="3" width="5.5" style="129" customWidth="1"/>
    <col min="4" max="5" width="35.5" style="129" customWidth="1"/>
    <col min="6" max="6" width="42.83203125" style="129" customWidth="1"/>
    <col min="7" max="7" width="12.6640625" style="129" customWidth="1"/>
    <col min="8" max="8" width="35.5" style="41" customWidth="1"/>
    <col min="9" max="9" width="16.5" style="52" hidden="1" customWidth="1"/>
    <col min="10" max="10" width="35.5" style="195" customWidth="1"/>
    <col min="11" max="12" width="8.83203125" style="129" customWidth="1"/>
    <col min="13" max="16384" width="8.83203125" style="129"/>
  </cols>
  <sheetData>
    <row r="1" spans="1:10" s="118" customFormat="1" ht="26">
      <c r="A1" s="614" t="str">
        <f>Raw!A120</f>
        <v>Standard 6</v>
      </c>
      <c r="B1" s="167" t="str">
        <f>Raw!B120</f>
        <v>Program Assessment</v>
      </c>
      <c r="H1" s="145"/>
      <c r="I1" s="52"/>
      <c r="J1" s="193"/>
    </row>
    <row r="2" spans="1:10" s="118" customFormat="1" ht="17">
      <c r="A2" s="614"/>
      <c r="B2" s="119" t="str">
        <f>Raw!A121</f>
        <v>The program assesses multiple outcomes, using them for program improvement and to advocate for funding and resources.</v>
      </c>
      <c r="H2" s="145"/>
      <c r="I2" s="52"/>
      <c r="J2" s="193"/>
    </row>
    <row r="3" spans="1:10" s="118" customFormat="1" ht="15">
      <c r="A3" s="120"/>
      <c r="H3" s="145"/>
      <c r="I3" s="52"/>
      <c r="J3" s="193"/>
    </row>
    <row r="4" spans="1:10" s="118" customFormat="1" ht="24" thickBot="1">
      <c r="A4" s="168" t="str">
        <f>Raw!A122</f>
        <v>Component 6A: Program Outcomes</v>
      </c>
      <c r="B4" s="123"/>
      <c r="C4" s="123"/>
      <c r="D4" s="123"/>
      <c r="E4" s="123"/>
      <c r="F4" s="123"/>
      <c r="G4" s="123"/>
      <c r="H4" s="146"/>
      <c r="I4" s="52"/>
      <c r="J4" s="193"/>
    </row>
    <row r="5" spans="1:10" s="118" customFormat="1" ht="17">
      <c r="A5" s="119" t="str">
        <f>Raw!A123</f>
        <v>The program is successful at recruiting, graduating, placing, and retaining physics teacher candidates.</v>
      </c>
      <c r="H5" s="145"/>
      <c r="I5" s="52"/>
      <c r="J5" s="193"/>
    </row>
    <row r="6" spans="1:10" s="118" customFormat="1" ht="51">
      <c r="A6" s="120"/>
      <c r="C6" s="293" t="s">
        <v>0</v>
      </c>
      <c r="D6" s="292" t="s">
        <v>702</v>
      </c>
      <c r="E6" s="291" t="s">
        <v>703</v>
      </c>
      <c r="F6" s="291" t="s">
        <v>704</v>
      </c>
      <c r="G6" s="292" t="s">
        <v>623</v>
      </c>
      <c r="H6" s="294" t="s">
        <v>14</v>
      </c>
      <c r="I6" s="52"/>
      <c r="J6" s="193"/>
    </row>
    <row r="7" spans="1:10" s="118" customFormat="1" ht="51">
      <c r="A7" s="169" t="str">
        <f>Raw!C124</f>
        <v>6A-1</v>
      </c>
      <c r="B7" s="170" t="s">
        <v>334</v>
      </c>
      <c r="C7" s="288"/>
      <c r="D7" s="289" t="str">
        <f>Raw!G124</f>
        <v>On average, there is at least one graduate from the PTE program per year.</v>
      </c>
      <c r="E7" s="289" t="str">
        <f>Raw!H124</f>
        <v>On average, there are 2–4 graduates from the PTE program per year.</v>
      </c>
      <c r="F7" s="289" t="str">
        <f>Raw!I124</f>
        <v>On average, there are five or more graduates from the PTE program per year.</v>
      </c>
      <c r="G7" s="289"/>
      <c r="H7" s="296"/>
      <c r="I7" s="52"/>
      <c r="J7" s="193"/>
    </row>
    <row r="8" spans="1:10" s="118" customFormat="1" ht="36">
      <c r="A8" s="169" t="str">
        <f>Raw!C125</f>
        <v>6A-2</v>
      </c>
      <c r="B8" s="170" t="s">
        <v>335</v>
      </c>
      <c r="C8" s="288"/>
      <c r="D8" s="289" t="str">
        <f>Raw!G125</f>
        <v>1–2 students enter the PTE program per year.</v>
      </c>
      <c r="E8" s="289" t="str">
        <f>Raw!H125</f>
        <v>3–5 students enter the PTE program per year.</v>
      </c>
      <c r="F8" s="289" t="str">
        <f>Raw!I125</f>
        <v>Six or more students enter the PTE program per year.</v>
      </c>
      <c r="G8" s="289"/>
      <c r="H8" s="296"/>
      <c r="I8" s="52"/>
      <c r="J8" s="193"/>
    </row>
    <row r="9" spans="1:10" s="118" customFormat="1" ht="51">
      <c r="A9" s="166" t="str">
        <f>Raw!C126</f>
        <v>6A-3</v>
      </c>
      <c r="B9" s="132" t="s">
        <v>294</v>
      </c>
      <c r="C9" s="288"/>
      <c r="D9" s="289" t="str">
        <f>Raw!G126</f>
        <v>Under-represented racial/ethnic groups comprise at least 5% of physics teacher candidates.</v>
      </c>
      <c r="E9" s="289" t="str">
        <f>Raw!H126</f>
        <v>Under-represented racial/ethnic groups comprise at least 10% of physics teacher candidates.</v>
      </c>
      <c r="F9" s="289" t="str">
        <f>Raw!I126</f>
        <v>Under-represented racial/ethnic groups comprise significantly more than 10% of physics teacher candidates.</v>
      </c>
      <c r="G9" s="289"/>
      <c r="H9" s="296"/>
      <c r="I9" s="52"/>
      <c r="J9" s="193"/>
    </row>
    <row r="10" spans="1:10" s="118" customFormat="1" ht="51">
      <c r="A10" s="166" t="str">
        <f>Raw!C127</f>
        <v>6A-4</v>
      </c>
      <c r="B10" s="132" t="s">
        <v>336</v>
      </c>
      <c r="C10" s="288"/>
      <c r="D10" s="289" t="str">
        <f>Raw!G127</f>
        <v>At least 70% of PTE program graduates remain in the profession after five years.</v>
      </c>
      <c r="E10" s="289" t="str">
        <f>Raw!H127</f>
        <v>At least 75% of PTE program graduates remain in the profession after five years.</v>
      </c>
      <c r="F10" s="289" t="str">
        <f>Raw!I127</f>
        <v>At least 80% of PTE program graduates remain in the profession after five years.</v>
      </c>
      <c r="G10" s="289"/>
      <c r="H10" s="296"/>
      <c r="I10" s="52"/>
      <c r="J10" s="193"/>
    </row>
    <row r="11" spans="1:10" ht="15" customHeight="1">
      <c r="A11" s="133" t="s">
        <v>617</v>
      </c>
      <c r="B11" s="140"/>
      <c r="C11" s="134"/>
      <c r="D11" s="141"/>
      <c r="E11" s="141"/>
      <c r="F11" s="141"/>
      <c r="G11" s="155"/>
    </row>
    <row r="12" spans="1:10" ht="14.5" customHeight="1">
      <c r="A12" s="144"/>
      <c r="B12" s="154"/>
      <c r="D12" s="155"/>
      <c r="E12" s="155"/>
      <c r="F12" s="155"/>
      <c r="G12" s="155"/>
    </row>
    <row r="13" spans="1:10" s="118" customFormat="1" ht="24" thickBot="1">
      <c r="A13" s="168" t="str">
        <f>Raw!A128</f>
        <v>Component 6B: Program Evaluation and Improvement</v>
      </c>
      <c r="B13" s="123"/>
      <c r="C13" s="123"/>
      <c r="D13" s="123"/>
      <c r="E13" s="123"/>
      <c r="F13" s="123"/>
      <c r="G13" s="123"/>
      <c r="H13" s="146"/>
      <c r="I13" s="52"/>
      <c r="J13" s="193"/>
    </row>
    <row r="14" spans="1:10" s="118" customFormat="1" ht="17">
      <c r="A14" s="119" t="str">
        <f>Raw!A129</f>
        <v>The program systematically collects and analyzes student- and program-level data to make informed decisions about program development and improvement.</v>
      </c>
      <c r="B14" s="129"/>
      <c r="C14" s="129"/>
      <c r="D14" s="129"/>
      <c r="E14" s="129"/>
      <c r="F14" s="129"/>
      <c r="G14" s="129"/>
      <c r="H14" s="41"/>
      <c r="I14" s="52"/>
      <c r="J14" s="193"/>
    </row>
    <row r="15" spans="1:10" s="118" customFormat="1" ht="51">
      <c r="A15" s="120"/>
      <c r="C15" s="293" t="s">
        <v>0</v>
      </c>
      <c r="D15" s="292" t="s">
        <v>702</v>
      </c>
      <c r="E15" s="291" t="s">
        <v>703</v>
      </c>
      <c r="F15" s="291" t="s">
        <v>704</v>
      </c>
      <c r="G15" s="292" t="s">
        <v>623</v>
      </c>
      <c r="H15" s="294" t="s">
        <v>14</v>
      </c>
      <c r="I15" s="52"/>
      <c r="J15" s="193"/>
    </row>
    <row r="16" spans="1:10" s="118" customFormat="1" ht="51">
      <c r="A16" s="169" t="str">
        <f>Raw!C130</f>
        <v>6B-1</v>
      </c>
      <c r="B16" s="170" t="s">
        <v>337</v>
      </c>
      <c r="C16" s="288"/>
      <c r="D16" s="289" t="str">
        <f>Raw!G130</f>
        <v>The program systematically tracks the number of program completers.</v>
      </c>
      <c r="E16" s="289" t="str">
        <f>Raw!H130</f>
        <v>The program systematically tracks the numbers of teacher candidates and program completers.</v>
      </c>
      <c r="F16" s="289" t="str">
        <f>Raw!I130</f>
        <v>Additionally, the program systematically tracks data on either candidate diversity or career persistence.</v>
      </c>
      <c r="G16" s="289"/>
      <c r="H16" s="296"/>
      <c r="I16" s="52"/>
      <c r="J16" s="193"/>
    </row>
    <row r="17" spans="1:10" s="118" customFormat="1" ht="51">
      <c r="A17" s="169" t="str">
        <f>Raw!C131</f>
        <v>6B-2</v>
      </c>
      <c r="B17" s="170" t="s">
        <v>523</v>
      </c>
      <c r="C17" s="288"/>
      <c r="D17" s="289" t="str">
        <f>Raw!G131</f>
        <v>Program feedback is collected from most candidates or alumni.</v>
      </c>
      <c r="E17" s="289" t="str">
        <f>Raw!H131</f>
        <v>Program feedback is collected from most candidates and alumni or employers.</v>
      </c>
      <c r="F17" s="289" t="str">
        <f>Raw!I131</f>
        <v xml:space="preserve">Program feedback is collected from most candidates and alumni and at least some employers. </v>
      </c>
      <c r="G17" s="289"/>
      <c r="H17" s="296"/>
      <c r="I17" s="52"/>
      <c r="J17" s="193"/>
    </row>
    <row r="18" spans="1:10" s="118" customFormat="1" ht="34">
      <c r="A18" s="166" t="str">
        <f>Raw!C132</f>
        <v>6B-3</v>
      </c>
      <c r="B18" s="132" t="s">
        <v>524</v>
      </c>
      <c r="C18" s="288"/>
      <c r="D18" s="289" t="str">
        <f>Raw!G132</f>
        <v>The program assesses at least two candidate learning outcomes.</v>
      </c>
      <c r="E18" s="289" t="str">
        <f>Raw!H132</f>
        <v>The program assesses at least three candidate learning outcomes.</v>
      </c>
      <c r="F18" s="289" t="str">
        <f>Raw!I132</f>
        <v>The program assesses at least four candidate learning outcomes.</v>
      </c>
      <c r="G18" s="289"/>
      <c r="H18" s="296"/>
      <c r="I18" s="52"/>
      <c r="J18" s="193"/>
    </row>
    <row r="19" spans="1:10" s="118" customFormat="1" ht="68">
      <c r="A19" s="166" t="str">
        <f>Raw!C133</f>
        <v>6B-4</v>
      </c>
      <c r="B19" s="132" t="s">
        <v>338</v>
      </c>
      <c r="C19" s="288"/>
      <c r="D19" s="289" t="str">
        <f>Raw!G133</f>
        <v xml:space="preserve">The program uses feedback and program data to make occasional improvements. </v>
      </c>
      <c r="E19" s="289" t="str">
        <f>Raw!H133</f>
        <v>The program has carefully examined feedback and program data to make substantial improvements at least occasionally.</v>
      </c>
      <c r="F19" s="289" t="str">
        <f>Raw!I133</f>
        <v>The program conducts an annual evaluation or otherwise engages in a systematic cycle of continuous improvement.</v>
      </c>
      <c r="G19" s="289"/>
      <c r="H19" s="297"/>
      <c r="I19" s="52"/>
      <c r="J19" s="193"/>
    </row>
    <row r="20" spans="1:10" ht="15" customHeight="1">
      <c r="A20" s="133" t="s">
        <v>618</v>
      </c>
      <c r="B20" s="140"/>
      <c r="C20" s="134"/>
      <c r="D20" s="141"/>
      <c r="E20" s="141"/>
      <c r="F20" s="141"/>
      <c r="G20" s="141"/>
      <c r="H20" s="147"/>
    </row>
    <row r="21" spans="1:10" ht="15" customHeight="1">
      <c r="A21" s="143" t="s">
        <v>619</v>
      </c>
      <c r="B21" s="154"/>
      <c r="D21" s="155"/>
      <c r="E21" s="155"/>
      <c r="F21" s="155"/>
      <c r="G21" s="155"/>
    </row>
    <row r="22" spans="1:10" ht="15" customHeight="1">
      <c r="A22" s="143" t="s">
        <v>620</v>
      </c>
    </row>
    <row r="23" spans="1:10" s="118" customFormat="1" ht="15" customHeight="1">
      <c r="A23" s="143" t="s">
        <v>621</v>
      </c>
      <c r="B23" s="129"/>
      <c r="C23" s="129"/>
      <c r="D23" s="129"/>
      <c r="E23" s="129"/>
      <c r="F23" s="129"/>
      <c r="G23" s="129"/>
      <c r="H23" s="41"/>
      <c r="I23" s="52"/>
      <c r="J23" s="193"/>
    </row>
    <row r="24" spans="1:10" s="118" customFormat="1" ht="14.5" customHeight="1">
      <c r="A24" s="144"/>
      <c r="B24" s="129"/>
      <c r="C24" s="129"/>
      <c r="D24" s="129"/>
      <c r="E24" s="129"/>
      <c r="F24" s="129"/>
      <c r="G24" s="129"/>
      <c r="H24" s="41"/>
      <c r="I24" s="52"/>
      <c r="J24" s="193"/>
    </row>
    <row r="25" spans="1:10" s="118" customFormat="1" ht="24" thickBot="1">
      <c r="A25" s="168" t="str">
        <f>Raw!A134</f>
        <v>Component 6C: Communication to Stakeholders</v>
      </c>
      <c r="B25" s="123"/>
      <c r="C25" s="123"/>
      <c r="D25" s="123"/>
      <c r="E25" s="123"/>
      <c r="F25" s="123"/>
      <c r="G25" s="123"/>
      <c r="H25" s="146"/>
      <c r="I25" s="52"/>
      <c r="J25" s="193"/>
    </row>
    <row r="26" spans="1:10" s="118" customFormat="1" ht="17">
      <c r="A26" s="119" t="str">
        <f>Raw!A135</f>
        <v>The program communicates its successes to key stakeholders to build support for the program.</v>
      </c>
      <c r="H26" s="145"/>
      <c r="I26" s="52"/>
      <c r="J26" s="193"/>
    </row>
    <row r="27" spans="1:10" s="118" customFormat="1" ht="51">
      <c r="A27" s="120"/>
      <c r="C27" s="293" t="s">
        <v>0</v>
      </c>
      <c r="D27" s="292" t="s">
        <v>702</v>
      </c>
      <c r="E27" s="291" t="s">
        <v>703</v>
      </c>
      <c r="F27" s="291" t="s">
        <v>704</v>
      </c>
      <c r="G27" s="292" t="s">
        <v>623</v>
      </c>
      <c r="H27" s="294" t="s">
        <v>14</v>
      </c>
      <c r="I27" s="52"/>
      <c r="J27" s="193"/>
    </row>
    <row r="28" spans="1:10" s="118" customFormat="1" ht="68">
      <c r="A28" s="169" t="str">
        <f>Raw!C136</f>
        <v>6C-1</v>
      </c>
      <c r="B28" s="170" t="s">
        <v>339</v>
      </c>
      <c r="C28" s="288"/>
      <c r="D28" s="289" t="str">
        <f>Raw!G136</f>
        <v>The program consistently communicates its assessment data within the program team.</v>
      </c>
      <c r="E28" s="289" t="str">
        <f>Raw!H136</f>
        <v xml:space="preserve">The program consistently communicates about its successes with one or two departments or academic units. </v>
      </c>
      <c r="F28" s="289" t="str">
        <f>Raw!I136</f>
        <v xml:space="preserve">The program consistently communicates about its successes in campus-wide publications or venues. </v>
      </c>
      <c r="G28" s="289"/>
      <c r="H28" s="296"/>
      <c r="I28" s="52"/>
      <c r="J28" s="193"/>
    </row>
    <row r="29" spans="1:10" s="118" customFormat="1" ht="68">
      <c r="A29" s="169" t="str">
        <f>Raw!C137</f>
        <v>6C-2</v>
      </c>
      <c r="B29" s="170" t="s">
        <v>525</v>
      </c>
      <c r="C29" s="288"/>
      <c r="D29" s="289" t="str">
        <f>Raw!G137</f>
        <v>Program leaders consistently communicate with department chairs about program successes.</v>
      </c>
      <c r="E29" s="289" t="str">
        <f>Raw!H137</f>
        <v>Program leaders consistently communicate with higher administrators about program successes.</v>
      </c>
      <c r="F29" s="289" t="str">
        <f>Raw!I137</f>
        <v>Assessment data is strategically used to argue for program stability by addressing administrators’ highest priorities (e.g., student recruitment, financial return).</v>
      </c>
      <c r="G29" s="289"/>
      <c r="H29" s="296"/>
      <c r="I29" s="52"/>
      <c r="J29" s="193"/>
    </row>
    <row r="30" spans="1:10" s="118" customFormat="1" ht="68">
      <c r="A30" s="166" t="str">
        <f>Raw!C138</f>
        <v>6C-3</v>
      </c>
      <c r="B30" s="132" t="s">
        <v>340</v>
      </c>
      <c r="C30" s="288"/>
      <c r="D30" s="289" t="str">
        <f>Raw!G138</f>
        <v>Program successes are publicized within the institution.</v>
      </c>
      <c r="E30" s="289" t="str">
        <f>Raw!H138</f>
        <v>Program successes are publicized at the city or county level (e.g., newspaper articles), OR program leaders engage in state advocacy.</v>
      </c>
      <c r="F30" s="289" t="str">
        <f>Raw!I138</f>
        <v>Program successes are publicized at the city, county, or state level, AND the program leaders engage in state advocacy.</v>
      </c>
      <c r="G30" s="289"/>
      <c r="H30" s="296"/>
      <c r="I30" s="52"/>
      <c r="J30" s="193"/>
    </row>
    <row r="31" spans="1:10" s="118" customFormat="1" ht="68">
      <c r="A31" s="166" t="str">
        <f>Raw!C139</f>
        <v>6C-4</v>
      </c>
      <c r="B31" s="132" t="s">
        <v>68</v>
      </c>
      <c r="C31" s="288"/>
      <c r="D31" s="289" t="str">
        <f>Raw!G139</f>
        <v>Members of the program team have contributed to scholarly work in teacher education conducted by researchers outside the program.</v>
      </c>
      <c r="E31" s="289" t="str">
        <f>Raw!H139</f>
        <v>Members of the program team conduct systematic research to contribute to knowledge in physics teacher education.</v>
      </c>
      <c r="F31" s="289" t="str">
        <f>Raw!I139</f>
        <v>Members of the program team have published a scholarly paper on the program or its outcomes.</v>
      </c>
      <c r="G31" s="289"/>
      <c r="H31" s="296"/>
      <c r="I31" s="52"/>
      <c r="J31" s="193"/>
    </row>
    <row r="32" spans="1:10" ht="15" customHeight="1">
      <c r="A32" s="143" t="s">
        <v>622</v>
      </c>
      <c r="B32" s="140"/>
      <c r="C32" s="134"/>
      <c r="D32" s="141"/>
      <c r="E32" s="141"/>
      <c r="F32" s="141"/>
      <c r="G32" s="141"/>
      <c r="H32" s="147"/>
    </row>
    <row r="33" spans="1:1" ht="14.5" customHeight="1">
      <c r="A33" s="144"/>
    </row>
  </sheetData>
  <sheetProtection sheet="1" selectLockedCells="1"/>
  <mergeCells count="1">
    <mergeCell ref="A1:A2"/>
  </mergeCells>
  <conditionalFormatting sqref="C7">
    <cfRule type="expression" dxfId="724" priority="64">
      <formula>$I7=1</formula>
    </cfRule>
  </conditionalFormatting>
  <conditionalFormatting sqref="D7">
    <cfRule type="expression" dxfId="723" priority="63">
      <formula>$I7=2</formula>
    </cfRule>
  </conditionalFormatting>
  <conditionalFormatting sqref="E7">
    <cfRule type="expression" dxfId="722" priority="62">
      <formula>$I7=3</formula>
    </cfRule>
  </conditionalFormatting>
  <conditionalFormatting sqref="F7">
    <cfRule type="expression" dxfId="721" priority="61">
      <formula>$I7=4</formula>
    </cfRule>
  </conditionalFormatting>
  <conditionalFormatting sqref="C8">
    <cfRule type="expression" dxfId="720" priority="60">
      <formula>$I8=1</formula>
    </cfRule>
  </conditionalFormatting>
  <conditionalFormatting sqref="D8">
    <cfRule type="expression" dxfId="719" priority="59">
      <formula>$I8=2</formula>
    </cfRule>
  </conditionalFormatting>
  <conditionalFormatting sqref="E8">
    <cfRule type="expression" dxfId="718" priority="58">
      <formula>$I8=3</formula>
    </cfRule>
  </conditionalFormatting>
  <conditionalFormatting sqref="F8">
    <cfRule type="expression" dxfId="717" priority="57">
      <formula>$I8=4</formula>
    </cfRule>
  </conditionalFormatting>
  <conditionalFormatting sqref="C9">
    <cfRule type="expression" dxfId="716" priority="56">
      <formula>$I9=1</formula>
    </cfRule>
  </conditionalFormatting>
  <conditionalFormatting sqref="D9">
    <cfRule type="expression" dxfId="715" priority="55">
      <formula>$I9=2</formula>
    </cfRule>
  </conditionalFormatting>
  <conditionalFormatting sqref="E9">
    <cfRule type="expression" dxfId="714" priority="54">
      <formula>$I9=3</formula>
    </cfRule>
  </conditionalFormatting>
  <conditionalFormatting sqref="F9">
    <cfRule type="expression" dxfId="713" priority="53">
      <formula>$I9=4</formula>
    </cfRule>
  </conditionalFormatting>
  <conditionalFormatting sqref="C10">
    <cfRule type="expression" dxfId="712" priority="52">
      <formula>$I10=1</formula>
    </cfRule>
  </conditionalFormatting>
  <conditionalFormatting sqref="D10">
    <cfRule type="expression" dxfId="711" priority="51">
      <formula>$I10=2</formula>
    </cfRule>
  </conditionalFormatting>
  <conditionalFormatting sqref="E10">
    <cfRule type="expression" dxfId="710" priority="50">
      <formula>$I10=3</formula>
    </cfRule>
  </conditionalFormatting>
  <conditionalFormatting sqref="F10">
    <cfRule type="expression" dxfId="709" priority="49">
      <formula>$I10=4</formula>
    </cfRule>
  </conditionalFormatting>
  <conditionalFormatting sqref="C16">
    <cfRule type="expression" dxfId="708" priority="44">
      <formula>$I16=1</formula>
    </cfRule>
  </conditionalFormatting>
  <conditionalFormatting sqref="D16">
    <cfRule type="expression" dxfId="707" priority="43">
      <formula>$I16=2</formula>
    </cfRule>
  </conditionalFormatting>
  <conditionalFormatting sqref="E16">
    <cfRule type="expression" dxfId="706" priority="42">
      <formula>$I16=3</formula>
    </cfRule>
  </conditionalFormatting>
  <conditionalFormatting sqref="F16">
    <cfRule type="expression" dxfId="705" priority="41">
      <formula>$I16=4</formula>
    </cfRule>
  </conditionalFormatting>
  <conditionalFormatting sqref="C17">
    <cfRule type="expression" dxfId="704" priority="40">
      <formula>$I17=1</formula>
    </cfRule>
  </conditionalFormatting>
  <conditionalFormatting sqref="D17">
    <cfRule type="expression" dxfId="703" priority="39">
      <formula>$I17=2</formula>
    </cfRule>
  </conditionalFormatting>
  <conditionalFormatting sqref="E17">
    <cfRule type="expression" dxfId="702" priority="38">
      <formula>$I17=3</formula>
    </cfRule>
  </conditionalFormatting>
  <conditionalFormatting sqref="F17">
    <cfRule type="expression" dxfId="701" priority="37">
      <formula>$I17=4</formula>
    </cfRule>
  </conditionalFormatting>
  <conditionalFormatting sqref="C18">
    <cfRule type="expression" dxfId="700" priority="36">
      <formula>$I18=1</formula>
    </cfRule>
  </conditionalFormatting>
  <conditionalFormatting sqref="D18">
    <cfRule type="expression" dxfId="699" priority="35">
      <formula>$I18=2</formula>
    </cfRule>
  </conditionalFormatting>
  <conditionalFormatting sqref="E18">
    <cfRule type="expression" dxfId="698" priority="34">
      <formula>$I18=3</formula>
    </cfRule>
  </conditionalFormatting>
  <conditionalFormatting sqref="F18">
    <cfRule type="expression" dxfId="697" priority="33">
      <formula>$I18=4</formula>
    </cfRule>
  </conditionalFormatting>
  <conditionalFormatting sqref="C19">
    <cfRule type="expression" dxfId="696" priority="32">
      <formula>$I19=1</formula>
    </cfRule>
  </conditionalFormatting>
  <conditionalFormatting sqref="D19">
    <cfRule type="expression" dxfId="695" priority="31">
      <formula>$I19=2</formula>
    </cfRule>
  </conditionalFormatting>
  <conditionalFormatting sqref="E19">
    <cfRule type="expression" dxfId="694" priority="30">
      <formula>$I19=3</formula>
    </cfRule>
  </conditionalFormatting>
  <conditionalFormatting sqref="F19">
    <cfRule type="expression" dxfId="693" priority="29">
      <formula>$I19=4</formula>
    </cfRule>
  </conditionalFormatting>
  <conditionalFormatting sqref="C28">
    <cfRule type="expression" dxfId="692" priority="20">
      <formula>$I28=1</formula>
    </cfRule>
  </conditionalFormatting>
  <conditionalFormatting sqref="D28">
    <cfRule type="expression" dxfId="691" priority="19">
      <formula>$I28=2</formula>
    </cfRule>
  </conditionalFormatting>
  <conditionalFormatting sqref="E28">
    <cfRule type="expression" dxfId="690" priority="18">
      <formula>$I28=3</formula>
    </cfRule>
  </conditionalFormatting>
  <conditionalFormatting sqref="F28">
    <cfRule type="expression" dxfId="689" priority="17">
      <formula>$I28=4</formula>
    </cfRule>
  </conditionalFormatting>
  <conditionalFormatting sqref="C29">
    <cfRule type="expression" dxfId="688" priority="16">
      <formula>$I29=1</formula>
    </cfRule>
  </conditionalFormatting>
  <conditionalFormatting sqref="D29">
    <cfRule type="expression" dxfId="687" priority="15">
      <formula>$I29=2</formula>
    </cfRule>
  </conditionalFormatting>
  <conditionalFormatting sqref="E29">
    <cfRule type="expression" dxfId="686" priority="14">
      <formula>$I29=3</formula>
    </cfRule>
  </conditionalFormatting>
  <conditionalFormatting sqref="F29">
    <cfRule type="expression" dxfId="685" priority="13">
      <formula>$I29=4</formula>
    </cfRule>
  </conditionalFormatting>
  <conditionalFormatting sqref="C30">
    <cfRule type="expression" dxfId="684" priority="12">
      <formula>$I30=1</formula>
    </cfRule>
  </conditionalFormatting>
  <conditionalFormatting sqref="D30">
    <cfRule type="expression" dxfId="683" priority="11">
      <formula>$I30=2</formula>
    </cfRule>
  </conditionalFormatting>
  <conditionalFormatting sqref="E30">
    <cfRule type="expression" dxfId="682" priority="10">
      <formula>$I30=3</formula>
    </cfRule>
  </conditionalFormatting>
  <conditionalFormatting sqref="F30">
    <cfRule type="expression" dxfId="681" priority="9">
      <formula>$I30=4</formula>
    </cfRule>
  </conditionalFormatting>
  <conditionalFormatting sqref="C31">
    <cfRule type="expression" dxfId="680" priority="8">
      <formula>$I31=1</formula>
    </cfRule>
  </conditionalFormatting>
  <conditionalFormatting sqref="D31">
    <cfRule type="expression" dxfId="679" priority="7">
      <formula>$I31=2</formula>
    </cfRule>
  </conditionalFormatting>
  <conditionalFormatting sqref="E31">
    <cfRule type="expression" dxfId="678" priority="6">
      <formula>$I31=3</formula>
    </cfRule>
  </conditionalFormatting>
  <conditionalFormatting sqref="F31">
    <cfRule type="expression" dxfId="677" priority="5">
      <formula>$I31=4</formula>
    </cfRule>
  </conditionalFormatting>
  <conditionalFormatting sqref="G7">
    <cfRule type="expression" dxfId="676" priority="4">
      <formula>I7=5</formula>
    </cfRule>
  </conditionalFormatting>
  <conditionalFormatting sqref="G28:G31">
    <cfRule type="expression" dxfId="675" priority="1">
      <formula>I28=5</formula>
    </cfRule>
  </conditionalFormatting>
  <conditionalFormatting sqref="G8:G10">
    <cfRule type="expression" dxfId="674" priority="3">
      <formula>I8=5</formula>
    </cfRule>
  </conditionalFormatting>
  <conditionalFormatting sqref="G16:G19">
    <cfRule type="expression" dxfId="673" priority="2">
      <formula>I16=5</formula>
    </cfRule>
  </conditionalFormatting>
  <pageMargins left="0.7" right="0.7" top="0.75" bottom="0.75" header="0.3" footer="0.3"/>
  <pageSetup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Group Box 1">
              <controlPr defaultSize="0" autoFill="0" autoPict="0">
                <anchor moveWithCells="1">
                  <from>
                    <xdr:col>1</xdr:col>
                    <xdr:colOff>4914900</xdr:colOff>
                    <xdr:row>6</xdr:row>
                    <xdr:rowOff>139700</xdr:rowOff>
                  </from>
                  <to>
                    <xdr:col>7</xdr:col>
                    <xdr:colOff>127000</xdr:colOff>
                    <xdr:row>6</xdr:row>
                    <xdr:rowOff>457200</xdr:rowOff>
                  </to>
                </anchor>
              </controlPr>
            </control>
          </mc:Choice>
        </mc:AlternateContent>
        <mc:AlternateContent xmlns:mc="http://schemas.openxmlformats.org/markup-compatibility/2006">
          <mc:Choice Requires="x14">
            <control shapeId="12290" r:id="rId5" name="Group Box 2">
              <controlPr defaultSize="0" autoFill="0" autoPict="0">
                <anchor moveWithCells="1">
                  <from>
                    <xdr:col>1</xdr:col>
                    <xdr:colOff>4940300</xdr:colOff>
                    <xdr:row>7</xdr:row>
                    <xdr:rowOff>63500</xdr:rowOff>
                  </from>
                  <to>
                    <xdr:col>7</xdr:col>
                    <xdr:colOff>139700</xdr:colOff>
                    <xdr:row>7</xdr:row>
                    <xdr:rowOff>393700</xdr:rowOff>
                  </to>
                </anchor>
              </controlPr>
            </control>
          </mc:Choice>
        </mc:AlternateContent>
        <mc:AlternateContent xmlns:mc="http://schemas.openxmlformats.org/markup-compatibility/2006">
          <mc:Choice Requires="x14">
            <control shapeId="12291" r:id="rId6" name="Group Box 3">
              <controlPr defaultSize="0" autoFill="0" autoPict="0">
                <anchor moveWithCells="1">
                  <from>
                    <xdr:col>2</xdr:col>
                    <xdr:colOff>0</xdr:colOff>
                    <xdr:row>8</xdr:row>
                    <xdr:rowOff>88900</xdr:rowOff>
                  </from>
                  <to>
                    <xdr:col>7</xdr:col>
                    <xdr:colOff>152400</xdr:colOff>
                    <xdr:row>8</xdr:row>
                    <xdr:rowOff>546100</xdr:rowOff>
                  </to>
                </anchor>
              </controlPr>
            </control>
          </mc:Choice>
        </mc:AlternateContent>
        <mc:AlternateContent xmlns:mc="http://schemas.openxmlformats.org/markup-compatibility/2006">
          <mc:Choice Requires="x14">
            <control shapeId="12292" r:id="rId7" name="Group Box 4">
              <controlPr defaultSize="0" autoFill="0" autoPict="0">
                <anchor moveWithCells="1">
                  <from>
                    <xdr:col>1</xdr:col>
                    <xdr:colOff>4940300</xdr:colOff>
                    <xdr:row>9</xdr:row>
                    <xdr:rowOff>63500</xdr:rowOff>
                  </from>
                  <to>
                    <xdr:col>7</xdr:col>
                    <xdr:colOff>139700</xdr:colOff>
                    <xdr:row>9</xdr:row>
                    <xdr:rowOff>546100</xdr:rowOff>
                  </to>
                </anchor>
              </controlPr>
            </control>
          </mc:Choice>
        </mc:AlternateContent>
        <mc:AlternateContent xmlns:mc="http://schemas.openxmlformats.org/markup-compatibility/2006">
          <mc:Choice Requires="x14">
            <control shapeId="12294" r:id="rId8" name="Group Box 6">
              <controlPr defaultSize="0" autoFill="0" autoPict="0">
                <anchor moveWithCells="1">
                  <from>
                    <xdr:col>1</xdr:col>
                    <xdr:colOff>4940300</xdr:colOff>
                    <xdr:row>15</xdr:row>
                    <xdr:rowOff>12700</xdr:rowOff>
                  </from>
                  <to>
                    <xdr:col>6</xdr:col>
                    <xdr:colOff>914400</xdr:colOff>
                    <xdr:row>15</xdr:row>
                    <xdr:rowOff>520700</xdr:rowOff>
                  </to>
                </anchor>
              </controlPr>
            </control>
          </mc:Choice>
        </mc:AlternateContent>
        <mc:AlternateContent xmlns:mc="http://schemas.openxmlformats.org/markup-compatibility/2006">
          <mc:Choice Requires="x14">
            <control shapeId="12295" r:id="rId9" name="Group Box 7">
              <controlPr defaultSize="0" autoFill="0" autoPict="0">
                <anchor moveWithCells="1">
                  <from>
                    <xdr:col>1</xdr:col>
                    <xdr:colOff>4940300</xdr:colOff>
                    <xdr:row>16</xdr:row>
                    <xdr:rowOff>25400</xdr:rowOff>
                  </from>
                  <to>
                    <xdr:col>6</xdr:col>
                    <xdr:colOff>914400</xdr:colOff>
                    <xdr:row>16</xdr:row>
                    <xdr:rowOff>520700</xdr:rowOff>
                  </to>
                </anchor>
              </controlPr>
            </control>
          </mc:Choice>
        </mc:AlternateContent>
        <mc:AlternateContent xmlns:mc="http://schemas.openxmlformats.org/markup-compatibility/2006">
          <mc:Choice Requires="x14">
            <control shapeId="12296" r:id="rId10" name="Group Box 8">
              <controlPr defaultSize="0" autoFill="0" autoPict="0">
                <anchor moveWithCells="1">
                  <from>
                    <xdr:col>2</xdr:col>
                    <xdr:colOff>0</xdr:colOff>
                    <xdr:row>17</xdr:row>
                    <xdr:rowOff>0</xdr:rowOff>
                  </from>
                  <to>
                    <xdr:col>7</xdr:col>
                    <xdr:colOff>266700</xdr:colOff>
                    <xdr:row>17</xdr:row>
                    <xdr:rowOff>381000</xdr:rowOff>
                  </to>
                </anchor>
              </controlPr>
            </control>
          </mc:Choice>
        </mc:AlternateContent>
        <mc:AlternateContent xmlns:mc="http://schemas.openxmlformats.org/markup-compatibility/2006">
          <mc:Choice Requires="x14">
            <control shapeId="12297" r:id="rId11" name="Group Box 9">
              <controlPr defaultSize="0" autoFill="0" autoPict="0">
                <anchor moveWithCells="1">
                  <from>
                    <xdr:col>2</xdr:col>
                    <xdr:colOff>0</xdr:colOff>
                    <xdr:row>18</xdr:row>
                    <xdr:rowOff>25400</xdr:rowOff>
                  </from>
                  <to>
                    <xdr:col>7</xdr:col>
                    <xdr:colOff>25400</xdr:colOff>
                    <xdr:row>18</xdr:row>
                    <xdr:rowOff>723900</xdr:rowOff>
                  </to>
                </anchor>
              </controlPr>
            </control>
          </mc:Choice>
        </mc:AlternateContent>
        <mc:AlternateContent xmlns:mc="http://schemas.openxmlformats.org/markup-compatibility/2006">
          <mc:Choice Requires="x14">
            <control shapeId="12300" r:id="rId12" name="Group Box 12">
              <controlPr defaultSize="0" autoFill="0" autoPict="0">
                <anchor moveWithCells="1">
                  <from>
                    <xdr:col>2</xdr:col>
                    <xdr:colOff>0</xdr:colOff>
                    <xdr:row>27</xdr:row>
                    <xdr:rowOff>50800</xdr:rowOff>
                  </from>
                  <to>
                    <xdr:col>7</xdr:col>
                    <xdr:colOff>63500</xdr:colOff>
                    <xdr:row>27</xdr:row>
                    <xdr:rowOff>711200</xdr:rowOff>
                  </to>
                </anchor>
              </controlPr>
            </control>
          </mc:Choice>
        </mc:AlternateContent>
        <mc:AlternateContent xmlns:mc="http://schemas.openxmlformats.org/markup-compatibility/2006">
          <mc:Choice Requires="x14">
            <control shapeId="12301" r:id="rId13" name="Group Box 13">
              <controlPr defaultSize="0" autoFill="0" autoPict="0">
                <anchor moveWithCells="1">
                  <from>
                    <xdr:col>2</xdr:col>
                    <xdr:colOff>0</xdr:colOff>
                    <xdr:row>28</xdr:row>
                    <xdr:rowOff>88900</xdr:rowOff>
                  </from>
                  <to>
                    <xdr:col>7</xdr:col>
                    <xdr:colOff>50800</xdr:colOff>
                    <xdr:row>28</xdr:row>
                    <xdr:rowOff>660400</xdr:rowOff>
                  </to>
                </anchor>
              </controlPr>
            </control>
          </mc:Choice>
        </mc:AlternateContent>
        <mc:AlternateContent xmlns:mc="http://schemas.openxmlformats.org/markup-compatibility/2006">
          <mc:Choice Requires="x14">
            <control shapeId="12304" r:id="rId14" name="Option Button 16">
              <controlPr defaultSize="0" autoFill="0" autoLine="0" autoPict="0">
                <anchor moveWithCells="1">
                  <from>
                    <xdr:col>2</xdr:col>
                    <xdr:colOff>38100</xdr:colOff>
                    <xdr:row>6</xdr:row>
                    <xdr:rowOff>190500</xdr:rowOff>
                  </from>
                  <to>
                    <xdr:col>3</xdr:col>
                    <xdr:colOff>12700</xdr:colOff>
                    <xdr:row>6</xdr:row>
                    <xdr:rowOff>457200</xdr:rowOff>
                  </to>
                </anchor>
              </controlPr>
            </control>
          </mc:Choice>
        </mc:AlternateContent>
        <mc:AlternateContent xmlns:mc="http://schemas.openxmlformats.org/markup-compatibility/2006">
          <mc:Choice Requires="x14">
            <control shapeId="12305" r:id="rId15" name="Option Button 17">
              <controlPr defaultSize="0" autoFill="0" autoLine="0" autoPict="0">
                <anchor moveWithCells="1">
                  <from>
                    <xdr:col>3</xdr:col>
                    <xdr:colOff>63500</xdr:colOff>
                    <xdr:row>6</xdr:row>
                    <xdr:rowOff>190500</xdr:rowOff>
                  </from>
                  <to>
                    <xdr:col>3</xdr:col>
                    <xdr:colOff>368300</xdr:colOff>
                    <xdr:row>6</xdr:row>
                    <xdr:rowOff>457200</xdr:rowOff>
                  </to>
                </anchor>
              </controlPr>
            </control>
          </mc:Choice>
        </mc:AlternateContent>
        <mc:AlternateContent xmlns:mc="http://schemas.openxmlformats.org/markup-compatibility/2006">
          <mc:Choice Requires="x14">
            <control shapeId="12306" r:id="rId16" name="Option Button 18">
              <controlPr defaultSize="0" autoFill="0" autoLine="0" autoPict="0">
                <anchor moveWithCells="1">
                  <from>
                    <xdr:col>4</xdr:col>
                    <xdr:colOff>50800</xdr:colOff>
                    <xdr:row>6</xdr:row>
                    <xdr:rowOff>190500</xdr:rowOff>
                  </from>
                  <to>
                    <xdr:col>4</xdr:col>
                    <xdr:colOff>342900</xdr:colOff>
                    <xdr:row>6</xdr:row>
                    <xdr:rowOff>457200</xdr:rowOff>
                  </to>
                </anchor>
              </controlPr>
            </control>
          </mc:Choice>
        </mc:AlternateContent>
        <mc:AlternateContent xmlns:mc="http://schemas.openxmlformats.org/markup-compatibility/2006">
          <mc:Choice Requires="x14">
            <control shapeId="12307" r:id="rId17" name="Option Button 19">
              <controlPr defaultSize="0" autoFill="0" autoLine="0" autoPict="0">
                <anchor moveWithCells="1">
                  <from>
                    <xdr:col>5</xdr:col>
                    <xdr:colOff>63500</xdr:colOff>
                    <xdr:row>6</xdr:row>
                    <xdr:rowOff>190500</xdr:rowOff>
                  </from>
                  <to>
                    <xdr:col>5</xdr:col>
                    <xdr:colOff>368300</xdr:colOff>
                    <xdr:row>6</xdr:row>
                    <xdr:rowOff>457200</xdr:rowOff>
                  </to>
                </anchor>
              </controlPr>
            </control>
          </mc:Choice>
        </mc:AlternateContent>
        <mc:AlternateContent xmlns:mc="http://schemas.openxmlformats.org/markup-compatibility/2006">
          <mc:Choice Requires="x14">
            <control shapeId="12308" r:id="rId18" name="Option Button 20">
              <controlPr defaultSize="0" autoFill="0" autoLine="0" autoPict="0">
                <anchor moveWithCells="1">
                  <from>
                    <xdr:col>2</xdr:col>
                    <xdr:colOff>38100</xdr:colOff>
                    <xdr:row>7</xdr:row>
                    <xdr:rowOff>101600</xdr:rowOff>
                  </from>
                  <to>
                    <xdr:col>3</xdr:col>
                    <xdr:colOff>12700</xdr:colOff>
                    <xdr:row>7</xdr:row>
                    <xdr:rowOff>368300</xdr:rowOff>
                  </to>
                </anchor>
              </controlPr>
            </control>
          </mc:Choice>
        </mc:AlternateContent>
        <mc:AlternateContent xmlns:mc="http://schemas.openxmlformats.org/markup-compatibility/2006">
          <mc:Choice Requires="x14">
            <control shapeId="12309" r:id="rId19" name="Option Button 21">
              <controlPr defaultSize="0" autoFill="0" autoLine="0" autoPict="0">
                <anchor moveWithCells="1">
                  <from>
                    <xdr:col>3</xdr:col>
                    <xdr:colOff>63500</xdr:colOff>
                    <xdr:row>7</xdr:row>
                    <xdr:rowOff>101600</xdr:rowOff>
                  </from>
                  <to>
                    <xdr:col>3</xdr:col>
                    <xdr:colOff>355600</xdr:colOff>
                    <xdr:row>7</xdr:row>
                    <xdr:rowOff>368300</xdr:rowOff>
                  </to>
                </anchor>
              </controlPr>
            </control>
          </mc:Choice>
        </mc:AlternateContent>
        <mc:AlternateContent xmlns:mc="http://schemas.openxmlformats.org/markup-compatibility/2006">
          <mc:Choice Requires="x14">
            <control shapeId="12310" r:id="rId20" name="Option Button 22">
              <controlPr defaultSize="0" autoFill="0" autoLine="0" autoPict="0">
                <anchor moveWithCells="1">
                  <from>
                    <xdr:col>4</xdr:col>
                    <xdr:colOff>50800</xdr:colOff>
                    <xdr:row>7</xdr:row>
                    <xdr:rowOff>101600</xdr:rowOff>
                  </from>
                  <to>
                    <xdr:col>4</xdr:col>
                    <xdr:colOff>368300</xdr:colOff>
                    <xdr:row>7</xdr:row>
                    <xdr:rowOff>368300</xdr:rowOff>
                  </to>
                </anchor>
              </controlPr>
            </control>
          </mc:Choice>
        </mc:AlternateContent>
        <mc:AlternateContent xmlns:mc="http://schemas.openxmlformats.org/markup-compatibility/2006">
          <mc:Choice Requires="x14">
            <control shapeId="12311" r:id="rId21" name="Option Button 23">
              <controlPr defaultSize="0" autoFill="0" autoLine="0" autoPict="0">
                <anchor moveWithCells="1">
                  <from>
                    <xdr:col>5</xdr:col>
                    <xdr:colOff>63500</xdr:colOff>
                    <xdr:row>7</xdr:row>
                    <xdr:rowOff>101600</xdr:rowOff>
                  </from>
                  <to>
                    <xdr:col>5</xdr:col>
                    <xdr:colOff>368300</xdr:colOff>
                    <xdr:row>7</xdr:row>
                    <xdr:rowOff>368300</xdr:rowOff>
                  </to>
                </anchor>
              </controlPr>
            </control>
          </mc:Choice>
        </mc:AlternateContent>
        <mc:AlternateContent xmlns:mc="http://schemas.openxmlformats.org/markup-compatibility/2006">
          <mc:Choice Requires="x14">
            <control shapeId="12312" r:id="rId22" name="Option Button 24">
              <controlPr defaultSize="0" autoFill="0" autoLine="0" autoPict="0">
                <anchor moveWithCells="1">
                  <from>
                    <xdr:col>2</xdr:col>
                    <xdr:colOff>38100</xdr:colOff>
                    <xdr:row>8</xdr:row>
                    <xdr:rowOff>139700</xdr:rowOff>
                  </from>
                  <to>
                    <xdr:col>3</xdr:col>
                    <xdr:colOff>12700</xdr:colOff>
                    <xdr:row>8</xdr:row>
                    <xdr:rowOff>546100</xdr:rowOff>
                  </to>
                </anchor>
              </controlPr>
            </control>
          </mc:Choice>
        </mc:AlternateContent>
        <mc:AlternateContent xmlns:mc="http://schemas.openxmlformats.org/markup-compatibility/2006">
          <mc:Choice Requires="x14">
            <control shapeId="12313" r:id="rId23" name="Option Button 25">
              <controlPr defaultSize="0" autoFill="0" autoLine="0" autoPict="0">
                <anchor moveWithCells="1">
                  <from>
                    <xdr:col>3</xdr:col>
                    <xdr:colOff>63500</xdr:colOff>
                    <xdr:row>8</xdr:row>
                    <xdr:rowOff>139700</xdr:rowOff>
                  </from>
                  <to>
                    <xdr:col>3</xdr:col>
                    <xdr:colOff>330200</xdr:colOff>
                    <xdr:row>8</xdr:row>
                    <xdr:rowOff>546100</xdr:rowOff>
                  </to>
                </anchor>
              </controlPr>
            </control>
          </mc:Choice>
        </mc:AlternateContent>
        <mc:AlternateContent xmlns:mc="http://schemas.openxmlformats.org/markup-compatibility/2006">
          <mc:Choice Requires="x14">
            <control shapeId="12314" r:id="rId24" name="Option Button 26">
              <controlPr defaultSize="0" autoFill="0" autoLine="0" autoPict="0">
                <anchor moveWithCells="1">
                  <from>
                    <xdr:col>4</xdr:col>
                    <xdr:colOff>50800</xdr:colOff>
                    <xdr:row>8</xdr:row>
                    <xdr:rowOff>139700</xdr:rowOff>
                  </from>
                  <to>
                    <xdr:col>4</xdr:col>
                    <xdr:colOff>330200</xdr:colOff>
                    <xdr:row>8</xdr:row>
                    <xdr:rowOff>546100</xdr:rowOff>
                  </to>
                </anchor>
              </controlPr>
            </control>
          </mc:Choice>
        </mc:AlternateContent>
        <mc:AlternateContent xmlns:mc="http://schemas.openxmlformats.org/markup-compatibility/2006">
          <mc:Choice Requires="x14">
            <control shapeId="12315" r:id="rId25" name="Option Button 27">
              <controlPr defaultSize="0" autoFill="0" autoLine="0" autoPict="0">
                <anchor moveWithCells="1">
                  <from>
                    <xdr:col>5</xdr:col>
                    <xdr:colOff>63500</xdr:colOff>
                    <xdr:row>8</xdr:row>
                    <xdr:rowOff>139700</xdr:rowOff>
                  </from>
                  <to>
                    <xdr:col>5</xdr:col>
                    <xdr:colOff>368300</xdr:colOff>
                    <xdr:row>8</xdr:row>
                    <xdr:rowOff>546100</xdr:rowOff>
                  </to>
                </anchor>
              </controlPr>
            </control>
          </mc:Choice>
        </mc:AlternateContent>
        <mc:AlternateContent xmlns:mc="http://schemas.openxmlformats.org/markup-compatibility/2006">
          <mc:Choice Requires="x14">
            <control shapeId="12316" r:id="rId26" name="Option Button 28">
              <controlPr defaultSize="0" autoFill="0" autoLine="0" autoPict="0">
                <anchor moveWithCells="1">
                  <from>
                    <xdr:col>2</xdr:col>
                    <xdr:colOff>38100</xdr:colOff>
                    <xdr:row>9</xdr:row>
                    <xdr:rowOff>101600</xdr:rowOff>
                  </from>
                  <to>
                    <xdr:col>2</xdr:col>
                    <xdr:colOff>330200</xdr:colOff>
                    <xdr:row>9</xdr:row>
                    <xdr:rowOff>520700</xdr:rowOff>
                  </to>
                </anchor>
              </controlPr>
            </control>
          </mc:Choice>
        </mc:AlternateContent>
        <mc:AlternateContent xmlns:mc="http://schemas.openxmlformats.org/markup-compatibility/2006">
          <mc:Choice Requires="x14">
            <control shapeId="12317" r:id="rId27" name="Option Button 29">
              <controlPr defaultSize="0" autoFill="0" autoLine="0" autoPict="0">
                <anchor moveWithCells="1">
                  <from>
                    <xdr:col>3</xdr:col>
                    <xdr:colOff>63500</xdr:colOff>
                    <xdr:row>9</xdr:row>
                    <xdr:rowOff>101600</xdr:rowOff>
                  </from>
                  <to>
                    <xdr:col>3</xdr:col>
                    <xdr:colOff>368300</xdr:colOff>
                    <xdr:row>9</xdr:row>
                    <xdr:rowOff>520700</xdr:rowOff>
                  </to>
                </anchor>
              </controlPr>
            </control>
          </mc:Choice>
        </mc:AlternateContent>
        <mc:AlternateContent xmlns:mc="http://schemas.openxmlformats.org/markup-compatibility/2006">
          <mc:Choice Requires="x14">
            <control shapeId="12318" r:id="rId28" name="Option Button 30">
              <controlPr defaultSize="0" autoFill="0" autoLine="0" autoPict="0">
                <anchor moveWithCells="1">
                  <from>
                    <xdr:col>4</xdr:col>
                    <xdr:colOff>50800</xdr:colOff>
                    <xdr:row>9</xdr:row>
                    <xdr:rowOff>101600</xdr:rowOff>
                  </from>
                  <to>
                    <xdr:col>4</xdr:col>
                    <xdr:colOff>342900</xdr:colOff>
                    <xdr:row>9</xdr:row>
                    <xdr:rowOff>520700</xdr:rowOff>
                  </to>
                </anchor>
              </controlPr>
            </control>
          </mc:Choice>
        </mc:AlternateContent>
        <mc:AlternateContent xmlns:mc="http://schemas.openxmlformats.org/markup-compatibility/2006">
          <mc:Choice Requires="x14">
            <control shapeId="12319" r:id="rId29" name="Option Button 31">
              <controlPr defaultSize="0" autoFill="0" autoLine="0" autoPict="0">
                <anchor moveWithCells="1">
                  <from>
                    <xdr:col>5</xdr:col>
                    <xdr:colOff>63500</xdr:colOff>
                    <xdr:row>9</xdr:row>
                    <xdr:rowOff>127000</xdr:rowOff>
                  </from>
                  <to>
                    <xdr:col>5</xdr:col>
                    <xdr:colOff>342900</xdr:colOff>
                    <xdr:row>9</xdr:row>
                    <xdr:rowOff>508000</xdr:rowOff>
                  </to>
                </anchor>
              </controlPr>
            </control>
          </mc:Choice>
        </mc:AlternateContent>
        <mc:AlternateContent xmlns:mc="http://schemas.openxmlformats.org/markup-compatibility/2006">
          <mc:Choice Requires="x14">
            <control shapeId="12324" r:id="rId30" name="Option Button 36">
              <controlPr defaultSize="0" autoFill="0" autoLine="0" autoPict="0">
                <anchor moveWithCells="1">
                  <from>
                    <xdr:col>2</xdr:col>
                    <xdr:colOff>38100</xdr:colOff>
                    <xdr:row>15</xdr:row>
                    <xdr:rowOff>63500</xdr:rowOff>
                  </from>
                  <to>
                    <xdr:col>3</xdr:col>
                    <xdr:colOff>12700</xdr:colOff>
                    <xdr:row>15</xdr:row>
                    <xdr:rowOff>520700</xdr:rowOff>
                  </to>
                </anchor>
              </controlPr>
            </control>
          </mc:Choice>
        </mc:AlternateContent>
        <mc:AlternateContent xmlns:mc="http://schemas.openxmlformats.org/markup-compatibility/2006">
          <mc:Choice Requires="x14">
            <control shapeId="12325" r:id="rId31" name="Option Button 37">
              <controlPr defaultSize="0" autoFill="0" autoLine="0" autoPict="0">
                <anchor moveWithCells="1">
                  <from>
                    <xdr:col>3</xdr:col>
                    <xdr:colOff>63500</xdr:colOff>
                    <xdr:row>15</xdr:row>
                    <xdr:rowOff>63500</xdr:rowOff>
                  </from>
                  <to>
                    <xdr:col>3</xdr:col>
                    <xdr:colOff>355600</xdr:colOff>
                    <xdr:row>15</xdr:row>
                    <xdr:rowOff>520700</xdr:rowOff>
                  </to>
                </anchor>
              </controlPr>
            </control>
          </mc:Choice>
        </mc:AlternateContent>
        <mc:AlternateContent xmlns:mc="http://schemas.openxmlformats.org/markup-compatibility/2006">
          <mc:Choice Requires="x14">
            <control shapeId="12326" r:id="rId32" name="Option Button 38">
              <controlPr defaultSize="0" autoFill="0" autoLine="0" autoPict="0">
                <anchor moveWithCells="1">
                  <from>
                    <xdr:col>4</xdr:col>
                    <xdr:colOff>50800</xdr:colOff>
                    <xdr:row>15</xdr:row>
                    <xdr:rowOff>76200</xdr:rowOff>
                  </from>
                  <to>
                    <xdr:col>4</xdr:col>
                    <xdr:colOff>406400</xdr:colOff>
                    <xdr:row>15</xdr:row>
                    <xdr:rowOff>508000</xdr:rowOff>
                  </to>
                </anchor>
              </controlPr>
            </control>
          </mc:Choice>
        </mc:AlternateContent>
        <mc:AlternateContent xmlns:mc="http://schemas.openxmlformats.org/markup-compatibility/2006">
          <mc:Choice Requires="x14">
            <control shapeId="12327" r:id="rId33" name="Option Button 39">
              <controlPr defaultSize="0" autoFill="0" autoLine="0" autoPict="0">
                <anchor moveWithCells="1">
                  <from>
                    <xdr:col>5</xdr:col>
                    <xdr:colOff>63500</xdr:colOff>
                    <xdr:row>15</xdr:row>
                    <xdr:rowOff>50800</xdr:rowOff>
                  </from>
                  <to>
                    <xdr:col>5</xdr:col>
                    <xdr:colOff>368300</xdr:colOff>
                    <xdr:row>15</xdr:row>
                    <xdr:rowOff>520700</xdr:rowOff>
                  </to>
                </anchor>
              </controlPr>
            </control>
          </mc:Choice>
        </mc:AlternateContent>
        <mc:AlternateContent xmlns:mc="http://schemas.openxmlformats.org/markup-compatibility/2006">
          <mc:Choice Requires="x14">
            <control shapeId="12328" r:id="rId34" name="Option Button 40">
              <controlPr defaultSize="0" autoFill="0" autoLine="0" autoPict="0">
                <anchor moveWithCells="1">
                  <from>
                    <xdr:col>2</xdr:col>
                    <xdr:colOff>38100</xdr:colOff>
                    <xdr:row>16</xdr:row>
                    <xdr:rowOff>76200</xdr:rowOff>
                  </from>
                  <to>
                    <xdr:col>3</xdr:col>
                    <xdr:colOff>0</xdr:colOff>
                    <xdr:row>16</xdr:row>
                    <xdr:rowOff>508000</xdr:rowOff>
                  </to>
                </anchor>
              </controlPr>
            </control>
          </mc:Choice>
        </mc:AlternateContent>
        <mc:AlternateContent xmlns:mc="http://schemas.openxmlformats.org/markup-compatibility/2006">
          <mc:Choice Requires="x14">
            <control shapeId="12329" r:id="rId35" name="Option Button 41">
              <controlPr defaultSize="0" autoFill="0" autoLine="0" autoPict="0">
                <anchor moveWithCells="1">
                  <from>
                    <xdr:col>3</xdr:col>
                    <xdr:colOff>63500</xdr:colOff>
                    <xdr:row>16</xdr:row>
                    <xdr:rowOff>76200</xdr:rowOff>
                  </from>
                  <to>
                    <xdr:col>3</xdr:col>
                    <xdr:colOff>355600</xdr:colOff>
                    <xdr:row>16</xdr:row>
                    <xdr:rowOff>508000</xdr:rowOff>
                  </to>
                </anchor>
              </controlPr>
            </control>
          </mc:Choice>
        </mc:AlternateContent>
        <mc:AlternateContent xmlns:mc="http://schemas.openxmlformats.org/markup-compatibility/2006">
          <mc:Choice Requires="x14">
            <control shapeId="12330" r:id="rId36" name="Option Button 42">
              <controlPr defaultSize="0" autoFill="0" autoLine="0" autoPict="0">
                <anchor moveWithCells="1">
                  <from>
                    <xdr:col>4</xdr:col>
                    <xdr:colOff>50800</xdr:colOff>
                    <xdr:row>16</xdr:row>
                    <xdr:rowOff>76200</xdr:rowOff>
                  </from>
                  <to>
                    <xdr:col>4</xdr:col>
                    <xdr:colOff>368300</xdr:colOff>
                    <xdr:row>16</xdr:row>
                    <xdr:rowOff>508000</xdr:rowOff>
                  </to>
                </anchor>
              </controlPr>
            </control>
          </mc:Choice>
        </mc:AlternateContent>
        <mc:AlternateContent xmlns:mc="http://schemas.openxmlformats.org/markup-compatibility/2006">
          <mc:Choice Requires="x14">
            <control shapeId="12331" r:id="rId37" name="Option Button 43">
              <controlPr defaultSize="0" autoFill="0" autoLine="0" autoPict="0">
                <anchor moveWithCells="1">
                  <from>
                    <xdr:col>5</xdr:col>
                    <xdr:colOff>63500</xdr:colOff>
                    <xdr:row>16</xdr:row>
                    <xdr:rowOff>63500</xdr:rowOff>
                  </from>
                  <to>
                    <xdr:col>5</xdr:col>
                    <xdr:colOff>342900</xdr:colOff>
                    <xdr:row>16</xdr:row>
                    <xdr:rowOff>520700</xdr:rowOff>
                  </to>
                </anchor>
              </controlPr>
            </control>
          </mc:Choice>
        </mc:AlternateContent>
        <mc:AlternateContent xmlns:mc="http://schemas.openxmlformats.org/markup-compatibility/2006">
          <mc:Choice Requires="x14">
            <control shapeId="12332" r:id="rId38" name="Option Button 44">
              <controlPr defaultSize="0" autoFill="0" autoLine="0" autoPict="0">
                <anchor moveWithCells="1">
                  <from>
                    <xdr:col>2</xdr:col>
                    <xdr:colOff>38100</xdr:colOff>
                    <xdr:row>17</xdr:row>
                    <xdr:rowOff>25400</xdr:rowOff>
                  </from>
                  <to>
                    <xdr:col>2</xdr:col>
                    <xdr:colOff>330200</xdr:colOff>
                    <xdr:row>17</xdr:row>
                    <xdr:rowOff>368300</xdr:rowOff>
                  </to>
                </anchor>
              </controlPr>
            </control>
          </mc:Choice>
        </mc:AlternateContent>
        <mc:AlternateContent xmlns:mc="http://schemas.openxmlformats.org/markup-compatibility/2006">
          <mc:Choice Requires="x14">
            <control shapeId="12333" r:id="rId39" name="Option Button 45">
              <controlPr defaultSize="0" autoFill="0" autoLine="0" autoPict="0">
                <anchor moveWithCells="1">
                  <from>
                    <xdr:col>3</xdr:col>
                    <xdr:colOff>63500</xdr:colOff>
                    <xdr:row>17</xdr:row>
                    <xdr:rowOff>25400</xdr:rowOff>
                  </from>
                  <to>
                    <xdr:col>3</xdr:col>
                    <xdr:colOff>419100</xdr:colOff>
                    <xdr:row>17</xdr:row>
                    <xdr:rowOff>368300</xdr:rowOff>
                  </to>
                </anchor>
              </controlPr>
            </control>
          </mc:Choice>
        </mc:AlternateContent>
        <mc:AlternateContent xmlns:mc="http://schemas.openxmlformats.org/markup-compatibility/2006">
          <mc:Choice Requires="x14">
            <control shapeId="12334" r:id="rId40" name="Option Button 46">
              <controlPr defaultSize="0" autoFill="0" autoLine="0" autoPict="0">
                <anchor moveWithCells="1">
                  <from>
                    <xdr:col>4</xdr:col>
                    <xdr:colOff>50800</xdr:colOff>
                    <xdr:row>17</xdr:row>
                    <xdr:rowOff>25400</xdr:rowOff>
                  </from>
                  <to>
                    <xdr:col>4</xdr:col>
                    <xdr:colOff>406400</xdr:colOff>
                    <xdr:row>17</xdr:row>
                    <xdr:rowOff>368300</xdr:rowOff>
                  </to>
                </anchor>
              </controlPr>
            </control>
          </mc:Choice>
        </mc:AlternateContent>
        <mc:AlternateContent xmlns:mc="http://schemas.openxmlformats.org/markup-compatibility/2006">
          <mc:Choice Requires="x14">
            <control shapeId="12335" r:id="rId41" name="Option Button 47">
              <controlPr defaultSize="0" autoFill="0" autoLine="0" autoPict="0">
                <anchor moveWithCells="1">
                  <from>
                    <xdr:col>5</xdr:col>
                    <xdr:colOff>63500</xdr:colOff>
                    <xdr:row>17</xdr:row>
                    <xdr:rowOff>25400</xdr:rowOff>
                  </from>
                  <to>
                    <xdr:col>5</xdr:col>
                    <xdr:colOff>406400</xdr:colOff>
                    <xdr:row>17</xdr:row>
                    <xdr:rowOff>368300</xdr:rowOff>
                  </to>
                </anchor>
              </controlPr>
            </control>
          </mc:Choice>
        </mc:AlternateContent>
        <mc:AlternateContent xmlns:mc="http://schemas.openxmlformats.org/markup-compatibility/2006">
          <mc:Choice Requires="x14">
            <control shapeId="12336" r:id="rId42" name="Option Button 48">
              <controlPr defaultSize="0" autoFill="0" autoLine="0" autoPict="0">
                <anchor moveWithCells="1">
                  <from>
                    <xdr:col>2</xdr:col>
                    <xdr:colOff>38100</xdr:colOff>
                    <xdr:row>18</xdr:row>
                    <xdr:rowOff>127000</xdr:rowOff>
                  </from>
                  <to>
                    <xdr:col>3</xdr:col>
                    <xdr:colOff>0</xdr:colOff>
                    <xdr:row>18</xdr:row>
                    <xdr:rowOff>647700</xdr:rowOff>
                  </to>
                </anchor>
              </controlPr>
            </control>
          </mc:Choice>
        </mc:AlternateContent>
        <mc:AlternateContent xmlns:mc="http://schemas.openxmlformats.org/markup-compatibility/2006">
          <mc:Choice Requires="x14">
            <control shapeId="12337" r:id="rId43" name="Option Button 49">
              <controlPr defaultSize="0" autoFill="0" autoLine="0" autoPict="0">
                <anchor moveWithCells="1">
                  <from>
                    <xdr:col>3</xdr:col>
                    <xdr:colOff>63500</xdr:colOff>
                    <xdr:row>18</xdr:row>
                    <xdr:rowOff>101600</xdr:rowOff>
                  </from>
                  <to>
                    <xdr:col>3</xdr:col>
                    <xdr:colOff>330200</xdr:colOff>
                    <xdr:row>18</xdr:row>
                    <xdr:rowOff>673100</xdr:rowOff>
                  </to>
                </anchor>
              </controlPr>
            </control>
          </mc:Choice>
        </mc:AlternateContent>
        <mc:AlternateContent xmlns:mc="http://schemas.openxmlformats.org/markup-compatibility/2006">
          <mc:Choice Requires="x14">
            <control shapeId="12338" r:id="rId44" name="Option Button 50">
              <controlPr defaultSize="0" autoFill="0" autoLine="0" autoPict="0">
                <anchor moveWithCells="1">
                  <from>
                    <xdr:col>4</xdr:col>
                    <xdr:colOff>50800</xdr:colOff>
                    <xdr:row>18</xdr:row>
                    <xdr:rowOff>101600</xdr:rowOff>
                  </from>
                  <to>
                    <xdr:col>4</xdr:col>
                    <xdr:colOff>368300</xdr:colOff>
                    <xdr:row>18</xdr:row>
                    <xdr:rowOff>673100</xdr:rowOff>
                  </to>
                </anchor>
              </controlPr>
            </control>
          </mc:Choice>
        </mc:AlternateContent>
        <mc:AlternateContent xmlns:mc="http://schemas.openxmlformats.org/markup-compatibility/2006">
          <mc:Choice Requires="x14">
            <control shapeId="12339" r:id="rId45" name="Option Button 51">
              <controlPr defaultSize="0" autoFill="0" autoLine="0" autoPict="0">
                <anchor moveWithCells="1">
                  <from>
                    <xdr:col>5</xdr:col>
                    <xdr:colOff>63500</xdr:colOff>
                    <xdr:row>18</xdr:row>
                    <xdr:rowOff>127000</xdr:rowOff>
                  </from>
                  <to>
                    <xdr:col>5</xdr:col>
                    <xdr:colOff>342900</xdr:colOff>
                    <xdr:row>18</xdr:row>
                    <xdr:rowOff>660400</xdr:rowOff>
                  </to>
                </anchor>
              </controlPr>
            </control>
          </mc:Choice>
        </mc:AlternateContent>
        <mc:AlternateContent xmlns:mc="http://schemas.openxmlformats.org/markup-compatibility/2006">
          <mc:Choice Requires="x14">
            <control shapeId="12348" r:id="rId46" name="Option Button 60">
              <controlPr defaultSize="0" autoFill="0" autoLine="0" autoPict="0">
                <anchor moveWithCells="1">
                  <from>
                    <xdr:col>2</xdr:col>
                    <xdr:colOff>38100</xdr:colOff>
                    <xdr:row>27</xdr:row>
                    <xdr:rowOff>101600</xdr:rowOff>
                  </from>
                  <to>
                    <xdr:col>3</xdr:col>
                    <xdr:colOff>0</xdr:colOff>
                    <xdr:row>27</xdr:row>
                    <xdr:rowOff>660400</xdr:rowOff>
                  </to>
                </anchor>
              </controlPr>
            </control>
          </mc:Choice>
        </mc:AlternateContent>
        <mc:AlternateContent xmlns:mc="http://schemas.openxmlformats.org/markup-compatibility/2006">
          <mc:Choice Requires="x14">
            <control shapeId="12349" r:id="rId47" name="Option Button 61">
              <controlPr defaultSize="0" autoFill="0" autoLine="0" autoPict="0">
                <anchor moveWithCells="1">
                  <from>
                    <xdr:col>3</xdr:col>
                    <xdr:colOff>63500</xdr:colOff>
                    <xdr:row>27</xdr:row>
                    <xdr:rowOff>101600</xdr:rowOff>
                  </from>
                  <to>
                    <xdr:col>3</xdr:col>
                    <xdr:colOff>368300</xdr:colOff>
                    <xdr:row>27</xdr:row>
                    <xdr:rowOff>660400</xdr:rowOff>
                  </to>
                </anchor>
              </controlPr>
            </control>
          </mc:Choice>
        </mc:AlternateContent>
        <mc:AlternateContent xmlns:mc="http://schemas.openxmlformats.org/markup-compatibility/2006">
          <mc:Choice Requires="x14">
            <control shapeId="12350" r:id="rId48" name="Option Button 62">
              <controlPr defaultSize="0" autoFill="0" autoLine="0" autoPict="0">
                <anchor moveWithCells="1">
                  <from>
                    <xdr:col>4</xdr:col>
                    <xdr:colOff>50800</xdr:colOff>
                    <xdr:row>27</xdr:row>
                    <xdr:rowOff>101600</xdr:rowOff>
                  </from>
                  <to>
                    <xdr:col>4</xdr:col>
                    <xdr:colOff>368300</xdr:colOff>
                    <xdr:row>27</xdr:row>
                    <xdr:rowOff>660400</xdr:rowOff>
                  </to>
                </anchor>
              </controlPr>
            </control>
          </mc:Choice>
        </mc:AlternateContent>
        <mc:AlternateContent xmlns:mc="http://schemas.openxmlformats.org/markup-compatibility/2006">
          <mc:Choice Requires="x14">
            <control shapeId="12351" r:id="rId49" name="Option Button 63">
              <controlPr defaultSize="0" autoFill="0" autoLine="0" autoPict="0">
                <anchor moveWithCells="1">
                  <from>
                    <xdr:col>5</xdr:col>
                    <xdr:colOff>63500</xdr:colOff>
                    <xdr:row>27</xdr:row>
                    <xdr:rowOff>88900</xdr:rowOff>
                  </from>
                  <to>
                    <xdr:col>5</xdr:col>
                    <xdr:colOff>368300</xdr:colOff>
                    <xdr:row>27</xdr:row>
                    <xdr:rowOff>673100</xdr:rowOff>
                  </to>
                </anchor>
              </controlPr>
            </control>
          </mc:Choice>
        </mc:AlternateContent>
        <mc:AlternateContent xmlns:mc="http://schemas.openxmlformats.org/markup-compatibility/2006">
          <mc:Choice Requires="x14">
            <control shapeId="12352" r:id="rId50" name="Option Button 64">
              <controlPr defaultSize="0" autoFill="0" autoLine="0" autoPict="0">
                <anchor moveWithCells="1">
                  <from>
                    <xdr:col>2</xdr:col>
                    <xdr:colOff>38100</xdr:colOff>
                    <xdr:row>28</xdr:row>
                    <xdr:rowOff>88900</xdr:rowOff>
                  </from>
                  <to>
                    <xdr:col>3</xdr:col>
                    <xdr:colOff>0</xdr:colOff>
                    <xdr:row>28</xdr:row>
                    <xdr:rowOff>660400</xdr:rowOff>
                  </to>
                </anchor>
              </controlPr>
            </control>
          </mc:Choice>
        </mc:AlternateContent>
        <mc:AlternateContent xmlns:mc="http://schemas.openxmlformats.org/markup-compatibility/2006">
          <mc:Choice Requires="x14">
            <control shapeId="12353" r:id="rId51" name="Option Button 65">
              <controlPr defaultSize="0" autoFill="0" autoLine="0" autoPict="0">
                <anchor moveWithCells="1">
                  <from>
                    <xdr:col>3</xdr:col>
                    <xdr:colOff>63500</xdr:colOff>
                    <xdr:row>28</xdr:row>
                    <xdr:rowOff>127000</xdr:rowOff>
                  </from>
                  <to>
                    <xdr:col>3</xdr:col>
                    <xdr:colOff>368300</xdr:colOff>
                    <xdr:row>28</xdr:row>
                    <xdr:rowOff>622300</xdr:rowOff>
                  </to>
                </anchor>
              </controlPr>
            </control>
          </mc:Choice>
        </mc:AlternateContent>
        <mc:AlternateContent xmlns:mc="http://schemas.openxmlformats.org/markup-compatibility/2006">
          <mc:Choice Requires="x14">
            <control shapeId="12354" r:id="rId52" name="Option Button 66">
              <controlPr defaultSize="0" autoFill="0" autoLine="0" autoPict="0">
                <anchor moveWithCells="1">
                  <from>
                    <xdr:col>4</xdr:col>
                    <xdr:colOff>50800</xdr:colOff>
                    <xdr:row>28</xdr:row>
                    <xdr:rowOff>114300</xdr:rowOff>
                  </from>
                  <to>
                    <xdr:col>4</xdr:col>
                    <xdr:colOff>368300</xdr:colOff>
                    <xdr:row>28</xdr:row>
                    <xdr:rowOff>635000</xdr:rowOff>
                  </to>
                </anchor>
              </controlPr>
            </control>
          </mc:Choice>
        </mc:AlternateContent>
        <mc:AlternateContent xmlns:mc="http://schemas.openxmlformats.org/markup-compatibility/2006">
          <mc:Choice Requires="x14">
            <control shapeId="12355" r:id="rId53" name="Option Button 67">
              <controlPr defaultSize="0" autoFill="0" autoLine="0" autoPict="0">
                <anchor moveWithCells="1">
                  <from>
                    <xdr:col>5</xdr:col>
                    <xdr:colOff>63500</xdr:colOff>
                    <xdr:row>28</xdr:row>
                    <xdr:rowOff>127000</xdr:rowOff>
                  </from>
                  <to>
                    <xdr:col>5</xdr:col>
                    <xdr:colOff>368300</xdr:colOff>
                    <xdr:row>28</xdr:row>
                    <xdr:rowOff>622300</xdr:rowOff>
                  </to>
                </anchor>
              </controlPr>
            </control>
          </mc:Choice>
        </mc:AlternateContent>
        <mc:AlternateContent xmlns:mc="http://schemas.openxmlformats.org/markup-compatibility/2006">
          <mc:Choice Requires="x14">
            <control shapeId="12364" r:id="rId54" name="Option Button 76">
              <controlPr defaultSize="0" autoFill="0" autoLine="0" autoPict="0">
                <anchor moveWithCells="1">
                  <from>
                    <xdr:col>6</xdr:col>
                    <xdr:colOff>330200</xdr:colOff>
                    <xdr:row>6</xdr:row>
                    <xdr:rowOff>177800</xdr:rowOff>
                  </from>
                  <to>
                    <xdr:col>6</xdr:col>
                    <xdr:colOff>723900</xdr:colOff>
                    <xdr:row>6</xdr:row>
                    <xdr:rowOff>457200</xdr:rowOff>
                  </to>
                </anchor>
              </controlPr>
            </control>
          </mc:Choice>
        </mc:AlternateContent>
        <mc:AlternateContent xmlns:mc="http://schemas.openxmlformats.org/markup-compatibility/2006">
          <mc:Choice Requires="x14">
            <control shapeId="12366" r:id="rId55" name="Option Button 78">
              <controlPr defaultSize="0" autoFill="0" autoLine="0" autoPict="0">
                <anchor moveWithCells="1">
                  <from>
                    <xdr:col>6</xdr:col>
                    <xdr:colOff>330200</xdr:colOff>
                    <xdr:row>8</xdr:row>
                    <xdr:rowOff>152400</xdr:rowOff>
                  </from>
                  <to>
                    <xdr:col>7</xdr:col>
                    <xdr:colOff>0</xdr:colOff>
                    <xdr:row>8</xdr:row>
                    <xdr:rowOff>546100</xdr:rowOff>
                  </to>
                </anchor>
              </controlPr>
            </control>
          </mc:Choice>
        </mc:AlternateContent>
        <mc:AlternateContent xmlns:mc="http://schemas.openxmlformats.org/markup-compatibility/2006">
          <mc:Choice Requires="x14">
            <control shapeId="12367" r:id="rId56" name="Option Button 79">
              <controlPr defaultSize="0" autoFill="0" autoLine="0" autoPict="0">
                <anchor moveWithCells="1">
                  <from>
                    <xdr:col>6</xdr:col>
                    <xdr:colOff>330200</xdr:colOff>
                    <xdr:row>9</xdr:row>
                    <xdr:rowOff>114300</xdr:rowOff>
                  </from>
                  <to>
                    <xdr:col>7</xdr:col>
                    <xdr:colOff>12700</xdr:colOff>
                    <xdr:row>9</xdr:row>
                    <xdr:rowOff>508000</xdr:rowOff>
                  </to>
                </anchor>
              </controlPr>
            </control>
          </mc:Choice>
        </mc:AlternateContent>
        <mc:AlternateContent xmlns:mc="http://schemas.openxmlformats.org/markup-compatibility/2006">
          <mc:Choice Requires="x14">
            <control shapeId="12368" r:id="rId57" name="Option Button 80">
              <controlPr defaultSize="0" autoFill="0" autoLine="0" autoPict="0">
                <anchor moveWithCells="1">
                  <from>
                    <xdr:col>6</xdr:col>
                    <xdr:colOff>330200</xdr:colOff>
                    <xdr:row>15</xdr:row>
                    <xdr:rowOff>63500</xdr:rowOff>
                  </from>
                  <to>
                    <xdr:col>6</xdr:col>
                    <xdr:colOff>863600</xdr:colOff>
                    <xdr:row>15</xdr:row>
                    <xdr:rowOff>520700</xdr:rowOff>
                  </to>
                </anchor>
              </controlPr>
            </control>
          </mc:Choice>
        </mc:AlternateContent>
        <mc:AlternateContent xmlns:mc="http://schemas.openxmlformats.org/markup-compatibility/2006">
          <mc:Choice Requires="x14">
            <control shapeId="12369" r:id="rId58" name="Option Button 81">
              <controlPr defaultSize="0" autoFill="0" autoLine="0" autoPict="0">
                <anchor moveWithCells="1">
                  <from>
                    <xdr:col>6</xdr:col>
                    <xdr:colOff>330200</xdr:colOff>
                    <xdr:row>16</xdr:row>
                    <xdr:rowOff>63500</xdr:rowOff>
                  </from>
                  <to>
                    <xdr:col>6</xdr:col>
                    <xdr:colOff>838200</xdr:colOff>
                    <xdr:row>16</xdr:row>
                    <xdr:rowOff>520700</xdr:rowOff>
                  </to>
                </anchor>
              </controlPr>
            </control>
          </mc:Choice>
        </mc:AlternateContent>
        <mc:AlternateContent xmlns:mc="http://schemas.openxmlformats.org/markup-compatibility/2006">
          <mc:Choice Requires="x14">
            <control shapeId="12371" r:id="rId59" name="Option Button 83">
              <controlPr defaultSize="0" autoFill="0" autoLine="0" autoPict="0">
                <anchor moveWithCells="1">
                  <from>
                    <xdr:col>6</xdr:col>
                    <xdr:colOff>330200</xdr:colOff>
                    <xdr:row>18</xdr:row>
                    <xdr:rowOff>101600</xdr:rowOff>
                  </from>
                  <to>
                    <xdr:col>6</xdr:col>
                    <xdr:colOff>812800</xdr:colOff>
                    <xdr:row>18</xdr:row>
                    <xdr:rowOff>673100</xdr:rowOff>
                  </to>
                </anchor>
              </controlPr>
            </control>
          </mc:Choice>
        </mc:AlternateContent>
        <mc:AlternateContent xmlns:mc="http://schemas.openxmlformats.org/markup-compatibility/2006">
          <mc:Choice Requires="x14">
            <control shapeId="12372" r:id="rId60" name="Option Button 84">
              <controlPr defaultSize="0" autoFill="0" autoLine="0" autoPict="0">
                <anchor moveWithCells="1">
                  <from>
                    <xdr:col>6</xdr:col>
                    <xdr:colOff>330200</xdr:colOff>
                    <xdr:row>7</xdr:row>
                    <xdr:rowOff>114300</xdr:rowOff>
                  </from>
                  <to>
                    <xdr:col>6</xdr:col>
                    <xdr:colOff>876300</xdr:colOff>
                    <xdr:row>7</xdr:row>
                    <xdr:rowOff>368300</xdr:rowOff>
                  </to>
                </anchor>
              </controlPr>
            </control>
          </mc:Choice>
        </mc:AlternateContent>
        <mc:AlternateContent xmlns:mc="http://schemas.openxmlformats.org/markup-compatibility/2006">
          <mc:Choice Requires="x14">
            <control shapeId="12377" r:id="rId61" name="Option Button 89">
              <controlPr defaultSize="0" autoFill="0" autoLine="0" autoPict="0">
                <anchor moveWithCells="1">
                  <from>
                    <xdr:col>6</xdr:col>
                    <xdr:colOff>330200</xdr:colOff>
                    <xdr:row>17</xdr:row>
                    <xdr:rowOff>38100</xdr:rowOff>
                  </from>
                  <to>
                    <xdr:col>6</xdr:col>
                    <xdr:colOff>762000</xdr:colOff>
                    <xdr:row>17</xdr:row>
                    <xdr:rowOff>355600</xdr:rowOff>
                  </to>
                </anchor>
              </controlPr>
            </control>
          </mc:Choice>
        </mc:AlternateContent>
        <mc:AlternateContent xmlns:mc="http://schemas.openxmlformats.org/markup-compatibility/2006">
          <mc:Choice Requires="x14">
            <control shapeId="12378" r:id="rId62" name="Option Button 90">
              <controlPr defaultSize="0" autoFill="0" autoLine="0" autoPict="0">
                <anchor moveWithCells="1">
                  <from>
                    <xdr:col>6</xdr:col>
                    <xdr:colOff>330200</xdr:colOff>
                    <xdr:row>27</xdr:row>
                    <xdr:rowOff>101600</xdr:rowOff>
                  </from>
                  <to>
                    <xdr:col>6</xdr:col>
                    <xdr:colOff>901700</xdr:colOff>
                    <xdr:row>27</xdr:row>
                    <xdr:rowOff>660400</xdr:rowOff>
                  </to>
                </anchor>
              </controlPr>
            </control>
          </mc:Choice>
        </mc:AlternateContent>
        <mc:AlternateContent xmlns:mc="http://schemas.openxmlformats.org/markup-compatibility/2006">
          <mc:Choice Requires="x14">
            <control shapeId="12379" r:id="rId63" name="Option Button 91">
              <controlPr defaultSize="0" autoFill="0" autoLine="0" autoPict="0">
                <anchor moveWithCells="1">
                  <from>
                    <xdr:col>6</xdr:col>
                    <xdr:colOff>330200</xdr:colOff>
                    <xdr:row>28</xdr:row>
                    <xdr:rowOff>127000</xdr:rowOff>
                  </from>
                  <to>
                    <xdr:col>7</xdr:col>
                    <xdr:colOff>50800</xdr:colOff>
                    <xdr:row>28</xdr:row>
                    <xdr:rowOff>622300</xdr:rowOff>
                  </to>
                </anchor>
              </controlPr>
            </control>
          </mc:Choice>
        </mc:AlternateContent>
        <mc:AlternateContent xmlns:mc="http://schemas.openxmlformats.org/markup-compatibility/2006">
          <mc:Choice Requires="x14">
            <control shapeId="12380" r:id="rId64" name="Group Box 92">
              <controlPr defaultSize="0" autoFill="0" autoPict="0">
                <anchor moveWithCells="1">
                  <from>
                    <xdr:col>2</xdr:col>
                    <xdr:colOff>0</xdr:colOff>
                    <xdr:row>29</xdr:row>
                    <xdr:rowOff>63500</xdr:rowOff>
                  </from>
                  <to>
                    <xdr:col>7</xdr:col>
                    <xdr:colOff>38100</xdr:colOff>
                    <xdr:row>29</xdr:row>
                    <xdr:rowOff>685800</xdr:rowOff>
                  </to>
                </anchor>
              </controlPr>
            </control>
          </mc:Choice>
        </mc:AlternateContent>
        <mc:AlternateContent xmlns:mc="http://schemas.openxmlformats.org/markup-compatibility/2006">
          <mc:Choice Requires="x14">
            <control shapeId="12381" r:id="rId65" name="Option Button 93">
              <controlPr defaultSize="0" autoFill="0" autoLine="0" autoPict="0">
                <anchor moveWithCells="1">
                  <from>
                    <xdr:col>2</xdr:col>
                    <xdr:colOff>38100</xdr:colOff>
                    <xdr:row>29</xdr:row>
                    <xdr:rowOff>88900</xdr:rowOff>
                  </from>
                  <to>
                    <xdr:col>2</xdr:col>
                    <xdr:colOff>381000</xdr:colOff>
                    <xdr:row>29</xdr:row>
                    <xdr:rowOff>660400</xdr:rowOff>
                  </to>
                </anchor>
              </controlPr>
            </control>
          </mc:Choice>
        </mc:AlternateContent>
        <mc:AlternateContent xmlns:mc="http://schemas.openxmlformats.org/markup-compatibility/2006">
          <mc:Choice Requires="x14">
            <control shapeId="12382" r:id="rId66" name="Option Button 94">
              <controlPr defaultSize="0" autoFill="0" autoLine="0" autoPict="0">
                <anchor moveWithCells="1">
                  <from>
                    <xdr:col>3</xdr:col>
                    <xdr:colOff>63500</xdr:colOff>
                    <xdr:row>29</xdr:row>
                    <xdr:rowOff>88900</xdr:rowOff>
                  </from>
                  <to>
                    <xdr:col>3</xdr:col>
                    <xdr:colOff>355600</xdr:colOff>
                    <xdr:row>29</xdr:row>
                    <xdr:rowOff>660400</xdr:rowOff>
                  </to>
                </anchor>
              </controlPr>
            </control>
          </mc:Choice>
        </mc:AlternateContent>
        <mc:AlternateContent xmlns:mc="http://schemas.openxmlformats.org/markup-compatibility/2006">
          <mc:Choice Requires="x14">
            <control shapeId="12383" r:id="rId67" name="Option Button 95">
              <controlPr defaultSize="0" autoFill="0" autoLine="0" autoPict="0">
                <anchor moveWithCells="1">
                  <from>
                    <xdr:col>4</xdr:col>
                    <xdr:colOff>50800</xdr:colOff>
                    <xdr:row>29</xdr:row>
                    <xdr:rowOff>101600</xdr:rowOff>
                  </from>
                  <to>
                    <xdr:col>4</xdr:col>
                    <xdr:colOff>368300</xdr:colOff>
                    <xdr:row>29</xdr:row>
                    <xdr:rowOff>647700</xdr:rowOff>
                  </to>
                </anchor>
              </controlPr>
            </control>
          </mc:Choice>
        </mc:AlternateContent>
        <mc:AlternateContent xmlns:mc="http://schemas.openxmlformats.org/markup-compatibility/2006">
          <mc:Choice Requires="x14">
            <control shapeId="12384" r:id="rId68" name="Option Button 96">
              <controlPr defaultSize="0" autoFill="0" autoLine="0" autoPict="0">
                <anchor moveWithCells="1">
                  <from>
                    <xdr:col>5</xdr:col>
                    <xdr:colOff>63500</xdr:colOff>
                    <xdr:row>29</xdr:row>
                    <xdr:rowOff>88900</xdr:rowOff>
                  </from>
                  <to>
                    <xdr:col>5</xdr:col>
                    <xdr:colOff>406400</xdr:colOff>
                    <xdr:row>29</xdr:row>
                    <xdr:rowOff>660400</xdr:rowOff>
                  </to>
                </anchor>
              </controlPr>
            </control>
          </mc:Choice>
        </mc:AlternateContent>
        <mc:AlternateContent xmlns:mc="http://schemas.openxmlformats.org/markup-compatibility/2006">
          <mc:Choice Requires="x14">
            <control shapeId="12385" r:id="rId69" name="Option Button 97">
              <controlPr defaultSize="0" autoFill="0" autoLine="0" autoPict="0">
                <anchor moveWithCells="1">
                  <from>
                    <xdr:col>6</xdr:col>
                    <xdr:colOff>330200</xdr:colOff>
                    <xdr:row>29</xdr:row>
                    <xdr:rowOff>101600</xdr:rowOff>
                  </from>
                  <to>
                    <xdr:col>6</xdr:col>
                    <xdr:colOff>901700</xdr:colOff>
                    <xdr:row>29</xdr:row>
                    <xdr:rowOff>647700</xdr:rowOff>
                  </to>
                </anchor>
              </controlPr>
            </control>
          </mc:Choice>
        </mc:AlternateContent>
        <mc:AlternateContent xmlns:mc="http://schemas.openxmlformats.org/markup-compatibility/2006">
          <mc:Choice Requires="x14">
            <control shapeId="12386" r:id="rId70" name="Group Box 98">
              <controlPr defaultSize="0" autoFill="0" autoPict="0">
                <anchor moveWithCells="1">
                  <from>
                    <xdr:col>2</xdr:col>
                    <xdr:colOff>25400</xdr:colOff>
                    <xdr:row>30</xdr:row>
                    <xdr:rowOff>38100</xdr:rowOff>
                  </from>
                  <to>
                    <xdr:col>7</xdr:col>
                    <xdr:colOff>38100</xdr:colOff>
                    <xdr:row>30</xdr:row>
                    <xdr:rowOff>711200</xdr:rowOff>
                  </to>
                </anchor>
              </controlPr>
            </control>
          </mc:Choice>
        </mc:AlternateContent>
        <mc:AlternateContent xmlns:mc="http://schemas.openxmlformats.org/markup-compatibility/2006">
          <mc:Choice Requires="x14">
            <control shapeId="12387" r:id="rId71" name="Option Button 99">
              <controlPr defaultSize="0" autoFill="0" autoLine="0" autoPict="0">
                <anchor moveWithCells="1">
                  <from>
                    <xdr:col>2</xdr:col>
                    <xdr:colOff>38100</xdr:colOff>
                    <xdr:row>30</xdr:row>
                    <xdr:rowOff>88900</xdr:rowOff>
                  </from>
                  <to>
                    <xdr:col>2</xdr:col>
                    <xdr:colOff>381000</xdr:colOff>
                    <xdr:row>30</xdr:row>
                    <xdr:rowOff>660400</xdr:rowOff>
                  </to>
                </anchor>
              </controlPr>
            </control>
          </mc:Choice>
        </mc:AlternateContent>
        <mc:AlternateContent xmlns:mc="http://schemas.openxmlformats.org/markup-compatibility/2006">
          <mc:Choice Requires="x14">
            <control shapeId="12388" r:id="rId72" name="Option Button 100">
              <controlPr defaultSize="0" autoFill="0" autoLine="0" autoPict="0">
                <anchor moveWithCells="1">
                  <from>
                    <xdr:col>3</xdr:col>
                    <xdr:colOff>63500</xdr:colOff>
                    <xdr:row>30</xdr:row>
                    <xdr:rowOff>88900</xdr:rowOff>
                  </from>
                  <to>
                    <xdr:col>3</xdr:col>
                    <xdr:colOff>368300</xdr:colOff>
                    <xdr:row>30</xdr:row>
                    <xdr:rowOff>660400</xdr:rowOff>
                  </to>
                </anchor>
              </controlPr>
            </control>
          </mc:Choice>
        </mc:AlternateContent>
        <mc:AlternateContent xmlns:mc="http://schemas.openxmlformats.org/markup-compatibility/2006">
          <mc:Choice Requires="x14">
            <control shapeId="12389" r:id="rId73" name="Option Button 101">
              <controlPr defaultSize="0" autoFill="0" autoLine="0" autoPict="0">
                <anchor moveWithCells="1">
                  <from>
                    <xdr:col>4</xdr:col>
                    <xdr:colOff>50800</xdr:colOff>
                    <xdr:row>30</xdr:row>
                    <xdr:rowOff>88900</xdr:rowOff>
                  </from>
                  <to>
                    <xdr:col>4</xdr:col>
                    <xdr:colOff>457200</xdr:colOff>
                    <xdr:row>30</xdr:row>
                    <xdr:rowOff>660400</xdr:rowOff>
                  </to>
                </anchor>
              </controlPr>
            </control>
          </mc:Choice>
        </mc:AlternateContent>
        <mc:AlternateContent xmlns:mc="http://schemas.openxmlformats.org/markup-compatibility/2006">
          <mc:Choice Requires="x14">
            <control shapeId="12390" r:id="rId74" name="Option Button 102">
              <controlPr defaultSize="0" autoFill="0" autoLine="0" autoPict="0">
                <anchor moveWithCells="1">
                  <from>
                    <xdr:col>5</xdr:col>
                    <xdr:colOff>63500</xdr:colOff>
                    <xdr:row>30</xdr:row>
                    <xdr:rowOff>88900</xdr:rowOff>
                  </from>
                  <to>
                    <xdr:col>5</xdr:col>
                    <xdr:colOff>457200</xdr:colOff>
                    <xdr:row>30</xdr:row>
                    <xdr:rowOff>660400</xdr:rowOff>
                  </to>
                </anchor>
              </controlPr>
            </control>
          </mc:Choice>
        </mc:AlternateContent>
        <mc:AlternateContent xmlns:mc="http://schemas.openxmlformats.org/markup-compatibility/2006">
          <mc:Choice Requires="x14">
            <control shapeId="12391" r:id="rId75" name="Option Button 103">
              <controlPr defaultSize="0" autoFill="0" autoLine="0" autoPict="0">
                <anchor moveWithCells="1">
                  <from>
                    <xdr:col>6</xdr:col>
                    <xdr:colOff>330200</xdr:colOff>
                    <xdr:row>30</xdr:row>
                    <xdr:rowOff>76200</xdr:rowOff>
                  </from>
                  <to>
                    <xdr:col>6</xdr:col>
                    <xdr:colOff>838200</xdr:colOff>
                    <xdr:row>30</xdr:row>
                    <xdr:rowOff>673100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16114-26CA-446D-ADB4-5DBCA8212176}">
  <sheetPr codeName="Sheet7">
    <pageSetUpPr fitToPage="1"/>
  </sheetPr>
  <dimension ref="A1:P163"/>
  <sheetViews>
    <sheetView workbookViewId="0">
      <selection sqref="A1:XFD1048576"/>
    </sheetView>
  </sheetViews>
  <sheetFormatPr baseColWidth="10" defaultColWidth="8.83203125" defaultRowHeight="16"/>
  <cols>
    <col min="1" max="1" width="84.33203125" style="272" bestFit="1" customWidth="1"/>
    <col min="2" max="2" width="7.1640625" style="271" bestFit="1" customWidth="1"/>
    <col min="3" max="3" width="5.5" style="271" customWidth="1"/>
    <col min="4" max="4" width="9.5" style="271" bestFit="1" customWidth="1"/>
    <col min="5" max="5" width="9.6640625" style="271" bestFit="1" customWidth="1"/>
    <col min="6" max="6" width="9" style="271" bestFit="1" customWidth="1"/>
    <col min="7" max="7" width="8.1640625" style="271" bestFit="1" customWidth="1"/>
    <col min="8" max="11" width="8.83203125" style="271"/>
    <col min="12" max="12" width="10.33203125" style="271" customWidth="1"/>
    <col min="13" max="13" width="2" style="2" customWidth="1"/>
    <col min="14" max="14" width="10.83203125" style="304" bestFit="1" customWidth="1"/>
    <col min="15" max="15" width="1.5" style="305" customWidth="1"/>
    <col min="16" max="16" width="8.6640625" style="304" bestFit="1" customWidth="1"/>
    <col min="17" max="16384" width="8.83203125" style="271"/>
  </cols>
  <sheetData>
    <row r="1" spans="1:16" ht="42">
      <c r="A1" s="341" t="s">
        <v>706</v>
      </c>
      <c r="B1" s="342"/>
      <c r="C1" s="342"/>
      <c r="D1" s="342"/>
      <c r="E1" s="342"/>
      <c r="F1" s="342"/>
      <c r="G1" s="342"/>
      <c r="H1" s="342"/>
      <c r="I1" s="342"/>
      <c r="J1" s="342"/>
      <c r="K1" s="342"/>
      <c r="L1" s="342"/>
      <c r="M1" s="343"/>
      <c r="N1" s="344"/>
      <c r="O1" s="345"/>
      <c r="P1" s="344"/>
    </row>
    <row r="2" spans="1:16">
      <c r="A2" s="347" t="s">
        <v>707</v>
      </c>
      <c r="B2" s="346"/>
      <c r="C2" s="346"/>
      <c r="D2" s="346"/>
      <c r="E2" s="346"/>
      <c r="F2" s="346"/>
      <c r="G2" s="346"/>
      <c r="H2" s="346"/>
      <c r="I2" s="346"/>
      <c r="J2" s="346"/>
      <c r="K2" s="346"/>
      <c r="L2" s="346"/>
    </row>
    <row r="3" spans="1:16">
      <c r="A3" s="347" t="s">
        <v>708</v>
      </c>
      <c r="B3" s="346"/>
      <c r="C3" s="346"/>
      <c r="D3" s="346"/>
      <c r="E3" s="346"/>
      <c r="F3" s="346"/>
      <c r="G3" s="346"/>
      <c r="H3" s="346"/>
      <c r="I3" s="346"/>
      <c r="J3" s="346"/>
      <c r="K3" s="346"/>
      <c r="L3" s="346"/>
    </row>
    <row r="4" spans="1:16">
      <c r="A4" s="347" t="s">
        <v>709</v>
      </c>
      <c r="B4" s="346"/>
      <c r="C4" s="346"/>
      <c r="D4" s="346"/>
      <c r="E4" s="346"/>
      <c r="F4" s="346"/>
      <c r="G4" s="346"/>
      <c r="H4" s="346"/>
      <c r="I4" s="346"/>
      <c r="J4" s="346"/>
      <c r="K4" s="346"/>
      <c r="L4" s="346"/>
    </row>
    <row r="5" spans="1:16" ht="17" thickBot="1">
      <c r="A5" s="354" t="s">
        <v>710</v>
      </c>
      <c r="B5" s="355"/>
      <c r="C5" s="355"/>
      <c r="D5" s="355"/>
      <c r="E5" s="355"/>
      <c r="F5" s="355"/>
      <c r="G5" s="355"/>
      <c r="H5" s="355"/>
      <c r="I5" s="355"/>
      <c r="J5" s="355"/>
      <c r="K5" s="355"/>
      <c r="L5" s="355"/>
      <c r="M5" s="387" t="s">
        <v>721</v>
      </c>
      <c r="N5" s="356"/>
      <c r="O5" s="357"/>
      <c r="P5" s="356"/>
    </row>
    <row r="6" spans="1:16" ht="33" thickBot="1">
      <c r="B6" s="385" t="s">
        <v>627</v>
      </c>
      <c r="C6" s="385" t="s">
        <v>0</v>
      </c>
      <c r="D6" s="385" t="s">
        <v>629</v>
      </c>
      <c r="E6" s="385" t="s">
        <v>630</v>
      </c>
      <c r="F6" s="385" t="s">
        <v>631</v>
      </c>
      <c r="G6" s="385" t="s">
        <v>628</v>
      </c>
      <c r="H6" s="385" t="s">
        <v>0</v>
      </c>
      <c r="I6" s="385" t="s">
        <v>629</v>
      </c>
      <c r="J6" s="385" t="s">
        <v>630</v>
      </c>
      <c r="K6" s="385" t="s">
        <v>631</v>
      </c>
      <c r="L6" s="385" t="s">
        <v>718</v>
      </c>
      <c r="M6" s="23"/>
      <c r="N6" s="309" t="s">
        <v>625</v>
      </c>
      <c r="O6" s="303"/>
      <c r="P6" s="310" t="s">
        <v>650</v>
      </c>
    </row>
    <row r="7" spans="1:16" ht="18" customHeight="1" thickBot="1">
      <c r="A7" s="302" t="s">
        <v>705</v>
      </c>
      <c r="B7" s="386">
        <f>1-SUM(C7:D7)</f>
        <v>1</v>
      </c>
      <c r="C7" s="386" t="str">
        <f>'Action Plan'!E2</f>
        <v>-</v>
      </c>
      <c r="D7" s="386" t="str">
        <f>'Action Plan'!G2</f>
        <v>-</v>
      </c>
      <c r="E7" s="386" t="str">
        <f>'Action Plan'!I2</f>
        <v>-</v>
      </c>
      <c r="F7" s="386" t="str">
        <f>'Action Plan'!K2</f>
        <v>-</v>
      </c>
      <c r="G7" s="386">
        <f>1-SUM(E7:F7)</f>
        <v>1</v>
      </c>
      <c r="H7" s="386" t="e">
        <f>IF(OR(C7=0,C7="-"),NA(),C7)</f>
        <v>#N/A</v>
      </c>
      <c r="I7" s="386" t="e">
        <f>IF(OR(D7=0,D7="-"),NA(),D7)</f>
        <v>#N/A</v>
      </c>
      <c r="J7" s="386" t="e">
        <f>IF(OR(E7=0,E7="-"),NA(),E7)</f>
        <v>#N/A</v>
      </c>
      <c r="K7" s="386" t="e">
        <f>IF(OR(F7=0,F7="-"),NA(),F7)</f>
        <v>#N/A</v>
      </c>
      <c r="L7" s="386">
        <f>_xlfn.IFNA(J7,0)+_xlfn.IFNA(K7,0)</f>
        <v>0</v>
      </c>
      <c r="M7" s="311"/>
      <c r="N7" s="312">
        <f>N8+N12+N16+N21+N25+N29</f>
        <v>89</v>
      </c>
      <c r="O7" s="313"/>
      <c r="P7" s="312">
        <f>P8+P12+P16+P21+P25+P29</f>
        <v>0</v>
      </c>
    </row>
    <row r="8" spans="1:16" ht="18" customHeight="1" thickBot="1">
      <c r="A8" s="104" t="str">
        <f>CONCATENATE(UPPER(Raw!A1),": ",UPPER(Raw!B1))</f>
        <v>STANDARD 1: INSTITUTIONAL COMMITMENT</v>
      </c>
      <c r="B8" s="386">
        <f t="shared" ref="B8:B12" si="0">1-SUM(C8:D8)</f>
        <v>1</v>
      </c>
      <c r="C8" s="386" t="str">
        <f>'Action Plan'!E4</f>
        <v>-</v>
      </c>
      <c r="D8" s="386" t="str">
        <f>'Action Plan'!G4</f>
        <v>-</v>
      </c>
      <c r="E8" s="386" t="str">
        <f>'Action Plan'!I4</f>
        <v>-</v>
      </c>
      <c r="F8" s="386" t="str">
        <f>'Action Plan'!K4</f>
        <v>-</v>
      </c>
      <c r="G8" s="386">
        <f t="shared" ref="G8:G12" si="1">1-SUM(E8:F8)</f>
        <v>1</v>
      </c>
      <c r="H8" s="386" t="e">
        <f t="shared" ref="H8:H32" si="2">IF(OR(C8=0,C8="-"),NA(),C8)</f>
        <v>#N/A</v>
      </c>
      <c r="I8" s="386" t="e">
        <f t="shared" ref="I8:I32" si="3">IF(OR(D8=0,D8="-"),NA(),D8)</f>
        <v>#N/A</v>
      </c>
      <c r="J8" s="386" t="e">
        <f t="shared" ref="J8:J32" si="4">IF(OR(E8=0,E8="-"),NA(),E8)</f>
        <v>#N/A</v>
      </c>
      <c r="K8" s="386" t="e">
        <f t="shared" ref="K8:K32" si="5">IF(OR(F8=0,F8="-"),NA(),F8)</f>
        <v>#N/A</v>
      </c>
      <c r="L8" s="386">
        <f t="shared" ref="L8:L32" si="6">_xlfn.IFNA(J8,0)+_xlfn.IFNA(K8,0)</f>
        <v>0</v>
      </c>
      <c r="M8" s="314"/>
      <c r="N8" s="315">
        <f>N9+N10+N11</f>
        <v>14</v>
      </c>
      <c r="O8" s="316"/>
      <c r="P8" s="315">
        <f>P9+P10+P11</f>
        <v>0</v>
      </c>
    </row>
    <row r="9" spans="1:16" ht="18" customHeight="1">
      <c r="A9" s="306" t="str">
        <f>Raw!A3</f>
        <v>Component 1A: Institutional Climate and Support</v>
      </c>
      <c r="B9" s="386">
        <f t="shared" si="0"/>
        <v>1</v>
      </c>
      <c r="C9" s="386" t="str">
        <f>'Action Plan'!E6</f>
        <v>-</v>
      </c>
      <c r="D9" s="386" t="str">
        <f>'Action Plan'!G6</f>
        <v>-</v>
      </c>
      <c r="E9" s="386" t="str">
        <f>'Action Plan'!I6</f>
        <v>-</v>
      </c>
      <c r="F9" s="386" t="str">
        <f>'Action Plan'!K6</f>
        <v>-</v>
      </c>
      <c r="G9" s="386">
        <f t="shared" si="1"/>
        <v>1</v>
      </c>
      <c r="H9" s="386" t="e">
        <f t="shared" si="2"/>
        <v>#N/A</v>
      </c>
      <c r="I9" s="386" t="e">
        <f t="shared" si="3"/>
        <v>#N/A</v>
      </c>
      <c r="J9" s="386" t="e">
        <f t="shared" si="4"/>
        <v>#N/A</v>
      </c>
      <c r="K9" s="386" t="e">
        <f t="shared" si="5"/>
        <v>#N/A</v>
      </c>
      <c r="L9" s="386">
        <f t="shared" si="6"/>
        <v>0</v>
      </c>
      <c r="M9" s="317"/>
      <c r="N9" s="318">
        <f>COUNTIF(Res1A,0)</f>
        <v>6</v>
      </c>
      <c r="O9" s="319"/>
      <c r="P9" s="318">
        <f>COUNTIF(Res1A,5)</f>
        <v>0</v>
      </c>
    </row>
    <row r="10" spans="1:16" ht="18" customHeight="1">
      <c r="A10" s="307" t="str">
        <f>Raw!A11</f>
        <v>Component 1B: Reward Structure</v>
      </c>
      <c r="B10" s="386">
        <f t="shared" si="0"/>
        <v>1</v>
      </c>
      <c r="C10" s="386" t="str">
        <f>'Action Plan'!E10</f>
        <v>-</v>
      </c>
      <c r="D10" s="386" t="str">
        <f>'Action Plan'!G10</f>
        <v>-</v>
      </c>
      <c r="E10" s="386" t="str">
        <f>'Action Plan'!I10</f>
        <v>-</v>
      </c>
      <c r="F10" s="386" t="str">
        <f>'Action Plan'!K10</f>
        <v>-</v>
      </c>
      <c r="G10" s="386">
        <f t="shared" si="1"/>
        <v>1</v>
      </c>
      <c r="H10" s="386" t="e">
        <f t="shared" si="2"/>
        <v>#N/A</v>
      </c>
      <c r="I10" s="386" t="e">
        <f t="shared" si="3"/>
        <v>#N/A</v>
      </c>
      <c r="J10" s="386" t="e">
        <f t="shared" si="4"/>
        <v>#N/A</v>
      </c>
      <c r="K10" s="386" t="e">
        <f t="shared" si="5"/>
        <v>#N/A</v>
      </c>
      <c r="L10" s="386">
        <f t="shared" si="6"/>
        <v>0</v>
      </c>
      <c r="M10" s="320"/>
      <c r="N10" s="321">
        <f>COUNTIF(Res1B,0)</f>
        <v>3</v>
      </c>
      <c r="O10" s="322"/>
      <c r="P10" s="321">
        <f>COUNTIF(Res1B,5)</f>
        <v>0</v>
      </c>
    </row>
    <row r="11" spans="1:16" ht="18" customHeight="1" thickBot="1">
      <c r="A11" s="308" t="str">
        <f>Raw!A16</f>
        <v xml:space="preserve">Component 1C: Resources </v>
      </c>
      <c r="B11" s="386">
        <f t="shared" si="0"/>
        <v>1</v>
      </c>
      <c r="C11" s="386" t="str">
        <f>'Action Plan'!E14</f>
        <v>-</v>
      </c>
      <c r="D11" s="386" t="str">
        <f>'Action Plan'!G14</f>
        <v>-</v>
      </c>
      <c r="E11" s="386" t="str">
        <f>'Action Plan'!I14</f>
        <v>-</v>
      </c>
      <c r="F11" s="386" t="str">
        <f>'Action Plan'!K14</f>
        <v>-</v>
      </c>
      <c r="G11" s="386">
        <f t="shared" si="1"/>
        <v>1</v>
      </c>
      <c r="H11" s="386" t="e">
        <f t="shared" si="2"/>
        <v>#N/A</v>
      </c>
      <c r="I11" s="386" t="e">
        <f t="shared" si="3"/>
        <v>#N/A</v>
      </c>
      <c r="J11" s="386" t="e">
        <f t="shared" si="4"/>
        <v>#N/A</v>
      </c>
      <c r="K11" s="386" t="e">
        <f t="shared" si="5"/>
        <v>#N/A</v>
      </c>
      <c r="L11" s="386">
        <f t="shared" si="6"/>
        <v>0</v>
      </c>
      <c r="M11" s="323"/>
      <c r="N11" s="324">
        <f>COUNTIF(Res1C,0)</f>
        <v>5</v>
      </c>
      <c r="O11" s="325"/>
      <c r="P11" s="324">
        <f>COUNTIF(Res1C,5)</f>
        <v>0</v>
      </c>
    </row>
    <row r="12" spans="1:16" ht="18" customHeight="1" thickBot="1">
      <c r="A12" s="103" t="str">
        <f>CONCATENATE(UPPER(Raw!A23),": ",UPPER(Raw!B23))</f>
        <v>STANDARD 2: LEADERSHIP AND COLLABORATION</v>
      </c>
      <c r="B12" s="386">
        <f t="shared" si="0"/>
        <v>1</v>
      </c>
      <c r="C12" s="386" t="str">
        <f>'Action Plan'!E18</f>
        <v>-</v>
      </c>
      <c r="D12" s="386" t="str">
        <f>'Action Plan'!G18</f>
        <v>-</v>
      </c>
      <c r="E12" s="386" t="str">
        <f>'Action Plan'!I18</f>
        <v>-</v>
      </c>
      <c r="F12" s="386" t="str">
        <f>'Action Plan'!K18</f>
        <v>-</v>
      </c>
      <c r="G12" s="386">
        <f t="shared" si="1"/>
        <v>1</v>
      </c>
      <c r="H12" s="386" t="e">
        <f t="shared" si="2"/>
        <v>#N/A</v>
      </c>
      <c r="I12" s="386" t="e">
        <f t="shared" si="3"/>
        <v>#N/A</v>
      </c>
      <c r="J12" s="386" t="e">
        <f t="shared" si="4"/>
        <v>#N/A</v>
      </c>
      <c r="K12" s="386" t="e">
        <f t="shared" si="5"/>
        <v>#N/A</v>
      </c>
      <c r="L12" s="386">
        <f t="shared" si="6"/>
        <v>0</v>
      </c>
      <c r="M12" s="326"/>
      <c r="N12" s="327">
        <f>N13+N14+N15</f>
        <v>21</v>
      </c>
      <c r="O12" s="328"/>
      <c r="P12" s="327">
        <f>P13+P14+P15</f>
        <v>0</v>
      </c>
    </row>
    <row r="13" spans="1:16" ht="18" customHeight="1">
      <c r="A13" s="306" t="str">
        <f>Raw!A25</f>
        <v>Component 2A: Program Team Members</v>
      </c>
      <c r="B13" s="386">
        <f t="shared" ref="B13:B32" si="7">1-SUM(C13:D13)</f>
        <v>1</v>
      </c>
      <c r="C13" s="386" t="str">
        <f>'Action Plan'!E20</f>
        <v>-</v>
      </c>
      <c r="D13" s="386" t="str">
        <f>'Action Plan'!G20</f>
        <v>-</v>
      </c>
      <c r="E13" s="386" t="str">
        <f>'Action Plan'!I20</f>
        <v>-</v>
      </c>
      <c r="F13" s="386" t="str">
        <f>'Action Plan'!K20</f>
        <v>-</v>
      </c>
      <c r="G13" s="386">
        <f t="shared" ref="G13:G32" si="8">1-SUM(E13:F13)</f>
        <v>1</v>
      </c>
      <c r="H13" s="386" t="e">
        <f t="shared" si="2"/>
        <v>#N/A</v>
      </c>
      <c r="I13" s="386" t="e">
        <f t="shared" si="3"/>
        <v>#N/A</v>
      </c>
      <c r="J13" s="386" t="e">
        <f t="shared" si="4"/>
        <v>#N/A</v>
      </c>
      <c r="K13" s="386" t="e">
        <f t="shared" si="5"/>
        <v>#N/A</v>
      </c>
      <c r="L13" s="386">
        <f t="shared" si="6"/>
        <v>0</v>
      </c>
      <c r="M13" s="329"/>
      <c r="N13" s="318">
        <f>COUNTIF(Res2A,0)</f>
        <v>4</v>
      </c>
      <c r="O13" s="319"/>
      <c r="P13" s="318">
        <f>COUNTIF(Res2A,5)</f>
        <v>0</v>
      </c>
    </row>
    <row r="14" spans="1:16" ht="18" customHeight="1">
      <c r="A14" s="307" t="str">
        <f>Raw!A31</f>
        <v>Component 2B: Program Team Attributes</v>
      </c>
      <c r="B14" s="386">
        <f t="shared" si="7"/>
        <v>1</v>
      </c>
      <c r="C14" s="386" t="str">
        <f>'Action Plan'!E24</f>
        <v>-</v>
      </c>
      <c r="D14" s="386" t="str">
        <f>'Action Plan'!G24</f>
        <v>-</v>
      </c>
      <c r="E14" s="386" t="str">
        <f>'Action Plan'!I24</f>
        <v>-</v>
      </c>
      <c r="F14" s="386" t="str">
        <f>'Action Plan'!K24</f>
        <v>-</v>
      </c>
      <c r="G14" s="386">
        <f t="shared" si="8"/>
        <v>1</v>
      </c>
      <c r="H14" s="386" t="e">
        <f t="shared" si="2"/>
        <v>#N/A</v>
      </c>
      <c r="I14" s="386" t="e">
        <f t="shared" si="3"/>
        <v>#N/A</v>
      </c>
      <c r="J14" s="386" t="e">
        <f t="shared" si="4"/>
        <v>#N/A</v>
      </c>
      <c r="K14" s="386" t="e">
        <f t="shared" si="5"/>
        <v>#N/A</v>
      </c>
      <c r="L14" s="386">
        <f t="shared" si="6"/>
        <v>0</v>
      </c>
      <c r="M14" s="330"/>
      <c r="N14" s="321">
        <f>COUNTIF(Res2B,0)</f>
        <v>9</v>
      </c>
      <c r="O14" s="322"/>
      <c r="P14" s="321">
        <f>COUNTIF(Res2B,5)</f>
        <v>0</v>
      </c>
    </row>
    <row r="15" spans="1:16" ht="18" customHeight="1" thickBot="1">
      <c r="A15" s="308" t="str">
        <f>Raw!A42</f>
        <v>Component 2C: Program Collaboration</v>
      </c>
      <c r="B15" s="386">
        <f t="shared" si="7"/>
        <v>1</v>
      </c>
      <c r="C15" s="386" t="str">
        <f>'Action Plan'!E28</f>
        <v>-</v>
      </c>
      <c r="D15" s="386" t="str">
        <f>'Action Plan'!G28</f>
        <v>-</v>
      </c>
      <c r="E15" s="386" t="str">
        <f>'Action Plan'!I28</f>
        <v>-</v>
      </c>
      <c r="F15" s="386" t="str">
        <f>'Action Plan'!K28</f>
        <v>-</v>
      </c>
      <c r="G15" s="386">
        <f t="shared" si="8"/>
        <v>1</v>
      </c>
      <c r="H15" s="386" t="e">
        <f t="shared" si="2"/>
        <v>#N/A</v>
      </c>
      <c r="I15" s="386" t="e">
        <f t="shared" si="3"/>
        <v>#N/A</v>
      </c>
      <c r="J15" s="386" t="e">
        <f t="shared" si="4"/>
        <v>#N/A</v>
      </c>
      <c r="K15" s="386" t="e">
        <f t="shared" si="5"/>
        <v>#N/A</v>
      </c>
      <c r="L15" s="386">
        <f t="shared" si="6"/>
        <v>0</v>
      </c>
      <c r="M15" s="331"/>
      <c r="N15" s="324">
        <f>COUNTIF(Res2C,0)</f>
        <v>8</v>
      </c>
      <c r="O15" s="325"/>
      <c r="P15" s="324">
        <f>COUNTIF(Res2C,5)</f>
        <v>0</v>
      </c>
    </row>
    <row r="16" spans="1:16" ht="18" customHeight="1" thickBot="1">
      <c r="A16" s="102" t="str">
        <f>CONCATENATE(UPPER(Raw!A52),": ",UPPER(Raw!B52))</f>
        <v>STANDARD 3: RECRUITMENT</v>
      </c>
      <c r="B16" s="386">
        <f t="shared" si="7"/>
        <v>1</v>
      </c>
      <c r="C16" s="386" t="str">
        <f>'Action Plan'!E32</f>
        <v>-</v>
      </c>
      <c r="D16" s="386" t="str">
        <f>'Action Plan'!G32</f>
        <v>-</v>
      </c>
      <c r="E16" s="386" t="str">
        <f>'Action Plan'!I32</f>
        <v>-</v>
      </c>
      <c r="F16" s="386" t="str">
        <f>'Action Plan'!K32</f>
        <v>-</v>
      </c>
      <c r="G16" s="386">
        <f t="shared" si="8"/>
        <v>1</v>
      </c>
      <c r="H16" s="386" t="e">
        <f t="shared" si="2"/>
        <v>#N/A</v>
      </c>
      <c r="I16" s="386" t="e">
        <f t="shared" si="3"/>
        <v>#N/A</v>
      </c>
      <c r="J16" s="386" t="e">
        <f t="shared" si="4"/>
        <v>#N/A</v>
      </c>
      <c r="K16" s="386" t="e">
        <f t="shared" si="5"/>
        <v>#N/A</v>
      </c>
      <c r="L16" s="386">
        <f t="shared" si="6"/>
        <v>0</v>
      </c>
      <c r="M16" s="332"/>
      <c r="N16" s="333">
        <f>N17+N18+N19+N20</f>
        <v>19</v>
      </c>
      <c r="O16" s="332"/>
      <c r="P16" s="333">
        <f>P17+P18+P19+P20</f>
        <v>0</v>
      </c>
    </row>
    <row r="17" spans="1:16" ht="18" customHeight="1">
      <c r="A17" s="306" t="str">
        <f>Raw!A54</f>
        <v>Component 3A: Recruitment Opportunities</v>
      </c>
      <c r="B17" s="386">
        <f t="shared" si="7"/>
        <v>1</v>
      </c>
      <c r="C17" s="386" t="str">
        <f>'Action Plan'!E34</f>
        <v>-</v>
      </c>
      <c r="D17" s="386" t="str">
        <f>'Action Plan'!G34</f>
        <v>-</v>
      </c>
      <c r="E17" s="386" t="str">
        <f>'Action Plan'!I34</f>
        <v>-</v>
      </c>
      <c r="F17" s="386" t="str">
        <f>'Action Plan'!K34</f>
        <v>-</v>
      </c>
      <c r="G17" s="386">
        <f t="shared" si="8"/>
        <v>1</v>
      </c>
      <c r="H17" s="386" t="e">
        <f t="shared" si="2"/>
        <v>#N/A</v>
      </c>
      <c r="I17" s="386" t="e">
        <f t="shared" si="3"/>
        <v>#N/A</v>
      </c>
      <c r="J17" s="386" t="e">
        <f t="shared" si="4"/>
        <v>#N/A</v>
      </c>
      <c r="K17" s="386" t="e">
        <f t="shared" si="5"/>
        <v>#N/A</v>
      </c>
      <c r="L17" s="386">
        <f t="shared" si="6"/>
        <v>0</v>
      </c>
      <c r="M17" s="329"/>
      <c r="N17" s="318">
        <f>COUNTIF(Res3A,0)</f>
        <v>5</v>
      </c>
      <c r="O17" s="319"/>
      <c r="P17" s="318">
        <f>COUNTIF(Res3A,5)</f>
        <v>0</v>
      </c>
    </row>
    <row r="18" spans="1:16" ht="18" customHeight="1">
      <c r="A18" s="307" t="str">
        <f>Raw!A61</f>
        <v xml:space="preserve">Component 3B: Recruitment Activities </v>
      </c>
      <c r="B18" s="386">
        <f t="shared" si="7"/>
        <v>1</v>
      </c>
      <c r="C18" s="386" t="str">
        <f>'Action Plan'!E38</f>
        <v>-</v>
      </c>
      <c r="D18" s="386" t="str">
        <f>'Action Plan'!G38</f>
        <v>-</v>
      </c>
      <c r="E18" s="386" t="str">
        <f>'Action Plan'!I38</f>
        <v>-</v>
      </c>
      <c r="F18" s="386" t="str">
        <f>'Action Plan'!K38</f>
        <v>-</v>
      </c>
      <c r="G18" s="386">
        <f t="shared" si="8"/>
        <v>1</v>
      </c>
      <c r="H18" s="386" t="e">
        <f t="shared" si="2"/>
        <v>#N/A</v>
      </c>
      <c r="I18" s="386" t="e">
        <f t="shared" si="3"/>
        <v>#N/A</v>
      </c>
      <c r="J18" s="386" t="e">
        <f t="shared" si="4"/>
        <v>#N/A</v>
      </c>
      <c r="K18" s="386" t="e">
        <f t="shared" si="5"/>
        <v>#N/A</v>
      </c>
      <c r="L18" s="386">
        <f t="shared" si="6"/>
        <v>0</v>
      </c>
      <c r="M18" s="330"/>
      <c r="N18" s="321">
        <f>COUNTIF(Res3B,0)</f>
        <v>5</v>
      </c>
      <c r="O18" s="322"/>
      <c r="P18" s="321">
        <f>COUNTIF(Res3B,5)</f>
        <v>0</v>
      </c>
    </row>
    <row r="19" spans="1:16" ht="18" customHeight="1">
      <c r="A19" s="307" t="str">
        <f>Raw!A68</f>
        <v>Component 3C: Early Teaching Experiences for Recruiting Teacher Candidates</v>
      </c>
      <c r="B19" s="386">
        <f t="shared" si="7"/>
        <v>1</v>
      </c>
      <c r="C19" s="386" t="str">
        <f>'Action Plan'!E42</f>
        <v>-</v>
      </c>
      <c r="D19" s="386" t="str">
        <f>'Action Plan'!G42</f>
        <v>-</v>
      </c>
      <c r="E19" s="386" t="str">
        <f>'Action Plan'!I42</f>
        <v>-</v>
      </c>
      <c r="F19" s="386" t="str">
        <f>'Action Plan'!K42</f>
        <v>-</v>
      </c>
      <c r="G19" s="386">
        <f t="shared" si="8"/>
        <v>1</v>
      </c>
      <c r="H19" s="386" t="e">
        <f t="shared" si="2"/>
        <v>#N/A</v>
      </c>
      <c r="I19" s="386" t="e">
        <f t="shared" si="3"/>
        <v>#N/A</v>
      </c>
      <c r="J19" s="386" t="e">
        <f t="shared" si="4"/>
        <v>#N/A</v>
      </c>
      <c r="K19" s="386" t="e">
        <f t="shared" si="5"/>
        <v>#N/A</v>
      </c>
      <c r="L19" s="386">
        <f t="shared" si="6"/>
        <v>0</v>
      </c>
      <c r="M19" s="330"/>
      <c r="N19" s="321">
        <f>COUNTIF(Res3C,0)</f>
        <v>5</v>
      </c>
      <c r="O19" s="322"/>
      <c r="P19" s="321">
        <f>COUNTIF(Res3C,5)</f>
        <v>0</v>
      </c>
    </row>
    <row r="20" spans="1:16" ht="18" customHeight="1" thickBot="1">
      <c r="A20" s="308" t="str">
        <f>Raw!A75</f>
        <v>Component 3D: Streamlined and Accessible Program Options</v>
      </c>
      <c r="B20" s="386">
        <f t="shared" si="7"/>
        <v>1</v>
      </c>
      <c r="C20" s="386" t="str">
        <f>'Action Plan'!E46</f>
        <v>-</v>
      </c>
      <c r="D20" s="386" t="str">
        <f>'Action Plan'!G46</f>
        <v>-</v>
      </c>
      <c r="E20" s="386" t="str">
        <f>'Action Plan'!I46</f>
        <v>-</v>
      </c>
      <c r="F20" s="386" t="str">
        <f>'Action Plan'!K46</f>
        <v>-</v>
      </c>
      <c r="G20" s="386">
        <f t="shared" si="8"/>
        <v>1</v>
      </c>
      <c r="H20" s="386" t="e">
        <f t="shared" si="2"/>
        <v>#N/A</v>
      </c>
      <c r="I20" s="386" t="e">
        <f t="shared" si="3"/>
        <v>#N/A</v>
      </c>
      <c r="J20" s="386" t="e">
        <f t="shared" si="4"/>
        <v>#N/A</v>
      </c>
      <c r="K20" s="386" t="e">
        <f t="shared" si="5"/>
        <v>#N/A</v>
      </c>
      <c r="L20" s="386">
        <f t="shared" si="6"/>
        <v>0</v>
      </c>
      <c r="M20" s="323"/>
      <c r="N20" s="324">
        <f>COUNTIF(Res3D,0)</f>
        <v>4</v>
      </c>
      <c r="O20" s="325"/>
      <c r="P20" s="324">
        <f>COUNTIF(Res3D,5)</f>
        <v>0</v>
      </c>
    </row>
    <row r="21" spans="1:16" ht="18" customHeight="1" thickBot="1">
      <c r="A21" s="101" t="str">
        <f>CONCATENATE(UPPER(Raw!A81),": ",UPPER(Raw!B81))</f>
        <v>STANDARD 4: KNOWLEDGE AND SKILLS FOR TEACHING PHYSICS</v>
      </c>
      <c r="B21" s="386">
        <f t="shared" si="7"/>
        <v>1</v>
      </c>
      <c r="C21" s="386" t="str">
        <f>'Action Plan'!E50</f>
        <v>-</v>
      </c>
      <c r="D21" s="386" t="str">
        <f>'Action Plan'!G50</f>
        <v>-</v>
      </c>
      <c r="E21" s="386" t="str">
        <f>'Action Plan'!I50</f>
        <v>-</v>
      </c>
      <c r="F21" s="386" t="str">
        <f>'Action Plan'!K50</f>
        <v>-</v>
      </c>
      <c r="G21" s="386">
        <f t="shared" si="8"/>
        <v>1</v>
      </c>
      <c r="H21" s="386" t="e">
        <f t="shared" si="2"/>
        <v>#N/A</v>
      </c>
      <c r="I21" s="386" t="e">
        <f t="shared" si="3"/>
        <v>#N/A</v>
      </c>
      <c r="J21" s="386" t="e">
        <f t="shared" si="4"/>
        <v>#N/A</v>
      </c>
      <c r="K21" s="386" t="e">
        <f t="shared" si="5"/>
        <v>#N/A</v>
      </c>
      <c r="L21" s="386">
        <f t="shared" si="6"/>
        <v>0</v>
      </c>
      <c r="M21" s="334"/>
      <c r="N21" s="335">
        <f>N22+N23+N24</f>
        <v>12</v>
      </c>
      <c r="O21" s="334"/>
      <c r="P21" s="335">
        <f>P22+P23+P24</f>
        <v>0</v>
      </c>
    </row>
    <row r="22" spans="1:16" ht="18" customHeight="1">
      <c r="A22" s="306" t="str">
        <f>Raw!A83</f>
        <v>Component 4A: Physics Content Knowledge</v>
      </c>
      <c r="B22" s="386">
        <f t="shared" si="7"/>
        <v>1</v>
      </c>
      <c r="C22" s="386" t="str">
        <f>'Action Plan'!E52</f>
        <v>-</v>
      </c>
      <c r="D22" s="386" t="str">
        <f>'Action Plan'!G52</f>
        <v>-</v>
      </c>
      <c r="E22" s="386" t="str">
        <f>'Action Plan'!I52</f>
        <v>-</v>
      </c>
      <c r="F22" s="386" t="str">
        <f>'Action Plan'!K52</f>
        <v>-</v>
      </c>
      <c r="G22" s="386">
        <f t="shared" si="8"/>
        <v>1</v>
      </c>
      <c r="H22" s="386" t="e">
        <f t="shared" si="2"/>
        <v>#N/A</v>
      </c>
      <c r="I22" s="386" t="e">
        <f t="shared" si="3"/>
        <v>#N/A</v>
      </c>
      <c r="J22" s="386" t="e">
        <f t="shared" si="4"/>
        <v>#N/A</v>
      </c>
      <c r="K22" s="386" t="e">
        <f t="shared" si="5"/>
        <v>#N/A</v>
      </c>
      <c r="L22" s="386">
        <f t="shared" si="6"/>
        <v>0</v>
      </c>
      <c r="M22" s="317"/>
      <c r="N22" s="318">
        <f>COUNTIF(Res4A,0)</f>
        <v>3</v>
      </c>
      <c r="O22" s="319"/>
      <c r="P22" s="318">
        <f>COUNTIF(Res4A,5)</f>
        <v>0</v>
      </c>
    </row>
    <row r="23" spans="1:16" ht="18" customHeight="1">
      <c r="A23" s="307" t="str">
        <f>Raw!A88</f>
        <v>Component 4B: Pedagogy Courses and Curriculum</v>
      </c>
      <c r="B23" s="386">
        <f t="shared" si="7"/>
        <v>1</v>
      </c>
      <c r="C23" s="386" t="str">
        <f>'Action Plan'!E56</f>
        <v>-</v>
      </c>
      <c r="D23" s="386" t="str">
        <f>'Action Plan'!G56</f>
        <v>-</v>
      </c>
      <c r="E23" s="386" t="str">
        <f>'Action Plan'!I56</f>
        <v>-</v>
      </c>
      <c r="F23" s="386" t="str">
        <f>'Action Plan'!K56</f>
        <v>-</v>
      </c>
      <c r="G23" s="386">
        <f t="shared" si="8"/>
        <v>1</v>
      </c>
      <c r="H23" s="386" t="e">
        <f t="shared" si="2"/>
        <v>#N/A</v>
      </c>
      <c r="I23" s="386" t="e">
        <f t="shared" si="3"/>
        <v>#N/A</v>
      </c>
      <c r="J23" s="386" t="e">
        <f t="shared" si="4"/>
        <v>#N/A</v>
      </c>
      <c r="K23" s="386" t="e">
        <f t="shared" si="5"/>
        <v>#N/A</v>
      </c>
      <c r="L23" s="386">
        <f t="shared" si="6"/>
        <v>0</v>
      </c>
      <c r="M23" s="330"/>
      <c r="N23" s="321">
        <f>COUNTIF(Res4B,0)</f>
        <v>5</v>
      </c>
      <c r="O23" s="322"/>
      <c r="P23" s="321">
        <f>COUNTIF(Res4B,5)</f>
        <v>0</v>
      </c>
    </row>
    <row r="24" spans="1:16" ht="18" customHeight="1" thickBot="1">
      <c r="A24" s="308" t="str">
        <f>Raw!A95</f>
        <v xml:space="preserve">Component 4C: Practical K–12 School Experiences </v>
      </c>
      <c r="B24" s="386">
        <f t="shared" si="7"/>
        <v>1</v>
      </c>
      <c r="C24" s="386" t="str">
        <f>'Action Plan'!E60</f>
        <v>-</v>
      </c>
      <c r="D24" s="386" t="str">
        <f>'Action Plan'!G60</f>
        <v>-</v>
      </c>
      <c r="E24" s="386" t="str">
        <f>'Action Plan'!I60</f>
        <v>-</v>
      </c>
      <c r="F24" s="386" t="str">
        <f>'Action Plan'!K60</f>
        <v>-</v>
      </c>
      <c r="G24" s="386">
        <f t="shared" si="8"/>
        <v>1</v>
      </c>
      <c r="H24" s="386" t="e">
        <f t="shared" si="2"/>
        <v>#N/A</v>
      </c>
      <c r="I24" s="386" t="e">
        <f t="shared" si="3"/>
        <v>#N/A</v>
      </c>
      <c r="J24" s="386" t="e">
        <f t="shared" si="4"/>
        <v>#N/A</v>
      </c>
      <c r="K24" s="386" t="e">
        <f t="shared" si="5"/>
        <v>#N/A</v>
      </c>
      <c r="L24" s="386">
        <f t="shared" si="6"/>
        <v>0</v>
      </c>
      <c r="M24" s="323"/>
      <c r="N24" s="324">
        <f>COUNTIF(Res4C,0)</f>
        <v>4</v>
      </c>
      <c r="O24" s="325"/>
      <c r="P24" s="324">
        <f>COUNTIF(Res4C,5)</f>
        <v>0</v>
      </c>
    </row>
    <row r="25" spans="1:16" ht="18" customHeight="1" thickBot="1">
      <c r="A25" s="99" t="str">
        <f>CONCATENATE(UPPER(Raw!A101),": ",UPPER(Raw!B101))</f>
        <v>STANDARD 5: MENTORING, COMMUNITY, AND PROFESSIONAL SUPPORT</v>
      </c>
      <c r="B25" s="386">
        <f t="shared" si="7"/>
        <v>1</v>
      </c>
      <c r="C25" s="386" t="str">
        <f>'Action Plan'!E64</f>
        <v>-</v>
      </c>
      <c r="D25" s="386" t="str">
        <f>'Action Plan'!G64</f>
        <v>-</v>
      </c>
      <c r="E25" s="386" t="str">
        <f>'Action Plan'!I64</f>
        <v>-</v>
      </c>
      <c r="F25" s="386" t="str">
        <f>'Action Plan'!K64</f>
        <v>-</v>
      </c>
      <c r="G25" s="386">
        <f t="shared" si="8"/>
        <v>1</v>
      </c>
      <c r="H25" s="386" t="e">
        <f t="shared" si="2"/>
        <v>#N/A</v>
      </c>
      <c r="I25" s="386" t="e">
        <f t="shared" si="3"/>
        <v>#N/A</v>
      </c>
      <c r="J25" s="386" t="e">
        <f t="shared" si="4"/>
        <v>#N/A</v>
      </c>
      <c r="K25" s="386" t="e">
        <f t="shared" si="5"/>
        <v>#N/A</v>
      </c>
      <c r="L25" s="386">
        <f t="shared" si="6"/>
        <v>0</v>
      </c>
      <c r="M25" s="336"/>
      <c r="N25" s="337">
        <f>N26+N27+N28</f>
        <v>11</v>
      </c>
      <c r="O25" s="338"/>
      <c r="P25" s="337">
        <f>P26+P27+P28</f>
        <v>0</v>
      </c>
    </row>
    <row r="26" spans="1:16" ht="18" customHeight="1">
      <c r="A26" s="306" t="str">
        <f>Raw!A103</f>
        <v>Component 5A: Mentoring and Community Support Toward a Physics Degree</v>
      </c>
      <c r="B26" s="386">
        <f t="shared" si="7"/>
        <v>1</v>
      </c>
      <c r="C26" s="386" t="str">
        <f>'Action Plan'!E66</f>
        <v>-</v>
      </c>
      <c r="D26" s="386" t="str">
        <f>'Action Plan'!G66</f>
        <v>-</v>
      </c>
      <c r="E26" s="386" t="str">
        <f>'Action Plan'!I66</f>
        <v>-</v>
      </c>
      <c r="F26" s="386" t="str">
        <f>'Action Plan'!K66</f>
        <v>-</v>
      </c>
      <c r="G26" s="386">
        <f t="shared" si="8"/>
        <v>1</v>
      </c>
      <c r="H26" s="386" t="e">
        <f t="shared" si="2"/>
        <v>#N/A</v>
      </c>
      <c r="I26" s="386" t="e">
        <f t="shared" si="3"/>
        <v>#N/A</v>
      </c>
      <c r="J26" s="386" t="e">
        <f t="shared" si="4"/>
        <v>#N/A</v>
      </c>
      <c r="K26" s="386" t="e">
        <f t="shared" si="5"/>
        <v>#N/A</v>
      </c>
      <c r="L26" s="386">
        <f t="shared" si="6"/>
        <v>0</v>
      </c>
      <c r="M26" s="329"/>
      <c r="N26" s="318">
        <f>COUNTIF(Res5A,0)</f>
        <v>2</v>
      </c>
      <c r="O26" s="319"/>
      <c r="P26" s="318">
        <f>COUNTIF(Res5A,5)</f>
        <v>0</v>
      </c>
    </row>
    <row r="27" spans="1:16" ht="18" customHeight="1">
      <c r="A27" s="307" t="str">
        <f>Raw!A107</f>
        <v>Component 5B: Mentoring and Community Support Toward Becoming a Physics Teacher</v>
      </c>
      <c r="B27" s="386">
        <f t="shared" si="7"/>
        <v>1</v>
      </c>
      <c r="C27" s="386" t="str">
        <f>'Action Plan'!E70</f>
        <v>-</v>
      </c>
      <c r="D27" s="386" t="str">
        <f>'Action Plan'!G70</f>
        <v>-</v>
      </c>
      <c r="E27" s="386" t="str">
        <f>'Action Plan'!I70</f>
        <v>-</v>
      </c>
      <c r="F27" s="386" t="str">
        <f>'Action Plan'!K70</f>
        <v>-</v>
      </c>
      <c r="G27" s="386">
        <f t="shared" si="8"/>
        <v>1</v>
      </c>
      <c r="H27" s="386" t="e">
        <f t="shared" si="2"/>
        <v>#N/A</v>
      </c>
      <c r="I27" s="386" t="e">
        <f t="shared" si="3"/>
        <v>#N/A</v>
      </c>
      <c r="J27" s="386" t="e">
        <f t="shared" si="4"/>
        <v>#N/A</v>
      </c>
      <c r="K27" s="386" t="e">
        <f t="shared" si="5"/>
        <v>#N/A</v>
      </c>
      <c r="L27" s="386">
        <f t="shared" si="6"/>
        <v>0</v>
      </c>
      <c r="M27" s="330"/>
      <c r="N27" s="321">
        <f>COUNTIF(Res5B,0)</f>
        <v>5</v>
      </c>
      <c r="O27" s="322"/>
      <c r="P27" s="321">
        <f>COUNTIF(Res5B,5)</f>
        <v>0</v>
      </c>
    </row>
    <row r="28" spans="1:16" ht="18" customHeight="1" thickBot="1">
      <c r="A28" s="308" t="str">
        <f>Raw!A114</f>
        <v>Component 5C: In-service Mentoring and Professional Community</v>
      </c>
      <c r="B28" s="386">
        <f t="shared" si="7"/>
        <v>1</v>
      </c>
      <c r="C28" s="386" t="str">
        <f>'Action Plan'!E74</f>
        <v>-</v>
      </c>
      <c r="D28" s="386" t="str">
        <f>'Action Plan'!G74</f>
        <v>-</v>
      </c>
      <c r="E28" s="386" t="str">
        <f>'Action Plan'!I74</f>
        <v>-</v>
      </c>
      <c r="F28" s="386" t="str">
        <f>'Action Plan'!K74</f>
        <v>-</v>
      </c>
      <c r="G28" s="386">
        <f t="shared" si="8"/>
        <v>1</v>
      </c>
      <c r="H28" s="386" t="e">
        <f t="shared" si="2"/>
        <v>#N/A</v>
      </c>
      <c r="I28" s="386" t="e">
        <f t="shared" si="3"/>
        <v>#N/A</v>
      </c>
      <c r="J28" s="386" t="e">
        <f t="shared" si="4"/>
        <v>#N/A</v>
      </c>
      <c r="K28" s="386" t="e">
        <f t="shared" si="5"/>
        <v>#N/A</v>
      </c>
      <c r="L28" s="386">
        <f t="shared" si="6"/>
        <v>0</v>
      </c>
      <c r="M28" s="331"/>
      <c r="N28" s="324">
        <f>COUNTIF(Res5C,0)</f>
        <v>4</v>
      </c>
      <c r="O28" s="325"/>
      <c r="P28" s="324">
        <f>COUNTIF(Res5C,5)</f>
        <v>0</v>
      </c>
    </row>
    <row r="29" spans="1:16" ht="18" customHeight="1" thickBot="1">
      <c r="A29" s="100" t="str">
        <f>CONCATENATE(UPPER(Raw!A120),": ",UPPER(Raw!B120))</f>
        <v>STANDARD 6: PROGRAM ASSESSMENT</v>
      </c>
      <c r="B29" s="386">
        <f t="shared" si="7"/>
        <v>1</v>
      </c>
      <c r="C29" s="386" t="str">
        <f>'Action Plan'!E78</f>
        <v>-</v>
      </c>
      <c r="D29" s="386" t="str">
        <f>'Action Plan'!G78</f>
        <v>-</v>
      </c>
      <c r="E29" s="386" t="str">
        <f>'Action Plan'!I78</f>
        <v>-</v>
      </c>
      <c r="F29" s="386" t="str">
        <f>'Action Plan'!K78</f>
        <v>-</v>
      </c>
      <c r="G29" s="386">
        <f t="shared" si="8"/>
        <v>1</v>
      </c>
      <c r="H29" s="386" t="e">
        <f t="shared" si="2"/>
        <v>#N/A</v>
      </c>
      <c r="I29" s="386" t="e">
        <f t="shared" si="3"/>
        <v>#N/A</v>
      </c>
      <c r="J29" s="386" t="e">
        <f t="shared" si="4"/>
        <v>#N/A</v>
      </c>
      <c r="K29" s="386" t="e">
        <f t="shared" si="5"/>
        <v>#N/A</v>
      </c>
      <c r="L29" s="386">
        <f t="shared" si="6"/>
        <v>0</v>
      </c>
      <c r="M29" s="339"/>
      <c r="N29" s="340">
        <f>N30+N31+N32</f>
        <v>12</v>
      </c>
      <c r="O29" s="339"/>
      <c r="P29" s="340">
        <f>P30+P31+P32</f>
        <v>0</v>
      </c>
    </row>
    <row r="30" spans="1:16" ht="18" customHeight="1">
      <c r="A30" s="306" t="str">
        <f>Raw!A122</f>
        <v>Component 6A: Program Outcomes</v>
      </c>
      <c r="B30" s="386">
        <f t="shared" si="7"/>
        <v>1</v>
      </c>
      <c r="C30" s="386" t="str">
        <f>'Action Plan'!E80</f>
        <v>-</v>
      </c>
      <c r="D30" s="386" t="str">
        <f>'Action Plan'!G80</f>
        <v>-</v>
      </c>
      <c r="E30" s="386" t="str">
        <f>'Action Plan'!I80</f>
        <v>-</v>
      </c>
      <c r="F30" s="386" t="str">
        <f>'Action Plan'!K80</f>
        <v>-</v>
      </c>
      <c r="G30" s="386">
        <f t="shared" si="8"/>
        <v>1</v>
      </c>
      <c r="H30" s="386" t="e">
        <f t="shared" si="2"/>
        <v>#N/A</v>
      </c>
      <c r="I30" s="386" t="e">
        <f t="shared" si="3"/>
        <v>#N/A</v>
      </c>
      <c r="J30" s="386" t="e">
        <f t="shared" si="4"/>
        <v>#N/A</v>
      </c>
      <c r="K30" s="386" t="e">
        <f t="shared" si="5"/>
        <v>#N/A</v>
      </c>
      <c r="L30" s="386">
        <f t="shared" si="6"/>
        <v>0</v>
      </c>
      <c r="M30" s="329"/>
      <c r="N30" s="318">
        <f>COUNTIF(Res6A,0)</f>
        <v>4</v>
      </c>
      <c r="O30" s="319"/>
      <c r="P30" s="318">
        <f>COUNTIF(Res6A,5)</f>
        <v>0</v>
      </c>
    </row>
    <row r="31" spans="1:16" ht="18" customHeight="1">
      <c r="A31" s="307" t="str">
        <f>Raw!A128</f>
        <v>Component 6B: Program Evaluation and Improvement</v>
      </c>
      <c r="B31" s="386">
        <f t="shared" si="7"/>
        <v>1</v>
      </c>
      <c r="C31" s="386" t="str">
        <f>'Action Plan'!E84</f>
        <v>-</v>
      </c>
      <c r="D31" s="386" t="str">
        <f>'Action Plan'!G84</f>
        <v>-</v>
      </c>
      <c r="E31" s="386" t="str">
        <f>'Action Plan'!I84</f>
        <v>-</v>
      </c>
      <c r="F31" s="386" t="str">
        <f>'Action Plan'!K84</f>
        <v>-</v>
      </c>
      <c r="G31" s="386">
        <f t="shared" si="8"/>
        <v>1</v>
      </c>
      <c r="H31" s="386" t="e">
        <f t="shared" si="2"/>
        <v>#N/A</v>
      </c>
      <c r="I31" s="386" t="e">
        <f t="shared" si="3"/>
        <v>#N/A</v>
      </c>
      <c r="J31" s="386" t="e">
        <f t="shared" si="4"/>
        <v>#N/A</v>
      </c>
      <c r="K31" s="386" t="e">
        <f t="shared" si="5"/>
        <v>#N/A</v>
      </c>
      <c r="L31" s="386">
        <f t="shared" si="6"/>
        <v>0</v>
      </c>
      <c r="M31" s="330"/>
      <c r="N31" s="321">
        <f>COUNTIF(Res6B,0)</f>
        <v>4</v>
      </c>
      <c r="O31" s="322"/>
      <c r="P31" s="321">
        <f>COUNTIF(Res6B,5)</f>
        <v>0</v>
      </c>
    </row>
    <row r="32" spans="1:16" ht="18" customHeight="1">
      <c r="A32" s="307" t="str">
        <f>Raw!A134</f>
        <v>Component 6C: Communication to Stakeholders</v>
      </c>
      <c r="B32" s="386">
        <f t="shared" si="7"/>
        <v>1</v>
      </c>
      <c r="C32" s="386" t="str">
        <f>'Action Plan'!E88</f>
        <v>-</v>
      </c>
      <c r="D32" s="386" t="str">
        <f>'Action Plan'!G88</f>
        <v>-</v>
      </c>
      <c r="E32" s="386" t="str">
        <f>'Action Plan'!I88</f>
        <v>-</v>
      </c>
      <c r="F32" s="386" t="str">
        <f>'Action Plan'!K88</f>
        <v>-</v>
      </c>
      <c r="G32" s="386">
        <f t="shared" si="8"/>
        <v>1</v>
      </c>
      <c r="H32" s="386" t="e">
        <f t="shared" si="2"/>
        <v>#N/A</v>
      </c>
      <c r="I32" s="386" t="e">
        <f t="shared" si="3"/>
        <v>#N/A</v>
      </c>
      <c r="J32" s="386" t="e">
        <f t="shared" si="4"/>
        <v>#N/A</v>
      </c>
      <c r="K32" s="386" t="e">
        <f t="shared" si="5"/>
        <v>#N/A</v>
      </c>
      <c r="L32" s="386">
        <f t="shared" si="6"/>
        <v>0</v>
      </c>
      <c r="M32" s="330"/>
      <c r="N32" s="321">
        <f>COUNTIF(Res6C,0)</f>
        <v>4</v>
      </c>
      <c r="O32" s="322"/>
      <c r="P32" s="321">
        <f>COUNTIF(Res6C,5)</f>
        <v>0</v>
      </c>
    </row>
    <row r="33" spans="13:13">
      <c r="M33" s="23"/>
    </row>
    <row r="34" spans="13:13" ht="19">
      <c r="M34" s="487"/>
    </row>
    <row r="35" spans="13:13" ht="19">
      <c r="M35" s="487"/>
    </row>
    <row r="36" spans="13:13">
      <c r="M36" s="23"/>
    </row>
    <row r="37" spans="13:13">
      <c r="M37" s="23"/>
    </row>
    <row r="38" spans="13:13">
      <c r="M38" s="23"/>
    </row>
    <row r="39" spans="13:13">
      <c r="M39" s="23"/>
    </row>
    <row r="40" spans="13:13" ht="19">
      <c r="M40" s="487"/>
    </row>
    <row r="41" spans="13:13" ht="19">
      <c r="M41" s="487"/>
    </row>
    <row r="42" spans="13:13">
      <c r="M42" s="23"/>
    </row>
    <row r="43" spans="13:13">
      <c r="M43" s="23"/>
    </row>
    <row r="44" spans="13:13">
      <c r="M44" s="23"/>
    </row>
    <row r="45" spans="13:13">
      <c r="M45" s="4"/>
    </row>
    <row r="46" spans="13:13">
      <c r="M46" s="4"/>
    </row>
    <row r="47" spans="13:13">
      <c r="M47" s="4"/>
    </row>
    <row r="48" spans="13:13">
      <c r="M48" s="4"/>
    </row>
    <row r="49" spans="13:13">
      <c r="M49" s="4"/>
    </row>
    <row r="50" spans="13:13">
      <c r="M50" s="4"/>
    </row>
    <row r="51" spans="13:13">
      <c r="M51" s="4"/>
    </row>
    <row r="52" spans="13:13">
      <c r="M52" s="4"/>
    </row>
    <row r="53" spans="13:13">
      <c r="M53" s="4"/>
    </row>
    <row r="54" spans="13:13">
      <c r="M54" s="4"/>
    </row>
    <row r="55" spans="13:13">
      <c r="M55" s="4"/>
    </row>
    <row r="56" spans="13:13">
      <c r="M56" s="4"/>
    </row>
    <row r="57" spans="13:13">
      <c r="M57" s="4"/>
    </row>
    <row r="58" spans="13:13">
      <c r="M58" s="4"/>
    </row>
    <row r="59" spans="13:13">
      <c r="M59" s="4"/>
    </row>
    <row r="60" spans="13:13">
      <c r="M60" s="4"/>
    </row>
    <row r="61" spans="13:13">
      <c r="M61" s="4"/>
    </row>
    <row r="62" spans="13:13">
      <c r="M62" s="4"/>
    </row>
    <row r="63" spans="13:13">
      <c r="M63" s="4"/>
    </row>
    <row r="64" spans="13:13">
      <c r="M64" s="4"/>
    </row>
    <row r="65" spans="13:13">
      <c r="M65" s="4"/>
    </row>
    <row r="66" spans="13:13">
      <c r="M66" s="4"/>
    </row>
    <row r="67" spans="13:13">
      <c r="M67" s="4"/>
    </row>
    <row r="68" spans="13:13">
      <c r="M68" s="4"/>
    </row>
    <row r="69" spans="13:13">
      <c r="M69" s="4"/>
    </row>
    <row r="70" spans="13:13">
      <c r="M70" s="4"/>
    </row>
    <row r="71" spans="13:13">
      <c r="M71" s="4"/>
    </row>
    <row r="72" spans="13:13">
      <c r="M72" s="4"/>
    </row>
    <row r="73" spans="13:13">
      <c r="M73" s="4"/>
    </row>
    <row r="74" spans="13:13">
      <c r="M74" s="4"/>
    </row>
    <row r="75" spans="13:13">
      <c r="M75" s="4"/>
    </row>
    <row r="76" spans="13:13">
      <c r="M76" s="4"/>
    </row>
    <row r="77" spans="13:13">
      <c r="M77" s="4"/>
    </row>
    <row r="78" spans="13:13">
      <c r="M78" s="4"/>
    </row>
    <row r="79" spans="13:13">
      <c r="M79" s="4"/>
    </row>
    <row r="80" spans="13:13">
      <c r="M80" s="4"/>
    </row>
    <row r="81" spans="13:13">
      <c r="M81" s="4"/>
    </row>
    <row r="82" spans="13:13">
      <c r="M82" s="4"/>
    </row>
    <row r="83" spans="13:13">
      <c r="M83" s="4"/>
    </row>
    <row r="84" spans="13:13">
      <c r="M84" s="4"/>
    </row>
    <row r="85" spans="13:13">
      <c r="M85" s="4"/>
    </row>
    <row r="86" spans="13:13">
      <c r="M86" s="4"/>
    </row>
    <row r="87" spans="13:13">
      <c r="M87" s="4"/>
    </row>
    <row r="88" spans="13:13">
      <c r="M88" s="4"/>
    </row>
    <row r="89" spans="13:13">
      <c r="M89" s="4"/>
    </row>
    <row r="90" spans="13:13">
      <c r="M90" s="4"/>
    </row>
    <row r="91" spans="13:13">
      <c r="M91" s="4"/>
    </row>
    <row r="92" spans="13:13">
      <c r="M92" s="4"/>
    </row>
    <row r="93" spans="13:13">
      <c r="M93" s="4"/>
    </row>
    <row r="94" spans="13:13">
      <c r="M94" s="4"/>
    </row>
    <row r="95" spans="13:13">
      <c r="M95" s="4"/>
    </row>
    <row r="96" spans="13:13">
      <c r="M96" s="4"/>
    </row>
    <row r="97" spans="13:13">
      <c r="M97" s="4"/>
    </row>
    <row r="98" spans="13:13">
      <c r="M98" s="4"/>
    </row>
    <row r="99" spans="13:13">
      <c r="M99" s="4"/>
    </row>
    <row r="100" spans="13:13">
      <c r="M100" s="4"/>
    </row>
    <row r="101" spans="13:13">
      <c r="M101" s="4"/>
    </row>
    <row r="102" spans="13:13">
      <c r="M102" s="4"/>
    </row>
    <row r="103" spans="13:13">
      <c r="M103" s="4"/>
    </row>
    <row r="104" spans="13:13">
      <c r="M104" s="4"/>
    </row>
    <row r="105" spans="13:13">
      <c r="M105" s="4"/>
    </row>
    <row r="106" spans="13:13">
      <c r="M106" s="4"/>
    </row>
    <row r="107" spans="13:13">
      <c r="M107" s="4"/>
    </row>
    <row r="108" spans="13:13">
      <c r="M108" s="4"/>
    </row>
    <row r="109" spans="13:13">
      <c r="M109" s="4"/>
    </row>
    <row r="110" spans="13:13">
      <c r="M110" s="4"/>
    </row>
    <row r="111" spans="13:13">
      <c r="M111" s="4"/>
    </row>
    <row r="112" spans="13:13">
      <c r="M112" s="4"/>
    </row>
    <row r="113" spans="13:13">
      <c r="M113" s="4"/>
    </row>
    <row r="114" spans="13:13">
      <c r="M114" s="4"/>
    </row>
    <row r="115" spans="13:13">
      <c r="M115" s="4"/>
    </row>
    <row r="116" spans="13:13">
      <c r="M116" s="4"/>
    </row>
    <row r="117" spans="13:13">
      <c r="M117" s="4"/>
    </row>
    <row r="118" spans="13:13">
      <c r="M118" s="4"/>
    </row>
    <row r="119" spans="13:13">
      <c r="M119" s="4"/>
    </row>
    <row r="120" spans="13:13">
      <c r="M120" s="4"/>
    </row>
    <row r="121" spans="13:13">
      <c r="M121" s="4"/>
    </row>
    <row r="122" spans="13:13">
      <c r="M122" s="4"/>
    </row>
    <row r="123" spans="13:13">
      <c r="M123" s="4"/>
    </row>
    <row r="124" spans="13:13">
      <c r="M124" s="4"/>
    </row>
    <row r="125" spans="13:13">
      <c r="M125" s="4"/>
    </row>
    <row r="126" spans="13:13">
      <c r="M126" s="4"/>
    </row>
    <row r="127" spans="13:13">
      <c r="M127" s="4"/>
    </row>
    <row r="128" spans="13:13">
      <c r="M128" s="4"/>
    </row>
    <row r="129" spans="13:13">
      <c r="M129" s="4"/>
    </row>
    <row r="130" spans="13:13">
      <c r="M130" s="4"/>
    </row>
    <row r="131" spans="13:13">
      <c r="M131" s="4"/>
    </row>
    <row r="132" spans="13:13">
      <c r="M132" s="4"/>
    </row>
    <row r="133" spans="13:13">
      <c r="M133" s="4"/>
    </row>
    <row r="134" spans="13:13">
      <c r="M134" s="4"/>
    </row>
    <row r="135" spans="13:13">
      <c r="M135" s="4"/>
    </row>
    <row r="136" spans="13:13">
      <c r="M136" s="4"/>
    </row>
    <row r="137" spans="13:13">
      <c r="M137" s="4"/>
    </row>
    <row r="138" spans="13:13">
      <c r="M138" s="4"/>
    </row>
    <row r="139" spans="13:13">
      <c r="M139" s="4"/>
    </row>
    <row r="140" spans="13:13">
      <c r="M140" s="4"/>
    </row>
    <row r="141" spans="13:13">
      <c r="M141" s="4"/>
    </row>
    <row r="142" spans="13:13">
      <c r="M142" s="4"/>
    </row>
    <row r="143" spans="13:13">
      <c r="M143" s="4"/>
    </row>
    <row r="144" spans="13:13">
      <c r="M144" s="4"/>
    </row>
    <row r="145" spans="13:13">
      <c r="M145" s="4"/>
    </row>
    <row r="146" spans="13:13">
      <c r="M146" s="4"/>
    </row>
    <row r="147" spans="13:13">
      <c r="M147" s="4"/>
    </row>
    <row r="148" spans="13:13">
      <c r="M148" s="4"/>
    </row>
    <row r="149" spans="13:13">
      <c r="M149" s="4"/>
    </row>
    <row r="150" spans="13:13">
      <c r="M150" s="4"/>
    </row>
    <row r="151" spans="13:13">
      <c r="M151" s="4"/>
    </row>
    <row r="152" spans="13:13">
      <c r="M152" s="4"/>
    </row>
    <row r="153" spans="13:13">
      <c r="M153" s="4"/>
    </row>
    <row r="154" spans="13:13">
      <c r="M154" s="4"/>
    </row>
    <row r="155" spans="13:13">
      <c r="M155" s="4"/>
    </row>
    <row r="156" spans="13:13">
      <c r="M156" s="4"/>
    </row>
    <row r="157" spans="13:13">
      <c r="M157" s="4"/>
    </row>
    <row r="158" spans="13:13">
      <c r="M158" s="4"/>
    </row>
    <row r="159" spans="13:13">
      <c r="M159" s="4"/>
    </row>
    <row r="160" spans="13:13">
      <c r="M160" s="4"/>
    </row>
    <row r="161" spans="13:13">
      <c r="M161" s="4"/>
    </row>
    <row r="162" spans="13:13">
      <c r="M162" s="4"/>
    </row>
    <row r="163" spans="13:13">
      <c r="M163" s="4"/>
    </row>
  </sheetData>
  <sheetProtection sheet="1" objects="1" scenarios="1" selectLockedCells="1" selectUnlockedCells="1"/>
  <printOptions horizontalCentered="1" verticalCentered="1"/>
  <pageMargins left="0.7" right="0.7" top="0.75" bottom="0.75" header="0.3" footer="0.3"/>
  <pageSetup scale="21"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4" id="{DAB2A471-F304-4F90-AF8B-1E4E7C958D09}">
            <x14:iconSet iconSet="3Signs" custom="1">
              <x14:cfvo type="percent">
                <xm:f>0</xm:f>
              </x14:cfvo>
              <x14:cfvo type="num">
                <xm:f>1</xm:f>
              </x14:cfvo>
              <x14:cfvo type="num">
                <xm:f>1</xm:f>
              </x14:cfvo>
              <x14:cfIcon iconSet="NoIcons" iconId="0"/>
              <x14:cfIcon iconSet="3Signs" iconId="0"/>
              <x14:cfIcon iconSet="3Signs" iconId="0"/>
            </x14:iconSet>
          </x14:cfRule>
          <xm:sqref>N7</xm:sqref>
        </x14:conditionalFormatting>
        <x14:conditionalFormatting xmlns:xm="http://schemas.microsoft.com/office/excel/2006/main">
          <x14:cfRule type="iconSet" priority="3" id="{1A39E75E-A26A-4913-89CF-3827E79ACD71}">
            <x14:iconSet iconSet="3Signs" custom="1">
              <x14:cfvo type="percent">
                <xm:f>0</xm:f>
              </x14:cfvo>
              <x14:cfvo type="num">
                <xm:f>1</xm:f>
              </x14:cfvo>
              <x14:cfvo type="num">
                <xm:f>1</xm:f>
              </x14:cfvo>
              <x14:cfIcon iconSet="NoIcons" iconId="0"/>
              <x14:cfIcon iconSet="3Signs" iconId="1"/>
              <x14:cfIcon iconSet="3Signs" iconId="1"/>
            </x14:iconSet>
          </x14:cfRule>
          <xm:sqref>P7</xm:sqref>
        </x14:conditionalFormatting>
        <x14:conditionalFormatting xmlns:xm="http://schemas.microsoft.com/office/excel/2006/main">
          <x14:cfRule type="iconSet" priority="2" id="{7FCD6C0B-F9E9-46B4-9E9D-0F183D839F79}">
            <x14:iconSet iconSet="3Signs" custom="1">
              <x14:cfvo type="percent">
                <xm:f>0</xm:f>
              </x14:cfvo>
              <x14:cfvo type="num">
                <xm:f>1</xm:f>
              </x14:cfvo>
              <x14:cfvo type="num">
                <xm:f>1</xm:f>
              </x14:cfvo>
              <x14:cfIcon iconSet="NoIcons" iconId="0"/>
              <x14:cfIcon iconSet="3Signs" iconId="0"/>
              <x14:cfIcon iconSet="3Signs" iconId="0"/>
            </x14:iconSet>
          </x14:cfRule>
          <xm:sqref>N8:N32</xm:sqref>
        </x14:conditionalFormatting>
        <x14:conditionalFormatting xmlns:xm="http://schemas.microsoft.com/office/excel/2006/main">
          <x14:cfRule type="iconSet" priority="1" id="{D4387945-5DFA-47DE-AD27-70373A4DC3D9}">
            <x14:iconSet iconSet="3Signs" custom="1">
              <x14:cfvo type="percent">
                <xm:f>0</xm:f>
              </x14:cfvo>
              <x14:cfvo type="num">
                <xm:f>1</xm:f>
              </x14:cfvo>
              <x14:cfvo type="num">
                <xm:f>1</xm:f>
              </x14:cfvo>
              <x14:cfIcon iconSet="NoIcons" iconId="0"/>
              <x14:cfIcon iconSet="3Signs" iconId="1"/>
              <x14:cfIcon iconSet="3Signs" iconId="1"/>
            </x14:iconSet>
          </x14:cfRule>
          <xm:sqref>P8:P32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38</vt:i4>
      </vt:variant>
    </vt:vector>
  </HeadingPairs>
  <TitlesOfParts>
    <vt:vector size="53" baseType="lpstr">
      <vt:lpstr>Intro</vt:lpstr>
      <vt:lpstr>Instructions</vt:lpstr>
      <vt:lpstr>1-Institution</vt:lpstr>
      <vt:lpstr>2-Leadership</vt:lpstr>
      <vt:lpstr>3-Recruitment</vt:lpstr>
      <vt:lpstr>4-Knowledge &amp; Skills</vt:lpstr>
      <vt:lpstr>5-Mentoring</vt:lpstr>
      <vt:lpstr>6-Assessment</vt:lpstr>
      <vt:lpstr>Overview</vt:lpstr>
      <vt:lpstr>Report</vt:lpstr>
      <vt:lpstr>Action Plan</vt:lpstr>
      <vt:lpstr>Annual Review</vt:lpstr>
      <vt:lpstr>Raw</vt:lpstr>
      <vt:lpstr>Heat Map</vt:lpstr>
      <vt:lpstr>Developer guide</vt:lpstr>
      <vt:lpstr>'Annual Review'!Res1A</vt:lpstr>
      <vt:lpstr>Res1A</vt:lpstr>
      <vt:lpstr>'Annual Review'!Res1B</vt:lpstr>
      <vt:lpstr>Res1B</vt:lpstr>
      <vt:lpstr>'Annual Review'!Res1C</vt:lpstr>
      <vt:lpstr>Res1C</vt:lpstr>
      <vt:lpstr>'Annual Review'!Res2A</vt:lpstr>
      <vt:lpstr>Res2A</vt:lpstr>
      <vt:lpstr>'Annual Review'!Res2B</vt:lpstr>
      <vt:lpstr>Res2B</vt:lpstr>
      <vt:lpstr>'Annual Review'!Res2C</vt:lpstr>
      <vt:lpstr>Res2C</vt:lpstr>
      <vt:lpstr>'Annual Review'!Res3A</vt:lpstr>
      <vt:lpstr>Res3A</vt:lpstr>
      <vt:lpstr>'Annual Review'!Res3B</vt:lpstr>
      <vt:lpstr>Res3B</vt:lpstr>
      <vt:lpstr>'Annual Review'!Res3C</vt:lpstr>
      <vt:lpstr>Res3C</vt:lpstr>
      <vt:lpstr>'Annual Review'!Res3D</vt:lpstr>
      <vt:lpstr>Res3D</vt:lpstr>
      <vt:lpstr>'Annual Review'!Res4A</vt:lpstr>
      <vt:lpstr>Res4A</vt:lpstr>
      <vt:lpstr>'Annual Review'!Res4B</vt:lpstr>
      <vt:lpstr>Res4B</vt:lpstr>
      <vt:lpstr>'Annual Review'!Res4C</vt:lpstr>
      <vt:lpstr>Res4C</vt:lpstr>
      <vt:lpstr>'Annual Review'!Res5A</vt:lpstr>
      <vt:lpstr>Res5A</vt:lpstr>
      <vt:lpstr>'Annual Review'!Res5B</vt:lpstr>
      <vt:lpstr>Res5B</vt:lpstr>
      <vt:lpstr>'Annual Review'!Res5C</vt:lpstr>
      <vt:lpstr>Res5C</vt:lpstr>
      <vt:lpstr>'Annual Review'!Res6A</vt:lpstr>
      <vt:lpstr>Res6A</vt:lpstr>
      <vt:lpstr>'Annual Review'!Res6B</vt:lpstr>
      <vt:lpstr>Res6B</vt:lpstr>
      <vt:lpstr>'Annual Review'!Res6C</vt:lpstr>
      <vt:lpstr>Res6C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Guerrero</dc:creator>
  <cp:lastModifiedBy>Stephanie Chasteen</cp:lastModifiedBy>
  <cp:lastPrinted>2018-07-10T16:45:17Z</cp:lastPrinted>
  <dcterms:created xsi:type="dcterms:W3CDTF">2017-09-08T09:57:30Z</dcterms:created>
  <dcterms:modified xsi:type="dcterms:W3CDTF">2021-01-23T22:37:31Z</dcterms:modified>
</cp:coreProperties>
</file>