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30"/>
  <workbookPr hidePivotFieldList="1" defaultThemeVersion="166925"/>
  <mc:AlternateContent xmlns:mc="http://schemas.openxmlformats.org/markup-compatibility/2006">
    <mc:Choice Requires="x15">
      <x15ac:absPath xmlns:x15ac="http://schemas.microsoft.com/office/spreadsheetml/2010/11/ac" url="https://ruter1.sharepoint.com/sites/Rutersrsrapport/Shared Documents/Ruters årsrapport 2025/1 – Redigerte manus/2 – Bærekraft/Excelfiler til bærekraftkapittelet/"/>
    </mc:Choice>
  </mc:AlternateContent>
  <xr:revisionPtr revIDLastSave="4" documentId="8_{B84EA82E-FE2B-4840-B6ED-71CE7BFB9FA1}" xr6:coauthVersionLast="47" xr6:coauthVersionMax="47" xr10:uidLastSave="{E210E65E-BC5D-4765-9887-E7469FB833F7}"/>
  <bookViews>
    <workbookView xWindow="-110" yWindow="-110" windowWidth="19420" windowHeight="11500" tabRatio="751" activeTab="2" xr2:uid="{67614D3B-971E-4A23-B284-361750F9F9B5}"/>
  </bookViews>
  <sheets>
    <sheet name="Klimaregnskap og lokale utslipp" sheetId="5" r:id="rId1"/>
    <sheet name="Scope 2" sheetId="10" r:id="rId2"/>
    <sheet name="Kjøring og seiling" sheetId="12" r:id="rId3"/>
    <sheet name="Utslippsfaktorer kjøring" sheetId="19" r:id="rId4"/>
    <sheet name="Passasjerkilometer" sheetId="14" r:id="rId5"/>
    <sheet name="Oversikt materiell" sheetId="31"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6" i="12" l="1"/>
  <c r="L155" i="12" s="1"/>
  <c r="L158" i="12"/>
  <c r="L157" i="12" s="1"/>
  <c r="L159" i="12"/>
  <c r="L160" i="12"/>
  <c r="L80" i="12"/>
  <c r="K5" i="14"/>
  <c r="K6" i="14"/>
  <c r="K7" i="14"/>
  <c r="K14" i="14"/>
  <c r="K17" i="14"/>
  <c r="K8" i="14"/>
  <c r="K11" i="14"/>
  <c r="K5" i="10"/>
  <c r="K6" i="10"/>
  <c r="K14" i="10"/>
  <c r="K13" i="10"/>
  <c r="L65" i="12"/>
  <c r="L68" i="12"/>
  <c r="L126" i="12"/>
  <c r="L125" i="12" s="1"/>
  <c r="L128" i="12"/>
  <c r="L127" i="12" s="1"/>
  <c r="L91" i="12"/>
  <c r="L92" i="12"/>
  <c r="L93" i="12"/>
  <c r="L94" i="12"/>
  <c r="L95" i="12"/>
  <c r="L96" i="12"/>
  <c r="L97" i="12"/>
  <c r="L98" i="12"/>
  <c r="L99" i="12"/>
  <c r="L100" i="12"/>
  <c r="L101" i="12"/>
  <c r="L102" i="12"/>
  <c r="L45" i="12"/>
  <c r="L48" i="12"/>
  <c r="L51" i="12"/>
  <c r="L7" i="12"/>
  <c r="L23" i="12"/>
  <c r="L31" i="12"/>
  <c r="L60" i="12"/>
  <c r="K7" i="10"/>
  <c r="K8" i="10"/>
  <c r="K9" i="10"/>
  <c r="K16" i="10"/>
  <c r="L141" i="12"/>
  <c r="L14" i="12"/>
  <c r="L28" i="12"/>
  <c r="L150" i="12"/>
  <c r="L17" i="12"/>
  <c r="L35" i="12"/>
  <c r="L71" i="12"/>
  <c r="L74" i="12"/>
  <c r="L83" i="12"/>
  <c r="L77" i="12"/>
  <c r="L54" i="12"/>
  <c r="L57" i="12"/>
  <c r="L130" i="12" l="1"/>
  <c r="L129" i="12" s="1"/>
  <c r="L142" i="12"/>
  <c r="L140" i="12" s="1"/>
  <c r="L132" i="12"/>
  <c r="L131" i="12" s="1"/>
  <c r="L134" i="12"/>
  <c r="L162" i="12"/>
  <c r="L164" i="12"/>
  <c r="L151" i="12"/>
  <c r="L147" i="12"/>
  <c r="L153" i="12" s="1"/>
  <c r="L138" i="12"/>
  <c r="L144" i="12" s="1"/>
  <c r="L120" i="12"/>
  <c r="L117" i="12" s="1"/>
  <c r="L123" i="12" s="1"/>
  <c r="L121" i="12"/>
  <c r="L139" i="12" l="1"/>
  <c r="L137" i="12" s="1"/>
  <c r="L143" i="12" s="1"/>
  <c r="L118" i="12"/>
  <c r="L124" i="12" s="1"/>
  <c r="L119" i="12"/>
  <c r="L112" i="12"/>
  <c r="L148" i="12"/>
  <c r="L146" i="12" s="1"/>
  <c r="L149" i="12"/>
  <c r="L163" i="12"/>
  <c r="L166" i="12"/>
  <c r="L111" i="12"/>
  <c r="L161" i="12"/>
  <c r="L108" i="12"/>
  <c r="L133" i="12"/>
  <c r="L136" i="12"/>
  <c r="L135" i="12" s="1"/>
  <c r="K29" i="10"/>
  <c r="K32" i="10"/>
  <c r="K21" i="19"/>
  <c r="K20" i="19"/>
  <c r="J21" i="19"/>
  <c r="F16" i="10"/>
  <c r="J6" i="14"/>
  <c r="J7" i="14"/>
  <c r="J8" i="14"/>
  <c r="J11" i="14"/>
  <c r="J14" i="14"/>
  <c r="J17" i="14"/>
  <c r="L145" i="12" l="1"/>
  <c r="L154" i="12"/>
  <c r="L152" i="12"/>
  <c r="L114" i="12"/>
  <c r="L165" i="12"/>
  <c r="L110" i="12"/>
  <c r="L109" i="12"/>
  <c r="L116" i="12"/>
  <c r="L122" i="12" s="1"/>
  <c r="J5" i="14"/>
  <c r="L107" i="12" l="1"/>
  <c r="L113" i="12" s="1"/>
  <c r="L115" i="12"/>
  <c r="K162" i="12" l="1"/>
  <c r="K158" i="12"/>
  <c r="K157" i="12" s="1"/>
  <c r="K156" i="12"/>
  <c r="K155" i="12" s="1"/>
  <c r="K164" i="12"/>
  <c r="K163" i="12" s="1"/>
  <c r="E126" i="12"/>
  <c r="E125" i="12" s="1"/>
  <c r="F126" i="12"/>
  <c r="F125" i="12" s="1"/>
  <c r="G126" i="12"/>
  <c r="G125" i="12" s="1"/>
  <c r="H126" i="12"/>
  <c r="H125" i="12" s="1"/>
  <c r="I126" i="12"/>
  <c r="I125" i="12" s="1"/>
  <c r="J126" i="12"/>
  <c r="K126" i="12"/>
  <c r="K125" i="12" s="1"/>
  <c r="E128" i="12"/>
  <c r="E127" i="12" s="1"/>
  <c r="F128" i="12"/>
  <c r="F127" i="12" s="1"/>
  <c r="G128" i="12"/>
  <c r="G127" i="12" s="1"/>
  <c r="H128" i="12"/>
  <c r="H127" i="12" s="1"/>
  <c r="I128" i="12"/>
  <c r="J128" i="12"/>
  <c r="J127" i="12" s="1"/>
  <c r="K128" i="12"/>
  <c r="K127" i="12" s="1"/>
  <c r="E132" i="12"/>
  <c r="E131" i="12" s="1"/>
  <c r="F132" i="12"/>
  <c r="F131" i="12" s="1"/>
  <c r="G132" i="12"/>
  <c r="G131" i="12" s="1"/>
  <c r="H132" i="12"/>
  <c r="H131" i="12" s="1"/>
  <c r="I132" i="12"/>
  <c r="I131" i="12" s="1"/>
  <c r="J132" i="12"/>
  <c r="E134" i="12"/>
  <c r="E133" i="12" s="1"/>
  <c r="F134" i="12"/>
  <c r="F133" i="12" s="1"/>
  <c r="G134" i="12"/>
  <c r="H134" i="12"/>
  <c r="H133" i="12" s="1"/>
  <c r="I134" i="12"/>
  <c r="I133" i="12" s="1"/>
  <c r="J134" i="12"/>
  <c r="J133" i="12" s="1"/>
  <c r="E150" i="12"/>
  <c r="F150" i="12"/>
  <c r="F147" i="12" s="1"/>
  <c r="G150" i="12"/>
  <c r="H150" i="12"/>
  <c r="I150" i="12"/>
  <c r="J150" i="12"/>
  <c r="E151" i="12"/>
  <c r="F151" i="12"/>
  <c r="G151" i="12"/>
  <c r="H151" i="12"/>
  <c r="H148" i="12" s="1"/>
  <c r="I151" i="12"/>
  <c r="J151" i="12"/>
  <c r="D151" i="12"/>
  <c r="D150" i="12"/>
  <c r="D134" i="12"/>
  <c r="D133" i="12" s="1"/>
  <c r="D132" i="12"/>
  <c r="D131" i="12" s="1"/>
  <c r="D128" i="12"/>
  <c r="D126" i="12"/>
  <c r="D125" i="12" s="1"/>
  <c r="E28" i="19"/>
  <c r="E27" i="19"/>
  <c r="F120" i="12" s="1"/>
  <c r="E26" i="19"/>
  <c r="K92" i="12"/>
  <c r="H101" i="12"/>
  <c r="I101" i="12"/>
  <c r="J101" i="12"/>
  <c r="K101" i="12"/>
  <c r="H102" i="12"/>
  <c r="I102" i="12"/>
  <c r="J102" i="12"/>
  <c r="K102" i="12"/>
  <c r="G101" i="12"/>
  <c r="G102" i="12"/>
  <c r="E98" i="12"/>
  <c r="F98" i="12"/>
  <c r="G98" i="12"/>
  <c r="H98" i="12"/>
  <c r="I98" i="12"/>
  <c r="J98" i="12"/>
  <c r="K98" i="12"/>
  <c r="E99" i="12"/>
  <c r="F99" i="12"/>
  <c r="G99" i="12"/>
  <c r="H99" i="12"/>
  <c r="I99" i="12"/>
  <c r="J99" i="12"/>
  <c r="K99" i="12"/>
  <c r="D99" i="12"/>
  <c r="D98" i="12"/>
  <c r="E95" i="12"/>
  <c r="F95" i="12"/>
  <c r="G95" i="12"/>
  <c r="H95" i="12"/>
  <c r="I95" i="12"/>
  <c r="J95" i="12"/>
  <c r="K95" i="12"/>
  <c r="E96" i="12"/>
  <c r="F96" i="12"/>
  <c r="G96" i="12"/>
  <c r="H96" i="12"/>
  <c r="I96" i="12"/>
  <c r="J96" i="12"/>
  <c r="K96" i="12"/>
  <c r="D96" i="12"/>
  <c r="D95" i="12"/>
  <c r="E92" i="12"/>
  <c r="F92" i="12"/>
  <c r="G92" i="12"/>
  <c r="H92" i="12"/>
  <c r="I92" i="12"/>
  <c r="J92" i="12"/>
  <c r="E93" i="12"/>
  <c r="F93" i="12"/>
  <c r="G93" i="12"/>
  <c r="H93" i="12"/>
  <c r="I93" i="12"/>
  <c r="J93" i="12"/>
  <c r="K93" i="12"/>
  <c r="D93" i="12"/>
  <c r="D92" i="12"/>
  <c r="F136" i="12" l="1"/>
  <c r="F135" i="12" s="1"/>
  <c r="K160" i="12"/>
  <c r="E120" i="12"/>
  <c r="E117" i="12" s="1"/>
  <c r="E123" i="12" s="1"/>
  <c r="G120" i="12"/>
  <c r="G117" i="12" s="1"/>
  <c r="G123" i="12" s="1"/>
  <c r="K142" i="12"/>
  <c r="K139" i="12" s="1"/>
  <c r="I141" i="12"/>
  <c r="I138" i="12" s="1"/>
  <c r="I144" i="12" s="1"/>
  <c r="H121" i="12"/>
  <c r="H118" i="12" s="1"/>
  <c r="H124" i="12" s="1"/>
  <c r="D141" i="12"/>
  <c r="D138" i="12" s="1"/>
  <c r="D144" i="12" s="1"/>
  <c r="E142" i="12"/>
  <c r="E139" i="12" s="1"/>
  <c r="E145" i="12" s="1"/>
  <c r="G148" i="12"/>
  <c r="E147" i="12"/>
  <c r="J141" i="12"/>
  <c r="J138" i="12" s="1"/>
  <c r="I121" i="12"/>
  <c r="K120" i="12"/>
  <c r="K117" i="12" s="1"/>
  <c r="D120" i="12"/>
  <c r="D117" i="12" s="1"/>
  <c r="D123" i="12" s="1"/>
  <c r="D142" i="12"/>
  <c r="E148" i="12"/>
  <c r="J142" i="12"/>
  <c r="J139" i="12" s="1"/>
  <c r="H141" i="12"/>
  <c r="H138" i="12" s="1"/>
  <c r="G121" i="12"/>
  <c r="F148" i="12"/>
  <c r="F146" i="12" s="1"/>
  <c r="D147" i="12"/>
  <c r="J147" i="12"/>
  <c r="J153" i="12" s="1"/>
  <c r="I142" i="12"/>
  <c r="G141" i="12"/>
  <c r="G138" i="12" s="1"/>
  <c r="F121" i="12"/>
  <c r="F118" i="12" s="1"/>
  <c r="D121" i="12"/>
  <c r="D118" i="12" s="1"/>
  <c r="D148" i="12"/>
  <c r="I147" i="12"/>
  <c r="H142" i="12"/>
  <c r="H139" i="12" s="1"/>
  <c r="F141" i="12"/>
  <c r="F138" i="12" s="1"/>
  <c r="I130" i="12"/>
  <c r="I129" i="12" s="1"/>
  <c r="E121" i="12"/>
  <c r="E118" i="12" s="1"/>
  <c r="J148" i="12"/>
  <c r="H147" i="12"/>
  <c r="H146" i="12" s="1"/>
  <c r="G142" i="12"/>
  <c r="E141" i="12"/>
  <c r="E138" i="12" s="1"/>
  <c r="I120" i="12"/>
  <c r="I117" i="12" s="1"/>
  <c r="G136" i="12"/>
  <c r="G135" i="12" s="1"/>
  <c r="I148" i="12"/>
  <c r="F142" i="12"/>
  <c r="F139" i="12" s="1"/>
  <c r="H120" i="12"/>
  <c r="H117" i="12" s="1"/>
  <c r="H123" i="12" s="1"/>
  <c r="I136" i="12"/>
  <c r="I135" i="12" s="1"/>
  <c r="G149" i="12"/>
  <c r="F149" i="12"/>
  <c r="G133" i="12"/>
  <c r="F130" i="12"/>
  <c r="F129" i="12" s="1"/>
  <c r="H149" i="12"/>
  <c r="F117" i="12"/>
  <c r="F123" i="12" s="1"/>
  <c r="I149" i="12"/>
  <c r="E130" i="12"/>
  <c r="E129" i="12" s="1"/>
  <c r="I127" i="12"/>
  <c r="J130" i="12"/>
  <c r="J129" i="12" s="1"/>
  <c r="K130" i="12"/>
  <c r="K129" i="12" s="1"/>
  <c r="E136" i="12"/>
  <c r="E135" i="12" s="1"/>
  <c r="D130" i="12"/>
  <c r="D129" i="12" s="1"/>
  <c r="G147" i="12"/>
  <c r="J125" i="12"/>
  <c r="K159" i="12"/>
  <c r="K166" i="12"/>
  <c r="H130" i="12"/>
  <c r="H129" i="12" s="1"/>
  <c r="J136" i="12"/>
  <c r="J135" i="12" s="1"/>
  <c r="J131" i="12"/>
  <c r="H136" i="12"/>
  <c r="H135" i="12" s="1"/>
  <c r="E149" i="12"/>
  <c r="J149" i="12"/>
  <c r="D149" i="12"/>
  <c r="D136" i="12"/>
  <c r="D135" i="12" s="1"/>
  <c r="D127" i="12"/>
  <c r="K161" i="12"/>
  <c r="K165" i="12" s="1"/>
  <c r="G130" i="12"/>
  <c r="G129" i="12" s="1"/>
  <c r="E146" i="12" l="1"/>
  <c r="E137" i="12"/>
  <c r="F119" i="12"/>
  <c r="J140" i="12"/>
  <c r="G140" i="12"/>
  <c r="F124" i="12"/>
  <c r="J145" i="12"/>
  <c r="G144" i="12"/>
  <c r="J137" i="12"/>
  <c r="F112" i="12"/>
  <c r="E144" i="12"/>
  <c r="H119" i="12"/>
  <c r="E111" i="12"/>
  <c r="H140" i="12"/>
  <c r="G119" i="12"/>
  <c r="K145" i="12"/>
  <c r="J144" i="12"/>
  <c r="I140" i="12"/>
  <c r="D140" i="12"/>
  <c r="E116" i="12"/>
  <c r="D146" i="12"/>
  <c r="D124" i="12"/>
  <c r="G108" i="12"/>
  <c r="H109" i="12"/>
  <c r="I108" i="12"/>
  <c r="F109" i="12"/>
  <c r="F140" i="12"/>
  <c r="F111" i="12"/>
  <c r="I139" i="12"/>
  <c r="I145" i="12" s="1"/>
  <c r="F137" i="12"/>
  <c r="I119" i="12"/>
  <c r="E109" i="12"/>
  <c r="I146" i="12"/>
  <c r="I152" i="12" s="1"/>
  <c r="I123" i="12"/>
  <c r="I112" i="12"/>
  <c r="I154" i="12"/>
  <c r="F144" i="12"/>
  <c r="E112" i="12"/>
  <c r="J146" i="12"/>
  <c r="J152" i="12" s="1"/>
  <c r="J154" i="12"/>
  <c r="I111" i="12"/>
  <c r="H145" i="12"/>
  <c r="E119" i="12"/>
  <c r="D108" i="12"/>
  <c r="D116" i="12"/>
  <c r="H111" i="12"/>
  <c r="K123" i="12"/>
  <c r="E108" i="12"/>
  <c r="E124" i="12"/>
  <c r="G112" i="12"/>
  <c r="G139" i="12"/>
  <c r="G145" i="12" s="1"/>
  <c r="D119" i="12"/>
  <c r="I153" i="12"/>
  <c r="G118" i="12"/>
  <c r="G124" i="12" s="1"/>
  <c r="D112" i="12"/>
  <c r="F145" i="12"/>
  <c r="E140" i="12"/>
  <c r="D111" i="12"/>
  <c r="H112" i="12"/>
  <c r="G111" i="12"/>
  <c r="F108" i="12"/>
  <c r="H108" i="12"/>
  <c r="G146" i="12"/>
  <c r="H116" i="12"/>
  <c r="F116" i="12"/>
  <c r="H137" i="12"/>
  <c r="H144" i="12"/>
  <c r="I114" i="12" l="1"/>
  <c r="F110" i="12"/>
  <c r="J143" i="12"/>
  <c r="E143" i="12"/>
  <c r="E114" i="12"/>
  <c r="E110" i="12"/>
  <c r="F122" i="12"/>
  <c r="H110" i="12"/>
  <c r="F107" i="12"/>
  <c r="H107" i="12"/>
  <c r="F143" i="12"/>
  <c r="H122" i="12"/>
  <c r="F115" i="12"/>
  <c r="H143" i="12"/>
  <c r="G114" i="12"/>
  <c r="I110" i="12"/>
  <c r="E122" i="12"/>
  <c r="D122" i="12"/>
  <c r="H115" i="12"/>
  <c r="E115" i="12"/>
  <c r="G110" i="12"/>
  <c r="D114" i="12"/>
  <c r="F114" i="12"/>
  <c r="I137" i="12"/>
  <c r="I143" i="12" s="1"/>
  <c r="D110" i="12"/>
  <c r="G109" i="12"/>
  <c r="E107" i="12"/>
  <c r="G137" i="12"/>
  <c r="G143" i="12" s="1"/>
  <c r="G116" i="12"/>
  <c r="G122" i="12" s="1"/>
  <c r="H114" i="12"/>
  <c r="F113" i="12" l="1"/>
  <c r="E113" i="12"/>
  <c r="H113" i="12"/>
  <c r="G115" i="12"/>
  <c r="G107" i="12"/>
  <c r="G113" i="12" s="1"/>
  <c r="K151" i="12" l="1"/>
  <c r="K71" i="12"/>
  <c r="K74" i="12"/>
  <c r="K77" i="12"/>
  <c r="K83" i="12"/>
  <c r="K80" i="12"/>
  <c r="K60" i="12"/>
  <c r="K33" i="12"/>
  <c r="K35" i="12"/>
  <c r="K17" i="12"/>
  <c r="K9" i="12"/>
  <c r="K150" i="12" l="1"/>
  <c r="K149" i="12" s="1"/>
  <c r="K121" i="12"/>
  <c r="K119" i="12" s="1"/>
  <c r="K148" i="12"/>
  <c r="K7" i="12"/>
  <c r="K31" i="12"/>
  <c r="J5" i="10"/>
  <c r="J7" i="10"/>
  <c r="J9" i="10"/>
  <c r="J16" i="10"/>
  <c r="J31" i="10"/>
  <c r="K57" i="12"/>
  <c r="K54" i="12"/>
  <c r="K14" i="12"/>
  <c r="K28" i="12"/>
  <c r="K65" i="12"/>
  <c r="K68" i="12"/>
  <c r="K45" i="12"/>
  <c r="K48" i="12"/>
  <c r="K51" i="12"/>
  <c r="E45" i="12"/>
  <c r="F45" i="12"/>
  <c r="G45" i="12"/>
  <c r="H45" i="12"/>
  <c r="I45" i="12"/>
  <c r="J45" i="12"/>
  <c r="D45" i="12"/>
  <c r="E48" i="12"/>
  <c r="F48" i="12"/>
  <c r="G48" i="12"/>
  <c r="H48" i="12"/>
  <c r="I48" i="12"/>
  <c r="J48" i="12"/>
  <c r="D48" i="12"/>
  <c r="E51" i="12"/>
  <c r="F51" i="12"/>
  <c r="G51" i="12"/>
  <c r="H51" i="12"/>
  <c r="I51" i="12"/>
  <c r="J51" i="12"/>
  <c r="D51" i="12"/>
  <c r="E54" i="12"/>
  <c r="F54" i="12"/>
  <c r="G54" i="12"/>
  <c r="H54" i="12"/>
  <c r="I54" i="12"/>
  <c r="J54" i="12"/>
  <c r="D54" i="12"/>
  <c r="E57" i="12"/>
  <c r="F57" i="12"/>
  <c r="G57" i="12"/>
  <c r="H57" i="12"/>
  <c r="I57" i="12"/>
  <c r="J57" i="12"/>
  <c r="D57" i="12"/>
  <c r="J60" i="12"/>
  <c r="J77" i="12"/>
  <c r="I77" i="12"/>
  <c r="J74" i="12"/>
  <c r="J71" i="12"/>
  <c r="I71" i="12"/>
  <c r="H68" i="12"/>
  <c r="I68" i="12"/>
  <c r="J68" i="12"/>
  <c r="G68" i="12"/>
  <c r="H65" i="12"/>
  <c r="I65" i="12"/>
  <c r="J65" i="12"/>
  <c r="G65" i="12"/>
  <c r="F65" i="12"/>
  <c r="E65" i="12"/>
  <c r="D65" i="12"/>
  <c r="K23" i="12"/>
  <c r="K13" i="19"/>
  <c r="K14" i="19"/>
  <c r="K9" i="19"/>
  <c r="I21" i="19"/>
  <c r="K147" i="12" l="1"/>
  <c r="K153" i="12" s="1"/>
  <c r="K112" i="12"/>
  <c r="K118" i="12"/>
  <c r="K124" i="12" s="1"/>
  <c r="J6" i="10"/>
  <c r="K31" i="10"/>
  <c r="J8" i="10"/>
  <c r="K154" i="12"/>
  <c r="K141" i="12"/>
  <c r="K134" i="12"/>
  <c r="K132" i="12"/>
  <c r="K131" i="12" s="1"/>
  <c r="G91" i="12"/>
  <c r="F91" i="12"/>
  <c r="E91" i="12"/>
  <c r="G100" i="12"/>
  <c r="J100" i="12"/>
  <c r="D97" i="12"/>
  <c r="D94" i="12"/>
  <c r="J97" i="12"/>
  <c r="J94" i="12"/>
  <c r="I91" i="12"/>
  <c r="I100" i="12"/>
  <c r="I97" i="12"/>
  <c r="I94" i="12"/>
  <c r="H91" i="12"/>
  <c r="K100" i="12"/>
  <c r="D91" i="12"/>
  <c r="H100" i="12"/>
  <c r="H97" i="12"/>
  <c r="H94" i="12"/>
  <c r="E97" i="12"/>
  <c r="E94" i="12"/>
  <c r="G97" i="12"/>
  <c r="G94" i="12"/>
  <c r="K91" i="12"/>
  <c r="J91" i="12"/>
  <c r="F94" i="12"/>
  <c r="F97" i="12"/>
  <c r="K97" i="12"/>
  <c r="K94" i="12"/>
  <c r="I5" i="10"/>
  <c r="I16" i="10"/>
  <c r="K146" i="12" l="1"/>
  <c r="K152" i="12" s="1"/>
  <c r="K116" i="12"/>
  <c r="K122" i="12" s="1"/>
  <c r="K109" i="12"/>
  <c r="K115" i="12" s="1"/>
  <c r="K136" i="12"/>
  <c r="K135" i="12" s="1"/>
  <c r="K133" i="12"/>
  <c r="K138" i="12"/>
  <c r="K140" i="12"/>
  <c r="K111" i="12"/>
  <c r="K144" i="12" l="1"/>
  <c r="K137" i="12"/>
  <c r="K143" i="12" s="1"/>
  <c r="K108" i="12"/>
  <c r="K107" i="12" s="1"/>
  <c r="K110" i="12"/>
  <c r="I8" i="10"/>
  <c r="I7" i="10"/>
  <c r="K114" i="12" l="1"/>
  <c r="K113" i="12"/>
  <c r="I9" i="10"/>
  <c r="J33" i="12" l="1"/>
  <c r="J24" i="12"/>
  <c r="J9" i="12"/>
  <c r="J7" i="12" l="1"/>
  <c r="J120" i="12"/>
  <c r="J121" i="12"/>
  <c r="J31" i="12"/>
  <c r="J23" i="12"/>
  <c r="J118" i="12" l="1"/>
  <c r="J124" i="12" s="1"/>
  <c r="J119" i="12"/>
  <c r="J112" i="12"/>
  <c r="J117" i="12"/>
  <c r="J111" i="12"/>
  <c r="I6" i="14"/>
  <c r="I11" i="14"/>
  <c r="I7" i="14"/>
  <c r="I5" i="14" s="1"/>
  <c r="I14" i="14"/>
  <c r="I17" i="14"/>
  <c r="I8" i="14"/>
  <c r="F15" i="19"/>
  <c r="G15" i="19" s="1"/>
  <c r="H15" i="19" s="1"/>
  <c r="I15" i="19" s="1"/>
  <c r="J15" i="19" s="1"/>
  <c r="H14" i="19"/>
  <c r="I14" i="19" s="1"/>
  <c r="E13" i="19"/>
  <c r="F13" i="19" s="1"/>
  <c r="J12" i="19"/>
  <c r="E12" i="19"/>
  <c r="F12" i="19" s="1"/>
  <c r="G12" i="19" s="1"/>
  <c r="H12" i="19" s="1"/>
  <c r="I9" i="19"/>
  <c r="I7" i="19"/>
  <c r="J7" i="19" s="1"/>
  <c r="K7" i="19" s="1"/>
  <c r="I8" i="19"/>
  <c r="J8" i="19" s="1"/>
  <c r="H21" i="19"/>
  <c r="G21" i="19"/>
  <c r="F21" i="19"/>
  <c r="E21" i="19"/>
  <c r="D21" i="19"/>
  <c r="C21" i="19"/>
  <c r="J17" i="12"/>
  <c r="I6" i="10"/>
  <c r="K15" i="19" l="1"/>
  <c r="K8" i="19"/>
  <c r="J123" i="12"/>
  <c r="J108" i="12"/>
  <c r="J114" i="12" s="1"/>
  <c r="J110" i="12"/>
  <c r="J109" i="12"/>
  <c r="J116" i="12"/>
  <c r="J122" i="12" s="1"/>
  <c r="J107" i="12" l="1"/>
  <c r="J113" i="12" s="1"/>
  <c r="J115" i="12"/>
  <c r="H16" i="10"/>
  <c r="G16" i="10"/>
  <c r="I31" i="12" l="1"/>
  <c r="I23" i="12"/>
  <c r="I20" i="12"/>
  <c r="D16" i="12"/>
  <c r="D139" i="12" s="1"/>
  <c r="I14" i="12"/>
  <c r="H14" i="12"/>
  <c r="G14" i="12"/>
  <c r="F14" i="12"/>
  <c r="E14" i="12"/>
  <c r="I9" i="12"/>
  <c r="H17" i="14"/>
  <c r="H14" i="14"/>
  <c r="H11" i="14"/>
  <c r="H8" i="14"/>
  <c r="H7" i="14"/>
  <c r="H6" i="14"/>
  <c r="F9" i="10"/>
  <c r="G9" i="10"/>
  <c r="H9" i="10"/>
  <c r="H6" i="10"/>
  <c r="D29" i="10"/>
  <c r="D5" i="10" s="1"/>
  <c r="C29" i="10"/>
  <c r="G7" i="14"/>
  <c r="F7" i="14"/>
  <c r="E7" i="14"/>
  <c r="D7" i="14"/>
  <c r="C7" i="14"/>
  <c r="G6" i="14"/>
  <c r="F6" i="14"/>
  <c r="E6" i="14"/>
  <c r="D6" i="14"/>
  <c r="C6" i="14"/>
  <c r="G5" i="14"/>
  <c r="F5" i="14"/>
  <c r="E5" i="14"/>
  <c r="D5" i="14"/>
  <c r="C5" i="14"/>
  <c r="G6" i="10"/>
  <c r="F6" i="10"/>
  <c r="E6" i="10"/>
  <c r="D6" i="10"/>
  <c r="G5" i="10"/>
  <c r="F5" i="10"/>
  <c r="E5" i="10"/>
  <c r="C6" i="10"/>
  <c r="I7" i="12" l="1"/>
  <c r="I118" i="12"/>
  <c r="D109" i="12"/>
  <c r="D145" i="12"/>
  <c r="D137" i="12"/>
  <c r="D143" i="12" s="1"/>
  <c r="H5" i="14"/>
  <c r="H5" i="10"/>
  <c r="C5" i="10"/>
  <c r="I116" i="12" l="1"/>
  <c r="I122" i="12" s="1"/>
  <c r="I124" i="12"/>
  <c r="I109" i="12"/>
  <c r="D107" i="12"/>
  <c r="D113" i="12" s="1"/>
  <c r="D115" i="12"/>
  <c r="I107" i="12" l="1"/>
  <c r="I113" i="12" s="1"/>
  <c r="I115"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5E13F9C-7E57-4F46-A403-351BB1DEE3C0}" keepAlive="1" name="Query - Nye busser siden 2017" description="Connection to the 'Nye busser siden 2017' query in the workbook." type="5" refreshedVersion="7" background="1" saveData="1">
    <dbPr connection="Provider=Microsoft.Mashup.OleDb.1;Data Source=$Workbook$;Location=&quot;Nye busser siden 2017&quot;;Extended Properties=&quot;&quot;" command="SELECT * FROM [Nye busser siden 2017]"/>
  </connection>
</connections>
</file>

<file path=xl/sharedStrings.xml><?xml version="1.0" encoding="utf-8"?>
<sst xmlns="http://schemas.openxmlformats.org/spreadsheetml/2006/main" count="621" uniqueCount="222">
  <si>
    <t>Ruters klimagassregnskap</t>
  </si>
  <si>
    <t>Utslipp og forbruk fra kjøring og seiling</t>
  </si>
  <si>
    <t>Alle tall er i tonn CO2e</t>
  </si>
  <si>
    <t>NB: Utslippene i denne tabellen er allerede medregnet i klimaregnskapet.</t>
  </si>
  <si>
    <t>Scope 1</t>
  </si>
  <si>
    <t>Direkte utslipp i tonn CO2e (TtW)</t>
  </si>
  <si>
    <t>Busstjenester  (Rutesatt)</t>
  </si>
  <si>
    <t>Totalt</t>
  </si>
  <si>
    <t>Utslipp fra kjøring (TtW)</t>
  </si>
  <si>
    <t>Oslo</t>
  </si>
  <si>
    <t>Utslipp fra kjølemedier</t>
  </si>
  <si>
    <t>Akershus</t>
  </si>
  <si>
    <t>Båttjenester</t>
  </si>
  <si>
    <t>Buss</t>
  </si>
  <si>
    <t>Utslipp fra seiling (TtW)</t>
  </si>
  <si>
    <t>Spesialskyss</t>
  </si>
  <si>
    <t>Oppdragskjøring Akershus - kjøring (TtW)</t>
  </si>
  <si>
    <t>Buss - Avvikskjøring</t>
  </si>
  <si>
    <t>Busstjenester - Avvikskjøring</t>
  </si>
  <si>
    <t>Båt</t>
  </si>
  <si>
    <t>Totalt scope 1</t>
  </si>
  <si>
    <t>Scope 2</t>
  </si>
  <si>
    <t>Biogent totalt</t>
  </si>
  <si>
    <t>Strøm ifm kontorbygg</t>
  </si>
  <si>
    <t>Lokasjonsbasert</t>
  </si>
  <si>
    <t>Markedsbasert</t>
  </si>
  <si>
    <t>Avvikskjøring Oslo</t>
  </si>
  <si>
    <t>Fjernvarme ifm kontorbygg</t>
  </si>
  <si>
    <t>Utslipp fra kjørestrøm (norsk miks)</t>
  </si>
  <si>
    <t>Utslipp fra seilestrøm (norsk miks)</t>
  </si>
  <si>
    <t>Forbruk av strøm i MWh</t>
  </si>
  <si>
    <t>Trikketjenester</t>
  </si>
  <si>
    <t>Utslipp fra kjøring (norsk miks)</t>
  </si>
  <si>
    <t>T-banetjenester</t>
  </si>
  <si>
    <t>Oppdragskjøring Akershus - Utslipp fra kjørestrøm (norsk miks)</t>
  </si>
  <si>
    <t>Holdeplass</t>
  </si>
  <si>
    <t>Strøm</t>
  </si>
  <si>
    <t>Totalt scope 2 (lokasjonsbasert)</t>
  </si>
  <si>
    <t>Totalt scope 2 (markedsbasert)</t>
  </si>
  <si>
    <t>Trikk</t>
  </si>
  <si>
    <t>Scope 3</t>
  </si>
  <si>
    <t>Kat. 1: Kjøp av varer og tjenester</t>
  </si>
  <si>
    <t>T-bane</t>
  </si>
  <si>
    <t>Produksjon av busser</t>
  </si>
  <si>
    <t xml:space="preserve">Produksjon av dekk </t>
  </si>
  <si>
    <t>Produksjon av båter</t>
  </si>
  <si>
    <t>Produksjon av trikker</t>
  </si>
  <si>
    <t>Selvkjørende</t>
  </si>
  <si>
    <t> </t>
  </si>
  <si>
    <t>Produksjon av t-banevogner</t>
  </si>
  <si>
    <t>HENT</t>
  </si>
  <si>
    <t>TT og aldersvennlig - materiell</t>
  </si>
  <si>
    <t>Oppdragskjøring Akershus - materiell</t>
  </si>
  <si>
    <t>Selvkjørende - materiell</t>
  </si>
  <si>
    <t>HENT - materiell</t>
  </si>
  <si>
    <t>Utslippsintensitet per passasjerkilometer (kg fossil CO2e / pkm)</t>
  </si>
  <si>
    <t>Bussanlegg</t>
  </si>
  <si>
    <t>Etblering av bussanlegg</t>
  </si>
  <si>
    <t>Etablering av ladeinfrastruktur</t>
  </si>
  <si>
    <t>Strøm (norsk miks, eks. lading av buss)</t>
  </si>
  <si>
    <t>Fjernvarme</t>
  </si>
  <si>
    <t>Kaianlegg</t>
  </si>
  <si>
    <t>Utbygging på Lindøya driftsbase</t>
  </si>
  <si>
    <t>Utbygging på Slemmestad (NB: Ruter ikke (ene)ansvarig for dette utslippet</t>
  </si>
  <si>
    <t>Trikke- og t-baneverksted</t>
  </si>
  <si>
    <t>Strøm trikk (norsk miks, eks. lading)</t>
  </si>
  <si>
    <t>Strøm t-bane (norsk miks, eks. lading)</t>
  </si>
  <si>
    <t>Sjåførfasiliteter</t>
  </si>
  <si>
    <t>Etablering av sjåførfasiliteter</t>
  </si>
  <si>
    <t>Lehus</t>
  </si>
  <si>
    <t>Holdeplassmøblering</t>
  </si>
  <si>
    <t>Sanntidsskjermer</t>
  </si>
  <si>
    <t>Administrasjon</t>
  </si>
  <si>
    <t>Kontorinventar</t>
  </si>
  <si>
    <t>IT-utstyr</t>
  </si>
  <si>
    <t>Kontorrekvisita</t>
  </si>
  <si>
    <t>Trykksaker</t>
  </si>
  <si>
    <t>Kat. 3: Drivstoff og energirelaterte aktiviteter</t>
  </si>
  <si>
    <t>Utslipp fra produksjon av drivstoff (WtT)</t>
  </si>
  <si>
    <t>Oppdragskjøring Akershus - Utslipp fra produksjon av drivstoff (WtT)</t>
  </si>
  <si>
    <t>Nettap</t>
  </si>
  <si>
    <t>Kat 4: Oppstrøms transport og distribusjon</t>
  </si>
  <si>
    <t>TT og aldersvennlig - kjøring (TtW)</t>
  </si>
  <si>
    <t>TT og aldersvennlig - Utslipp fra produksjon av drivstoff (WtT)</t>
  </si>
  <si>
    <t>TT og aldersvennlig - Utslipp fra kjørestrøm (norsk miks)</t>
  </si>
  <si>
    <t>Selvkjørende - Utslipp fra kjørestrøm (norsk miks)</t>
  </si>
  <si>
    <t>HENT - Utslipp fra kjørestrøm (norsk miks)</t>
  </si>
  <si>
    <t>Kat. 6: Forretningsreiser</t>
  </si>
  <si>
    <t>Flyreiser</t>
  </si>
  <si>
    <t>Reiser med bil</t>
  </si>
  <si>
    <t>Totalt scope 3</t>
  </si>
  <si>
    <t>Totale utslipp (scope 1, 2 og 3) - lokasjonsbasert</t>
  </si>
  <si>
    <t>Totale utslipp (scope 1, 2 og 3) - markedsbasert</t>
  </si>
  <si>
    <t>Outside of scope</t>
  </si>
  <si>
    <t>Biogene utslipp (tonn CO2e)</t>
  </si>
  <si>
    <t>Lokale utslipp (304)</t>
  </si>
  <si>
    <t>Lokale utslipp (i tonn)</t>
  </si>
  <si>
    <t>Utslipp av NOx</t>
  </si>
  <si>
    <t>Utslipp av PM</t>
  </si>
  <si>
    <t>Utslipp av HC</t>
  </si>
  <si>
    <t>Kategori 6 - Utslipp fra forbrukt energi</t>
  </si>
  <si>
    <t>Lokasjonsbasert kontor</t>
  </si>
  <si>
    <t>Markedsbasert kontor</t>
  </si>
  <si>
    <t>Lokasjonsbasert holdeplasser</t>
  </si>
  <si>
    <t>Markedsbasert holdeplasser</t>
  </si>
  <si>
    <t>Forbruk</t>
  </si>
  <si>
    <t>Km</t>
  </si>
  <si>
    <t>Strøm (mWh)</t>
  </si>
  <si>
    <t>Fjernvarme (mWh)</t>
  </si>
  <si>
    <t>Holdeplasser (mWh)</t>
  </si>
  <si>
    <t>Kontor (strøm og fjernvarme)</t>
  </si>
  <si>
    <t>Forbruk gjelder for:</t>
  </si>
  <si>
    <t>Dronningens gate 40 (kontoret)</t>
  </si>
  <si>
    <t>Storgata 2-4-6 (kontoret)</t>
  </si>
  <si>
    <t>Jernbanetorget 1 (Ruter S)</t>
  </si>
  <si>
    <t>Utslippsfaktorer (g CO2e / enhet)</t>
  </si>
  <si>
    <t>Kilde</t>
  </si>
  <si>
    <t>Strøm - lokasjon [per kWh]</t>
  </si>
  <si>
    <t>https://www.nve.no/energi/energisystem/kraftproduksjon/hvor-kommer-strommen-fra/#:~:text=Norsk%20kraftproduksjon%20st%C3%A5r%20i%20en,til%20en%20%C3%B8kende%20andel%20vindkraft.</t>
  </si>
  <si>
    <t>Strøm - marked (opprinnelsesgaranti) [per kWh]</t>
  </si>
  <si>
    <t>Strøm - marked (ekskl. oppr.garanti) [per kWh]</t>
  </si>
  <si>
    <t>https://www.nve.no/energi/virkemidler/opprinnelsesgarantier-og-varedeklarasjon-for-stroemleverandoerer/varedeklarasjon-for-stroemleverandoerer/</t>
  </si>
  <si>
    <t>https://cdn.vev.design/private/CuEFxt1CQbXqdrdyGBK8UezycQ63/vSAy14Rf-__2721_District-heating_no%20EPD.pdf.pdf</t>
  </si>
  <si>
    <t>Kategori 1 - Kjøp av varer og tjenester (kjøring og seiling)</t>
  </si>
  <si>
    <t>Drivstofforbruk</t>
  </si>
  <si>
    <t>Fossil diesel (l) buss</t>
  </si>
  <si>
    <t xml:space="preserve">Avvikskjøring - buss for t-bane  </t>
  </si>
  <si>
    <t xml:space="preserve">Avvikskjøring - buss for trikk      </t>
  </si>
  <si>
    <t>Avviskjøring - buss for arrangement</t>
  </si>
  <si>
    <t>Avvikskjøring - buss for tog</t>
  </si>
  <si>
    <t>Fossil diesel (l) båt</t>
  </si>
  <si>
    <t>Fossil diesel (l) spesialskyss</t>
  </si>
  <si>
    <t>Biodiesel RME/FAME (l) buss</t>
  </si>
  <si>
    <t>Biodiesel HVO (l) buss</t>
  </si>
  <si>
    <t/>
  </si>
  <si>
    <t xml:space="preserve">Avvikskjøring - buss for arrangement  </t>
  </si>
  <si>
    <t>Biodiesel HVO (l) båt</t>
  </si>
  <si>
    <t>Biogass (kg) buss</t>
  </si>
  <si>
    <t xml:space="preserve">Avvikskjøring buss for t-bane  </t>
  </si>
  <si>
    <t>Biogass (kg) spesialskyss</t>
  </si>
  <si>
    <t>Km kjørt / utseilt</t>
  </si>
  <si>
    <t>Kjørte km buss</t>
  </si>
  <si>
    <t>Kjørte km elbuss</t>
  </si>
  <si>
    <t>Kjørte km biogass</t>
  </si>
  <si>
    <t>Kjørte km trikk</t>
  </si>
  <si>
    <t>Kjørte km t-bane</t>
  </si>
  <si>
    <t>Kjørte km avvikskjøring (Oslo)</t>
  </si>
  <si>
    <t>Buss for bane</t>
  </si>
  <si>
    <t>Buss for trikk</t>
  </si>
  <si>
    <t>Buss for arrangement</t>
  </si>
  <si>
    <t>Buss for tog</t>
  </si>
  <si>
    <t>Utseilt distanse båt</t>
  </si>
  <si>
    <t>Utseilt distanse elbåt</t>
  </si>
  <si>
    <t>Kjørte km spesialskyss (minibuss og taxi)</t>
  </si>
  <si>
    <t>Kjørte km spesialskyss biogass (minibuss og taxi)</t>
  </si>
  <si>
    <t>Kjørte km elektrisk spesialskyss (minibuss og taxi)</t>
  </si>
  <si>
    <t>Kjørte km elektrisk selvkjørende</t>
  </si>
  <si>
    <t>Kjørte km elektrisk HENT</t>
  </si>
  <si>
    <t>Andel av kjøring</t>
  </si>
  <si>
    <t>Andel kjørte km elbuss</t>
  </si>
  <si>
    <t>Andel kjørte km biogassbuss</t>
  </si>
  <si>
    <t>Andel kjørte km el- og biogassbuss</t>
  </si>
  <si>
    <t>Andel utseilt distanse elbåt</t>
  </si>
  <si>
    <t>Energiforbruk og fornybarandel</t>
  </si>
  <si>
    <t>Energi (MWh)</t>
  </si>
  <si>
    <t>Energi fornybar (MWh)</t>
  </si>
  <si>
    <t>Energi fornybarandel</t>
  </si>
  <si>
    <t>Energi (MWh) buss</t>
  </si>
  <si>
    <t>Energi fornybar (MWh) buss</t>
  </si>
  <si>
    <t>Energi fornybarandel buss</t>
  </si>
  <si>
    <t>Energi (MWh) trikk</t>
  </si>
  <si>
    <t>Energi fornybar (MWh) trikk</t>
  </si>
  <si>
    <t>Energi fornybarandel trikk</t>
  </si>
  <si>
    <t>Energi (MWh) t-bane</t>
  </si>
  <si>
    <t>Energi fornybar (MWh) t-bane</t>
  </si>
  <si>
    <t>Energi fornybarandel t-bane</t>
  </si>
  <si>
    <t>Energi (MWh) båt</t>
  </si>
  <si>
    <t>Energi fornybar (MWh) båt</t>
  </si>
  <si>
    <t>Energi fornybarandel båt</t>
  </si>
  <si>
    <t>Energi (MWh) spesialskyss</t>
  </si>
  <si>
    <t>Energi fornybar (MWh) spesialskyss</t>
  </si>
  <si>
    <t>Energi fornybarandel spesialskyss</t>
  </si>
  <si>
    <t>Energi (MWh) selvkjørende</t>
  </si>
  <si>
    <t>Energi fornybar (MWh) selvkjørende</t>
  </si>
  <si>
    <t>Energi fornybarandel selvkjørende</t>
  </si>
  <si>
    <t>Energi (MWh) HENT</t>
  </si>
  <si>
    <t>Energi fornybar (MWh) HENT</t>
  </si>
  <si>
    <t>Energi fornybarandel HENT</t>
  </si>
  <si>
    <t>Utslippsfaktorer kjøring</t>
  </si>
  <si>
    <t>Utslippsfaktorer (kg CO2e / enhet)</t>
  </si>
  <si>
    <t>Enhet</t>
  </si>
  <si>
    <t>TTW</t>
  </si>
  <si>
    <t>Autodiesel</t>
  </si>
  <si>
    <t>liter</t>
  </si>
  <si>
    <t>HVO - Fossilt utslipp</t>
  </si>
  <si>
    <t>RME - Fossilt utslipp</t>
  </si>
  <si>
    <t>WTT</t>
  </si>
  <si>
    <t>Biogass</t>
  </si>
  <si>
    <t>tonn</t>
  </si>
  <si>
    <t>HVO</t>
  </si>
  <si>
    <t>RME</t>
  </si>
  <si>
    <t>kg</t>
  </si>
  <si>
    <t>Innblanding av biodiesel (HVO) i autodiesel</t>
  </si>
  <si>
    <t>Andel autodiesel</t>
  </si>
  <si>
    <t>Andel biodiesel</t>
  </si>
  <si>
    <t>Omregning fra forbruk til energi</t>
  </si>
  <si>
    <t>Energivare</t>
  </si>
  <si>
    <t>kg/liter</t>
  </si>
  <si>
    <t>kWh/kg</t>
  </si>
  <si>
    <t>kWh/l</t>
  </si>
  <si>
    <t>Diesel</t>
  </si>
  <si>
    <t>Biodiesel</t>
  </si>
  <si>
    <t>Passasjerkilometer</t>
  </si>
  <si>
    <t>Antall kjørte passasjerkilometer (000 000km)</t>
  </si>
  <si>
    <t xml:space="preserve"> -   </t>
  </si>
  <si>
    <t>Sparkesykkel</t>
  </si>
  <si>
    <t>Oslo&amp;Akershus</t>
  </si>
  <si>
    <t>Oversikt materiell</t>
  </si>
  <si>
    <t>Totalt antall busser</t>
  </si>
  <si>
    <t>Antall elbusser</t>
  </si>
  <si>
    <t>Totalt antall båter</t>
  </si>
  <si>
    <t>Antall elbåter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</si>
</sst>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 #,##0.00_ ;_ * \-#,##0.00_ ;_ * &quot;-&quot;??_ ;_ @_ "/>
    <numFmt numFmtId="165" formatCode="_-* #,##0.00_-;\-* #,##0.00_-;_-* &quot;-&quot;??_-;_-@_-"/>
    <numFmt numFmtId="166" formatCode="_-* #,##0_-;\-* #,##0_-;_-* &quot;-&quot;??_-;_-@_-"/>
    <numFmt numFmtId="167" formatCode="0.0"/>
    <numFmt numFmtId="168" formatCode="#,##0.000"/>
    <numFmt numFmtId="169" formatCode="0.0%"/>
    <numFmt numFmtId="170" formatCode="#,##0.0000"/>
    <numFmt numFmtId="171" formatCode="_(* #,##0_);_(* \(#,##0\);_(* &quot;-&quot;??_);_(@_)"/>
    <numFmt numFmtId="172" formatCode="_(* #,##0.00000_);_(* \(#,##0.00000\);_(* &quot;-&quot;??_);_(@_)"/>
  </numFmts>
  <fonts count="42">
    <font>
      <sz val="11"/>
      <color theme="1"/>
      <name val="Calibri"/>
      <family val="2"/>
      <scheme val="minor"/>
    </font>
    <font>
      <b/>
      <sz val="14"/>
      <color theme="1"/>
      <name val="TID"/>
    </font>
    <font>
      <sz val="11"/>
      <color theme="1"/>
      <name val="TID"/>
    </font>
    <font>
      <b/>
      <sz val="11"/>
      <color theme="1"/>
      <name val="TID"/>
    </font>
    <font>
      <i/>
      <sz val="11"/>
      <color theme="1"/>
      <name val="TID"/>
    </font>
    <font>
      <sz val="11"/>
      <color theme="1"/>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sz val="11"/>
      <name val="TID"/>
    </font>
    <font>
      <sz val="14"/>
      <color theme="1"/>
      <name val="TID"/>
    </font>
    <font>
      <b/>
      <i/>
      <sz val="11"/>
      <color theme="1"/>
      <name val="TID"/>
    </font>
    <font>
      <sz val="11"/>
      <color rgb="FF000000"/>
      <name val="TID"/>
    </font>
    <font>
      <b/>
      <sz val="11"/>
      <color rgb="FF000000"/>
      <name val="TID"/>
    </font>
    <font>
      <i/>
      <sz val="11"/>
      <color rgb="FF000000"/>
      <name val="TID"/>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name val="Arial"/>
      <family val="2"/>
    </font>
    <font>
      <sz val="11"/>
      <color indexed="8"/>
      <name val="Calibri"/>
      <family val="2"/>
    </font>
    <font>
      <b/>
      <sz val="18"/>
      <color theme="3"/>
      <name val="Calibri Light"/>
      <family val="2"/>
      <scheme val="major"/>
    </font>
    <font>
      <sz val="11"/>
      <color rgb="FF9C6500"/>
      <name val="Calibri"/>
      <family val="2"/>
      <scheme val="minor"/>
    </font>
    <font>
      <sz val="11"/>
      <color rgb="FF000000"/>
      <name val="Calibri"/>
      <family val="2"/>
    </font>
    <font>
      <b/>
      <i/>
      <sz val="11"/>
      <color rgb="FF000000"/>
      <name val="TID"/>
    </font>
    <font>
      <b/>
      <sz val="14"/>
      <color theme="1"/>
      <name val="Calibri"/>
      <family val="2"/>
      <scheme val="minor"/>
    </font>
    <font>
      <sz val="12"/>
      <color theme="1"/>
      <name val="Calibri"/>
      <family val="2"/>
      <scheme val="minor"/>
    </font>
    <font>
      <sz val="10"/>
      <name val="Arial"/>
    </font>
    <font>
      <sz val="11"/>
      <name val="Calibri"/>
      <family val="2"/>
    </font>
    <font>
      <sz val="11"/>
      <color rgb="FF000000"/>
      <name val="Aptos Narrow"/>
      <family val="2"/>
    </font>
    <font>
      <b/>
      <sz val="11"/>
      <color rgb="FF000000"/>
      <name val="Aptos Narrow"/>
      <family val="2"/>
    </font>
    <font>
      <i/>
      <sz val="11"/>
      <color rgb="FF000000"/>
      <name val="Aptos Narrow"/>
      <family val="2"/>
    </font>
  </fonts>
  <fills count="3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bottom/>
      <diagonal/>
    </border>
    <border>
      <left/>
      <right/>
      <top style="thin">
        <color rgb="FF000000"/>
      </top>
      <bottom/>
      <diagonal/>
    </border>
    <border>
      <left style="thin">
        <color indexed="64"/>
      </left>
      <right style="thin">
        <color indexed="64"/>
      </right>
      <top style="thin">
        <color rgb="FF000000"/>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indexed="64"/>
      </left>
      <right/>
      <top/>
      <bottom style="medium">
        <color rgb="FF000000"/>
      </bottom>
      <diagonal/>
    </border>
    <border>
      <left/>
      <right/>
      <top/>
      <bottom style="medium">
        <color rgb="FF000000"/>
      </bottom>
      <diagonal/>
    </border>
    <border>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right/>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thin">
        <color rgb="FF000000"/>
      </left>
      <right/>
      <top/>
      <bottom style="thin">
        <color indexed="64"/>
      </bottom>
      <diagonal/>
    </border>
    <border>
      <left/>
      <right/>
      <top style="thin">
        <color rgb="FF000000"/>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style="thin">
        <color indexed="64"/>
      </bottom>
      <diagonal/>
    </border>
  </borders>
  <cellStyleXfs count="82">
    <xf numFmtId="0" fontId="0" fillId="0" borderId="0"/>
    <xf numFmtId="165" fontId="5" fillId="0" borderId="0" applyFont="0" applyFill="0" applyBorder="0" applyAlignment="0" applyProtection="0"/>
    <xf numFmtId="0" fontId="15" fillId="0" borderId="21" applyNumberFormat="0" applyFill="0" applyAlignment="0" applyProtection="0"/>
    <xf numFmtId="0" fontId="16" fillId="0" borderId="22" applyNumberFormat="0" applyFill="0" applyAlignment="0" applyProtection="0"/>
    <xf numFmtId="0" fontId="17" fillId="0" borderId="23" applyNumberFormat="0" applyFill="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7" borderId="24" applyNumberFormat="0" applyAlignment="0" applyProtection="0"/>
    <xf numFmtId="0" fontId="21" fillId="8" borderId="25" applyNumberFormat="0" applyAlignment="0" applyProtection="0"/>
    <xf numFmtId="0" fontId="22" fillId="8" borderId="24" applyNumberFormat="0" applyAlignment="0" applyProtection="0"/>
    <xf numFmtId="0" fontId="23" fillId="0" borderId="26" applyNumberFormat="0" applyFill="0" applyAlignment="0" applyProtection="0"/>
    <xf numFmtId="0" fontId="24" fillId="9" borderId="27"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6" fillId="0" borderId="29" applyNumberFormat="0" applyFill="0" applyAlignment="0" applyProtection="0"/>
    <xf numFmtId="0" fontId="27"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27"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27"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27"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27"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27"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28" fillId="0" borderId="0"/>
    <xf numFmtId="9" fontId="29" fillId="0" borderId="0" applyFont="0" applyFill="0" applyBorder="0" applyAlignment="0" applyProtection="0"/>
    <xf numFmtId="164" fontId="29" fillId="0" borderId="0" applyFont="0" applyFill="0" applyBorder="0" applyAlignment="0" applyProtection="0"/>
    <xf numFmtId="0" fontId="5" fillId="0" borderId="0"/>
    <xf numFmtId="0" fontId="29" fillId="0" borderId="0"/>
    <xf numFmtId="9" fontId="30" fillId="0" borderId="0" applyFont="0" applyFill="0" applyBorder="0" applyAlignment="0" applyProtection="0"/>
    <xf numFmtId="164" fontId="30" fillId="0" borderId="0" applyFont="0" applyFill="0" applyBorder="0" applyAlignment="0" applyProtection="0"/>
    <xf numFmtId="164" fontId="29" fillId="0" borderId="0" applyFont="0" applyFill="0" applyBorder="0" applyAlignment="0" applyProtection="0"/>
    <xf numFmtId="0" fontId="5" fillId="0" borderId="0"/>
    <xf numFmtId="0" fontId="5" fillId="0" borderId="0"/>
    <xf numFmtId="0" fontId="5" fillId="0" borderId="0"/>
    <xf numFmtId="9" fontId="29" fillId="0" borderId="0" applyFont="0" applyFill="0" applyBorder="0" applyAlignment="0" applyProtection="0"/>
    <xf numFmtId="0" fontId="31" fillId="0" borderId="0" applyNumberFormat="0" applyFill="0" applyBorder="0" applyAlignment="0" applyProtection="0"/>
    <xf numFmtId="0" fontId="32" fillId="6" borderId="0" applyNumberFormat="0" applyBorder="0" applyAlignment="0" applyProtection="0"/>
    <xf numFmtId="0" fontId="27" fillId="14" borderId="0" applyNumberFormat="0" applyBorder="0" applyAlignment="0" applyProtection="0"/>
    <xf numFmtId="0" fontId="27" fillId="18" borderId="0" applyNumberFormat="0" applyBorder="0" applyAlignment="0" applyProtection="0"/>
    <xf numFmtId="0" fontId="27" fillId="22" borderId="0" applyNumberFormat="0" applyBorder="0" applyAlignment="0" applyProtection="0"/>
    <xf numFmtId="0" fontId="27" fillId="26" borderId="0" applyNumberFormat="0" applyBorder="0" applyAlignment="0" applyProtection="0"/>
    <xf numFmtId="0" fontId="27" fillId="30" borderId="0" applyNumberFormat="0" applyBorder="0" applyAlignment="0" applyProtection="0"/>
    <xf numFmtId="0" fontId="27" fillId="34" borderId="0" applyNumberFormat="0" applyBorder="0" applyAlignment="0" applyProtection="0"/>
    <xf numFmtId="0" fontId="5" fillId="0" borderId="0"/>
    <xf numFmtId="0" fontId="5" fillId="10" borderId="28" applyNumberFormat="0" applyFont="0" applyAlignment="0" applyProtection="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33" fillId="0" borderId="0" applyNumberFormat="0" applyBorder="0" applyAlignment="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6" fillId="0" borderId="0"/>
    <xf numFmtId="0" fontId="37"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64" fontId="28" fillId="0" borderId="0" applyFont="0" applyFill="0" applyBorder="0" applyAlignment="0" applyProtection="0"/>
  </cellStyleXfs>
  <cellXfs count="253">
    <xf numFmtId="0" fontId="0" fillId="0" borderId="0" xfId="0"/>
    <xf numFmtId="0" fontId="1" fillId="0" borderId="0" xfId="0" applyFont="1"/>
    <xf numFmtId="0" fontId="2" fillId="0" borderId="0" xfId="0" applyFont="1"/>
    <xf numFmtId="0" fontId="3" fillId="0" borderId="2" xfId="0" applyFont="1" applyBorder="1"/>
    <xf numFmtId="0" fontId="2" fillId="0" borderId="3" xfId="0" applyFont="1" applyBorder="1"/>
    <xf numFmtId="0" fontId="2" fillId="0" borderId="4" xfId="0" applyFont="1" applyBorder="1"/>
    <xf numFmtId="0" fontId="2" fillId="0" borderId="2" xfId="0" applyFont="1" applyBorder="1"/>
    <xf numFmtId="0" fontId="2" fillId="0" borderId="1" xfId="0" applyFont="1" applyBorder="1"/>
    <xf numFmtId="0" fontId="2" fillId="0" borderId="6" xfId="0" applyFont="1" applyBorder="1"/>
    <xf numFmtId="0" fontId="2" fillId="0" borderId="7" xfId="0" applyFont="1" applyBorder="1"/>
    <xf numFmtId="0" fontId="2" fillId="0" borderId="8" xfId="0" applyFont="1" applyBorder="1"/>
    <xf numFmtId="0" fontId="2" fillId="0" borderId="10" xfId="0" applyFont="1" applyBorder="1"/>
    <xf numFmtId="0" fontId="2" fillId="0" borderId="12" xfId="0" applyFont="1" applyBorder="1"/>
    <xf numFmtId="0" fontId="2" fillId="0" borderId="13" xfId="0" applyFont="1" applyBorder="1"/>
    <xf numFmtId="0" fontId="2" fillId="0" borderId="14" xfId="0" applyFont="1" applyBorder="1"/>
    <xf numFmtId="0" fontId="2" fillId="0" borderId="15" xfId="0" applyFont="1" applyBorder="1"/>
    <xf numFmtId="0" fontId="4" fillId="0" borderId="3" xfId="0" applyFont="1" applyBorder="1"/>
    <xf numFmtId="0" fontId="4" fillId="0" borderId="14" xfId="0" applyFont="1" applyBorder="1"/>
    <xf numFmtId="0" fontId="4" fillId="0" borderId="11" xfId="0" applyFont="1" applyBorder="1"/>
    <xf numFmtId="0" fontId="6" fillId="0" borderId="0" xfId="0" applyFont="1"/>
    <xf numFmtId="0" fontId="0" fillId="0" borderId="1" xfId="0" applyBorder="1"/>
    <xf numFmtId="0" fontId="3" fillId="0" borderId="1" xfId="0" applyFont="1" applyBorder="1"/>
    <xf numFmtId="0" fontId="10" fillId="0" borderId="0" xfId="0" applyFont="1"/>
    <xf numFmtId="0" fontId="9" fillId="0" borderId="4" xfId="0" applyFont="1" applyBorder="1"/>
    <xf numFmtId="166" fontId="2" fillId="0" borderId="1" xfId="1" applyNumberFormat="1" applyFont="1" applyBorder="1"/>
    <xf numFmtId="166" fontId="2" fillId="0" borderId="9" xfId="1" applyNumberFormat="1" applyFont="1" applyBorder="1"/>
    <xf numFmtId="0" fontId="3" fillId="0" borderId="1" xfId="0" applyFont="1" applyBorder="1" applyAlignment="1">
      <alignment horizontal="center"/>
    </xf>
    <xf numFmtId="0" fontId="3" fillId="0" borderId="0" xfId="0" applyFont="1"/>
    <xf numFmtId="0" fontId="4" fillId="0" borderId="1" xfId="0" applyFont="1" applyBorder="1"/>
    <xf numFmtId="166" fontId="3" fillId="0" borderId="9" xfId="1" applyNumberFormat="1" applyFont="1" applyBorder="1"/>
    <xf numFmtId="0" fontId="2" fillId="0" borderId="17" xfId="0" applyFont="1" applyBorder="1"/>
    <xf numFmtId="0" fontId="8" fillId="0" borderId="1" xfId="70" applyBorder="1"/>
    <xf numFmtId="0" fontId="11" fillId="0" borderId="1" xfId="0" applyFont="1" applyBorder="1"/>
    <xf numFmtId="166" fontId="3" fillId="0" borderId="1" xfId="1" applyNumberFormat="1" applyFont="1" applyBorder="1"/>
    <xf numFmtId="0" fontId="3" fillId="0" borderId="6" xfId="0" applyFont="1" applyBorder="1"/>
    <xf numFmtId="0" fontId="2" fillId="0" borderId="11" xfId="0" applyFont="1" applyBorder="1"/>
    <xf numFmtId="0" fontId="2" fillId="2" borderId="1" xfId="0" applyFont="1" applyFill="1" applyBorder="1"/>
    <xf numFmtId="0" fontId="2" fillId="3" borderId="4" xfId="0" applyFont="1" applyFill="1" applyBorder="1"/>
    <xf numFmtId="0" fontId="3" fillId="0" borderId="18" xfId="0" applyFont="1" applyBorder="1"/>
    <xf numFmtId="0" fontId="2" fillId="0" borderId="19" xfId="0" applyFont="1" applyBorder="1"/>
    <xf numFmtId="0" fontId="3" fillId="0" borderId="20" xfId="0" applyFont="1" applyBorder="1"/>
    <xf numFmtId="0" fontId="2" fillId="0" borderId="0" xfId="0" quotePrefix="1" applyFont="1"/>
    <xf numFmtId="0" fontId="4" fillId="0" borderId="0" xfId="0" applyFont="1"/>
    <xf numFmtId="0" fontId="2" fillId="3" borderId="1" xfId="0" applyFont="1" applyFill="1" applyBorder="1"/>
    <xf numFmtId="0" fontId="13" fillId="0" borderId="1" xfId="0" applyFont="1" applyBorder="1" applyAlignment="1">
      <alignment horizontal="center"/>
    </xf>
    <xf numFmtId="167" fontId="2" fillId="0" borderId="1" xfId="0" applyNumberFormat="1" applyFont="1" applyBorder="1"/>
    <xf numFmtId="2" fontId="2" fillId="0" borderId="1" xfId="0" applyNumberFormat="1" applyFont="1" applyBorder="1"/>
    <xf numFmtId="0" fontId="0" fillId="0" borderId="7" xfId="0" applyBorder="1"/>
    <xf numFmtId="0" fontId="14" fillId="0" borderId="8" xfId="0" applyFont="1" applyBorder="1"/>
    <xf numFmtId="0" fontId="4" fillId="0" borderId="8" xfId="0" applyFont="1" applyBorder="1"/>
    <xf numFmtId="0" fontId="0" fillId="0" borderId="11" xfId="0" applyBorder="1"/>
    <xf numFmtId="0" fontId="14" fillId="0" borderId="12" xfId="0" applyFont="1" applyBorder="1"/>
    <xf numFmtId="2" fontId="2" fillId="0" borderId="15" xfId="0" applyNumberFormat="1" applyFont="1" applyBorder="1"/>
    <xf numFmtId="0" fontId="12" fillId="0" borderId="2" xfId="0" applyFont="1" applyBorder="1"/>
    <xf numFmtId="0" fontId="14" fillId="0" borderId="3" xfId="0" applyFont="1" applyBorder="1"/>
    <xf numFmtId="166" fontId="12" fillId="0" borderId="1" xfId="1" applyNumberFormat="1" applyFont="1" applyBorder="1" applyAlignment="1">
      <alignment horizontal="center"/>
    </xf>
    <xf numFmtId="166" fontId="12" fillId="0" borderId="1" xfId="1" applyNumberFormat="1" applyFont="1" applyBorder="1"/>
    <xf numFmtId="166" fontId="12" fillId="0" borderId="16" xfId="1" applyNumberFormat="1" applyFont="1" applyBorder="1"/>
    <xf numFmtId="0" fontId="14" fillId="0" borderId="4" xfId="0" applyFont="1" applyBorder="1"/>
    <xf numFmtId="167" fontId="2" fillId="0" borderId="1" xfId="0" applyNumberFormat="1" applyFont="1" applyBorder="1" applyAlignment="1">
      <alignment horizontal="right"/>
    </xf>
    <xf numFmtId="166" fontId="2" fillId="0" borderId="1" xfId="0" applyNumberFormat="1" applyFont="1" applyBorder="1"/>
    <xf numFmtId="166" fontId="0" fillId="0" borderId="0" xfId="0" applyNumberFormat="1"/>
    <xf numFmtId="3" fontId="2" fillId="2" borderId="1" xfId="1" applyNumberFormat="1" applyFont="1" applyFill="1" applyBorder="1" applyAlignment="1">
      <alignment horizontal="right"/>
    </xf>
    <xf numFmtId="3" fontId="2" fillId="0" borderId="9" xfId="1" applyNumberFormat="1" applyFont="1" applyBorder="1" applyAlignment="1">
      <alignment horizontal="right"/>
    </xf>
    <xf numFmtId="3" fontId="2" fillId="0" borderId="20" xfId="1" applyNumberFormat="1" applyFont="1" applyBorder="1" applyAlignment="1">
      <alignment horizontal="right"/>
    </xf>
    <xf numFmtId="3" fontId="2" fillId="0" borderId="1" xfId="1" applyNumberFormat="1" applyFont="1" applyBorder="1" applyAlignment="1">
      <alignment horizontal="right"/>
    </xf>
    <xf numFmtId="3" fontId="2" fillId="3" borderId="1" xfId="1" applyNumberFormat="1" applyFont="1" applyFill="1" applyBorder="1" applyAlignment="1">
      <alignment horizontal="right"/>
    </xf>
    <xf numFmtId="3" fontId="2" fillId="0" borderId="5" xfId="1" applyNumberFormat="1" applyFont="1" applyBorder="1" applyAlignment="1">
      <alignment horizontal="right"/>
    </xf>
    <xf numFmtId="3" fontId="3" fillId="0" borderId="9" xfId="1" applyNumberFormat="1" applyFont="1" applyBorder="1" applyAlignment="1">
      <alignment horizontal="right"/>
    </xf>
    <xf numFmtId="3" fontId="3" fillId="0" borderId="1" xfId="1" applyNumberFormat="1" applyFont="1" applyBorder="1" applyAlignment="1">
      <alignment horizontal="right"/>
    </xf>
    <xf numFmtId="168" fontId="2" fillId="0" borderId="1" xfId="1" applyNumberFormat="1" applyFont="1" applyBorder="1" applyAlignment="1">
      <alignment horizontal="right"/>
    </xf>
    <xf numFmtId="168" fontId="2" fillId="0" borderId="9" xfId="1" applyNumberFormat="1" applyFont="1" applyBorder="1" applyAlignment="1">
      <alignment horizontal="right"/>
    </xf>
    <xf numFmtId="168" fontId="2" fillId="2" borderId="1" xfId="1" applyNumberFormat="1" applyFont="1" applyFill="1" applyBorder="1" applyAlignment="1">
      <alignment horizontal="right"/>
    </xf>
    <xf numFmtId="2" fontId="13" fillId="0" borderId="4" xfId="0" applyNumberFormat="1" applyFont="1" applyBorder="1" applyAlignment="1">
      <alignment horizontal="center"/>
    </xf>
    <xf numFmtId="2" fontId="13" fillId="0" borderId="1" xfId="0" applyNumberFormat="1" applyFont="1" applyBorder="1" applyAlignment="1">
      <alignment horizontal="center"/>
    </xf>
    <xf numFmtId="2" fontId="12" fillId="0" borderId="9" xfId="0" applyNumberFormat="1" applyFont="1" applyBorder="1"/>
    <xf numFmtId="2" fontId="2" fillId="0" borderId="9" xfId="0" applyNumberFormat="1" applyFont="1" applyBorder="1"/>
    <xf numFmtId="2" fontId="2" fillId="0" borderId="16" xfId="0" applyNumberFormat="1" applyFont="1" applyBorder="1"/>
    <xf numFmtId="167" fontId="12" fillId="0" borderId="9" xfId="0" applyNumberFormat="1" applyFont="1" applyBorder="1"/>
    <xf numFmtId="167" fontId="12" fillId="0" borderId="5" xfId="0" applyNumberFormat="1" applyFont="1" applyBorder="1"/>
    <xf numFmtId="167" fontId="2" fillId="0" borderId="5" xfId="0" applyNumberFormat="1" applyFont="1" applyBorder="1"/>
    <xf numFmtId="0" fontId="34" fillId="0" borderId="7" xfId="0" applyFont="1" applyBorder="1"/>
    <xf numFmtId="0" fontId="34" fillId="0" borderId="8" xfId="0" applyFont="1" applyBorder="1"/>
    <xf numFmtId="2" fontId="3" fillId="0" borderId="1" xfId="0" applyNumberFormat="1" applyFont="1" applyBorder="1"/>
    <xf numFmtId="0" fontId="11" fillId="0" borderId="7" xfId="0" applyFont="1" applyBorder="1"/>
    <xf numFmtId="2" fontId="3" fillId="0" borderId="15" xfId="0" applyNumberFormat="1" applyFont="1" applyBorder="1"/>
    <xf numFmtId="2" fontId="3" fillId="0" borderId="4" xfId="0" applyNumberFormat="1" applyFont="1" applyBorder="1"/>
    <xf numFmtId="0" fontId="3" fillId="0" borderId="3" xfId="0" applyFont="1" applyBorder="1"/>
    <xf numFmtId="0" fontId="11" fillId="0" borderId="3" xfId="0" applyFont="1" applyBorder="1"/>
    <xf numFmtId="168" fontId="3" fillId="0" borderId="1" xfId="1" applyNumberFormat="1" applyFont="1" applyBorder="1" applyAlignment="1">
      <alignment horizontal="right"/>
    </xf>
    <xf numFmtId="168" fontId="3" fillId="0" borderId="9" xfId="1" applyNumberFormat="1" applyFont="1" applyBorder="1" applyAlignment="1">
      <alignment horizontal="right"/>
    </xf>
    <xf numFmtId="167" fontId="3" fillId="0" borderId="1" xfId="0" applyNumberFormat="1" applyFont="1" applyBorder="1"/>
    <xf numFmtId="0" fontId="2" fillId="0" borderId="18" xfId="0" applyFont="1" applyBorder="1"/>
    <xf numFmtId="0" fontId="2" fillId="0" borderId="30" xfId="0" applyFont="1" applyBorder="1"/>
    <xf numFmtId="0" fontId="2" fillId="0" borderId="31" xfId="0" applyFont="1" applyBorder="1"/>
    <xf numFmtId="0" fontId="2" fillId="3" borderId="32" xfId="0" applyFont="1" applyFill="1" applyBorder="1"/>
    <xf numFmtId="0" fontId="2" fillId="3" borderId="2" xfId="0" applyFont="1" applyFill="1" applyBorder="1"/>
    <xf numFmtId="0" fontId="35" fillId="0" borderId="0" xfId="0" applyFont="1"/>
    <xf numFmtId="0" fontId="0" fillId="0" borderId="32" xfId="0" applyBorder="1"/>
    <xf numFmtId="169" fontId="0" fillId="0" borderId="32" xfId="0" applyNumberFormat="1" applyBorder="1"/>
    <xf numFmtId="43" fontId="0" fillId="0" borderId="32" xfId="0" applyNumberFormat="1" applyBorder="1"/>
    <xf numFmtId="0" fontId="4" fillId="0" borderId="16" xfId="0" applyFont="1" applyBorder="1"/>
    <xf numFmtId="166" fontId="2" fillId="0" borderId="34" xfId="1" applyNumberFormat="1" applyFont="1" applyBorder="1"/>
    <xf numFmtId="166" fontId="2" fillId="0" borderId="8" xfId="1" applyNumberFormat="1" applyFont="1" applyBorder="1"/>
    <xf numFmtId="0" fontId="6" fillId="0" borderId="33" xfId="0" applyFont="1" applyBorder="1"/>
    <xf numFmtId="0" fontId="4" fillId="0" borderId="7" xfId="0" applyFont="1" applyBorder="1"/>
    <xf numFmtId="0" fontId="2" fillId="0" borderId="36" xfId="0" applyFont="1" applyBorder="1"/>
    <xf numFmtId="0" fontId="12" fillId="0" borderId="2" xfId="0" applyFont="1" applyBorder="1" applyAlignment="1">
      <alignment horizontal="right"/>
    </xf>
    <xf numFmtId="3" fontId="2" fillId="0" borderId="0" xfId="0" applyNumberFormat="1" applyFont="1"/>
    <xf numFmtId="10" fontId="2" fillId="0" borderId="0" xfId="0" applyNumberFormat="1" applyFont="1"/>
    <xf numFmtId="1" fontId="2" fillId="0" borderId="0" xfId="0" applyNumberFormat="1" applyFont="1"/>
    <xf numFmtId="1" fontId="2" fillId="0" borderId="32" xfId="0" applyNumberFormat="1" applyFont="1" applyBorder="1"/>
    <xf numFmtId="0" fontId="13" fillId="0" borderId="0" xfId="0" applyFont="1" applyAlignment="1">
      <alignment horizontal="center"/>
    </xf>
    <xf numFmtId="169" fontId="0" fillId="0" borderId="37" xfId="0" applyNumberFormat="1" applyBorder="1"/>
    <xf numFmtId="170" fontId="2" fillId="2" borderId="1" xfId="1" applyNumberFormat="1" applyFont="1" applyFill="1" applyBorder="1" applyAlignment="1">
      <alignment horizontal="right"/>
    </xf>
    <xf numFmtId="0" fontId="13" fillId="0" borderId="32" xfId="0" applyFont="1" applyBorder="1" applyAlignment="1">
      <alignment horizontal="center"/>
    </xf>
    <xf numFmtId="2" fontId="13" fillId="0" borderId="32" xfId="0" applyNumberFormat="1" applyFont="1" applyBorder="1" applyAlignment="1">
      <alignment horizontal="center"/>
    </xf>
    <xf numFmtId="167" fontId="3" fillId="0" borderId="32" xfId="0" applyNumberFormat="1" applyFont="1" applyBorder="1"/>
    <xf numFmtId="167" fontId="2" fillId="0" borderId="32" xfId="0" applyNumberFormat="1" applyFont="1" applyBorder="1"/>
    <xf numFmtId="2" fontId="2" fillId="0" borderId="32" xfId="0" applyNumberFormat="1" applyFont="1" applyBorder="1"/>
    <xf numFmtId="2" fontId="3" fillId="0" borderId="32" xfId="0" applyNumberFormat="1" applyFont="1" applyBorder="1"/>
    <xf numFmtId="0" fontId="13" fillId="0" borderId="2" xfId="0" applyFont="1" applyBorder="1" applyAlignment="1">
      <alignment horizontal="center"/>
    </xf>
    <xf numFmtId="2" fontId="13" fillId="0" borderId="2" xfId="0" applyNumberFormat="1" applyFont="1" applyBorder="1" applyAlignment="1">
      <alignment horizontal="center"/>
    </xf>
    <xf numFmtId="167" fontId="3" fillId="0" borderId="2" xfId="0" applyNumberFormat="1" applyFont="1" applyBorder="1"/>
    <xf numFmtId="167" fontId="2" fillId="0" borderId="2" xfId="0" applyNumberFormat="1" applyFont="1" applyBorder="1"/>
    <xf numFmtId="167" fontId="2" fillId="0" borderId="10" xfId="0" applyNumberFormat="1" applyFont="1" applyBorder="1"/>
    <xf numFmtId="2" fontId="2" fillId="0" borderId="6" xfId="0" applyNumberFormat="1" applyFont="1" applyBorder="1"/>
    <xf numFmtId="2" fontId="3" fillId="0" borderId="2" xfId="0" applyNumberFormat="1" applyFont="1" applyBorder="1"/>
    <xf numFmtId="2" fontId="2" fillId="0" borderId="2" xfId="0" applyNumberFormat="1" applyFont="1" applyBorder="1"/>
    <xf numFmtId="2" fontId="3" fillId="0" borderId="14" xfId="0" applyNumberFormat="1" applyFont="1" applyBorder="1"/>
    <xf numFmtId="2" fontId="2" fillId="0" borderId="13" xfId="0" applyNumberFormat="1" applyFont="1" applyBorder="1"/>
    <xf numFmtId="167" fontId="2" fillId="0" borderId="38" xfId="0" applyNumberFormat="1" applyFont="1" applyBorder="1"/>
    <xf numFmtId="2" fontId="2" fillId="0" borderId="35" xfId="0" applyNumberFormat="1" applyFont="1" applyBorder="1"/>
    <xf numFmtId="0" fontId="2" fillId="0" borderId="39" xfId="0" applyFont="1" applyBorder="1"/>
    <xf numFmtId="2" fontId="3" fillId="0" borderId="9" xfId="0" applyNumberFormat="1" applyFont="1" applyBorder="1"/>
    <xf numFmtId="2" fontId="3" fillId="0" borderId="6" xfId="0" applyNumberFormat="1" applyFont="1" applyBorder="1"/>
    <xf numFmtId="2" fontId="3" fillId="0" borderId="35" xfId="0" applyNumberFormat="1" applyFont="1" applyBorder="1"/>
    <xf numFmtId="0" fontId="2" fillId="0" borderId="40" xfId="0" applyFont="1" applyBorder="1"/>
    <xf numFmtId="0" fontId="0" fillId="0" borderId="40" xfId="0" applyBorder="1"/>
    <xf numFmtId="0" fontId="14" fillId="0" borderId="41" xfId="0" applyFont="1" applyBorder="1"/>
    <xf numFmtId="2" fontId="12" fillId="0" borderId="42" xfId="0" applyNumberFormat="1" applyFont="1" applyBorder="1"/>
    <xf numFmtId="2" fontId="2" fillId="0" borderId="43" xfId="0" applyNumberFormat="1" applyFont="1" applyBorder="1"/>
    <xf numFmtId="2" fontId="2" fillId="0" borderId="44" xfId="0" applyNumberFormat="1" applyFont="1" applyBorder="1"/>
    <xf numFmtId="2" fontId="2" fillId="0" borderId="38" xfId="0" applyNumberFormat="1" applyFont="1" applyBorder="1"/>
    <xf numFmtId="0" fontId="2" fillId="0" borderId="46" xfId="0" applyFont="1" applyBorder="1"/>
    <xf numFmtId="167" fontId="2" fillId="0" borderId="47" xfId="0" applyNumberFormat="1" applyFont="1" applyBorder="1"/>
    <xf numFmtId="166" fontId="12" fillId="0" borderId="1" xfId="1" applyNumberFormat="1" applyFont="1" applyBorder="1" applyAlignment="1">
      <alignment horizontal="right"/>
    </xf>
    <xf numFmtId="0" fontId="13" fillId="0" borderId="15" xfId="0" applyFont="1" applyBorder="1"/>
    <xf numFmtId="0" fontId="12" fillId="0" borderId="2" xfId="0" applyFont="1" applyBorder="1" applyAlignment="1">
      <alignment wrapText="1"/>
    </xf>
    <xf numFmtId="0" fontId="12" fillId="0" borderId="6" xfId="0" applyFont="1" applyBorder="1" applyAlignment="1">
      <alignment wrapText="1"/>
    </xf>
    <xf numFmtId="0" fontId="14" fillId="0" borderId="7" xfId="0" applyFont="1" applyBorder="1" applyAlignment="1">
      <alignment wrapText="1"/>
    </xf>
    <xf numFmtId="0" fontId="13" fillId="0" borderId="15" xfId="0" applyFont="1" applyBorder="1" applyAlignment="1">
      <alignment wrapText="1"/>
    </xf>
    <xf numFmtId="0" fontId="12" fillId="0" borderId="49" xfId="0" applyFont="1" applyBorder="1" applyAlignment="1">
      <alignment wrapText="1"/>
    </xf>
    <xf numFmtId="171" fontId="12" fillId="0" borderId="1" xfId="1" applyNumberFormat="1" applyFont="1" applyBorder="1" applyAlignment="1">
      <alignment horizontal="right"/>
    </xf>
    <xf numFmtId="171" fontId="12" fillId="0" borderId="1" xfId="1" applyNumberFormat="1" applyFont="1" applyBorder="1" applyAlignment="1">
      <alignment horizontal="right" wrapText="1"/>
    </xf>
    <xf numFmtId="171" fontId="2" fillId="0" borderId="1" xfId="1" applyNumberFormat="1" applyFont="1" applyBorder="1" applyAlignment="1">
      <alignment horizontal="right"/>
    </xf>
    <xf numFmtId="166" fontId="13" fillId="0" borderId="1" xfId="1" applyNumberFormat="1" applyFont="1" applyBorder="1" applyAlignment="1">
      <alignment horizontal="center"/>
    </xf>
    <xf numFmtId="166" fontId="13" fillId="0" borderId="1" xfId="1" applyNumberFormat="1" applyFont="1" applyBorder="1"/>
    <xf numFmtId="171" fontId="13" fillId="0" borderId="1" xfId="1" applyNumberFormat="1" applyFont="1" applyBorder="1" applyAlignment="1">
      <alignment horizontal="right"/>
    </xf>
    <xf numFmtId="171" fontId="13" fillId="0" borderId="16" xfId="1" applyNumberFormat="1" applyFont="1" applyBorder="1" applyAlignment="1">
      <alignment horizontal="right"/>
    </xf>
    <xf numFmtId="0" fontId="2" fillId="0" borderId="32" xfId="0" applyFont="1" applyBorder="1"/>
    <xf numFmtId="1" fontId="2" fillId="0" borderId="2" xfId="0" applyNumberFormat="1" applyFont="1" applyBorder="1"/>
    <xf numFmtId="1" fontId="2" fillId="0" borderId="37" xfId="0" applyNumberFormat="1" applyFont="1" applyBorder="1"/>
    <xf numFmtId="0" fontId="2" fillId="3" borderId="37" xfId="0" applyFont="1" applyFill="1" applyBorder="1"/>
    <xf numFmtId="0" fontId="3" fillId="0" borderId="32" xfId="0" applyFont="1" applyBorder="1"/>
    <xf numFmtId="0" fontId="9" fillId="0" borderId="3" xfId="0" applyFont="1" applyBorder="1"/>
    <xf numFmtId="0" fontId="13" fillId="0" borderId="8" xfId="0" applyFont="1" applyBorder="1"/>
    <xf numFmtId="0" fontId="13" fillId="0" borderId="9" xfId="0" applyFont="1" applyBorder="1"/>
    <xf numFmtId="0" fontId="14" fillId="0" borderId="7" xfId="0" applyFont="1" applyBorder="1"/>
    <xf numFmtId="0" fontId="12" fillId="0" borderId="9" xfId="0" applyFont="1" applyBorder="1"/>
    <xf numFmtId="0" fontId="12" fillId="0" borderId="8" xfId="0" applyFont="1" applyBorder="1"/>
    <xf numFmtId="0" fontId="13" fillId="0" borderId="6" xfId="0" applyFont="1" applyBorder="1" applyAlignment="1">
      <alignment wrapText="1"/>
    </xf>
    <xf numFmtId="0" fontId="13" fillId="0" borderId="6" xfId="0" applyFont="1" applyBorder="1"/>
    <xf numFmtId="0" fontId="13" fillId="0" borderId="49" xfId="0" applyFont="1" applyBorder="1"/>
    <xf numFmtId="3" fontId="2" fillId="2" borderId="9" xfId="1" applyNumberFormat="1" applyFont="1" applyFill="1" applyBorder="1" applyAlignment="1">
      <alignment horizontal="right"/>
    </xf>
    <xf numFmtId="170" fontId="2" fillId="2" borderId="9" xfId="1" applyNumberFormat="1" applyFont="1" applyFill="1" applyBorder="1" applyAlignment="1">
      <alignment horizontal="right"/>
    </xf>
    <xf numFmtId="0" fontId="3" fillId="0" borderId="30" xfId="0" applyFont="1" applyBorder="1"/>
    <xf numFmtId="3" fontId="3" fillId="0" borderId="34" xfId="1" applyNumberFormat="1" applyFont="1" applyBorder="1" applyAlignment="1">
      <alignment horizontal="right"/>
    </xf>
    <xf numFmtId="0" fontId="3" fillId="0" borderId="9" xfId="0" applyFont="1" applyBorder="1" applyAlignment="1">
      <alignment horizontal="center"/>
    </xf>
    <xf numFmtId="0" fontId="4" fillId="0" borderId="50" xfId="0" applyFont="1" applyBorder="1"/>
    <xf numFmtId="0" fontId="2" fillId="0" borderId="51" xfId="0" applyFont="1" applyBorder="1"/>
    <xf numFmtId="0" fontId="2" fillId="0" borderId="50" xfId="0" applyFont="1" applyBorder="1"/>
    <xf numFmtId="0" fontId="2" fillId="0" borderId="52" xfId="0" applyFont="1" applyBorder="1"/>
    <xf numFmtId="3" fontId="2" fillId="0" borderId="53" xfId="1" applyNumberFormat="1" applyFont="1" applyBorder="1" applyAlignment="1">
      <alignment horizontal="right"/>
    </xf>
    <xf numFmtId="0" fontId="2" fillId="0" borderId="44" xfId="0" applyFont="1" applyBorder="1"/>
    <xf numFmtId="0" fontId="4" fillId="0" borderId="54" xfId="0" applyFont="1" applyBorder="1"/>
    <xf numFmtId="0" fontId="2" fillId="0" borderId="54" xfId="0" applyFont="1" applyBorder="1"/>
    <xf numFmtId="0" fontId="2" fillId="0" borderId="55" xfId="0" applyFont="1" applyBorder="1"/>
    <xf numFmtId="3" fontId="2" fillId="0" borderId="43" xfId="1" applyNumberFormat="1" applyFont="1" applyBorder="1" applyAlignment="1">
      <alignment horizontal="right"/>
    </xf>
    <xf numFmtId="0" fontId="2" fillId="0" borderId="3" xfId="0" applyFont="1" applyBorder="1" applyAlignment="1">
      <alignment horizontal="left" indent="2"/>
    </xf>
    <xf numFmtId="0" fontId="2" fillId="0" borderId="14" xfId="0" applyFont="1" applyBorder="1" applyAlignment="1">
      <alignment horizontal="left" indent="2"/>
    </xf>
    <xf numFmtId="0" fontId="4" fillId="0" borderId="2" xfId="0" applyFont="1" applyBorder="1" applyAlignment="1">
      <alignment horizontal="left" indent="2"/>
    </xf>
    <xf numFmtId="0" fontId="13" fillId="0" borderId="1" xfId="0" applyFont="1" applyBorder="1"/>
    <xf numFmtId="0" fontId="13" fillId="0" borderId="1" xfId="0" applyFont="1" applyBorder="1" applyAlignment="1">
      <alignment wrapText="1"/>
    </xf>
    <xf numFmtId="9" fontId="3" fillId="0" borderId="1" xfId="69" applyFont="1" applyBorder="1"/>
    <xf numFmtId="9" fontId="2" fillId="0" borderId="1" xfId="69" applyFont="1" applyBorder="1"/>
    <xf numFmtId="171" fontId="2" fillId="0" borderId="0" xfId="0" applyNumberFormat="1" applyFont="1"/>
    <xf numFmtId="165" fontId="0" fillId="0" borderId="1" xfId="1" applyFont="1" applyBorder="1"/>
    <xf numFmtId="166" fontId="3" fillId="0" borderId="1" xfId="0" applyNumberFormat="1" applyFont="1" applyBorder="1"/>
    <xf numFmtId="3" fontId="3" fillId="0" borderId="1" xfId="0" applyNumberFormat="1" applyFont="1" applyBorder="1"/>
    <xf numFmtId="3" fontId="2" fillId="0" borderId="1" xfId="0" applyNumberFormat="1" applyFont="1" applyBorder="1"/>
    <xf numFmtId="9" fontId="3" fillId="0" borderId="1" xfId="0" applyNumberFormat="1" applyFont="1" applyBorder="1"/>
    <xf numFmtId="0" fontId="7" fillId="0" borderId="32" xfId="0" applyFont="1" applyBorder="1"/>
    <xf numFmtId="1" fontId="2" fillId="0" borderId="9" xfId="1" applyNumberFormat="1" applyFont="1" applyBorder="1" applyAlignment="1">
      <alignment horizontal="right"/>
    </xf>
    <xf numFmtId="1" fontId="2" fillId="0" borderId="9" xfId="1" applyNumberFormat="1" applyFont="1" applyBorder="1"/>
    <xf numFmtId="1" fontId="2" fillId="0" borderId="34" xfId="1" applyNumberFormat="1" applyFont="1" applyBorder="1"/>
    <xf numFmtId="1" fontId="0" fillId="0" borderId="32" xfId="0" applyNumberFormat="1" applyBorder="1"/>
    <xf numFmtId="166" fontId="2" fillId="0" borderId="9" xfId="1" applyNumberFormat="1" applyFont="1" applyBorder="1" applyAlignment="1">
      <alignment horizontal="right"/>
    </xf>
    <xf numFmtId="172" fontId="2" fillId="0" borderId="0" xfId="0" applyNumberFormat="1" applyFont="1"/>
    <xf numFmtId="3" fontId="2" fillId="0" borderId="4" xfId="0" applyNumberFormat="1" applyFont="1" applyBorder="1"/>
    <xf numFmtId="0" fontId="0" fillId="0" borderId="37" xfId="0" applyBorder="1"/>
    <xf numFmtId="2" fontId="0" fillId="0" borderId="32" xfId="0" applyNumberFormat="1" applyBorder="1"/>
    <xf numFmtId="0" fontId="2" fillId="0" borderId="56" xfId="0" applyFont="1" applyBorder="1"/>
    <xf numFmtId="0" fontId="3" fillId="0" borderId="2" xfId="0" applyFont="1" applyBorder="1" applyAlignment="1">
      <alignment horizontal="center"/>
    </xf>
    <xf numFmtId="3" fontId="3" fillId="0" borderId="2" xfId="1" applyNumberFormat="1" applyFont="1" applyBorder="1" applyAlignment="1">
      <alignment horizontal="right"/>
    </xf>
    <xf numFmtId="3" fontId="2" fillId="0" borderId="2" xfId="1" applyNumberFormat="1" applyFont="1" applyBorder="1" applyAlignment="1">
      <alignment horizontal="right"/>
    </xf>
    <xf numFmtId="3" fontId="2" fillId="0" borderId="10" xfId="1" applyNumberFormat="1" applyFont="1" applyBorder="1" applyAlignment="1">
      <alignment horizontal="right"/>
    </xf>
    <xf numFmtId="3" fontId="3" fillId="0" borderId="6" xfId="1" applyNumberFormat="1" applyFont="1" applyBorder="1" applyAlignment="1">
      <alignment horizontal="right"/>
    </xf>
    <xf numFmtId="0" fontId="3" fillId="0" borderId="47" xfId="0" applyFont="1" applyBorder="1" applyAlignment="1">
      <alignment horizontal="center"/>
    </xf>
    <xf numFmtId="171" fontId="2" fillId="0" borderId="1" xfId="0" applyNumberFormat="1" applyFont="1" applyBorder="1"/>
    <xf numFmtId="1" fontId="12" fillId="0" borderId="8" xfId="0" applyNumberFormat="1" applyFont="1" applyBorder="1"/>
    <xf numFmtId="1" fontId="13" fillId="0" borderId="8" xfId="0" applyNumberFormat="1" applyFont="1" applyBorder="1"/>
    <xf numFmtId="171" fontId="12" fillId="0" borderId="16" xfId="1" applyNumberFormat="1" applyFont="1" applyBorder="1" applyAlignment="1">
      <alignment horizontal="right"/>
    </xf>
    <xf numFmtId="3" fontId="38" fillId="0" borderId="1" xfId="73" applyNumberFormat="1" applyFont="1" applyBorder="1"/>
    <xf numFmtId="0" fontId="4" fillId="0" borderId="57" xfId="0" applyFont="1" applyBorder="1"/>
    <xf numFmtId="0" fontId="2" fillId="0" borderId="58" xfId="0" applyFont="1" applyBorder="1"/>
    <xf numFmtId="0" fontId="2" fillId="0" borderId="59" xfId="0" applyFont="1" applyBorder="1"/>
    <xf numFmtId="0" fontId="2" fillId="0" borderId="60" xfId="0" applyFont="1" applyBorder="1"/>
    <xf numFmtId="4" fontId="2" fillId="0" borderId="9" xfId="1" applyNumberFormat="1" applyFont="1" applyBorder="1" applyAlignment="1">
      <alignment horizontal="right"/>
    </xf>
    <xf numFmtId="3" fontId="2" fillId="0" borderId="6" xfId="1" applyNumberFormat="1" applyFont="1" applyBorder="1" applyAlignment="1">
      <alignment horizontal="right"/>
    </xf>
    <xf numFmtId="3" fontId="2" fillId="0" borderId="34" xfId="1" applyNumberFormat="1" applyFont="1" applyBorder="1" applyAlignment="1">
      <alignment horizontal="right"/>
    </xf>
    <xf numFmtId="0" fontId="9" fillId="0" borderId="7" xfId="0" applyFont="1" applyBorder="1"/>
    <xf numFmtId="0" fontId="39" fillId="0" borderId="0" xfId="0" applyFont="1"/>
    <xf numFmtId="0" fontId="40" fillId="0" borderId="0" xfId="0" applyFont="1"/>
    <xf numFmtId="0" fontId="39" fillId="0" borderId="1" xfId="0" applyFont="1" applyBorder="1"/>
    <xf numFmtId="0" fontId="40" fillId="0" borderId="1" xfId="0" applyFont="1" applyBorder="1"/>
    <xf numFmtId="0" fontId="41" fillId="0" borderId="1" xfId="0" applyFont="1" applyBorder="1"/>
    <xf numFmtId="0" fontId="13" fillId="0" borderId="2" xfId="0" applyFont="1" applyBorder="1" applyAlignment="1">
      <alignment horizontal="left"/>
    </xf>
    <xf numFmtId="0" fontId="13" fillId="0" borderId="3" xfId="0" applyFont="1" applyBorder="1" applyAlignment="1">
      <alignment horizontal="left"/>
    </xf>
    <xf numFmtId="0" fontId="13" fillId="0" borderId="4" xfId="0" applyFont="1" applyBorder="1" applyAlignment="1">
      <alignment horizontal="left"/>
    </xf>
    <xf numFmtId="0" fontId="12" fillId="0" borderId="2" xfId="0" applyFont="1" applyBorder="1" applyAlignment="1">
      <alignment wrapText="1"/>
    </xf>
    <xf numFmtId="0" fontId="12" fillId="0" borderId="3" xfId="0" applyFont="1" applyBorder="1" applyAlignment="1">
      <alignment wrapText="1"/>
    </xf>
    <xf numFmtId="0" fontId="13" fillId="0" borderId="2" xfId="0" applyFont="1" applyBorder="1" applyAlignment="1">
      <alignment wrapText="1"/>
    </xf>
    <xf numFmtId="0" fontId="13" fillId="0" borderId="3" xfId="0" applyFont="1" applyBorder="1" applyAlignment="1">
      <alignment wrapText="1"/>
    </xf>
    <xf numFmtId="0" fontId="13" fillId="0" borderId="48" xfId="0" applyFont="1" applyBorder="1" applyAlignment="1">
      <alignment wrapText="1"/>
    </xf>
    <xf numFmtId="0" fontId="13" fillId="0" borderId="7" xfId="0" applyFont="1" applyBorder="1" applyAlignment="1"/>
    <xf numFmtId="0" fontId="13" fillId="0" borderId="8" xfId="0" applyFont="1" applyBorder="1" applyAlignment="1"/>
    <xf numFmtId="0" fontId="13" fillId="0" borderId="45" xfId="0" applyFont="1" applyBorder="1" applyAlignment="1"/>
    <xf numFmtId="0" fontId="13" fillId="0" borderId="35" xfId="0" applyFont="1" applyBorder="1" applyAlignment="1"/>
    <xf numFmtId="0" fontId="13" fillId="0" borderId="2" xfId="0" applyFont="1" applyBorder="1" applyAlignment="1"/>
    <xf numFmtId="0" fontId="13" fillId="0" borderId="4" xfId="0" applyFont="1" applyBorder="1" applyAlignment="1"/>
    <xf numFmtId="0" fontId="12" fillId="0" borderId="2" xfId="0" applyFont="1" applyBorder="1" applyAlignment="1"/>
    <xf numFmtId="0" fontId="12" fillId="0" borderId="4" xfId="0" applyFont="1" applyBorder="1" applyAlignment="1"/>
  </cellXfs>
  <cellStyles count="82">
    <cellStyle name="20 % – uthevingsfarge 1" xfId="17" builtinId="30" customBuiltin="1"/>
    <cellStyle name="20 % – uthevingsfarge 2" xfId="20" builtinId="34" customBuiltin="1"/>
    <cellStyle name="20 % – uthevingsfarge 3" xfId="23" builtinId="38" customBuiltin="1"/>
    <cellStyle name="20 % – uthevingsfarge 4" xfId="26" builtinId="42" customBuiltin="1"/>
    <cellStyle name="20 % – uthevingsfarge 5" xfId="29" builtinId="46" customBuiltin="1"/>
    <cellStyle name="20 % – uthevingsfarge 6" xfId="32" builtinId="50" customBuiltin="1"/>
    <cellStyle name="40 % – uthevingsfarge 1" xfId="18" builtinId="31" customBuiltin="1"/>
    <cellStyle name="40 % – uthevingsfarge 2" xfId="21" builtinId="35" customBuiltin="1"/>
    <cellStyle name="40 % – uthevingsfarge 3" xfId="24" builtinId="39" customBuiltin="1"/>
    <cellStyle name="40 % – uthevingsfarge 4" xfId="27" builtinId="43" customBuiltin="1"/>
    <cellStyle name="40 % – uthevingsfarge 5" xfId="30" builtinId="47" customBuiltin="1"/>
    <cellStyle name="40 % – uthevingsfarge 6" xfId="33" builtinId="51" customBuiltin="1"/>
    <cellStyle name="60% - Accent1 2" xfId="48" xr:uid="{809D2F12-62ED-4A0C-9F63-63165E3268BD}"/>
    <cellStyle name="60% - Accent2 2" xfId="49" xr:uid="{C2AD8954-6532-475D-B034-03348CEDF484}"/>
    <cellStyle name="60% - Accent3 2" xfId="50" xr:uid="{F59F5F86-CBD8-4F99-A0E2-529C112AA8AB}"/>
    <cellStyle name="60% - Accent4 2" xfId="51" xr:uid="{5B7554A3-05AA-4F5E-9265-89BA2BE2F66B}"/>
    <cellStyle name="60% - Accent5 2" xfId="52" xr:uid="{4DD6F862-28F3-439C-BAA0-CDD50B0994DA}"/>
    <cellStyle name="60% - Accent6 2" xfId="53" xr:uid="{0D543ED0-1E8E-4B36-BA70-A9516A2FA74C}"/>
    <cellStyle name="Beregning" xfId="10" builtinId="22" customBuiltin="1"/>
    <cellStyle name="Comma 2" xfId="36" xr:uid="{3E6BF9A4-A117-48BF-A558-67841DA41E4E}"/>
    <cellStyle name="Dårlig" xfId="7" builtinId="27" customBuiltin="1"/>
    <cellStyle name="Forklarende tekst" xfId="14" builtinId="53" customBuiltin="1"/>
    <cellStyle name="God" xfId="6" builtinId="26" customBuiltin="1"/>
    <cellStyle name="Hyperkobling" xfId="70" builtinId="8"/>
    <cellStyle name="Hyperlink" xfId="71" xr:uid="{00000000-000B-0000-0000-000008000000}"/>
    <cellStyle name="Inndata" xfId="8" builtinId="20" customBuiltin="1"/>
    <cellStyle name="Koblet celle" xfId="11" builtinId="24" customBuiltin="1"/>
    <cellStyle name="Komma" xfId="1" builtinId="3"/>
    <cellStyle name="Komma 2" xfId="59" xr:uid="{9AE3F989-6539-4710-95CA-FAF3DAA1A125}"/>
    <cellStyle name="Komma 2 2" xfId="62" xr:uid="{CE187A5A-4CC5-4ED6-84B2-6481A024D356}"/>
    <cellStyle name="Komma 3" xfId="81" xr:uid="{E6990CB9-1E3B-44B6-94DD-25FCBCA586B0}"/>
    <cellStyle name="Kontrollcelle" xfId="12" builtinId="23" customBuiltin="1"/>
    <cellStyle name="Merknad 2" xfId="55" xr:uid="{D1296285-3BDE-47CF-BA57-88C6641FA52E}"/>
    <cellStyle name="Neutral 2" xfId="47" xr:uid="{CE3EBBD4-350A-4425-B860-E06D61E47EC6}"/>
    <cellStyle name="Normal" xfId="0" builtinId="0"/>
    <cellStyle name="Normal 10" xfId="72" xr:uid="{48A88CFE-FA4E-474B-ACD4-3456F5BD17E5}"/>
    <cellStyle name="Normal 11" xfId="73" xr:uid="{BD35BB49-78EA-4FD6-9759-1ECAA939073D}"/>
    <cellStyle name="Normal 2" xfId="37" xr:uid="{D5880286-DE3A-4E56-884C-2905860F236C}"/>
    <cellStyle name="Normal 2 2" xfId="38" xr:uid="{00BED6CA-F760-4458-8D94-694CC9C852C4}"/>
    <cellStyle name="Normal 2 3" xfId="74" xr:uid="{0270C6E2-7C29-4457-9DF5-E4DE7B801E32}"/>
    <cellStyle name="Normal 3" xfId="42" xr:uid="{8494C808-F671-4858-A8F2-D8923D470E17}"/>
    <cellStyle name="Normal 3 2" xfId="64" xr:uid="{D5875E16-E7BF-4495-B9A7-4C3C4A186968}"/>
    <cellStyle name="Normal 3 3" xfId="76" xr:uid="{8F0A16F9-BB05-4C5A-9A6B-D364A4BD9891}"/>
    <cellStyle name="Normal 36" xfId="75" xr:uid="{0D46D779-BF06-44E0-AB5E-405BCD25C050}"/>
    <cellStyle name="Normal 4" xfId="43" xr:uid="{E1D11BC4-ED19-43C1-B2FC-09FEEF8FF190}"/>
    <cellStyle name="Normal 4 2" xfId="56" xr:uid="{A3B25362-EA99-4564-B8DB-AF98B74BA524}"/>
    <cellStyle name="Normal 4 2 2" xfId="57" xr:uid="{0EE6B162-4819-4F38-9880-5230C7730FFF}"/>
    <cellStyle name="Normal 4 3" xfId="77" xr:uid="{B56E4EB5-461C-41DA-BC5C-F2193F76B6E5}"/>
    <cellStyle name="Normal 5" xfId="44" xr:uid="{9C2BCFD7-0B9E-49B3-A5F1-09C7FFB31771}"/>
    <cellStyle name="Normal 5 2" xfId="63" xr:uid="{64E1D3AE-D03B-4B71-B90E-5FD0B5629B6C}"/>
    <cellStyle name="Normal 6" xfId="54" xr:uid="{8FC3E6B6-40B9-4A92-8DF9-070D63202F8B}"/>
    <cellStyle name="Normal 6 2" xfId="61" xr:uid="{DF9D1A9E-A3AC-4607-B3D6-83167886405A}"/>
    <cellStyle name="Normal 6 3" xfId="65" xr:uid="{1A761EC3-E37C-4AD9-9AD8-A13DD73FE281}"/>
    <cellStyle name="Normal 6 4" xfId="78" xr:uid="{BBB571A2-8F54-40B4-96B3-F77528E57199}"/>
    <cellStyle name="Normal 7" xfId="58" xr:uid="{4A05D57F-4759-439F-B1DF-3195657349E9}"/>
    <cellStyle name="Normal 7 2" xfId="79" xr:uid="{637659A7-EB7D-429E-AA3D-84D6FC0A9785}"/>
    <cellStyle name="Normal 7 3" xfId="60" xr:uid="{12DC8342-F97A-4BC1-8F3F-348C50E1F9BB}"/>
    <cellStyle name="Normal 7 3 2" xfId="67" xr:uid="{B7D04F58-7577-481D-80F0-65DC4B4A331E}"/>
    <cellStyle name="Normal 8" xfId="66" xr:uid="{25BCF176-BE89-46DA-988B-7827A6A0BBE3}"/>
    <cellStyle name="Normal 8 2" xfId="80" xr:uid="{EE41F7BD-F553-463E-B169-6C97A672A7BF}"/>
    <cellStyle name="Normal 9" xfId="34" xr:uid="{8ACCCA58-C586-4EC2-BE5F-F3658B84DE60}"/>
    <cellStyle name="Overskrift 1" xfId="2" builtinId="16" customBuiltin="1"/>
    <cellStyle name="Overskrift 2" xfId="3" builtinId="17" customBuiltin="1"/>
    <cellStyle name="Overskrift 3" xfId="4" builtinId="18" customBuiltin="1"/>
    <cellStyle name="Overskrift 4" xfId="5" builtinId="19" customBuiltin="1"/>
    <cellStyle name="Percent 2" xfId="35" xr:uid="{D08525E4-F408-46FA-8FAF-064C3BB330E6}"/>
    <cellStyle name="Prosent" xfId="69" builtinId="5"/>
    <cellStyle name="Prosent 2" xfId="45" xr:uid="{D0B9D2FC-C9AC-49BA-BF93-34EC46CE70D4}"/>
    <cellStyle name="Prosent 2 2" xfId="39" xr:uid="{2A4ECDA2-9132-4C7B-83DA-D198C9F72A79}"/>
    <cellStyle name="Prosent 3" xfId="68" xr:uid="{E0B05971-6D00-4726-B455-46EF7DF99B55}"/>
    <cellStyle name="Title 2" xfId="46" xr:uid="{8821B956-DBF0-4F1A-BDBE-FE909291A35F}"/>
    <cellStyle name="Totalt" xfId="15" builtinId="25" customBuiltin="1"/>
    <cellStyle name="Tusenskille 2 2" xfId="40" xr:uid="{A0335ADC-26BF-4EF6-BE19-778EC1C5B145}"/>
    <cellStyle name="Tusenskille 3" xfId="41" xr:uid="{F12E3438-09A3-44CD-B5A7-01E23BB914B3}"/>
    <cellStyle name="Utdata" xfId="9" builtinId="21" customBuiltin="1"/>
    <cellStyle name="Uthevingsfarge1" xfId="16" builtinId="29" customBuiltin="1"/>
    <cellStyle name="Uthevingsfarge2" xfId="19" builtinId="33" customBuiltin="1"/>
    <cellStyle name="Uthevingsfarge3" xfId="22" builtinId="37" customBuiltin="1"/>
    <cellStyle name="Uthevingsfarge4" xfId="25" builtinId="41" customBuiltin="1"/>
    <cellStyle name="Uthevingsfarge5" xfId="28" builtinId="45" customBuiltin="1"/>
    <cellStyle name="Uthevingsfarge6" xfId="31" builtinId="49" customBuiltin="1"/>
    <cellStyle name="Varseltekst" xfId="1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20523</xdr:colOff>
      <xdr:row>115</xdr:row>
      <xdr:rowOff>136004</xdr:rowOff>
    </xdr:from>
    <xdr:to>
      <xdr:col>12</xdr:col>
      <xdr:colOff>105985</xdr:colOff>
      <xdr:row>147</xdr:row>
      <xdr:rowOff>136072</xdr:rowOff>
    </xdr:to>
    <xdr:sp macro="" textlink="">
      <xdr:nvSpPr>
        <xdr:cNvPr id="2" name="TextBox 4">
          <a:extLst>
            <a:ext uri="{FF2B5EF4-FFF2-40B4-BE49-F238E27FC236}">
              <a16:creationId xmlns:a16="http://schemas.microsoft.com/office/drawing/2014/main" id="{A9CE999E-8D4C-87F8-5925-DF760D765DAD}"/>
            </a:ext>
            <a:ext uri="{147F2762-F138-4A5C-976F-8EAC2B608ADB}">
              <a16:predDERef xmlns:a16="http://schemas.microsoft.com/office/drawing/2014/main" pred="{7949CDF1-8423-1EC2-5FFC-A183D50C427D}"/>
            </a:ext>
          </a:extLst>
        </xdr:cNvPr>
        <xdr:cNvSpPr txBox="1"/>
      </xdr:nvSpPr>
      <xdr:spPr>
        <a:xfrm>
          <a:off x="315798" y="21967304"/>
          <a:ext cx="11048737" cy="58293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50" b="1">
              <a:solidFill>
                <a:schemeClr val="dk1"/>
              </a:solidFill>
              <a:effectLst/>
              <a:latin typeface="+mn-lt"/>
              <a:ea typeface="+mn-ea"/>
              <a:cs typeface="+mn-cs"/>
            </a:rPr>
            <a:t>Fotnoter:</a:t>
          </a:r>
          <a:endParaRPr lang="nb-NO" sz="1000">
            <a:effectLst/>
          </a:endParaRPr>
        </a:p>
        <a:p>
          <a:r>
            <a:rPr lang="nb-NO" sz="1050" i="1">
              <a:solidFill>
                <a:schemeClr val="dk1"/>
              </a:solidFill>
              <a:effectLst/>
              <a:latin typeface="+mn-lt"/>
              <a:ea typeface="+mn-ea"/>
              <a:cs typeface="+mn-cs"/>
            </a:rPr>
            <a:t>Overordnet fornote;</a:t>
          </a:r>
          <a:endParaRPr lang="nb-NO" sz="1000">
            <a:effectLst/>
          </a:endParaRPr>
        </a:p>
        <a:p>
          <a:r>
            <a:rPr lang="nb-NO" sz="1050" b="1" i="0">
              <a:solidFill>
                <a:schemeClr val="dk1"/>
              </a:solidFill>
              <a:effectLst/>
              <a:latin typeface="+mn-lt"/>
              <a:ea typeface="+mn-ea"/>
              <a:cs typeface="+mn-cs"/>
            </a:rPr>
            <a:t>Scopeinndeling: </a:t>
          </a:r>
          <a:r>
            <a:rPr lang="nb-NO" sz="1050" b="0" i="0">
              <a:solidFill>
                <a:schemeClr val="dk1"/>
              </a:solidFill>
              <a:effectLst/>
              <a:latin typeface="+mn-lt"/>
              <a:ea typeface="+mn-ea"/>
              <a:cs typeface="+mn-cs"/>
            </a:rPr>
            <a:t>Etter en gjennomgang høsten 2024 er scopeinndelingen blitt endret fra tidligere. Ny inndeling gjør at direkte utslipp fra rutesatt transport + oppdragskjøring (skoleskyss) i Viken, som Ruter har operasjonell kontroll over, går inn i scope 1. Utslipp fra kjørestrøm for de samme kategoriene går i scope 2. For spesialskyss i Oslo (TT, aldersvennlig og taxi) og pilotene for HENT og selvkjørende, går utslippene under scope 3. Dette grunnet at store deler av kjøringen er initiert og bestilt av kunden selv</a:t>
          </a:r>
          <a:r>
            <a:rPr lang="nb-NO" sz="1050" b="0" i="0" baseline="0">
              <a:solidFill>
                <a:schemeClr val="dk1"/>
              </a:solidFill>
              <a:effectLst/>
              <a:latin typeface="+mn-lt"/>
              <a:ea typeface="+mn-ea"/>
              <a:cs typeface="+mn-cs"/>
            </a:rPr>
            <a:t>. Etter prosess med Science Based Target initiativ høsten 2025, ble Ruter bedt om å flytte TtW- og WtT-utslipp fra kjøring vi ikke har operasjonell kontroll over, til scope 3 kategori 4. WtT-utslipp fra kjøring vi har operasjonnel kontroll over, kategorisert i scope 3 kategori 3. </a:t>
          </a:r>
          <a:br>
            <a:rPr lang="nb-NO" sz="1050" b="0" i="0" baseline="0">
              <a:solidFill>
                <a:schemeClr val="dk1"/>
              </a:solidFill>
              <a:effectLst/>
              <a:latin typeface="+mn-lt"/>
              <a:ea typeface="+mn-ea"/>
              <a:cs typeface="+mn-cs"/>
            </a:rPr>
          </a:br>
          <a:r>
            <a:rPr lang="nb-NO" sz="1050" b="1" i="0" baseline="0">
              <a:solidFill>
                <a:schemeClr val="dk1"/>
              </a:solidFill>
              <a:effectLst/>
              <a:latin typeface="+mn-lt"/>
              <a:ea typeface="+mn-ea"/>
              <a:cs typeface="+mn-cs"/>
            </a:rPr>
            <a:t>Scope 1 - kjølemedier: </a:t>
          </a:r>
          <a:r>
            <a:rPr lang="nb-NO" sz="1050" b="0" i="0" baseline="0">
              <a:solidFill>
                <a:schemeClr val="dk1"/>
              </a:solidFill>
              <a:effectLst/>
              <a:latin typeface="+mn-lt"/>
              <a:ea typeface="+mn-ea"/>
              <a:cs typeface="+mn-cs"/>
            </a:rPr>
            <a:t>Basert på snitt lekkasjemengde av R134a per buss, ganget opp med antall busser. Tallet blir derfor likt år fra år, til faktisk aktivitets data på dette er på plass.</a:t>
          </a:r>
          <a:endParaRPr lang="nb-NO" sz="1000" b="0" i="0">
            <a:effectLst/>
          </a:endParaRPr>
        </a:p>
        <a:p>
          <a:r>
            <a:rPr lang="nb-NO" sz="1050" b="1">
              <a:solidFill>
                <a:schemeClr val="dk1"/>
              </a:solidFill>
              <a:effectLst/>
              <a:latin typeface="+mn-lt"/>
              <a:ea typeface="+mn-ea"/>
              <a:cs typeface="+mn-cs"/>
            </a:rPr>
            <a:t>Scope 2 - marked:</a:t>
          </a:r>
          <a:r>
            <a:rPr lang="nb-NO" sz="1050" baseline="0">
              <a:solidFill>
                <a:schemeClr val="dk1"/>
              </a:solidFill>
              <a:effectLst/>
              <a:latin typeface="+mn-lt"/>
              <a:ea typeface="+mn-ea"/>
              <a:cs typeface="+mn-cs"/>
            </a:rPr>
            <a:t> Ruter kjøper ikke opprinnelsesgaranti for strøm til kontordriften. NVEs utslippsfaktor for rest-miks benyttet. 2025-tall blir publisert senere i år, derfor blir snitt for 2022 - 2024 benyttet for 2025.</a:t>
          </a:r>
          <a:endParaRPr lang="nb-NO" sz="1000">
            <a:effectLst/>
          </a:endParaRPr>
        </a:p>
        <a:p>
          <a:pPr eaLnBrk="1" fontAlgn="auto" latinLnBrk="0" hangingPunct="1"/>
          <a:r>
            <a:rPr lang="nb-NO" sz="1050" b="1" baseline="0">
              <a:solidFill>
                <a:schemeClr val="dk1"/>
              </a:solidFill>
              <a:effectLst/>
              <a:latin typeface="+mn-lt"/>
              <a:ea typeface="+mn-ea"/>
              <a:cs typeface="+mn-cs"/>
            </a:rPr>
            <a:t>Produksjon av materiell (busser, båter, trikker);</a:t>
          </a:r>
          <a:r>
            <a:rPr lang="nb-NO" sz="1050" baseline="0">
              <a:solidFill>
                <a:schemeClr val="dk1"/>
              </a:solidFill>
              <a:effectLst/>
              <a:latin typeface="+mn-lt"/>
              <a:ea typeface="+mn-ea"/>
              <a:cs typeface="+mn-cs"/>
            </a:rPr>
            <a:t> EDPer der det finnes, hvis ikke grovt estimert basert på vekt og evt. batterikapasitet. Store utslipp henger sammen med oppstart av nye kontrakter og tilhørende mye nytt materiell.</a:t>
          </a:r>
          <a:endParaRPr lang="nb-NO" sz="1000">
            <a:effectLst/>
          </a:endParaRPr>
        </a:p>
        <a:p>
          <a:r>
            <a:rPr lang="nb-NO" sz="1050" b="1">
              <a:solidFill>
                <a:schemeClr val="dk1"/>
              </a:solidFill>
              <a:effectLst/>
              <a:latin typeface="+mn-lt"/>
              <a:ea typeface="+mn-ea"/>
              <a:cs typeface="+mn-cs"/>
            </a:rPr>
            <a:t>Kjørestrøm (buss, båt, trikk og t-bane)</a:t>
          </a:r>
          <a:r>
            <a:rPr lang="nb-NO" sz="1050" b="1" baseline="0">
              <a:solidFill>
                <a:schemeClr val="dk1"/>
              </a:solidFill>
              <a:effectLst/>
              <a:latin typeface="+mn-lt"/>
              <a:ea typeface="+mn-ea"/>
              <a:cs typeface="+mn-cs"/>
            </a:rPr>
            <a:t>;</a:t>
          </a:r>
          <a:r>
            <a:rPr lang="nb-NO" sz="1050" baseline="0">
              <a:solidFill>
                <a:schemeClr val="dk1"/>
              </a:solidFill>
              <a:effectLst/>
              <a:latin typeface="+mn-lt"/>
              <a:ea typeface="+mn-ea"/>
              <a:cs typeface="+mn-cs"/>
            </a:rPr>
            <a:t> </a:t>
          </a:r>
          <a:r>
            <a:rPr lang="nb-NO" sz="1050">
              <a:solidFill>
                <a:schemeClr val="dk1"/>
              </a:solidFill>
              <a:effectLst/>
              <a:latin typeface="+mn-lt"/>
              <a:ea typeface="+mn-ea"/>
              <a:cs typeface="+mn-cs"/>
            </a:rPr>
            <a:t>Norsk</a:t>
          </a:r>
          <a:r>
            <a:rPr lang="nb-NO" sz="1050" baseline="0">
              <a:solidFill>
                <a:schemeClr val="dk1"/>
              </a:solidFill>
              <a:effectLst/>
              <a:latin typeface="+mn-lt"/>
              <a:ea typeface="+mn-ea"/>
              <a:cs typeface="+mn-cs"/>
            </a:rPr>
            <a:t> strømmiks (lokasjonsbasert). NVE har ikke utslippsfaktorer for 2017, 2018 og 2024. Brukt snitt av 2019-2021 og 2021-2023 for disse årene. Denne strømmen har opprinnelsesgaranti og er utslippsfri i henhold til markedsbasert metode.</a:t>
          </a:r>
          <a:endParaRPr lang="nb-NO" sz="1000">
            <a:effectLst/>
          </a:endParaRPr>
        </a:p>
        <a:p>
          <a:r>
            <a:rPr lang="nb-NO" sz="1050" b="1" baseline="0">
              <a:solidFill>
                <a:schemeClr val="dk1"/>
              </a:solidFill>
              <a:effectLst/>
              <a:latin typeface="+mn-lt"/>
              <a:ea typeface="+mn-ea"/>
              <a:cs typeface="+mn-cs"/>
            </a:rPr>
            <a:t>Kjørestrøm - trikk og t-bane:</a:t>
          </a:r>
          <a:r>
            <a:rPr lang="nb-NO" sz="1050" baseline="0">
              <a:solidFill>
                <a:schemeClr val="dk1"/>
              </a:solidFill>
              <a:effectLst/>
              <a:latin typeface="+mn-lt"/>
              <a:ea typeface="+mn-ea"/>
              <a:cs typeface="+mn-cs"/>
            </a:rPr>
            <a:t> Ny metode for fordeling av strømforbruk mellom trikk og t-bane medfører økt forbruk for trikk og redusert forbruk for t-bane i 2022 sammenlignet med tidligere år.</a:t>
          </a:r>
          <a:endParaRPr lang="nb-NO" sz="1000">
            <a:effectLst/>
          </a:endParaRPr>
        </a:p>
        <a:p>
          <a:r>
            <a:rPr lang="nb-NO" sz="1050" b="1" baseline="0">
              <a:solidFill>
                <a:schemeClr val="dk1"/>
              </a:solidFill>
              <a:effectLst/>
              <a:latin typeface="+mn-lt"/>
              <a:ea typeface="+mn-ea"/>
              <a:cs typeface="+mn-cs"/>
            </a:rPr>
            <a:t>Spesialskyss - kjøring;</a:t>
          </a:r>
          <a:r>
            <a:rPr lang="nb-NO" sz="1050" baseline="0">
              <a:solidFill>
                <a:schemeClr val="dk1"/>
              </a:solidFill>
              <a:effectLst/>
              <a:latin typeface="+mn-lt"/>
              <a:ea typeface="+mn-ea"/>
              <a:cs typeface="+mn-cs"/>
            </a:rPr>
            <a:t> 2022: Beregnet basert på planlagt kjøring. Fra 2023 er tallet basert på rapportering fra operatør.</a:t>
          </a:r>
          <a:endParaRPr lang="nb-NO" sz="1000">
            <a:effectLst/>
          </a:endParaRPr>
        </a:p>
        <a:p>
          <a:r>
            <a:rPr lang="nb-NO" sz="1050" b="1" baseline="0">
              <a:solidFill>
                <a:schemeClr val="dk1"/>
              </a:solidFill>
              <a:effectLst/>
              <a:latin typeface="+mn-lt"/>
              <a:ea typeface="+mn-ea"/>
              <a:cs typeface="+mn-cs"/>
            </a:rPr>
            <a:t>Spesialskyss - energiforbruk;</a:t>
          </a:r>
          <a:r>
            <a:rPr lang="nb-NO" sz="1050" baseline="0">
              <a:solidFill>
                <a:schemeClr val="dk1"/>
              </a:solidFill>
              <a:effectLst/>
              <a:latin typeface="+mn-lt"/>
              <a:ea typeface="+mn-ea"/>
              <a:cs typeface="+mn-cs"/>
            </a:rPr>
            <a:t> 2022: Beregnet basert på oppgitt energiforbruk for kjøretøyene. Fra 2023 er tallet basert på rapportering fra operatør.</a:t>
          </a:r>
          <a:endParaRPr lang="nb-NO" sz="1000">
            <a:effectLst/>
          </a:endParaRPr>
        </a:p>
        <a:p>
          <a:r>
            <a:rPr lang="nb-NO" sz="1050" b="1" baseline="0">
              <a:solidFill>
                <a:schemeClr val="dk1"/>
              </a:solidFill>
              <a:effectLst/>
              <a:latin typeface="+mn-lt"/>
              <a:ea typeface="+mn-ea"/>
              <a:cs typeface="+mn-cs"/>
            </a:rPr>
            <a:t>Spesialskyss - materiell;</a:t>
          </a:r>
          <a:r>
            <a:rPr lang="nb-NO" sz="1050" baseline="0">
              <a:solidFill>
                <a:schemeClr val="dk1"/>
              </a:solidFill>
              <a:effectLst/>
              <a:latin typeface="+mn-lt"/>
              <a:ea typeface="+mn-ea"/>
              <a:cs typeface="+mn-cs"/>
            </a:rPr>
            <a:t> Omfatter kun nye kjøretøy som kjører dedikert for Ruter. Kjøretøy fra oppdragskjøring er i bruk for aldersvennlig transport.</a:t>
          </a:r>
          <a:endParaRPr lang="nb-NO" sz="1000">
            <a:effectLst/>
          </a:endParaRPr>
        </a:p>
        <a:p>
          <a:r>
            <a:rPr lang="nb-NO" sz="1050" b="1" baseline="0">
              <a:solidFill>
                <a:schemeClr val="dk1"/>
              </a:solidFill>
              <a:effectLst/>
              <a:latin typeface="+mn-lt"/>
              <a:ea typeface="+mn-ea"/>
              <a:cs typeface="+mn-cs"/>
            </a:rPr>
            <a:t>Flyreiser:</a:t>
          </a:r>
          <a:r>
            <a:rPr lang="nb-NO" sz="1050" baseline="0">
              <a:solidFill>
                <a:schemeClr val="dk1"/>
              </a:solidFill>
              <a:effectLst/>
              <a:latin typeface="+mn-lt"/>
              <a:ea typeface="+mn-ea"/>
              <a:cs typeface="+mn-cs"/>
            </a:rPr>
            <a:t> Basert på reiser bestilt gjennom Ruters reisebyrå. Data for 2019 og 2020 mangler.</a:t>
          </a:r>
          <a:endParaRPr lang="nb-NO" sz="1000">
            <a:effectLst/>
          </a:endParaRPr>
        </a:p>
        <a:p>
          <a:r>
            <a:rPr lang="nb-NO" sz="1050" b="1" baseline="0">
              <a:solidFill>
                <a:schemeClr val="dk1"/>
              </a:solidFill>
              <a:effectLst/>
              <a:latin typeface="+mn-lt"/>
              <a:ea typeface="+mn-ea"/>
              <a:cs typeface="+mn-cs"/>
            </a:rPr>
            <a:t>Reiser med bil:</a:t>
          </a:r>
          <a:r>
            <a:rPr lang="nb-NO" sz="1050" baseline="0">
              <a:solidFill>
                <a:schemeClr val="dk1"/>
              </a:solidFill>
              <a:effectLst/>
              <a:latin typeface="+mn-lt"/>
              <a:ea typeface="+mn-ea"/>
              <a:cs typeface="+mn-cs"/>
            </a:rPr>
            <a:t> Basert på utbetalt kjøregodtgjørelse. DEFRA-faktorer per km (dette er dog trolig for høyt gitt norsk elbilandel).</a:t>
          </a:r>
        </a:p>
        <a:p>
          <a:r>
            <a:rPr lang="nb-NO" sz="1050" b="1" baseline="0">
              <a:solidFill>
                <a:schemeClr val="dk1"/>
              </a:solidFill>
              <a:effectLst/>
              <a:latin typeface="+mn-lt"/>
              <a:ea typeface="+mn-ea"/>
              <a:cs typeface="+mn-cs"/>
            </a:rPr>
            <a:t>Avvikskjøring: </a:t>
          </a:r>
          <a:r>
            <a:rPr lang="nb-NO" sz="1050" b="0" baseline="0">
              <a:solidFill>
                <a:schemeClr val="dk1"/>
              </a:solidFill>
              <a:effectLst/>
              <a:latin typeface="+mn-lt"/>
              <a:ea typeface="+mn-ea"/>
              <a:cs typeface="+mn-cs"/>
            </a:rPr>
            <a:t>Beregnet basert på planlagt kjøring.</a:t>
          </a:r>
        </a:p>
        <a:p>
          <a:r>
            <a:rPr lang="nb-NO" sz="1050" b="1" baseline="0">
              <a:solidFill>
                <a:schemeClr val="dk1"/>
              </a:solidFill>
              <a:effectLst/>
              <a:latin typeface="+mn-lt"/>
              <a:ea typeface="+mn-ea"/>
              <a:cs typeface="+mn-cs"/>
            </a:rPr>
            <a:t>Produksjon av dekk: </a:t>
          </a:r>
          <a:r>
            <a:rPr lang="nb-NO" sz="1050" b="0" baseline="0">
              <a:solidFill>
                <a:schemeClr val="dk1"/>
              </a:solidFill>
              <a:effectLst/>
              <a:latin typeface="+mn-lt"/>
              <a:ea typeface="+mn-ea"/>
              <a:cs typeface="+mn-cs"/>
            </a:rPr>
            <a:t>Bussene bytter sine dekk én gang i året. Estimert utslipp knyttet til dette er basert på EDP for Continental lastebildekk, samt antall hjul i bussparken. Derfor blir ganske likt år for år, frem til vi får faktisk data på dette.</a:t>
          </a:r>
          <a:br>
            <a:rPr lang="nb-NO" sz="1050" b="1" baseline="0">
              <a:solidFill>
                <a:schemeClr val="dk1"/>
              </a:solidFill>
              <a:effectLst/>
              <a:latin typeface="+mn-lt"/>
              <a:ea typeface="+mn-ea"/>
              <a:cs typeface="+mn-cs"/>
            </a:rPr>
          </a:br>
          <a:r>
            <a:rPr lang="nb-NO" sz="1050" b="1" baseline="0">
              <a:solidFill>
                <a:schemeClr val="dk1"/>
              </a:solidFill>
              <a:effectLst/>
              <a:latin typeface="+mn-lt"/>
              <a:ea typeface="+mn-ea"/>
              <a:cs typeface="+mn-cs"/>
            </a:rPr>
            <a:t>Lindøya base: </a:t>
          </a:r>
          <a:r>
            <a:rPr lang="nb-NO" sz="1050" b="0" baseline="0">
              <a:solidFill>
                <a:schemeClr val="dk1"/>
              </a:solidFill>
              <a:effectLst/>
              <a:latin typeface="+mn-lt"/>
              <a:ea typeface="+mn-ea"/>
              <a:cs typeface="+mn-cs"/>
            </a:rPr>
            <a:t>Basert på materialbruk og mengde, samt utslippsverdier fra EDPer. Kun vesentlig materialer er med i regnestykket. Metode for beregningene er basert på standarden som også ligger til grunn for kravene i teknisk forskrift (TEK17) om klimagassberegninger (NS3720:2018)</a:t>
          </a:r>
        </a:p>
        <a:p>
          <a:pPr marL="0" marR="0" lvl="0" indent="0" defTabSz="914400" eaLnBrk="1" fontAlgn="auto" latinLnBrk="0" hangingPunct="1">
            <a:lnSpc>
              <a:spcPct val="100000"/>
            </a:lnSpc>
            <a:spcBef>
              <a:spcPts val="0"/>
            </a:spcBef>
            <a:spcAft>
              <a:spcPts val="0"/>
            </a:spcAft>
            <a:buClrTx/>
            <a:buSzTx/>
            <a:buFontTx/>
            <a:buNone/>
            <a:tabLst/>
            <a:defRPr/>
          </a:pPr>
          <a:r>
            <a:rPr lang="nb-NO" sz="1050" b="1" baseline="0">
              <a:solidFill>
                <a:schemeClr val="dk1"/>
              </a:solidFill>
              <a:effectLst/>
              <a:latin typeface="+mn-lt"/>
              <a:ea typeface="+mn-ea"/>
              <a:cs typeface="+mn-cs"/>
            </a:rPr>
            <a:t>Holdeplass:  </a:t>
          </a:r>
          <a:r>
            <a:rPr lang="nb-NO" sz="1100" b="0" baseline="0">
              <a:solidFill>
                <a:schemeClr val="dk1"/>
              </a:solidFill>
              <a:effectLst/>
              <a:latin typeface="+mn-lt"/>
              <a:ea typeface="+mn-ea"/>
              <a:cs typeface="+mn-cs"/>
            </a:rPr>
            <a:t>Utslippene er estimert som et snitt av avtrykket til tilsvarende produkter med EPDer ("industry average emission factors"). </a:t>
          </a:r>
          <a:endParaRPr lang="nb-NO" sz="1050">
            <a:effectLst/>
          </a:endParaRPr>
        </a:p>
        <a:p>
          <a:r>
            <a:rPr lang="nb-NO" sz="1050" b="0" baseline="0">
              <a:solidFill>
                <a:schemeClr val="dk1"/>
              </a:solidFill>
              <a:effectLst/>
              <a:latin typeface="+mn-lt"/>
              <a:ea typeface="+mn-ea"/>
              <a:cs typeface="+mn-cs"/>
            </a:rPr>
            <a:t>Ufullstendige tall, da de kun omfatter buss og- trikkeholdeplasser i Oslo, ikke Akershus. Tall for t-bane-holdeplass mangler også.</a:t>
          </a:r>
        </a:p>
        <a:p>
          <a:r>
            <a:rPr lang="nb-NO" sz="1050" b="1" baseline="0">
              <a:solidFill>
                <a:schemeClr val="dk1"/>
              </a:solidFill>
              <a:effectLst/>
              <a:latin typeface="+mn-lt"/>
              <a:ea typeface="+mn-ea"/>
              <a:cs typeface="+mn-cs"/>
            </a:rPr>
            <a:t>Administrasjon: </a:t>
          </a:r>
          <a:r>
            <a:rPr lang="nb-NO" sz="1050" b="0" baseline="0">
              <a:solidFill>
                <a:schemeClr val="dk1"/>
              </a:solidFill>
              <a:effectLst/>
              <a:latin typeface="+mn-lt"/>
              <a:ea typeface="+mn-ea"/>
              <a:cs typeface="+mn-cs"/>
            </a:rPr>
            <a:t>Basert på </a:t>
          </a:r>
          <a:r>
            <a:rPr lang="nb-NO" sz="1100" b="0" i="0">
              <a:solidFill>
                <a:schemeClr val="dk1"/>
              </a:solidFill>
              <a:effectLst/>
              <a:latin typeface="+mn-lt"/>
              <a:ea typeface="+mn-ea"/>
              <a:cs typeface="+mn-cs"/>
            </a:rPr>
            <a:t>fakturatall</a:t>
          </a:r>
          <a:r>
            <a:rPr lang="nb-NO" sz="1100" b="0" i="0" baseline="0">
              <a:solidFill>
                <a:schemeClr val="dk1"/>
              </a:solidFill>
              <a:effectLst/>
              <a:latin typeface="+mn-lt"/>
              <a:ea typeface="+mn-ea"/>
              <a:cs typeface="+mn-cs"/>
            </a:rPr>
            <a:t> </a:t>
          </a:r>
          <a:r>
            <a:rPr lang="nb-NO" sz="1100" b="0" i="0">
              <a:solidFill>
                <a:schemeClr val="dk1"/>
              </a:solidFill>
              <a:effectLst/>
              <a:latin typeface="+mn-lt"/>
              <a:ea typeface="+mn-ea"/>
              <a:cs typeface="+mn-cs"/>
            </a:rPr>
            <a:t>og</a:t>
          </a:r>
          <a:r>
            <a:rPr lang="nb-NO" sz="1100" b="0" i="0" baseline="0">
              <a:solidFill>
                <a:schemeClr val="dk1"/>
              </a:solidFill>
              <a:effectLst/>
              <a:latin typeface="+mn-lt"/>
              <a:ea typeface="+mn-ea"/>
              <a:cs typeface="+mn-cs"/>
            </a:rPr>
            <a:t> DFØs utslippsfaktorer for statlige innkjøp </a:t>
          </a:r>
          <a:r>
            <a:rPr lang="nb-NO" sz="1050" b="0" baseline="0">
              <a:solidFill>
                <a:schemeClr val="dk1"/>
              </a:solidFill>
              <a:effectLst/>
              <a:latin typeface="+mn-lt"/>
              <a:ea typeface="+mn-ea"/>
              <a:cs typeface="+mn-cs"/>
            </a:rPr>
            <a:t>("spend based method")</a:t>
          </a:r>
        </a:p>
        <a:p>
          <a:r>
            <a:rPr lang="nb-NO" sz="1100" b="1" baseline="0">
              <a:solidFill>
                <a:schemeClr val="dk1"/>
              </a:solidFill>
              <a:effectLst/>
              <a:latin typeface="+mn-lt"/>
              <a:ea typeface="+mn-ea"/>
              <a:cs typeface="+mn-cs"/>
            </a:rPr>
            <a:t>Hurtigbåt: </a:t>
          </a:r>
          <a:r>
            <a:rPr lang="nb-NO" sz="1100" b="0" baseline="0">
              <a:solidFill>
                <a:schemeClr val="dk1"/>
              </a:solidFill>
              <a:effectLst/>
              <a:latin typeface="+mn-lt"/>
              <a:ea typeface="+mn-ea"/>
              <a:cs typeface="+mn-cs"/>
            </a:rPr>
            <a:t>Basert på vektinformasjon fra Norled og utslippsfaktorer for materiell. Nærmere forklaring i arkfanen </a:t>
          </a:r>
          <a:r>
            <a:rPr lang="nb-NO" sz="1100" b="0" i="1" baseline="0">
              <a:solidFill>
                <a:schemeClr val="dk1"/>
              </a:solidFill>
              <a:effectLst/>
              <a:latin typeface="+mn-lt"/>
              <a:ea typeface="+mn-ea"/>
              <a:cs typeface="+mn-cs"/>
            </a:rPr>
            <a:t>'Kat. 1 - Nytt materiell'</a:t>
          </a:r>
          <a:r>
            <a:rPr lang="nb-NO" sz="1100" b="0" baseline="0">
              <a:solidFill>
                <a:schemeClr val="dk1"/>
              </a:solidFill>
              <a:effectLst/>
              <a:latin typeface="+mn-lt"/>
              <a:ea typeface="+mn-ea"/>
              <a:cs typeface="+mn-cs"/>
            </a:rPr>
            <a:t>.</a:t>
          </a:r>
          <a:endParaRPr lang="nb-NO" sz="1050">
            <a:effectLst/>
          </a:endParaRPr>
        </a:p>
        <a:p>
          <a:r>
            <a:rPr lang="nb-NO" sz="1100" b="1" baseline="0">
              <a:solidFill>
                <a:schemeClr val="dk1"/>
              </a:solidFill>
              <a:effectLst/>
              <a:latin typeface="+mn-lt"/>
              <a:ea typeface="+mn-ea"/>
              <a:cs typeface="+mn-cs"/>
            </a:rPr>
            <a:t>Sjåførfasiliteter: </a:t>
          </a:r>
          <a:r>
            <a:rPr lang="nb-NO" sz="1100" b="0" baseline="0">
              <a:solidFill>
                <a:schemeClr val="dk1"/>
              </a:solidFill>
              <a:effectLst/>
              <a:latin typeface="+mn-lt"/>
              <a:ea typeface="+mn-ea"/>
              <a:cs typeface="+mn-cs"/>
            </a:rPr>
            <a:t>Basert på EPD-er og materialliste fra leverandør. Vises som netto negativt pga høy andel trevirkebaserte bygningsdeler. Disse forutsettes går til energigjenvinning ved endt livssyklus, men det er utenfor analysen slik den gjøres ihht TEK 17. Nærmere forklaring gitt i arkfanen for </a:t>
          </a:r>
          <a:r>
            <a:rPr lang="nb-NO" sz="1100" b="0" i="1" baseline="0">
              <a:solidFill>
                <a:schemeClr val="dk1"/>
              </a:solidFill>
              <a:effectLst/>
              <a:latin typeface="+mn-lt"/>
              <a:ea typeface="+mn-ea"/>
              <a:cs typeface="+mn-cs"/>
            </a:rPr>
            <a:t>'Utslippsber. sjåførfasiliteter'</a:t>
          </a:r>
          <a:r>
            <a:rPr lang="nb-NO" sz="1100" b="0" baseline="0">
              <a:solidFill>
                <a:schemeClr val="dk1"/>
              </a:solidFill>
              <a:effectLst/>
              <a:latin typeface="+mn-lt"/>
              <a:ea typeface="+mn-ea"/>
              <a:cs typeface="+mn-cs"/>
            </a:rPr>
            <a:t>.</a:t>
          </a:r>
          <a:endParaRPr lang="nb-NO" sz="1050">
            <a:effectLst/>
          </a:endParaRPr>
        </a:p>
        <a:p>
          <a:r>
            <a:rPr lang="nb-NO" sz="1100" b="1" baseline="0">
              <a:solidFill>
                <a:schemeClr val="dk1"/>
              </a:solidFill>
              <a:effectLst/>
              <a:latin typeface="+mn-lt"/>
              <a:ea typeface="+mn-ea"/>
              <a:cs typeface="+mn-cs"/>
            </a:rPr>
            <a:t>Kaianlegg: </a:t>
          </a:r>
          <a:r>
            <a:rPr lang="nb-NO" sz="1100" b="0" baseline="0">
              <a:solidFill>
                <a:schemeClr val="dk1"/>
              </a:solidFill>
              <a:effectLst/>
              <a:latin typeface="+mn-lt"/>
              <a:ea typeface="+mn-ea"/>
              <a:cs typeface="+mn-cs"/>
            </a:rPr>
            <a:t>Basert på EPD-er og informasjon fra prosjektet (Ruter / Lindøya) og Asker kommune (Slemmestad). </a:t>
          </a:r>
        </a:p>
      </xdr:txBody>
    </xdr:sp>
    <xdr:clientData/>
  </xdr:twoCellAnchor>
  <xdr:twoCellAnchor>
    <xdr:from>
      <xdr:col>14</xdr:col>
      <xdr:colOff>1097643</xdr:colOff>
      <xdr:row>166</xdr:row>
      <xdr:rowOff>66675</xdr:rowOff>
    </xdr:from>
    <xdr:to>
      <xdr:col>23</xdr:col>
      <xdr:colOff>882108</xdr:colOff>
      <xdr:row>175</xdr:row>
      <xdr:rowOff>139927</xdr:rowOff>
    </xdr:to>
    <xdr:sp macro="" textlink="">
      <xdr:nvSpPr>
        <xdr:cNvPr id="3" name="TextBox 4">
          <a:extLst>
            <a:ext uri="{FF2B5EF4-FFF2-40B4-BE49-F238E27FC236}">
              <a16:creationId xmlns:a16="http://schemas.microsoft.com/office/drawing/2014/main" id="{F4CEE456-4A89-4572-85E2-7FB3798269E6}"/>
            </a:ext>
            <a:ext uri="{147F2762-F138-4A5C-976F-8EAC2B608ADB}">
              <a16:predDERef xmlns:a16="http://schemas.microsoft.com/office/drawing/2014/main" pred="{51DE1DE4-CA41-494F-BCEC-7C820A567215}"/>
            </a:ext>
          </a:extLst>
        </xdr:cNvPr>
        <xdr:cNvSpPr txBox="1"/>
      </xdr:nvSpPr>
      <xdr:spPr>
        <a:xfrm>
          <a:off x="13561786" y="24722818"/>
          <a:ext cx="9377501" cy="16788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solidFill>
                <a:schemeClr val="dk1"/>
              </a:solidFill>
              <a:effectLst/>
              <a:latin typeface="+mn-lt"/>
              <a:ea typeface="+mn-ea"/>
              <a:cs typeface="+mn-cs"/>
            </a:rPr>
            <a:t>Fotnoter til 304 - overordnet:</a:t>
          </a:r>
        </a:p>
        <a:p>
          <a:pPr marL="0" marR="0" lvl="0" indent="0" defTabSz="914400" eaLnBrk="1" fontAlgn="auto" latinLnBrk="0" hangingPunct="1">
            <a:lnSpc>
              <a:spcPct val="100000"/>
            </a:lnSpc>
            <a:spcBef>
              <a:spcPts val="0"/>
            </a:spcBef>
            <a:spcAft>
              <a:spcPts val="0"/>
            </a:spcAft>
            <a:buClrTx/>
            <a:buSzTx/>
            <a:buFontTx/>
            <a:buNone/>
            <a:tabLst/>
            <a:defRPr/>
          </a:pPr>
          <a:r>
            <a:rPr lang="nb-NO" sz="1100">
              <a:solidFill>
                <a:schemeClr val="dk1"/>
              </a:solidFill>
              <a:effectLst/>
              <a:latin typeface="+mn-lt"/>
              <a:ea typeface="+mn-ea"/>
              <a:cs typeface="+mn-cs"/>
            </a:rPr>
            <a:t>- For celler</a:t>
          </a:r>
          <a:r>
            <a:rPr lang="nb-NO" sz="1100" baseline="0">
              <a:solidFill>
                <a:schemeClr val="dk1"/>
              </a:solidFill>
              <a:effectLst/>
              <a:latin typeface="+mn-lt"/>
              <a:ea typeface="+mn-ea"/>
              <a:cs typeface="+mn-cs"/>
            </a:rPr>
            <a:t> som er tomme mangler vi data.</a:t>
          </a:r>
          <a:endParaRPr lang="nb-NO" sz="1050">
            <a:effectLst/>
          </a:endParaRPr>
        </a:p>
        <a:p>
          <a:endParaRPr lang="nb-NO" sz="1050">
            <a:effectLst/>
          </a:endParaRPr>
        </a:p>
        <a:p>
          <a:r>
            <a:rPr lang="nb-NO" sz="1100" b="1">
              <a:solidFill>
                <a:schemeClr val="dk1"/>
              </a:solidFill>
              <a:effectLst/>
              <a:latin typeface="+mn-lt"/>
              <a:ea typeface="+mn-ea"/>
              <a:cs typeface="+mn-cs"/>
            </a:rPr>
            <a:t>Fotnoter til utslipp</a:t>
          </a:r>
          <a:r>
            <a:rPr lang="nb-NO" sz="1100" b="1" baseline="0">
              <a:solidFill>
                <a:schemeClr val="dk1"/>
              </a:solidFill>
              <a:effectLst/>
              <a:latin typeface="+mn-lt"/>
              <a:ea typeface="+mn-ea"/>
              <a:cs typeface="+mn-cs"/>
            </a:rPr>
            <a:t> av PM</a:t>
          </a:r>
          <a:r>
            <a:rPr lang="nb-NO" sz="1100" b="1">
              <a:solidFill>
                <a:schemeClr val="dk1"/>
              </a:solidFill>
              <a:effectLst/>
              <a:latin typeface="+mn-lt"/>
              <a:ea typeface="+mn-ea"/>
              <a:cs typeface="+mn-cs"/>
            </a:rPr>
            <a:t>:</a:t>
          </a:r>
          <a:endParaRPr lang="nb-NO" sz="1050">
            <a:effectLst/>
          </a:endParaRPr>
        </a:p>
        <a:p>
          <a:pPr eaLnBrk="1" fontAlgn="auto" latinLnBrk="0" hangingPunct="1"/>
          <a:r>
            <a:rPr lang="nb-NO" sz="1100">
              <a:solidFill>
                <a:schemeClr val="dk1"/>
              </a:solidFill>
              <a:effectLst/>
              <a:latin typeface="+mn-lt"/>
              <a:ea typeface="+mn-ea"/>
              <a:cs typeface="+mn-cs"/>
            </a:rPr>
            <a:t>- For celler</a:t>
          </a:r>
          <a:r>
            <a:rPr lang="nb-NO" sz="1100" baseline="0">
              <a:solidFill>
                <a:schemeClr val="dk1"/>
              </a:solidFill>
              <a:effectLst/>
              <a:latin typeface="+mn-lt"/>
              <a:ea typeface="+mn-ea"/>
              <a:cs typeface="+mn-cs"/>
            </a:rPr>
            <a:t> som er tomme mangler vi data.</a:t>
          </a:r>
        </a:p>
        <a:p>
          <a:pPr eaLnBrk="1" fontAlgn="auto" latinLnBrk="0" hangingPunct="1"/>
          <a:r>
            <a:rPr lang="nb-NO" sz="1100" baseline="0">
              <a:solidFill>
                <a:schemeClr val="dk1"/>
              </a:solidFill>
              <a:effectLst/>
              <a:latin typeface="+mn-lt"/>
              <a:ea typeface="+mn-ea"/>
              <a:cs typeface="+mn-cs"/>
            </a:rPr>
            <a:t>- For utslipp av PM for båt mangler vi historiske data.</a:t>
          </a:r>
          <a:endParaRPr lang="nb-NO" sz="1050">
            <a:effectLst/>
          </a:endParaRPr>
        </a:p>
        <a:p>
          <a:endParaRPr lang="nb-NO" sz="1050">
            <a:effectLst/>
          </a:endParaRPr>
        </a:p>
      </xdr:txBody>
    </xdr:sp>
    <xdr:clientData/>
  </xdr:twoCellAnchor>
  <xdr:twoCellAnchor>
    <xdr:from>
      <xdr:col>15</xdr:col>
      <xdr:colOff>15078</xdr:colOff>
      <xdr:row>75</xdr:row>
      <xdr:rowOff>38615</xdr:rowOff>
    </xdr:from>
    <xdr:to>
      <xdr:col>25</xdr:col>
      <xdr:colOff>154325</xdr:colOff>
      <xdr:row>82</xdr:row>
      <xdr:rowOff>38615</xdr:rowOff>
    </xdr:to>
    <xdr:sp macro="" textlink="">
      <xdr:nvSpPr>
        <xdr:cNvPr id="4" name="TekstSylinder 3">
          <a:extLst>
            <a:ext uri="{FF2B5EF4-FFF2-40B4-BE49-F238E27FC236}">
              <a16:creationId xmlns:a16="http://schemas.microsoft.com/office/drawing/2014/main" id="{8DC52314-2741-980F-44F5-3FF8A9CAFD3D}"/>
            </a:ext>
          </a:extLst>
        </xdr:cNvPr>
        <xdr:cNvSpPr txBox="1"/>
      </xdr:nvSpPr>
      <xdr:spPr>
        <a:xfrm>
          <a:off x="13723355" y="14712264"/>
          <a:ext cx="11350429" cy="1351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solidFill>
                <a:schemeClr val="dk1"/>
              </a:solidFill>
              <a:effectLst/>
              <a:latin typeface="+mn-lt"/>
              <a:ea typeface="+mn-ea"/>
              <a:cs typeface="+mn-cs"/>
            </a:rPr>
            <a:t>Fotnoter:</a:t>
          </a:r>
          <a:endParaRPr lang="nb-NO">
            <a:effectLst/>
          </a:endParaRPr>
        </a:p>
        <a:p>
          <a:r>
            <a:rPr lang="nb-NO" sz="1100" i="1">
              <a:solidFill>
                <a:schemeClr val="dk1"/>
              </a:solidFill>
              <a:effectLst/>
              <a:latin typeface="+mn-lt"/>
              <a:ea typeface="+mn-ea"/>
              <a:cs typeface="+mn-cs"/>
            </a:rPr>
            <a:t>Overordnet fornote;</a:t>
          </a:r>
          <a:endParaRPr lang="nb-NO">
            <a:effectLst/>
          </a:endParaRPr>
        </a:p>
        <a:p>
          <a:r>
            <a:rPr lang="nb-NO" sz="1100">
              <a:solidFill>
                <a:schemeClr val="dk1"/>
              </a:solidFill>
              <a:effectLst/>
              <a:latin typeface="+mn-lt"/>
              <a:ea typeface="+mn-ea"/>
              <a:cs typeface="+mn-cs"/>
            </a:rPr>
            <a:t>Beregningene av utslippsintensitet inneholder kun direkte utslipp fra fossilt drivstoff for buss</a:t>
          </a:r>
          <a:r>
            <a:rPr lang="nb-NO" sz="1100" baseline="0">
              <a:solidFill>
                <a:schemeClr val="dk1"/>
              </a:solidFill>
              <a:effectLst/>
              <a:latin typeface="+mn-lt"/>
              <a:ea typeface="+mn-ea"/>
              <a:cs typeface="+mn-cs"/>
            </a:rPr>
            <a:t> og båt, og utslipp fra kjørestrøm iht lokasjonsbasert metode for trikk og t-bane.</a:t>
          </a:r>
        </a:p>
        <a:p>
          <a:endParaRPr lang="nb-NO">
            <a:effectLst/>
          </a:endParaRPr>
        </a:p>
        <a:p>
          <a:r>
            <a:rPr lang="nb-NO" sz="1100" i="1">
              <a:solidFill>
                <a:schemeClr val="dk1"/>
              </a:solidFill>
              <a:effectLst/>
              <a:latin typeface="+mn-lt"/>
              <a:ea typeface="+mn-ea"/>
              <a:cs typeface="+mn-cs"/>
            </a:rPr>
            <a:t>Spesifikke fotnoter (utslippsintensitet per pkm);</a:t>
          </a:r>
          <a:endParaRPr lang="nb-NO">
            <a:effectLst/>
          </a:endParaRPr>
        </a:p>
        <a:p>
          <a:r>
            <a:rPr lang="nb-NO" sz="1100" b="1">
              <a:solidFill>
                <a:schemeClr val="dk1"/>
              </a:solidFill>
              <a:effectLst/>
              <a:latin typeface="+mn-lt"/>
              <a:ea typeface="+mn-ea"/>
              <a:cs typeface="+mn-cs"/>
            </a:rPr>
            <a:t>Total</a:t>
          </a:r>
          <a:r>
            <a:rPr lang="nb-NO" sz="1100" b="1" baseline="0">
              <a:solidFill>
                <a:schemeClr val="dk1"/>
              </a:solidFill>
              <a:effectLst/>
              <a:latin typeface="+mn-lt"/>
              <a:ea typeface="+mn-ea"/>
              <a:cs typeface="+mn-cs"/>
            </a:rPr>
            <a:t> + total-Viken + buss-Viken (altså tre steder)</a:t>
          </a:r>
          <a:r>
            <a:rPr lang="nb-NO" sz="1100" b="1">
              <a:solidFill>
                <a:schemeClr val="dk1"/>
              </a:solidFill>
              <a:effectLst/>
              <a:latin typeface="+mn-lt"/>
              <a:ea typeface="+mn-ea"/>
              <a:cs typeface="+mn-cs"/>
            </a:rPr>
            <a:t>:</a:t>
          </a:r>
          <a:r>
            <a:rPr lang="nb-NO" sz="1100" baseline="0">
              <a:solidFill>
                <a:schemeClr val="dk1"/>
              </a:solidFill>
              <a:effectLst/>
              <a:latin typeface="+mn-lt"/>
              <a:ea typeface="+mn-ea"/>
              <a:cs typeface="+mn-cs"/>
            </a:rPr>
            <a:t> Endret metode for beregning av passasjerkilometer for regionbusser fra 2022. Tallene er derfor ikke sammenlignbare med tidligere år.</a:t>
          </a:r>
          <a:endParaRPr lang="nb-NO">
            <a:effectLst/>
          </a:endParaRPr>
        </a:p>
        <a:p>
          <a:endParaRPr lang="nb-N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1774032</xdr:colOff>
      <xdr:row>23</xdr:row>
      <xdr:rowOff>151488</xdr:rowOff>
    </xdr:from>
    <xdr:to>
      <xdr:col>4</xdr:col>
      <xdr:colOff>273844</xdr:colOff>
      <xdr:row>26</xdr:row>
      <xdr:rowOff>116071</xdr:rowOff>
    </xdr:to>
    <xdr:sp macro="" textlink="">
      <xdr:nvSpPr>
        <xdr:cNvPr id="20" name="TextBox 1">
          <a:extLst>
            <a:ext uri="{FF2B5EF4-FFF2-40B4-BE49-F238E27FC236}">
              <a16:creationId xmlns:a16="http://schemas.microsoft.com/office/drawing/2014/main" id="{99E91C6C-AAE4-4FEA-B51D-909572A7CB4E}"/>
            </a:ext>
          </a:extLst>
        </xdr:cNvPr>
        <xdr:cNvSpPr txBox="1"/>
      </xdr:nvSpPr>
      <xdr:spPr>
        <a:xfrm>
          <a:off x="2024063" y="3544769"/>
          <a:ext cx="2595562" cy="4646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1100"/>
            <a:t>2017- og 2018-faktor finnes ikke hos NVE for lokasjon. Bruker snitt 2019 - 2021</a:t>
          </a:r>
        </a:p>
      </xdr:txBody>
    </xdr:sp>
    <xdr:clientData/>
  </xdr:twoCellAnchor>
  <xdr:twoCellAnchor>
    <xdr:from>
      <xdr:col>7</xdr:col>
      <xdr:colOff>169977</xdr:colOff>
      <xdr:row>23</xdr:row>
      <xdr:rowOff>157162</xdr:rowOff>
    </xdr:from>
    <xdr:to>
      <xdr:col>10</xdr:col>
      <xdr:colOff>416992</xdr:colOff>
      <xdr:row>26</xdr:row>
      <xdr:rowOff>100037</xdr:rowOff>
    </xdr:to>
    <xdr:sp macro="" textlink="">
      <xdr:nvSpPr>
        <xdr:cNvPr id="3" name="TextBox 2">
          <a:extLst>
            <a:ext uri="{FF2B5EF4-FFF2-40B4-BE49-F238E27FC236}">
              <a16:creationId xmlns:a16="http://schemas.microsoft.com/office/drawing/2014/main" id="{0EEDE14D-3057-45AD-BD7C-F612D77264E3}"/>
            </a:ext>
            <a:ext uri="{147F2762-F138-4A5C-976F-8EAC2B608ADB}">
              <a16:predDERef xmlns:a16="http://schemas.microsoft.com/office/drawing/2014/main" pred="{99E91C6C-AAE4-4FEA-B51D-909572A7CB4E}"/>
            </a:ext>
          </a:extLst>
        </xdr:cNvPr>
        <xdr:cNvSpPr txBox="1"/>
      </xdr:nvSpPr>
      <xdr:spPr>
        <a:xfrm>
          <a:off x="6885102" y="4586287"/>
          <a:ext cx="2494915" cy="5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n-US" sz="1100">
              <a:solidFill>
                <a:schemeClr val="dk1"/>
              </a:solidFill>
              <a:latin typeface="+mn-lt"/>
              <a:ea typeface="+mn-lt"/>
              <a:cs typeface="+mn-lt"/>
            </a:rPr>
            <a:t>202</a:t>
          </a:r>
          <a:r>
            <a:rPr lang="en-US" sz="1100" b="0" i="0" u="none" strike="noStrike">
              <a:solidFill>
                <a:schemeClr val="dk1"/>
              </a:solidFill>
              <a:latin typeface="Calibri" panose="020F0502020204030204" pitchFamily="34" charset="0"/>
              <a:ea typeface="Calibri" panose="020F0502020204030204" pitchFamily="34" charset="0"/>
              <a:cs typeface="Calibri" panose="020F0502020204030204" pitchFamily="34" charset="0"/>
            </a:rPr>
            <a:t>5</a:t>
          </a:r>
          <a:r>
            <a:rPr lang="en-US" sz="1100">
              <a:solidFill>
                <a:schemeClr val="dk1"/>
              </a:solidFill>
              <a:latin typeface="+mn-lt"/>
              <a:ea typeface="+mn-lt"/>
              <a:cs typeface="+mn-lt"/>
            </a:rPr>
            <a:t>-faktor kommer i juni 202</a:t>
          </a:r>
          <a:r>
            <a:rPr lang="en-US" sz="1100" b="0" i="0" u="none" strike="noStrike">
              <a:solidFill>
                <a:schemeClr val="dk1"/>
              </a:solidFill>
              <a:latin typeface="Calibri" panose="020F0502020204030204" pitchFamily="34" charset="0"/>
              <a:ea typeface="Calibri" panose="020F0502020204030204" pitchFamily="34" charset="0"/>
              <a:cs typeface="Calibri" panose="020F0502020204030204" pitchFamily="34" charset="0"/>
            </a:rPr>
            <a:t>6</a:t>
          </a:r>
          <a:r>
            <a:rPr lang="en-US" sz="1100">
              <a:solidFill>
                <a:schemeClr val="dk1"/>
              </a:solidFill>
              <a:latin typeface="+mn-lt"/>
              <a:ea typeface="+mn-lt"/>
              <a:cs typeface="+mn-lt"/>
            </a:rPr>
            <a:t>. Bruker snitt siste tre år.</a:t>
          </a:r>
        </a:p>
      </xdr:txBody>
    </xdr:sp>
    <xdr:clientData/>
  </xdr:twoCellAnchor>
  <xdr:twoCellAnchor>
    <xdr:from>
      <xdr:col>13</xdr:col>
      <xdr:colOff>65314</xdr:colOff>
      <xdr:row>13</xdr:row>
      <xdr:rowOff>39007</xdr:rowOff>
    </xdr:from>
    <xdr:to>
      <xdr:col>15</xdr:col>
      <xdr:colOff>398235</xdr:colOff>
      <xdr:row>15</xdr:row>
      <xdr:rowOff>13607</xdr:rowOff>
    </xdr:to>
    <xdr:sp macro="" textlink="">
      <xdr:nvSpPr>
        <xdr:cNvPr id="2" name="TekstSylinder 1">
          <a:extLst>
            <a:ext uri="{FF2B5EF4-FFF2-40B4-BE49-F238E27FC236}">
              <a16:creationId xmlns:a16="http://schemas.microsoft.com/office/drawing/2014/main" id="{5B0DD35F-F261-7E10-F452-A8F26F20E602}"/>
            </a:ext>
            <a:ext uri="{147F2762-F138-4A5C-976F-8EAC2B608ADB}">
              <a16:predDERef xmlns:a16="http://schemas.microsoft.com/office/drawing/2014/main" pred="{0EEDE14D-3057-45AD-BD7C-F612D77264E3}"/>
            </a:ext>
          </a:extLst>
        </xdr:cNvPr>
        <xdr:cNvSpPr txBox="1"/>
      </xdr:nvSpPr>
      <xdr:spPr>
        <a:xfrm>
          <a:off x="11019064" y="2393043"/>
          <a:ext cx="1639207" cy="32838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b="0" i="0" u="none" strike="noStrike">
              <a:solidFill>
                <a:srgbClr val="000000"/>
              </a:solidFill>
              <a:latin typeface="Calibri" panose="020F0502020204030204" pitchFamily="34" charset="0"/>
              <a:cs typeface="Calibri" panose="020F0502020204030204" pitchFamily="34" charset="0"/>
            </a:rPr>
            <a:t>Mangler tall før 2023</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1085851</xdr:colOff>
      <xdr:row>135</xdr:row>
      <xdr:rowOff>80962</xdr:rowOff>
    </xdr:from>
    <xdr:to>
      <xdr:col>20</xdr:col>
      <xdr:colOff>426245</xdr:colOff>
      <xdr:row>141</xdr:row>
      <xdr:rowOff>89692</xdr:rowOff>
    </xdr:to>
    <xdr:sp macro="" textlink="">
      <xdr:nvSpPr>
        <xdr:cNvPr id="3" name="TekstSylinder 1">
          <a:extLst>
            <a:ext uri="{FF2B5EF4-FFF2-40B4-BE49-F238E27FC236}">
              <a16:creationId xmlns:a16="http://schemas.microsoft.com/office/drawing/2014/main" id="{802BC04B-C244-4CBE-9618-EEBD7761C386}"/>
            </a:ext>
          </a:extLst>
        </xdr:cNvPr>
        <xdr:cNvSpPr txBox="1"/>
      </xdr:nvSpPr>
      <xdr:spPr>
        <a:xfrm>
          <a:off x="15001876" y="25122187"/>
          <a:ext cx="5712619" cy="1094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1"/>
            <a:t>Fotnote:</a:t>
          </a:r>
          <a:br>
            <a:rPr lang="nb-NO" sz="1100" i="1"/>
          </a:br>
          <a:r>
            <a:rPr lang="nb-NO" sz="1100" i="1"/>
            <a:t>Grunnet usikker rapportering på drivstofforbruk for busser og båter fra 2017-2019, i tillegg til bruk av oppdatert faktor for omregning til energi, vil en del av tallene for energi (da særlig 2017-2019) kunne avvike fra tidligere nedlastbare rapporter.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247650</xdr:colOff>
      <xdr:row>18</xdr:row>
      <xdr:rowOff>95250</xdr:rowOff>
    </xdr:from>
    <xdr:to>
      <xdr:col>17</xdr:col>
      <xdr:colOff>447040</xdr:colOff>
      <xdr:row>21</xdr:row>
      <xdr:rowOff>28600</xdr:rowOff>
    </xdr:to>
    <xdr:sp macro="" textlink="">
      <xdr:nvSpPr>
        <xdr:cNvPr id="5" name="TekstSylinder 1">
          <a:extLst>
            <a:ext uri="{FF2B5EF4-FFF2-40B4-BE49-F238E27FC236}">
              <a16:creationId xmlns:a16="http://schemas.microsoft.com/office/drawing/2014/main" id="{49473BD1-6730-403B-AE41-A082B33A6C8F}"/>
            </a:ext>
            <a:ext uri="{147F2762-F138-4A5C-976F-8EAC2B608ADB}">
              <a16:predDERef xmlns:a16="http://schemas.microsoft.com/office/drawing/2014/main" pred="{99E91C6C-AAE4-4FEA-B51D-909572A7CB4E}"/>
            </a:ext>
          </a:extLst>
        </xdr:cNvPr>
        <xdr:cNvSpPr txBox="1"/>
      </xdr:nvSpPr>
      <xdr:spPr>
        <a:xfrm>
          <a:off x="12696825" y="3571875"/>
          <a:ext cx="2485390" cy="50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100">
              <a:solidFill>
                <a:schemeClr val="dk1"/>
              </a:solidFill>
              <a:latin typeface="+mn-lt"/>
              <a:ea typeface="+mn-lt"/>
              <a:cs typeface="+mn-lt"/>
            </a:rPr>
            <a:t>I</a:t>
          </a:r>
          <a:r>
            <a:rPr lang="en-US" sz="1100" b="0" i="0" u="none" strike="noStrike">
              <a:solidFill>
                <a:schemeClr val="dk1"/>
              </a:solidFill>
              <a:latin typeface="Calibri" panose="020F0502020204030204" pitchFamily="34" charset="0"/>
              <a:ea typeface="Calibri" panose="020F0502020204030204" pitchFamily="34" charset="0"/>
              <a:cs typeface="Calibri" panose="020F0502020204030204" pitchFamily="34" charset="0"/>
            </a:rPr>
            <a:t>nnblanding for 2025</a:t>
          </a:r>
          <a:r>
            <a:rPr lang="en-US" sz="1100">
              <a:solidFill>
                <a:schemeClr val="dk1"/>
              </a:solidFill>
              <a:latin typeface="+mn-lt"/>
              <a:ea typeface="+mn-lt"/>
              <a:cs typeface="+mn-lt"/>
            </a:rPr>
            <a:t> kommer </a:t>
          </a:r>
          <a:r>
            <a:rPr lang="en-US" sz="1100" b="0" i="0" u="none" strike="noStrike">
              <a:solidFill>
                <a:schemeClr val="dk1"/>
              </a:solidFill>
              <a:latin typeface="Calibri" panose="020F0502020204030204" pitchFamily="34" charset="0"/>
              <a:ea typeface="Calibri" panose="020F0502020204030204" pitchFamily="34" charset="0"/>
              <a:cs typeface="Calibri" panose="020F0502020204030204" pitchFamily="34" charset="0"/>
            </a:rPr>
            <a:t>sommer</a:t>
          </a:r>
          <a:r>
            <a:rPr lang="en-US" sz="1100">
              <a:solidFill>
                <a:schemeClr val="dk1"/>
              </a:solidFill>
              <a:latin typeface="+mn-lt"/>
              <a:ea typeface="+mn-lt"/>
              <a:cs typeface="+mn-lt"/>
            </a:rPr>
            <a:t> 202</a:t>
          </a:r>
          <a:r>
            <a:rPr lang="en-US" sz="1100" b="0" i="0" u="none" strike="noStrike">
              <a:solidFill>
                <a:schemeClr val="dk1"/>
              </a:solidFill>
              <a:latin typeface="Calibri" panose="020F0502020204030204" pitchFamily="34" charset="0"/>
              <a:ea typeface="Calibri" panose="020F0502020204030204" pitchFamily="34" charset="0"/>
              <a:cs typeface="Calibri" panose="020F0502020204030204" pitchFamily="34" charset="0"/>
            </a:rPr>
            <a:t>6</a:t>
          </a:r>
          <a:r>
            <a:rPr lang="en-US" sz="1100">
              <a:solidFill>
                <a:schemeClr val="dk1"/>
              </a:solidFill>
              <a:latin typeface="+mn-lt"/>
              <a:ea typeface="+mn-lt"/>
              <a:cs typeface="+mn-lt"/>
            </a:rPr>
            <a:t>. Bruker snitt siste tre år.</a:t>
          </a:r>
        </a:p>
      </xdr:txBody>
    </xdr:sp>
    <xdr:clientData/>
  </xdr:twoCellAnchor>
  <xdr:twoCellAnchor>
    <xdr:from>
      <xdr:col>1</xdr:col>
      <xdr:colOff>0</xdr:colOff>
      <xdr:row>31</xdr:row>
      <xdr:rowOff>0</xdr:rowOff>
    </xdr:from>
    <xdr:to>
      <xdr:col>8</xdr:col>
      <xdr:colOff>161925</xdr:colOff>
      <xdr:row>48</xdr:row>
      <xdr:rowOff>28575</xdr:rowOff>
    </xdr:to>
    <xdr:sp macro="" textlink="">
      <xdr:nvSpPr>
        <xdr:cNvPr id="3" name="TekstSylinder 2">
          <a:extLst>
            <a:ext uri="{FF2B5EF4-FFF2-40B4-BE49-F238E27FC236}">
              <a16:creationId xmlns:a16="http://schemas.microsoft.com/office/drawing/2014/main" id="{6353E64A-3C9F-4385-AE77-15E29A148A06}"/>
            </a:ext>
          </a:extLst>
        </xdr:cNvPr>
        <xdr:cNvSpPr txBox="1"/>
      </xdr:nvSpPr>
      <xdr:spPr>
        <a:xfrm>
          <a:off x="1619250" y="5667375"/>
          <a:ext cx="8048625" cy="3105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nb-NO" sz="1100" b="1"/>
            <a:t>Kilde til faktorer </a:t>
          </a:r>
          <a:br>
            <a:rPr lang="nb-NO" sz="1100"/>
          </a:br>
          <a:br>
            <a:rPr lang="nb-NO" sz="1100"/>
          </a:br>
          <a:r>
            <a:rPr lang="nb-NO" sz="1100" b="1"/>
            <a:t>Energiinnhold og CO2e-utslipp fra drivstoff </a:t>
          </a:r>
          <a:br>
            <a:rPr lang="nb-NO" sz="1100"/>
          </a:br>
          <a:r>
            <a:rPr lang="nb-NO" sz="1100"/>
            <a:t>- https://www.miljodirektoratet.no/ansvarsomrader/klima/for-myndigheter/kutte-utslipp-av-klimagasser/klima-og-energiplanlegging/tabeller-for-omregning-fra-energivarer-til-kwh/ </a:t>
          </a:r>
          <a:br>
            <a:rPr lang="nb-NO" sz="1100"/>
          </a:br>
          <a:br>
            <a:rPr lang="nb-NO" sz="1100"/>
          </a:br>
          <a:r>
            <a:rPr lang="nb-NO" sz="1100"/>
            <a:t>- https://www.ssb.no/energi-og-industri/artikler-og-publikasjoner/_attachment/369610?_ts=1673ff3e218 </a:t>
          </a:r>
          <a:br>
            <a:rPr lang="nb-NO" sz="1100"/>
          </a:br>
          <a:br>
            <a:rPr lang="nb-NO" sz="1100"/>
          </a:br>
          <a:r>
            <a:rPr lang="nb-NO" sz="1100"/>
            <a:t>- https://www.gov.uk/government/publications/greenhouse-gas-reporting-conversion-factors-2024 </a:t>
          </a:r>
        </a:p>
        <a:p>
          <a:pPr lvl="0"/>
          <a:endParaRPr lang="nb-NO" sz="1100"/>
        </a:p>
        <a:p>
          <a:pPr marL="0" marR="0" lvl="0" indent="0" defTabSz="914400" eaLnBrk="1" fontAlgn="auto" latinLnBrk="0" hangingPunct="1">
            <a:lnSpc>
              <a:spcPct val="100000"/>
            </a:lnSpc>
            <a:spcBef>
              <a:spcPts val="0"/>
            </a:spcBef>
            <a:spcAft>
              <a:spcPts val="0"/>
            </a:spcAft>
            <a:buClrTx/>
            <a:buSzTx/>
            <a:buFontTx/>
            <a:buNone/>
            <a:tabLst/>
            <a:defRPr/>
          </a:pPr>
          <a:r>
            <a:rPr lang="nb-NO" sz="1100" b="1"/>
            <a:t>Biogent CO2e</a:t>
          </a:r>
          <a:br>
            <a:rPr lang="nb-NO" sz="1100" b="1"/>
          </a:br>
          <a:r>
            <a:rPr lang="nb-NO" sz="1100">
              <a:solidFill>
                <a:schemeClr val="dk1"/>
              </a:solidFill>
              <a:effectLst/>
              <a:latin typeface="+mn-lt"/>
              <a:ea typeface="+mn-ea"/>
              <a:cs typeface="+mn-cs"/>
            </a:rPr>
            <a:t>- https://www.gov.uk/government/publications/greenhouse-gas-reporting-conversion-factors-2024 </a:t>
          </a:r>
          <a:endParaRPr lang="nb-NO">
            <a:effectLst/>
          </a:endParaRPr>
        </a:p>
        <a:p>
          <a:endParaRPr lang="nb-NO" sz="1100"/>
        </a:p>
        <a:p>
          <a:r>
            <a:rPr lang="nb-NO" sz="1100" b="1"/>
            <a:t>NOx og PM (buss) </a:t>
          </a:r>
          <a:br>
            <a:rPr lang="nb-NO" sz="1100"/>
          </a:br>
          <a:r>
            <a:rPr lang="nb-NO" sz="1100"/>
            <a:t>- https://www.toi.no/publikasjoner/klima-og-miljovurdering-av-teknologi-og-drivstoff-for-tunge-kjoretoy-difi-drivstoffmatrise-article35859-8.html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cdn.vev.design/private/CuEFxt1CQbXqdrdyGBK8UezycQ63/vSAy14Rf-__2721_District-heating_no%20EPD.pdf.pdf" TargetMode="External"/><Relationship Id="rId2" Type="http://schemas.openxmlformats.org/officeDocument/2006/relationships/hyperlink" Target="https://www.nve.no/energi/virkemidler/opprinnelsesgarantier-og-varedeklarasjon-for-stroemleverandoerer/varedeklarasjon-for-stroemleverandoerer/" TargetMode="External"/><Relationship Id="rId1" Type="http://schemas.openxmlformats.org/officeDocument/2006/relationships/hyperlink" Target="https://www.nve.no/energi/energisystem/kraftproduksjon/hvor-kommer-strommen-fra/"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17343-C019-457A-BDA4-4FD65DBE9DF2}">
  <dimension ref="A2:AB187"/>
  <sheetViews>
    <sheetView showGridLines="0" topLeftCell="N24" zoomScale="85" zoomScaleNormal="85" workbookViewId="0">
      <selection activeCell="N125" sqref="N125"/>
    </sheetView>
  </sheetViews>
  <sheetFormatPr defaultColWidth="9.42578125" defaultRowHeight="14.45"/>
  <cols>
    <col min="1" max="2" width="4.42578125" style="2" customWidth="1"/>
    <col min="3" max="3" width="5" style="2" customWidth="1"/>
    <col min="4" max="4" width="4.5703125" style="2" customWidth="1"/>
    <col min="5" max="5" width="66.42578125" style="2" customWidth="1"/>
    <col min="6" max="11" width="12.42578125" style="2" customWidth="1"/>
    <col min="12" max="12" width="9.42578125" style="2"/>
    <col min="13" max="13" width="9.85546875" style="2" bestFit="1" customWidth="1"/>
    <col min="14" max="14" width="9.85546875" style="2" customWidth="1"/>
    <col min="15" max="15" width="17.42578125" style="2" customWidth="1"/>
    <col min="16" max="16" width="8.5703125" style="2" customWidth="1"/>
    <col min="17" max="17" width="54.28515625" style="2" customWidth="1"/>
    <col min="18" max="22" width="13.5703125" style="2" bestFit="1" customWidth="1"/>
    <col min="23" max="23" width="12.42578125" style="2" customWidth="1"/>
    <col min="24" max="24" width="15.5703125" style="2" customWidth="1"/>
    <col min="25" max="25" width="9.85546875" style="2" bestFit="1" customWidth="1"/>
    <col min="26" max="26" width="10.42578125" style="2" customWidth="1"/>
    <col min="27" max="16384" width="9.42578125" style="2"/>
  </cols>
  <sheetData>
    <row r="2" spans="2:28" ht="18">
      <c r="B2" s="1" t="s">
        <v>0</v>
      </c>
      <c r="P2" s="1" t="s">
        <v>1</v>
      </c>
    </row>
    <row r="3" spans="2:28" ht="18">
      <c r="B3" s="1"/>
    </row>
    <row r="4" spans="2:28" ht="18">
      <c r="B4" s="22" t="s">
        <v>2</v>
      </c>
      <c r="P4" s="22" t="s">
        <v>3</v>
      </c>
    </row>
    <row r="6" spans="2:28">
      <c r="B6" s="3" t="s">
        <v>4</v>
      </c>
      <c r="C6" s="4"/>
      <c r="D6" s="4"/>
      <c r="E6" s="5"/>
      <c r="F6" s="26">
        <v>2017</v>
      </c>
      <c r="G6" s="26">
        <v>2018</v>
      </c>
      <c r="H6" s="26">
        <v>2019</v>
      </c>
      <c r="I6" s="26">
        <v>2020</v>
      </c>
      <c r="J6" s="26">
        <v>2021</v>
      </c>
      <c r="K6" s="26">
        <v>2022</v>
      </c>
      <c r="L6" s="26">
        <v>2023</v>
      </c>
      <c r="M6" s="26">
        <v>2024</v>
      </c>
      <c r="N6" s="26">
        <v>2025</v>
      </c>
      <c r="P6" s="3" t="s">
        <v>5</v>
      </c>
      <c r="Q6" s="4"/>
      <c r="R6" s="26">
        <v>2017</v>
      </c>
      <c r="S6" s="26">
        <v>2018</v>
      </c>
      <c r="T6" s="26">
        <v>2019</v>
      </c>
      <c r="U6" s="26">
        <v>2020</v>
      </c>
      <c r="V6" s="26">
        <v>2021</v>
      </c>
      <c r="W6" s="26">
        <v>2022</v>
      </c>
      <c r="X6" s="26">
        <v>2023</v>
      </c>
      <c r="Y6" s="213">
        <v>2024</v>
      </c>
      <c r="Z6" s="218">
        <v>2025</v>
      </c>
    </row>
    <row r="7" spans="2:28">
      <c r="B7" s="6"/>
      <c r="C7" s="16" t="s">
        <v>6</v>
      </c>
      <c r="D7" s="4"/>
      <c r="E7" s="5"/>
      <c r="F7" s="62"/>
      <c r="G7" s="62"/>
      <c r="H7" s="62"/>
      <c r="I7" s="62"/>
      <c r="J7" s="62"/>
      <c r="K7" s="62"/>
      <c r="L7" s="114"/>
      <c r="M7" s="62"/>
      <c r="N7" s="62"/>
      <c r="P7" s="3" t="s">
        <v>7</v>
      </c>
      <c r="Q7" s="87"/>
      <c r="R7" s="69">
        <v>44429</v>
      </c>
      <c r="S7" s="69">
        <v>53031</v>
      </c>
      <c r="T7" s="69">
        <v>41910</v>
      </c>
      <c r="U7" s="69">
        <v>26199</v>
      </c>
      <c r="V7" s="69">
        <v>19605</v>
      </c>
      <c r="W7" s="69">
        <v>54549</v>
      </c>
      <c r="X7" s="69">
        <v>48731.413418689001</v>
      </c>
      <c r="Y7" s="214">
        <v>43852.490486660005</v>
      </c>
      <c r="Z7" s="69">
        <v>41943.1464738</v>
      </c>
    </row>
    <row r="8" spans="2:28">
      <c r="B8" s="6"/>
      <c r="C8" s="16"/>
      <c r="D8" s="4" t="s">
        <v>8</v>
      </c>
      <c r="E8" s="5"/>
      <c r="F8" s="63">
        <v>35446</v>
      </c>
      <c r="G8" s="64">
        <v>45556</v>
      </c>
      <c r="H8" s="63">
        <v>34867</v>
      </c>
      <c r="I8" s="64">
        <v>21765</v>
      </c>
      <c r="J8" s="63">
        <v>16267</v>
      </c>
      <c r="K8" s="64">
        <v>51444</v>
      </c>
      <c r="L8" s="64">
        <v>45588.969612369008</v>
      </c>
      <c r="M8" s="64">
        <v>40765.618381560009</v>
      </c>
      <c r="N8" s="64">
        <v>38894.911610839998</v>
      </c>
      <c r="P8" s="6"/>
      <c r="Q8" s="16" t="s">
        <v>9</v>
      </c>
      <c r="R8" s="65">
        <v>15711</v>
      </c>
      <c r="S8" s="65">
        <v>20521</v>
      </c>
      <c r="T8" s="65">
        <v>16699</v>
      </c>
      <c r="U8" s="65">
        <v>14706</v>
      </c>
      <c r="V8" s="65">
        <v>12394</v>
      </c>
      <c r="W8" s="65">
        <v>9144</v>
      </c>
      <c r="X8" s="65">
        <v>4432.3221766890001</v>
      </c>
      <c r="Y8" s="215">
        <v>413.49409314000007</v>
      </c>
      <c r="Z8" s="65">
        <v>595.14894296</v>
      </c>
    </row>
    <row r="9" spans="2:28">
      <c r="B9" s="6"/>
      <c r="C9" s="16"/>
      <c r="D9" s="4" t="s">
        <v>10</v>
      </c>
      <c r="E9" s="5"/>
      <c r="F9" s="63"/>
      <c r="G9" s="63"/>
      <c r="H9" s="63"/>
      <c r="I9" s="63"/>
      <c r="J9" s="63"/>
      <c r="K9" s="63"/>
      <c r="L9" s="63">
        <v>1800</v>
      </c>
      <c r="M9" s="63">
        <v>1800</v>
      </c>
      <c r="N9" s="63">
        <v>1800</v>
      </c>
      <c r="P9" s="6"/>
      <c r="Q9" s="16" t="s">
        <v>11</v>
      </c>
      <c r="R9" s="65">
        <v>28718</v>
      </c>
      <c r="S9" s="65">
        <v>32509</v>
      </c>
      <c r="T9" s="65">
        <v>25212</v>
      </c>
      <c r="U9" s="65">
        <v>11493</v>
      </c>
      <c r="V9" s="65">
        <v>7210</v>
      </c>
      <c r="W9" s="65">
        <v>45405</v>
      </c>
      <c r="X9" s="65">
        <v>44299.091242000002</v>
      </c>
      <c r="Y9" s="215">
        <v>43438.996393520007</v>
      </c>
      <c r="Z9" s="65">
        <v>41347.997530840003</v>
      </c>
    </row>
    <row r="10" spans="2:28">
      <c r="B10" s="6"/>
      <c r="C10" s="16" t="s">
        <v>12</v>
      </c>
      <c r="D10" s="4"/>
      <c r="E10" s="5"/>
      <c r="F10" s="62"/>
      <c r="G10" s="62"/>
      <c r="H10" s="62"/>
      <c r="I10" s="62"/>
      <c r="J10" s="62"/>
      <c r="K10" s="62"/>
      <c r="L10" s="62"/>
      <c r="M10" s="62"/>
      <c r="N10" s="62"/>
      <c r="P10" s="3" t="s">
        <v>13</v>
      </c>
      <c r="Q10" s="88"/>
      <c r="R10" s="69">
        <v>35446</v>
      </c>
      <c r="S10" s="69">
        <v>45556</v>
      </c>
      <c r="T10" s="69">
        <v>34867</v>
      </c>
      <c r="U10" s="69">
        <v>21765</v>
      </c>
      <c r="V10" s="69">
        <v>16267</v>
      </c>
      <c r="W10" s="69">
        <v>51444</v>
      </c>
      <c r="X10" s="69">
        <v>45588.969612369008</v>
      </c>
      <c r="Y10" s="214">
        <v>40765.618381560009</v>
      </c>
      <c r="Z10" s="69">
        <v>38894.911610839998</v>
      </c>
      <c r="AA10" s="108"/>
      <c r="AB10" s="108"/>
    </row>
    <row r="11" spans="2:28">
      <c r="B11" s="6"/>
      <c r="C11" s="16"/>
      <c r="D11" s="4" t="s">
        <v>14</v>
      </c>
      <c r="E11" s="37"/>
      <c r="F11" s="66">
        <v>8983</v>
      </c>
      <c r="G11" s="66">
        <v>7475</v>
      </c>
      <c r="H11" s="66">
        <v>7043</v>
      </c>
      <c r="I11" s="66">
        <v>4434</v>
      </c>
      <c r="J11" s="66">
        <v>3338</v>
      </c>
      <c r="K11" s="66">
        <v>3105</v>
      </c>
      <c r="L11" s="66">
        <v>2496.03494</v>
      </c>
      <c r="M11" s="66">
        <v>2758.1380399999998</v>
      </c>
      <c r="N11" s="66">
        <v>2529.2663200000002</v>
      </c>
      <c r="P11" s="6"/>
      <c r="Q11" s="16" t="s">
        <v>9</v>
      </c>
      <c r="R11" s="65">
        <v>15711</v>
      </c>
      <c r="S11" s="65">
        <v>20521</v>
      </c>
      <c r="T11" s="65">
        <v>16699</v>
      </c>
      <c r="U11" s="65">
        <v>14706</v>
      </c>
      <c r="V11" s="65">
        <v>12311</v>
      </c>
      <c r="W11" s="65">
        <v>9144</v>
      </c>
      <c r="X11" s="65">
        <v>3785.9133103690001</v>
      </c>
      <c r="Y11" s="215">
        <v>84.760028040000009</v>
      </c>
      <c r="Z11" s="65">
        <v>76.180400000000006</v>
      </c>
      <c r="AA11" s="108"/>
      <c r="AB11" s="108"/>
    </row>
    <row r="12" spans="2:28">
      <c r="B12" s="92"/>
      <c r="C12" s="42" t="s">
        <v>15</v>
      </c>
      <c r="E12" s="93"/>
      <c r="F12" s="62"/>
      <c r="G12" s="62"/>
      <c r="H12" s="62"/>
      <c r="I12" s="62"/>
      <c r="J12" s="62"/>
      <c r="K12" s="62"/>
      <c r="L12" s="62"/>
      <c r="M12" s="62"/>
      <c r="N12" s="62"/>
      <c r="P12" s="6"/>
      <c r="Q12" s="16" t="s">
        <v>11</v>
      </c>
      <c r="R12" s="65">
        <v>19735</v>
      </c>
      <c r="S12" s="65">
        <v>25034</v>
      </c>
      <c r="T12" s="65">
        <v>18169</v>
      </c>
      <c r="U12" s="65">
        <v>7059</v>
      </c>
      <c r="V12" s="65">
        <v>3956</v>
      </c>
      <c r="W12" s="65">
        <v>42301</v>
      </c>
      <c r="X12" s="65">
        <v>41803.056302000005</v>
      </c>
      <c r="Y12" s="215">
        <v>40680.858353520009</v>
      </c>
      <c r="Z12" s="65">
        <v>38818.73121084</v>
      </c>
    </row>
    <row r="13" spans="2:28">
      <c r="B13" s="180"/>
      <c r="C13" s="179"/>
      <c r="D13" s="181" t="s">
        <v>16</v>
      </c>
      <c r="E13" s="182"/>
      <c r="F13" s="65"/>
      <c r="G13" s="65"/>
      <c r="H13" s="65"/>
      <c r="I13" s="65"/>
      <c r="J13" s="65"/>
      <c r="K13" s="65">
        <v>1376.2207916100001</v>
      </c>
      <c r="L13" s="65">
        <v>666.10420855999996</v>
      </c>
      <c r="M13" s="65">
        <v>1632.5043477400002</v>
      </c>
      <c r="N13" s="65">
        <v>1104.8230519199999</v>
      </c>
      <c r="P13" s="3" t="s">
        <v>17</v>
      </c>
      <c r="Q13" s="88"/>
      <c r="R13" s="69"/>
      <c r="S13" s="69"/>
      <c r="T13" s="69"/>
      <c r="U13" s="69"/>
      <c r="V13" s="69"/>
      <c r="W13" s="69"/>
      <c r="X13" s="69">
        <v>646.40886632000002</v>
      </c>
      <c r="Y13" s="214">
        <v>328.73406510000007</v>
      </c>
      <c r="Z13" s="69">
        <v>518.96854296000004</v>
      </c>
    </row>
    <row r="14" spans="2:28">
      <c r="B14" s="92"/>
      <c r="C14" s="42" t="s">
        <v>18</v>
      </c>
      <c r="E14" s="93"/>
      <c r="F14" s="62"/>
      <c r="G14" s="62"/>
      <c r="H14" s="62"/>
      <c r="I14" s="62"/>
      <c r="J14" s="62"/>
      <c r="K14" s="62"/>
      <c r="L14" s="62"/>
      <c r="M14" s="62"/>
      <c r="N14" s="62"/>
      <c r="P14" s="6"/>
      <c r="Q14" s="16" t="s">
        <v>9</v>
      </c>
      <c r="R14" s="65"/>
      <c r="S14" s="65"/>
      <c r="T14" s="65"/>
      <c r="U14" s="65"/>
      <c r="V14" s="65"/>
      <c r="W14" s="65"/>
      <c r="X14" s="65">
        <v>646.40886632000002</v>
      </c>
      <c r="Y14" s="215">
        <v>328.73406510000007</v>
      </c>
      <c r="Z14" s="65">
        <v>518.96854296000004</v>
      </c>
    </row>
    <row r="15" spans="2:28" ht="15" thickBot="1">
      <c r="B15" s="184"/>
      <c r="C15" s="185"/>
      <c r="D15" s="186" t="s">
        <v>8</v>
      </c>
      <c r="E15" s="187"/>
      <c r="F15" s="188"/>
      <c r="G15" s="188"/>
      <c r="H15" s="188"/>
      <c r="I15" s="188"/>
      <c r="J15" s="188"/>
      <c r="K15" s="188"/>
      <c r="L15" s="188">
        <v>646.40886632000002</v>
      </c>
      <c r="M15" s="188">
        <v>328.73406510000007</v>
      </c>
      <c r="N15" s="188">
        <v>518.96854296000004</v>
      </c>
      <c r="P15" s="3" t="s">
        <v>19</v>
      </c>
      <c r="Q15" s="16"/>
      <c r="R15" s="69">
        <v>8983</v>
      </c>
      <c r="S15" s="69">
        <v>7475</v>
      </c>
      <c r="T15" s="69">
        <v>7043</v>
      </c>
      <c r="U15" s="69">
        <v>4434</v>
      </c>
      <c r="V15" s="69">
        <v>3338</v>
      </c>
      <c r="W15" s="69">
        <v>3105</v>
      </c>
      <c r="X15" s="69">
        <v>2496.03494</v>
      </c>
      <c r="Y15" s="214">
        <v>2758.1380399999998</v>
      </c>
      <c r="Z15" s="69">
        <v>2529.2663200000002</v>
      </c>
    </row>
    <row r="16" spans="2:28">
      <c r="B16" s="34" t="s">
        <v>20</v>
      </c>
      <c r="C16" s="9"/>
      <c r="D16" s="9"/>
      <c r="E16" s="10"/>
      <c r="F16" s="68">
        <v>44429</v>
      </c>
      <c r="G16" s="68">
        <v>53031</v>
      </c>
      <c r="H16" s="68">
        <v>41910</v>
      </c>
      <c r="I16" s="68">
        <v>26199</v>
      </c>
      <c r="J16" s="68">
        <v>19605</v>
      </c>
      <c r="K16" s="68">
        <v>55925.220791610001</v>
      </c>
      <c r="L16" s="68">
        <v>51197.517627249006</v>
      </c>
      <c r="M16" s="68">
        <v>47284.994834400008</v>
      </c>
      <c r="N16" s="68">
        <v>44847.96952572</v>
      </c>
      <c r="P16" s="6"/>
      <c r="Q16" s="16" t="s">
        <v>9</v>
      </c>
      <c r="R16" s="65">
        <v>0</v>
      </c>
      <c r="S16" s="65">
        <v>0</v>
      </c>
      <c r="T16" s="65">
        <v>0</v>
      </c>
      <c r="U16" s="65">
        <v>0</v>
      </c>
      <c r="V16" s="65">
        <v>83</v>
      </c>
      <c r="W16" s="65">
        <v>0</v>
      </c>
      <c r="X16" s="65">
        <v>0</v>
      </c>
      <c r="Y16" s="215">
        <v>0</v>
      </c>
      <c r="Z16" s="65">
        <v>0</v>
      </c>
    </row>
    <row r="17" spans="2:26" ht="15" thickBot="1">
      <c r="B17" s="92"/>
      <c r="K17" s="93"/>
      <c r="L17" s="93"/>
      <c r="M17" s="93"/>
      <c r="N17" s="93"/>
      <c r="P17" s="11"/>
      <c r="Q17" s="18" t="s">
        <v>11</v>
      </c>
      <c r="R17" s="67">
        <v>8983</v>
      </c>
      <c r="S17" s="67">
        <v>7475</v>
      </c>
      <c r="T17" s="67">
        <v>7043</v>
      </c>
      <c r="U17" s="67">
        <v>4434</v>
      </c>
      <c r="V17" s="67">
        <v>3255</v>
      </c>
      <c r="W17" s="67">
        <v>3105</v>
      </c>
      <c r="X17" s="67">
        <v>2496.03494</v>
      </c>
      <c r="Y17" s="216">
        <v>2758.1380399999998</v>
      </c>
      <c r="Z17" s="67">
        <v>2529.2663200000002</v>
      </c>
    </row>
    <row r="18" spans="2:26">
      <c r="B18" s="3" t="s">
        <v>21</v>
      </c>
      <c r="C18" s="4"/>
      <c r="D18" s="4"/>
      <c r="E18" s="5"/>
      <c r="F18" s="26">
        <v>2017</v>
      </c>
      <c r="G18" s="26">
        <v>2018</v>
      </c>
      <c r="H18" s="26">
        <v>2019</v>
      </c>
      <c r="I18" s="26">
        <v>2020</v>
      </c>
      <c r="J18" s="26">
        <v>2021</v>
      </c>
      <c r="K18" s="26">
        <v>2022</v>
      </c>
      <c r="L18" s="26">
        <v>2023</v>
      </c>
      <c r="M18" s="26">
        <v>2024</v>
      </c>
      <c r="N18" s="26">
        <v>2025</v>
      </c>
      <c r="P18" s="34" t="s">
        <v>22</v>
      </c>
      <c r="Q18" s="84"/>
      <c r="R18" s="68">
        <v>36231</v>
      </c>
      <c r="S18" s="68">
        <v>43376</v>
      </c>
      <c r="T18" s="68">
        <v>51043</v>
      </c>
      <c r="U18" s="68">
        <v>57356</v>
      </c>
      <c r="V18" s="68">
        <v>67949</v>
      </c>
      <c r="W18" s="68">
        <v>26128</v>
      </c>
      <c r="X18" s="68">
        <v>23126.699915286401</v>
      </c>
      <c r="Y18" s="217">
        <v>16650.042007190001</v>
      </c>
      <c r="Z18" s="68">
        <v>14044.029817740004</v>
      </c>
    </row>
    <row r="19" spans="2:26">
      <c r="B19" s="191" t="s">
        <v>23</v>
      </c>
      <c r="C19" s="16"/>
      <c r="D19" s="4"/>
      <c r="E19" s="5"/>
      <c r="F19" s="62"/>
      <c r="G19" s="62"/>
      <c r="H19" s="62"/>
      <c r="I19" s="62"/>
      <c r="J19" s="62"/>
      <c r="K19" s="62"/>
      <c r="L19" s="62"/>
      <c r="M19" s="62"/>
      <c r="N19" s="62"/>
      <c r="P19" s="6"/>
      <c r="Q19" s="16" t="s">
        <v>9</v>
      </c>
      <c r="R19" s="65">
        <v>14745</v>
      </c>
      <c r="S19" s="65">
        <v>18441</v>
      </c>
      <c r="T19" s="65">
        <v>20211</v>
      </c>
      <c r="U19" s="65">
        <v>18976</v>
      </c>
      <c r="V19" s="65">
        <v>21438</v>
      </c>
      <c r="W19" s="65">
        <v>17963</v>
      </c>
      <c r="X19" s="65">
        <v>13122.403906686401</v>
      </c>
      <c r="Y19" s="215">
        <v>6417.1036707600015</v>
      </c>
      <c r="Z19" s="65">
        <v>5025.0989100000015</v>
      </c>
    </row>
    <row r="20" spans="2:26">
      <c r="B20" s="6"/>
      <c r="C20" s="189" t="s">
        <v>24</v>
      </c>
      <c r="D20" s="4"/>
      <c r="E20" s="5"/>
      <c r="F20" s="65"/>
      <c r="G20" s="65"/>
      <c r="H20" s="65"/>
      <c r="I20" s="65">
        <v>4.976</v>
      </c>
      <c r="J20" s="65">
        <v>6.4459999999999997</v>
      </c>
      <c r="K20" s="65">
        <v>12.749000000000001</v>
      </c>
      <c r="L20" s="65">
        <v>10.574999999999999</v>
      </c>
      <c r="M20" s="65">
        <v>8.6394000000000002</v>
      </c>
      <c r="N20" s="65">
        <v>13.01418</v>
      </c>
      <c r="P20" s="6"/>
      <c r="Q20" s="16" t="s">
        <v>11</v>
      </c>
      <c r="R20" s="65">
        <v>21485</v>
      </c>
      <c r="S20" s="65">
        <v>24936</v>
      </c>
      <c r="T20" s="65">
        <v>30832</v>
      </c>
      <c r="U20" s="65">
        <v>38380</v>
      </c>
      <c r="V20" s="65">
        <v>46511</v>
      </c>
      <c r="W20" s="65">
        <v>8165</v>
      </c>
      <c r="X20" s="65">
        <v>9748.4559892000016</v>
      </c>
      <c r="Y20" s="215">
        <v>10117.163365769999</v>
      </c>
      <c r="Z20" s="65">
        <v>8155.8342931800016</v>
      </c>
    </row>
    <row r="21" spans="2:26">
      <c r="B21" s="13"/>
      <c r="C21" s="190" t="s">
        <v>25</v>
      </c>
      <c r="D21" s="14"/>
      <c r="E21" s="15"/>
      <c r="F21" s="65"/>
      <c r="G21" s="65"/>
      <c r="H21" s="65"/>
      <c r="I21" s="65">
        <v>250.04400000000001</v>
      </c>
      <c r="J21" s="65">
        <v>237.33</v>
      </c>
      <c r="K21" s="65">
        <v>336.84199999999998</v>
      </c>
      <c r="L21" s="65">
        <v>422.29500000000002</v>
      </c>
      <c r="M21" s="65">
        <v>364.452</v>
      </c>
      <c r="N21" s="65">
        <v>454.50393333333335</v>
      </c>
      <c r="P21" s="6"/>
      <c r="Q21" s="16" t="s">
        <v>26</v>
      </c>
      <c r="R21" s="65"/>
      <c r="S21" s="65"/>
      <c r="T21" s="65"/>
      <c r="U21" s="65"/>
      <c r="V21" s="65"/>
      <c r="W21" s="65"/>
      <c r="X21" s="65">
        <v>255.84001940000005</v>
      </c>
      <c r="Y21" s="215">
        <v>115.77497065999998</v>
      </c>
      <c r="Z21" s="65">
        <v>863.09661456000003</v>
      </c>
    </row>
    <row r="22" spans="2:26">
      <c r="B22" s="6"/>
      <c r="C22" s="16" t="s">
        <v>27</v>
      </c>
      <c r="D22" s="4"/>
      <c r="E22" s="5"/>
      <c r="F22" s="65"/>
      <c r="G22" s="65"/>
      <c r="H22" s="65"/>
      <c r="I22" s="65">
        <v>4.641</v>
      </c>
      <c r="J22" s="65">
        <v>4.6020000000000003</v>
      </c>
      <c r="K22" s="65">
        <v>4.8490000000000002</v>
      </c>
      <c r="L22" s="65">
        <v>5.577</v>
      </c>
      <c r="M22" s="65">
        <v>2.80644E-2</v>
      </c>
      <c r="N22" s="65">
        <v>4.9135666666666662</v>
      </c>
      <c r="O22" s="108"/>
      <c r="P22" s="108"/>
      <c r="Q22" s="108"/>
    </row>
    <row r="23" spans="2:26">
      <c r="B23" s="8"/>
      <c r="C23" s="105" t="s">
        <v>6</v>
      </c>
      <c r="D23" s="9"/>
      <c r="E23" s="10"/>
      <c r="F23" s="174"/>
      <c r="G23" s="174"/>
      <c r="H23" s="174"/>
      <c r="I23" s="174"/>
      <c r="J23" s="174"/>
      <c r="K23" s="174"/>
      <c r="L23" s="175"/>
      <c r="M23" s="174"/>
      <c r="N23" s="174"/>
    </row>
    <row r="24" spans="2:26">
      <c r="B24" s="6"/>
      <c r="C24" s="16"/>
      <c r="D24" s="4" t="s">
        <v>28</v>
      </c>
      <c r="E24" s="4"/>
      <c r="F24" s="63">
        <v>0</v>
      </c>
      <c r="G24" s="63">
        <v>0</v>
      </c>
      <c r="H24" s="63">
        <v>57.698</v>
      </c>
      <c r="I24" s="63">
        <v>79.495999999999995</v>
      </c>
      <c r="J24" s="63">
        <v>137.15899999999999</v>
      </c>
      <c r="K24" s="63">
        <v>396.72</v>
      </c>
      <c r="L24" s="63">
        <v>558.495</v>
      </c>
      <c r="M24" s="63">
        <v>620.71590000000003</v>
      </c>
      <c r="N24" s="63">
        <v>910.1746619999999</v>
      </c>
      <c r="O24" s="108"/>
      <c r="P24" s="108"/>
      <c r="Q24" s="108"/>
    </row>
    <row r="25" spans="2:26">
      <c r="B25" s="6"/>
      <c r="C25" s="16" t="s">
        <v>12</v>
      </c>
      <c r="D25" s="4"/>
      <c r="E25" s="5"/>
      <c r="F25" s="62"/>
      <c r="G25" s="62"/>
      <c r="H25" s="62"/>
      <c r="I25" s="62"/>
      <c r="J25" s="62"/>
      <c r="K25" s="62"/>
      <c r="L25" s="62"/>
      <c r="M25" s="62"/>
      <c r="N25" s="62"/>
      <c r="O25" s="108"/>
      <c r="P25" s="108"/>
      <c r="Q25" s="108"/>
    </row>
    <row r="26" spans="2:26">
      <c r="B26" s="6"/>
      <c r="C26" s="16"/>
      <c r="D26" s="4" t="s">
        <v>29</v>
      </c>
      <c r="E26" s="37"/>
      <c r="F26" s="66">
        <v>0</v>
      </c>
      <c r="G26" s="66">
        <v>0</v>
      </c>
      <c r="H26" s="66">
        <v>0</v>
      </c>
      <c r="I26" s="66">
        <v>43.88</v>
      </c>
      <c r="J26" s="66">
        <v>59.488</v>
      </c>
      <c r="K26" s="66">
        <v>128.97200000000001</v>
      </c>
      <c r="L26" s="66">
        <v>112.155</v>
      </c>
      <c r="M26" s="66">
        <v>85.812566000000004</v>
      </c>
      <c r="N26" s="66">
        <v>116.08974449999999</v>
      </c>
      <c r="O26" s="108"/>
      <c r="P26" s="3" t="s">
        <v>30</v>
      </c>
      <c r="Q26" s="4"/>
      <c r="R26" s="26">
        <v>2017</v>
      </c>
      <c r="S26" s="26">
        <v>2018</v>
      </c>
      <c r="T26" s="26">
        <v>2019</v>
      </c>
      <c r="U26" s="26">
        <v>2020</v>
      </c>
      <c r="V26" s="26">
        <v>2021</v>
      </c>
      <c r="W26" s="26">
        <v>2022</v>
      </c>
      <c r="X26" s="26">
        <v>2023</v>
      </c>
      <c r="Y26" s="26">
        <v>2024</v>
      </c>
      <c r="Z26" s="26">
        <v>2025</v>
      </c>
    </row>
    <row r="27" spans="2:26">
      <c r="B27" s="6"/>
      <c r="C27" s="16" t="s">
        <v>31</v>
      </c>
      <c r="D27" s="4"/>
      <c r="E27" s="5"/>
      <c r="F27" s="62"/>
      <c r="G27" s="62"/>
      <c r="H27" s="62"/>
      <c r="I27" s="62"/>
      <c r="J27" s="62"/>
      <c r="K27" s="62"/>
      <c r="L27" s="62"/>
      <c r="M27" s="62"/>
      <c r="N27" s="62"/>
      <c r="P27" s="3" t="s">
        <v>7</v>
      </c>
      <c r="Q27" s="87"/>
      <c r="R27" s="69">
        <v>121328</v>
      </c>
      <c r="S27" s="69">
        <v>126065</v>
      </c>
      <c r="T27" s="69">
        <v>127874</v>
      </c>
      <c r="U27" s="69">
        <v>141622</v>
      </c>
      <c r="V27" s="69">
        <v>154513</v>
      </c>
      <c r="W27" s="69">
        <v>171651</v>
      </c>
      <c r="X27" s="69">
        <v>182107</v>
      </c>
      <c r="Y27" s="69">
        <v>191880.875</v>
      </c>
      <c r="Z27" s="69">
        <v>185328.97899999999</v>
      </c>
    </row>
    <row r="28" spans="2:26">
      <c r="B28" s="6"/>
      <c r="C28" s="16"/>
      <c r="D28" s="4" t="s">
        <v>32</v>
      </c>
      <c r="E28" s="5"/>
      <c r="F28" s="65">
        <v>241.68</v>
      </c>
      <c r="G28" s="65">
        <v>269.07600000000002</v>
      </c>
      <c r="H28" s="65">
        <v>413.423</v>
      </c>
      <c r="I28" s="65">
        <v>182.4</v>
      </c>
      <c r="J28" s="65">
        <v>239.66800000000001</v>
      </c>
      <c r="K28" s="65">
        <v>674.25300000000004</v>
      </c>
      <c r="L28" s="65">
        <v>473.94</v>
      </c>
      <c r="M28" s="65">
        <v>339.17380000000003</v>
      </c>
      <c r="N28" s="65">
        <v>381.81150000000002</v>
      </c>
      <c r="P28" s="6"/>
      <c r="Q28" s="16" t="s">
        <v>9</v>
      </c>
      <c r="R28" s="65">
        <v>121328</v>
      </c>
      <c r="S28" s="65">
        <v>126065</v>
      </c>
      <c r="T28" s="65">
        <v>126277</v>
      </c>
      <c r="U28" s="65">
        <v>131046</v>
      </c>
      <c r="V28" s="65">
        <v>143200</v>
      </c>
      <c r="W28" s="65">
        <v>159972</v>
      </c>
      <c r="X28" s="65">
        <v>170774</v>
      </c>
      <c r="Y28" s="65">
        <v>180902.552</v>
      </c>
      <c r="Z28" s="65">
        <v>167456.85399999999</v>
      </c>
    </row>
    <row r="29" spans="2:26">
      <c r="B29" s="6"/>
      <c r="C29" s="16" t="s">
        <v>33</v>
      </c>
      <c r="D29" s="4"/>
      <c r="E29" s="5"/>
      <c r="F29" s="62"/>
      <c r="G29" s="62"/>
      <c r="H29" s="62"/>
      <c r="I29" s="62"/>
      <c r="J29" s="62"/>
      <c r="K29" s="62"/>
      <c r="L29" s="62"/>
      <c r="M29" s="62"/>
      <c r="N29" s="62"/>
      <c r="P29" s="6"/>
      <c r="Q29" s="16" t="s">
        <v>11</v>
      </c>
      <c r="R29" s="65">
        <v>0</v>
      </c>
      <c r="S29" s="65">
        <v>0</v>
      </c>
      <c r="T29" s="65">
        <v>1597</v>
      </c>
      <c r="U29" s="65">
        <v>10576</v>
      </c>
      <c r="V29" s="65">
        <v>11313</v>
      </c>
      <c r="W29" s="65">
        <v>11679</v>
      </c>
      <c r="X29" s="65">
        <v>11333</v>
      </c>
      <c r="Y29" s="65">
        <v>10978.323</v>
      </c>
      <c r="Z29" s="65">
        <v>17872.125</v>
      </c>
    </row>
    <row r="30" spans="2:26">
      <c r="B30" s="6"/>
      <c r="C30" s="16"/>
      <c r="D30" s="4" t="s">
        <v>32</v>
      </c>
      <c r="E30" s="5"/>
      <c r="F30" s="65">
        <v>1214.2560000000001</v>
      </c>
      <c r="G30" s="65">
        <v>1243.704</v>
      </c>
      <c r="H30" s="65">
        <v>1702.7370000000001</v>
      </c>
      <c r="I30" s="65">
        <v>827.2</v>
      </c>
      <c r="J30" s="65">
        <v>1263.328</v>
      </c>
      <c r="K30" s="65">
        <v>2040.5619999999999</v>
      </c>
      <c r="L30" s="65">
        <v>1560.1949999999999</v>
      </c>
      <c r="M30" s="65">
        <v>1194.6410000000001</v>
      </c>
      <c r="N30" s="65">
        <v>1371.3236999999999</v>
      </c>
      <c r="O30" s="108"/>
      <c r="P30" s="3" t="s">
        <v>13</v>
      </c>
      <c r="Q30" s="88"/>
      <c r="R30" s="69">
        <v>0</v>
      </c>
      <c r="S30" s="69">
        <v>0</v>
      </c>
      <c r="T30" s="69">
        <v>3394</v>
      </c>
      <c r="U30" s="69">
        <v>9937</v>
      </c>
      <c r="V30" s="69">
        <v>12469</v>
      </c>
      <c r="W30" s="69">
        <v>20880</v>
      </c>
      <c r="X30" s="69">
        <v>37233</v>
      </c>
      <c r="Y30" s="69">
        <v>52161</v>
      </c>
      <c r="Z30" s="69">
        <v>59488.54</v>
      </c>
    </row>
    <row r="31" spans="2:26">
      <c r="B31" s="92"/>
      <c r="C31" s="42" t="s">
        <v>15</v>
      </c>
      <c r="E31" s="93"/>
      <c r="F31" s="62"/>
      <c r="G31" s="62"/>
      <c r="H31" s="62"/>
      <c r="I31" s="62"/>
      <c r="J31" s="62"/>
      <c r="K31" s="62"/>
      <c r="L31" s="62"/>
      <c r="M31" s="62"/>
      <c r="N31" s="62"/>
      <c r="P31" s="6"/>
      <c r="Q31" s="16" t="s">
        <v>9</v>
      </c>
      <c r="R31" s="65">
        <v>0</v>
      </c>
      <c r="S31" s="65">
        <v>0</v>
      </c>
      <c r="T31" s="65">
        <v>1797</v>
      </c>
      <c r="U31" s="65">
        <v>4846</v>
      </c>
      <c r="V31" s="65">
        <v>6564</v>
      </c>
      <c r="W31" s="65">
        <v>15143</v>
      </c>
      <c r="X31" s="65">
        <v>31963</v>
      </c>
      <c r="Y31" s="65">
        <v>46940</v>
      </c>
      <c r="Z31" s="65">
        <v>48279.92</v>
      </c>
    </row>
    <row r="32" spans="2:26">
      <c r="B32" s="6"/>
      <c r="C32" s="16"/>
      <c r="D32" s="4" t="s">
        <v>34</v>
      </c>
      <c r="E32" s="5"/>
      <c r="F32" s="65"/>
      <c r="G32" s="65"/>
      <c r="H32" s="65"/>
      <c r="I32" s="65"/>
      <c r="J32" s="65"/>
      <c r="K32" s="65">
        <v>9.7089999999999996</v>
      </c>
      <c r="L32" s="65">
        <v>3.4950000000000001</v>
      </c>
      <c r="M32" s="65">
        <v>3.3022619</v>
      </c>
      <c r="N32" s="65">
        <v>10.551935699999998</v>
      </c>
      <c r="P32" s="6"/>
      <c r="Q32" s="16" t="s">
        <v>11</v>
      </c>
      <c r="R32" s="65">
        <v>0</v>
      </c>
      <c r="S32" s="65">
        <v>0</v>
      </c>
      <c r="T32" s="65">
        <v>1597</v>
      </c>
      <c r="U32" s="65">
        <v>5091</v>
      </c>
      <c r="V32" s="65">
        <v>5905</v>
      </c>
      <c r="W32" s="65">
        <v>5737</v>
      </c>
      <c r="X32" s="65">
        <v>5270</v>
      </c>
      <c r="Y32" s="65">
        <v>5221</v>
      </c>
      <c r="Z32" s="65">
        <v>11208.62</v>
      </c>
    </row>
    <row r="33" spans="2:26">
      <c r="B33" s="6"/>
      <c r="C33" s="16" t="s">
        <v>18</v>
      </c>
      <c r="D33" s="4"/>
      <c r="E33" s="5"/>
      <c r="F33" s="62"/>
      <c r="G33" s="62"/>
      <c r="H33" s="62"/>
      <c r="I33" s="62"/>
      <c r="J33" s="62"/>
      <c r="K33" s="62"/>
      <c r="L33" s="62"/>
      <c r="M33" s="62"/>
      <c r="N33" s="62"/>
      <c r="P33" s="3" t="s">
        <v>17</v>
      </c>
      <c r="Q33" s="16"/>
      <c r="R33" s="65"/>
      <c r="S33" s="65"/>
      <c r="T33" s="65"/>
      <c r="U33" s="65"/>
      <c r="V33" s="65"/>
      <c r="W33" s="65"/>
      <c r="X33" s="65"/>
      <c r="Y33" s="69">
        <v>92</v>
      </c>
      <c r="Z33" s="69">
        <v>575.60799999999995</v>
      </c>
    </row>
    <row r="34" spans="2:26" ht="15" customHeight="1">
      <c r="B34" s="6"/>
      <c r="C34" s="16"/>
      <c r="D34" s="4" t="s">
        <v>28</v>
      </c>
      <c r="E34" s="4"/>
      <c r="F34" s="63"/>
      <c r="G34" s="63"/>
      <c r="H34" s="63"/>
      <c r="I34" s="63"/>
      <c r="J34" s="63"/>
      <c r="K34" s="63"/>
      <c r="L34" s="63"/>
      <c r="M34" s="63">
        <v>1.0948</v>
      </c>
      <c r="N34" s="63">
        <v>8.8068023999999987</v>
      </c>
      <c r="P34" s="6"/>
      <c r="Q34" s="16" t="s">
        <v>9</v>
      </c>
      <c r="R34" s="65"/>
      <c r="S34" s="65"/>
      <c r="T34" s="65"/>
      <c r="U34" s="65"/>
      <c r="V34" s="65"/>
      <c r="W34" s="65"/>
      <c r="X34" s="65"/>
      <c r="Y34" s="65">
        <v>92</v>
      </c>
      <c r="Z34" s="65">
        <v>575.60799999999995</v>
      </c>
    </row>
    <row r="35" spans="2:26" ht="15" customHeight="1">
      <c r="B35" s="13"/>
      <c r="C35" s="17" t="s">
        <v>35</v>
      </c>
      <c r="D35" s="14"/>
      <c r="E35" s="15"/>
      <c r="F35" s="62"/>
      <c r="G35" s="62"/>
      <c r="H35" s="62"/>
      <c r="I35" s="62"/>
      <c r="J35" s="62"/>
      <c r="K35" s="62"/>
      <c r="L35" s="62"/>
      <c r="M35" s="62"/>
      <c r="N35" s="62"/>
      <c r="P35" s="6"/>
      <c r="Q35" s="16" t="s">
        <v>11</v>
      </c>
      <c r="R35" s="65"/>
      <c r="S35" s="65"/>
      <c r="T35" s="65"/>
      <c r="U35" s="65"/>
      <c r="V35" s="65"/>
      <c r="W35" s="65"/>
      <c r="X35" s="65"/>
      <c r="Y35" s="65">
        <v>0</v>
      </c>
      <c r="Z35" s="65">
        <v>0</v>
      </c>
    </row>
    <row r="36" spans="2:26" ht="15" customHeight="1">
      <c r="B36" s="11"/>
      <c r="C36" s="18"/>
      <c r="D36" s="35" t="s">
        <v>36</v>
      </c>
      <c r="E36" s="12"/>
      <c r="F36" s="67"/>
      <c r="G36" s="67"/>
      <c r="H36" s="67"/>
      <c r="I36" s="67"/>
      <c r="J36" s="67"/>
      <c r="K36" s="67"/>
      <c r="L36" s="67">
        <v>6</v>
      </c>
      <c r="M36" s="67">
        <v>6</v>
      </c>
      <c r="N36" s="67">
        <v>6</v>
      </c>
      <c r="P36" s="3" t="s">
        <v>19</v>
      </c>
      <c r="Q36" s="88"/>
      <c r="R36" s="69">
        <v>0</v>
      </c>
      <c r="S36" s="69">
        <v>0</v>
      </c>
      <c r="T36" s="69">
        <v>0</v>
      </c>
      <c r="U36" s="69">
        <v>5485</v>
      </c>
      <c r="V36" s="69">
        <v>5408</v>
      </c>
      <c r="W36" s="69">
        <v>6788</v>
      </c>
      <c r="X36" s="69">
        <v>7477</v>
      </c>
      <c r="Y36" s="69">
        <v>7211.14</v>
      </c>
      <c r="Z36" s="69">
        <v>7587.5650000000005</v>
      </c>
    </row>
    <row r="37" spans="2:26">
      <c r="B37" s="34" t="s">
        <v>37</v>
      </c>
      <c r="C37" s="9"/>
      <c r="D37" s="9"/>
      <c r="E37" s="10"/>
      <c r="F37" s="68">
        <v>1455.9360000000001</v>
      </c>
      <c r="G37" s="68">
        <v>1512.78</v>
      </c>
      <c r="H37" s="68">
        <v>2173.8580000000002</v>
      </c>
      <c r="I37" s="68">
        <v>1142.5930000000001</v>
      </c>
      <c r="J37" s="68">
        <v>1710.691</v>
      </c>
      <c r="K37" s="68">
        <v>3267.8139999999999</v>
      </c>
      <c r="L37" s="68">
        <v>2730.4319999999998</v>
      </c>
      <c r="M37" s="68">
        <v>2259.4077923</v>
      </c>
      <c r="N37" s="68">
        <v>2822.6860912666662</v>
      </c>
      <c r="P37" s="6"/>
      <c r="Q37" s="16" t="s">
        <v>9</v>
      </c>
      <c r="R37" s="65">
        <v>0</v>
      </c>
      <c r="S37" s="65">
        <v>0</v>
      </c>
      <c r="T37" s="65">
        <v>0</v>
      </c>
      <c r="U37" s="65">
        <v>0</v>
      </c>
      <c r="V37" s="65">
        <v>0</v>
      </c>
      <c r="W37" s="65">
        <v>1357</v>
      </c>
      <c r="X37" s="65">
        <v>1647</v>
      </c>
      <c r="Y37" s="65">
        <v>1731.318</v>
      </c>
      <c r="Z37" s="65">
        <v>1613.729</v>
      </c>
    </row>
    <row r="38" spans="2:26" ht="15" thickBot="1">
      <c r="B38" s="3" t="s">
        <v>38</v>
      </c>
      <c r="C38" s="4"/>
      <c r="D38" s="4"/>
      <c r="E38" s="5"/>
      <c r="F38" s="69">
        <v>0</v>
      </c>
      <c r="G38" s="69">
        <v>0</v>
      </c>
      <c r="H38" s="69">
        <v>0</v>
      </c>
      <c r="I38" s="69">
        <v>254.685</v>
      </c>
      <c r="J38" s="69">
        <v>241.93200000000002</v>
      </c>
      <c r="K38" s="69">
        <v>341.69099999999997</v>
      </c>
      <c r="L38" s="69">
        <v>433.87200000000001</v>
      </c>
      <c r="M38" s="69">
        <v>370.4800644</v>
      </c>
      <c r="N38" s="69">
        <v>465.41750000000002</v>
      </c>
      <c r="P38" s="6"/>
      <c r="Q38" s="16" t="s">
        <v>11</v>
      </c>
      <c r="R38" s="65">
        <v>0</v>
      </c>
      <c r="S38" s="65">
        <v>0</v>
      </c>
      <c r="T38" s="65">
        <v>0</v>
      </c>
      <c r="U38" s="65">
        <v>5485</v>
      </c>
      <c r="V38" s="65">
        <v>5408</v>
      </c>
      <c r="W38" s="65">
        <v>5431</v>
      </c>
      <c r="X38" s="65">
        <v>5830</v>
      </c>
      <c r="Y38" s="65">
        <v>5479.8220000000001</v>
      </c>
      <c r="Z38" s="65">
        <v>5973.8360000000002</v>
      </c>
    </row>
    <row r="39" spans="2:26">
      <c r="B39" s="92"/>
      <c r="K39" s="93"/>
      <c r="L39" s="93"/>
      <c r="M39" s="93"/>
      <c r="N39" s="93"/>
      <c r="P39" s="34" t="s">
        <v>39</v>
      </c>
      <c r="Q39" s="84"/>
      <c r="R39" s="68">
        <v>20140</v>
      </c>
      <c r="S39" s="68">
        <v>22423</v>
      </c>
      <c r="T39" s="68">
        <v>24319</v>
      </c>
      <c r="U39" s="68">
        <v>22800</v>
      </c>
      <c r="V39" s="68">
        <v>21788</v>
      </c>
      <c r="W39" s="68">
        <v>35487</v>
      </c>
      <c r="X39" s="68">
        <v>31596</v>
      </c>
      <c r="Y39" s="68">
        <v>28502</v>
      </c>
      <c r="Z39" s="68">
        <v>24955</v>
      </c>
    </row>
    <row r="40" spans="2:26">
      <c r="B40" s="3" t="s">
        <v>40</v>
      </c>
      <c r="C40" s="4"/>
      <c r="D40" s="4"/>
      <c r="E40" s="5"/>
      <c r="F40" s="26">
        <v>2017</v>
      </c>
      <c r="G40" s="26">
        <v>2018</v>
      </c>
      <c r="H40" s="26">
        <v>2019</v>
      </c>
      <c r="I40" s="26">
        <v>2020</v>
      </c>
      <c r="J40" s="26">
        <v>2021</v>
      </c>
      <c r="K40" s="26">
        <v>2022</v>
      </c>
      <c r="L40" s="26">
        <v>2023</v>
      </c>
      <c r="M40" s="26">
        <v>2024</v>
      </c>
      <c r="N40" s="26">
        <v>2025</v>
      </c>
      <c r="P40" s="6"/>
      <c r="Q40" s="16" t="s">
        <v>9</v>
      </c>
      <c r="R40" s="65">
        <v>20140</v>
      </c>
      <c r="S40" s="65">
        <v>22423</v>
      </c>
      <c r="T40" s="65">
        <v>24319</v>
      </c>
      <c r="U40" s="65">
        <v>22800</v>
      </c>
      <c r="V40" s="65">
        <v>21788</v>
      </c>
      <c r="W40" s="65">
        <v>35487</v>
      </c>
      <c r="X40" s="65">
        <v>31596</v>
      </c>
      <c r="Y40" s="65">
        <v>28502</v>
      </c>
      <c r="Z40" s="65">
        <v>24955</v>
      </c>
    </row>
    <row r="41" spans="2:26">
      <c r="B41" s="6" t="s">
        <v>41</v>
      </c>
      <c r="C41" s="4"/>
      <c r="D41" s="4"/>
      <c r="E41" s="5"/>
      <c r="F41" s="62"/>
      <c r="G41" s="62"/>
      <c r="H41" s="62"/>
      <c r="I41" s="62"/>
      <c r="J41" s="62"/>
      <c r="K41" s="62"/>
      <c r="L41" s="62"/>
      <c r="M41" s="62"/>
      <c r="N41" s="62"/>
      <c r="P41" s="6"/>
      <c r="Q41" s="16" t="s">
        <v>11</v>
      </c>
      <c r="R41" s="62"/>
      <c r="S41" s="62"/>
      <c r="T41" s="62"/>
      <c r="U41" s="62"/>
      <c r="V41" s="62"/>
      <c r="W41" s="62"/>
      <c r="X41" s="62"/>
      <c r="Y41" s="62"/>
      <c r="Z41" s="62"/>
    </row>
    <row r="42" spans="2:26">
      <c r="B42" s="6"/>
      <c r="C42" s="16" t="s">
        <v>6</v>
      </c>
      <c r="D42" s="4"/>
      <c r="E42" s="5"/>
      <c r="F42" s="62"/>
      <c r="G42" s="62"/>
      <c r="H42" s="62"/>
      <c r="I42" s="62"/>
      <c r="J42" s="62"/>
      <c r="K42" s="62"/>
      <c r="L42" s="114"/>
      <c r="M42" s="62"/>
      <c r="N42" s="62"/>
      <c r="P42" s="34" t="s">
        <v>42</v>
      </c>
      <c r="Q42" s="84"/>
      <c r="R42" s="68">
        <v>101188</v>
      </c>
      <c r="S42" s="68">
        <v>103642</v>
      </c>
      <c r="T42" s="68">
        <v>100161</v>
      </c>
      <c r="U42" s="68">
        <v>103400</v>
      </c>
      <c r="V42" s="68">
        <v>114848</v>
      </c>
      <c r="W42" s="68">
        <v>107398</v>
      </c>
      <c r="X42" s="68">
        <v>104013</v>
      </c>
      <c r="Y42" s="68">
        <v>100390</v>
      </c>
      <c r="Z42" s="68">
        <v>89629</v>
      </c>
    </row>
    <row r="43" spans="2:26">
      <c r="B43" s="6"/>
      <c r="C43" s="16"/>
      <c r="D43" s="4" t="s">
        <v>43</v>
      </c>
      <c r="E43" s="5"/>
      <c r="F43" s="63">
        <v>19052.133333333335</v>
      </c>
      <c r="G43" s="63">
        <v>2069.5</v>
      </c>
      <c r="H43" s="63">
        <v>84458.933333333349</v>
      </c>
      <c r="I43" s="63">
        <v>42860.800000000003</v>
      </c>
      <c r="J43" s="63">
        <v>2394.7833333333328</v>
      </c>
      <c r="K43" s="65">
        <v>20391.416666666668</v>
      </c>
      <c r="L43" s="65">
        <v>50060.6</v>
      </c>
      <c r="M43" s="65">
        <v>0</v>
      </c>
      <c r="N43" s="65">
        <v>28570.9</v>
      </c>
      <c r="P43" s="6"/>
      <c r="Q43" s="16" t="s">
        <v>9</v>
      </c>
      <c r="R43" s="65">
        <v>101188</v>
      </c>
      <c r="S43" s="65">
        <v>103642</v>
      </c>
      <c r="T43" s="65">
        <v>100161</v>
      </c>
      <c r="U43" s="65">
        <v>103400</v>
      </c>
      <c r="V43" s="65">
        <v>114848</v>
      </c>
      <c r="W43" s="65">
        <v>107398</v>
      </c>
      <c r="X43" s="65">
        <v>104013</v>
      </c>
      <c r="Y43" s="65">
        <v>100390</v>
      </c>
      <c r="Z43" s="65">
        <v>89629</v>
      </c>
    </row>
    <row r="44" spans="2:26">
      <c r="B44" s="6"/>
      <c r="C44" s="16"/>
      <c r="D44" s="4" t="s">
        <v>44</v>
      </c>
      <c r="E44" s="5"/>
      <c r="F44" s="63"/>
      <c r="G44" s="63"/>
      <c r="H44" s="63"/>
      <c r="I44" s="63"/>
      <c r="J44" s="63"/>
      <c r="K44" s="65"/>
      <c r="L44" s="65">
        <v>1988</v>
      </c>
      <c r="M44" s="65">
        <v>2013</v>
      </c>
      <c r="N44" s="65">
        <v>2013</v>
      </c>
      <c r="P44" s="6"/>
      <c r="Q44" s="16" t="s">
        <v>11</v>
      </c>
      <c r="R44" s="62"/>
      <c r="S44" s="62"/>
      <c r="T44" s="62"/>
      <c r="U44" s="62"/>
      <c r="V44" s="62"/>
      <c r="W44" s="62"/>
      <c r="X44" s="62"/>
      <c r="Y44" s="62"/>
      <c r="Z44" s="62"/>
    </row>
    <row r="45" spans="2:26">
      <c r="B45" s="6"/>
      <c r="C45" s="16" t="s">
        <v>12</v>
      </c>
      <c r="D45" s="4"/>
      <c r="E45" s="5"/>
      <c r="F45" s="62"/>
      <c r="G45" s="62"/>
      <c r="H45" s="62"/>
      <c r="I45" s="62"/>
      <c r="J45" s="62"/>
      <c r="K45" s="62"/>
      <c r="L45" s="62"/>
      <c r="M45" s="62"/>
      <c r="N45" s="62"/>
      <c r="P45" s="34" t="s">
        <v>15</v>
      </c>
      <c r="Q45" s="84"/>
      <c r="R45" s="68"/>
      <c r="S45" s="68"/>
      <c r="T45" s="68"/>
      <c r="U45" s="68"/>
      <c r="V45" s="68"/>
      <c r="W45" s="68">
        <v>1098</v>
      </c>
      <c r="X45" s="68">
        <v>1788</v>
      </c>
      <c r="Y45" s="68">
        <v>3476.7349999999997</v>
      </c>
      <c r="Z45" s="68">
        <v>2934.098</v>
      </c>
    </row>
    <row r="46" spans="2:26">
      <c r="B46" s="6"/>
      <c r="C46" s="16"/>
      <c r="D46" s="4" t="s">
        <v>45</v>
      </c>
      <c r="E46" s="5"/>
      <c r="F46" s="65">
        <v>0</v>
      </c>
      <c r="G46" s="65">
        <v>0</v>
      </c>
      <c r="H46" s="65">
        <v>403.6</v>
      </c>
      <c r="I46" s="65">
        <v>201.8</v>
      </c>
      <c r="J46" s="65">
        <v>2016.95</v>
      </c>
      <c r="K46" s="65">
        <v>8067.8</v>
      </c>
      <c r="L46" s="65">
        <v>0</v>
      </c>
      <c r="M46" s="65">
        <v>0</v>
      </c>
      <c r="N46" s="65">
        <v>0</v>
      </c>
      <c r="P46" s="6"/>
      <c r="Q46" s="16" t="s">
        <v>9</v>
      </c>
      <c r="R46" s="65"/>
      <c r="S46" s="65"/>
      <c r="T46" s="65"/>
      <c r="U46" s="65"/>
      <c r="V46" s="65"/>
      <c r="W46" s="65">
        <v>587</v>
      </c>
      <c r="X46" s="65">
        <v>1555</v>
      </c>
      <c r="Y46" s="65">
        <v>3199.2339999999999</v>
      </c>
      <c r="Z46" s="65">
        <v>2244.4290000000001</v>
      </c>
    </row>
    <row r="47" spans="2:26">
      <c r="B47" s="6"/>
      <c r="C47" s="16" t="s">
        <v>31</v>
      </c>
      <c r="D47" s="4"/>
      <c r="E47" s="5"/>
      <c r="F47" s="62"/>
      <c r="G47" s="62"/>
      <c r="H47" s="62"/>
      <c r="I47" s="62"/>
      <c r="J47" s="62"/>
      <c r="K47" s="62"/>
      <c r="L47" s="62"/>
      <c r="M47" s="62"/>
      <c r="N47" s="62"/>
      <c r="P47" s="6"/>
      <c r="Q47" s="16" t="s">
        <v>11</v>
      </c>
      <c r="R47" s="65"/>
      <c r="S47" s="65"/>
      <c r="T47" s="65"/>
      <c r="U47" s="65"/>
      <c r="V47" s="65"/>
      <c r="W47" s="65">
        <v>511</v>
      </c>
      <c r="X47" s="65">
        <v>233</v>
      </c>
      <c r="Y47" s="65">
        <v>277.50099999999998</v>
      </c>
      <c r="Z47" s="65">
        <v>689.66899999999998</v>
      </c>
    </row>
    <row r="48" spans="2:26">
      <c r="B48" s="6"/>
      <c r="C48" s="16"/>
      <c r="D48" s="4" t="s">
        <v>46</v>
      </c>
      <c r="E48" s="5"/>
      <c r="F48" s="65">
        <v>0</v>
      </c>
      <c r="G48" s="65">
        <v>0</v>
      </c>
      <c r="H48" s="65">
        <v>0</v>
      </c>
      <c r="I48" s="65">
        <v>0</v>
      </c>
      <c r="J48" s="65">
        <v>0</v>
      </c>
      <c r="K48" s="65">
        <v>6183</v>
      </c>
      <c r="L48" s="65">
        <v>13602.6</v>
      </c>
      <c r="M48" s="65">
        <v>16075.8</v>
      </c>
      <c r="N48" s="65">
        <v>0</v>
      </c>
      <c r="P48" s="172" t="s">
        <v>47</v>
      </c>
      <c r="Q48" s="173"/>
      <c r="R48" s="167" t="s">
        <v>48</v>
      </c>
      <c r="S48" s="166" t="s">
        <v>48</v>
      </c>
      <c r="T48" s="166" t="s">
        <v>48</v>
      </c>
      <c r="U48" s="166" t="s">
        <v>48</v>
      </c>
      <c r="V48" s="166" t="s">
        <v>48</v>
      </c>
      <c r="W48" s="166" t="s">
        <v>48</v>
      </c>
      <c r="X48" s="166" t="s">
        <v>48</v>
      </c>
      <c r="Y48" s="166">
        <v>4</v>
      </c>
      <c r="Z48" s="166">
        <v>15</v>
      </c>
    </row>
    <row r="49" spans="2:26">
      <c r="B49" s="6"/>
      <c r="C49" s="16" t="s">
        <v>33</v>
      </c>
      <c r="D49" s="4"/>
      <c r="E49" s="5"/>
      <c r="F49" s="62"/>
      <c r="G49" s="62"/>
      <c r="H49" s="62"/>
      <c r="I49" s="62"/>
      <c r="J49" s="62"/>
      <c r="K49" s="62"/>
      <c r="L49" s="62"/>
      <c r="M49" s="62"/>
      <c r="N49" s="62"/>
      <c r="P49" s="149" t="s">
        <v>48</v>
      </c>
      <c r="Q49" s="168" t="s">
        <v>9</v>
      </c>
      <c r="R49" s="169" t="s">
        <v>48</v>
      </c>
      <c r="S49" s="170" t="s">
        <v>48</v>
      </c>
      <c r="T49" s="170" t="s">
        <v>48</v>
      </c>
      <c r="U49" s="170" t="s">
        <v>48</v>
      </c>
      <c r="V49" s="170" t="s">
        <v>48</v>
      </c>
      <c r="W49" s="170" t="s">
        <v>48</v>
      </c>
      <c r="X49" s="170" t="s">
        <v>48</v>
      </c>
      <c r="Y49" s="170">
        <v>4</v>
      </c>
      <c r="Z49" s="170">
        <v>15</v>
      </c>
    </row>
    <row r="50" spans="2:26">
      <c r="B50" s="6"/>
      <c r="C50" s="16"/>
      <c r="D50" s="23" t="s">
        <v>49</v>
      </c>
      <c r="E50" s="5"/>
      <c r="F50" s="65">
        <v>0</v>
      </c>
      <c r="G50" s="65">
        <v>0</v>
      </c>
      <c r="H50" s="65">
        <v>0</v>
      </c>
      <c r="I50" s="65">
        <v>0</v>
      </c>
      <c r="J50" s="65">
        <v>0</v>
      </c>
      <c r="K50" s="65">
        <v>0</v>
      </c>
      <c r="L50" s="65">
        <v>0</v>
      </c>
      <c r="M50" s="65">
        <v>0</v>
      </c>
      <c r="N50" s="65">
        <v>0</v>
      </c>
      <c r="P50" s="149" t="s">
        <v>48</v>
      </c>
      <c r="Q50" s="168" t="s">
        <v>11</v>
      </c>
      <c r="R50" s="169" t="s">
        <v>48</v>
      </c>
      <c r="S50" s="170" t="s">
        <v>48</v>
      </c>
      <c r="T50" s="170" t="s">
        <v>48</v>
      </c>
      <c r="U50" s="170" t="s">
        <v>48</v>
      </c>
      <c r="V50" s="170" t="s">
        <v>48</v>
      </c>
      <c r="W50" s="170" t="s">
        <v>48</v>
      </c>
      <c r="X50" s="170" t="s">
        <v>48</v>
      </c>
      <c r="Y50" s="170">
        <v>0</v>
      </c>
      <c r="Z50" s="170">
        <v>0</v>
      </c>
    </row>
    <row r="51" spans="2:26">
      <c r="B51" s="92"/>
      <c r="C51" s="42" t="s">
        <v>15</v>
      </c>
      <c r="E51" s="93"/>
      <c r="F51" s="62"/>
      <c r="G51" s="62"/>
      <c r="H51" s="62"/>
      <c r="I51" s="62"/>
      <c r="J51" s="62"/>
      <c r="K51" s="62"/>
      <c r="L51" s="62"/>
      <c r="M51" s="62"/>
      <c r="N51" s="62"/>
      <c r="P51" s="171" t="s">
        <v>50</v>
      </c>
      <c r="Q51" s="81" t="s">
        <v>48</v>
      </c>
      <c r="R51" s="167" t="s">
        <v>48</v>
      </c>
      <c r="S51" s="166" t="s">
        <v>48</v>
      </c>
      <c r="T51" s="166" t="s">
        <v>48</v>
      </c>
      <c r="U51" s="166" t="s">
        <v>48</v>
      </c>
      <c r="V51" s="166" t="s">
        <v>48</v>
      </c>
      <c r="W51" s="166" t="s">
        <v>48</v>
      </c>
      <c r="X51" s="166" t="s">
        <v>48</v>
      </c>
      <c r="Y51" s="166">
        <v>44</v>
      </c>
      <c r="Z51" s="221">
        <v>144.16800000000001</v>
      </c>
    </row>
    <row r="52" spans="2:26">
      <c r="B52" s="13"/>
      <c r="C52" s="17"/>
      <c r="D52" s="14" t="s">
        <v>51</v>
      </c>
      <c r="E52" s="15"/>
      <c r="F52" s="65">
        <v>0</v>
      </c>
      <c r="G52" s="65">
        <v>0</v>
      </c>
      <c r="H52" s="65">
        <v>0</v>
      </c>
      <c r="I52" s="65">
        <v>0</v>
      </c>
      <c r="J52" s="65">
        <v>0</v>
      </c>
      <c r="K52" s="65">
        <v>1714.5</v>
      </c>
      <c r="L52" s="65">
        <v>0</v>
      </c>
      <c r="M52" s="65">
        <v>894.67499999999995</v>
      </c>
      <c r="N52" s="65">
        <v>2812.6</v>
      </c>
      <c r="P52" s="149" t="s">
        <v>48</v>
      </c>
      <c r="Q52" s="168" t="s">
        <v>9</v>
      </c>
      <c r="R52" s="169" t="s">
        <v>48</v>
      </c>
      <c r="S52" s="170" t="s">
        <v>48</v>
      </c>
      <c r="T52" s="170" t="s">
        <v>48</v>
      </c>
      <c r="U52" s="170" t="s">
        <v>48</v>
      </c>
      <c r="V52" s="170" t="s">
        <v>48</v>
      </c>
      <c r="W52" s="170" t="s">
        <v>48</v>
      </c>
      <c r="X52" s="170" t="s">
        <v>48</v>
      </c>
      <c r="Y52" s="170">
        <v>44</v>
      </c>
      <c r="Z52" s="220">
        <v>144.16800000000001</v>
      </c>
    </row>
    <row r="53" spans="2:26">
      <c r="B53" s="6"/>
      <c r="C53" s="16"/>
      <c r="D53" s="4" t="s">
        <v>52</v>
      </c>
      <c r="E53" s="5"/>
      <c r="F53" s="65">
        <v>0</v>
      </c>
      <c r="G53" s="65">
        <v>0</v>
      </c>
      <c r="H53" s="65">
        <v>1440</v>
      </c>
      <c r="I53" s="65">
        <v>0</v>
      </c>
      <c r="J53" s="65">
        <v>0</v>
      </c>
      <c r="K53" s="65">
        <v>3445.2783333333332</v>
      </c>
      <c r="L53" s="65">
        <v>1311.8333333333333</v>
      </c>
      <c r="M53" s="65">
        <v>0</v>
      </c>
      <c r="N53" s="65">
        <v>2745.6333333333332</v>
      </c>
      <c r="P53" s="149" t="s">
        <v>48</v>
      </c>
      <c r="Q53" s="168" t="s">
        <v>11</v>
      </c>
      <c r="R53" s="169" t="s">
        <v>48</v>
      </c>
      <c r="S53" s="170" t="s">
        <v>48</v>
      </c>
      <c r="T53" s="170" t="s">
        <v>48</v>
      </c>
      <c r="U53" s="170" t="s">
        <v>48</v>
      </c>
      <c r="V53" s="170" t="s">
        <v>48</v>
      </c>
      <c r="W53" s="170" t="s">
        <v>48</v>
      </c>
      <c r="X53" s="170" t="s">
        <v>48</v>
      </c>
      <c r="Y53" s="170">
        <v>0</v>
      </c>
      <c r="Z53" s="170">
        <v>0</v>
      </c>
    </row>
    <row r="54" spans="2:26">
      <c r="B54" s="6"/>
      <c r="C54" s="42" t="s">
        <v>47</v>
      </c>
      <c r="D54" s="165"/>
      <c r="E54" s="5"/>
      <c r="F54" s="62"/>
      <c r="G54" s="62"/>
      <c r="H54" s="62"/>
      <c r="I54" s="62"/>
      <c r="J54" s="62"/>
      <c r="K54" s="62"/>
      <c r="L54" s="174"/>
      <c r="M54" s="174"/>
      <c r="N54" s="174"/>
    </row>
    <row r="55" spans="2:26">
      <c r="B55" s="6"/>
      <c r="C55" s="16"/>
      <c r="D55" s="4" t="s">
        <v>53</v>
      </c>
      <c r="E55" s="5"/>
      <c r="F55" s="65"/>
      <c r="G55" s="65"/>
      <c r="H55" s="65"/>
      <c r="I55" s="65"/>
      <c r="J55" s="65"/>
      <c r="K55" s="65"/>
      <c r="L55" s="65"/>
      <c r="M55" s="65">
        <v>160.875</v>
      </c>
      <c r="N55" s="65">
        <v>0</v>
      </c>
    </row>
    <row r="56" spans="2:26">
      <c r="B56" s="6"/>
      <c r="C56" s="16" t="s">
        <v>50</v>
      </c>
      <c r="D56" s="4"/>
      <c r="E56" s="5"/>
      <c r="F56" s="62"/>
      <c r="G56" s="62"/>
      <c r="H56" s="62"/>
      <c r="I56" s="62"/>
      <c r="J56" s="62"/>
      <c r="K56" s="62"/>
      <c r="L56" s="62"/>
      <c r="M56" s="62"/>
      <c r="N56" s="62"/>
    </row>
    <row r="57" spans="2:26">
      <c r="B57" s="6"/>
      <c r="C57" s="4"/>
      <c r="D57" s="4" t="s">
        <v>54</v>
      </c>
      <c r="E57" s="5"/>
      <c r="F57" s="7"/>
      <c r="G57" s="7"/>
      <c r="H57" s="7"/>
      <c r="I57" s="7"/>
      <c r="J57" s="7"/>
      <c r="K57" s="7"/>
      <c r="L57" s="7"/>
      <c r="M57" s="7"/>
      <c r="N57" s="7"/>
      <c r="P57" s="3" t="s">
        <v>55</v>
      </c>
      <c r="Q57" s="4"/>
      <c r="R57" s="26">
        <v>2017</v>
      </c>
      <c r="S57" s="26">
        <v>2018</v>
      </c>
      <c r="T57" s="26">
        <v>2019</v>
      </c>
      <c r="U57" s="26">
        <v>2020</v>
      </c>
      <c r="V57" s="26">
        <v>2021</v>
      </c>
      <c r="W57" s="26">
        <v>2022</v>
      </c>
      <c r="X57" s="26">
        <v>2023</v>
      </c>
      <c r="Y57" s="26">
        <v>2024</v>
      </c>
      <c r="Z57" s="26">
        <v>2025</v>
      </c>
    </row>
    <row r="58" spans="2:26">
      <c r="B58" s="13"/>
      <c r="C58" s="17" t="s">
        <v>56</v>
      </c>
      <c r="D58" s="14"/>
      <c r="E58" s="15"/>
      <c r="F58" s="62"/>
      <c r="G58" s="62"/>
      <c r="H58" s="62"/>
      <c r="I58" s="62"/>
      <c r="J58" s="62"/>
      <c r="K58" s="62"/>
      <c r="L58" s="62"/>
      <c r="M58" s="62"/>
      <c r="N58" s="62"/>
      <c r="P58" s="3"/>
      <c r="Q58" s="4"/>
      <c r="R58" s="26"/>
      <c r="S58" s="26"/>
      <c r="T58" s="26"/>
      <c r="U58" s="26"/>
      <c r="V58" s="26"/>
      <c r="W58" s="26"/>
      <c r="X58" s="26"/>
      <c r="Y58" s="26"/>
      <c r="Z58" s="26"/>
    </row>
    <row r="59" spans="2:26">
      <c r="B59" s="13"/>
      <c r="C59" s="17"/>
      <c r="D59" s="14" t="s">
        <v>57</v>
      </c>
      <c r="E59" s="15"/>
      <c r="F59" s="62"/>
      <c r="G59" s="62"/>
      <c r="H59" s="62"/>
      <c r="I59" s="62"/>
      <c r="J59" s="62"/>
      <c r="K59" s="62"/>
      <c r="L59" s="62"/>
      <c r="M59" s="62"/>
      <c r="N59" s="62">
        <v>2200</v>
      </c>
      <c r="P59" s="3" t="s">
        <v>7</v>
      </c>
      <c r="Q59" s="87"/>
      <c r="R59" s="89">
        <v>2.0177573913438395E-2</v>
      </c>
      <c r="S59" s="89">
        <v>2.310014374700527E-2</v>
      </c>
      <c r="T59" s="89">
        <v>1.771568668892928E-2</v>
      </c>
      <c r="U59" s="89">
        <v>1.9959622124028645E-2</v>
      </c>
      <c r="V59" s="89">
        <v>1.4032639038007302E-2</v>
      </c>
      <c r="W59" s="89">
        <v>3.8356983138087671E-2</v>
      </c>
      <c r="X59" s="89">
        <v>3.1203681465748659E-2</v>
      </c>
      <c r="Y59" s="89">
        <v>2.6952975099360788E-2</v>
      </c>
      <c r="Z59" s="89">
        <v>2.5988367746728459E-2</v>
      </c>
    </row>
    <row r="60" spans="2:26">
      <c r="B60" s="13"/>
      <c r="C60" s="17"/>
      <c r="D60" s="14" t="s">
        <v>58</v>
      </c>
      <c r="E60" s="15"/>
      <c r="F60" s="65"/>
      <c r="G60" s="65"/>
      <c r="H60" s="65"/>
      <c r="I60" s="65"/>
      <c r="J60" s="65"/>
      <c r="K60" s="65"/>
      <c r="L60" s="65">
        <v>1192</v>
      </c>
      <c r="M60" s="65"/>
      <c r="N60" s="65"/>
      <c r="O60" s="109"/>
      <c r="P60" s="6"/>
      <c r="Q60" s="16" t="s">
        <v>9</v>
      </c>
      <c r="R60" s="70">
        <v>1.1631746501813874E-2</v>
      </c>
      <c r="S60" s="70">
        <v>1.4576644409717289E-2</v>
      </c>
      <c r="T60" s="70">
        <v>1.1574022733573606E-2</v>
      </c>
      <c r="U60" s="70">
        <v>2.0698099929627022E-2</v>
      </c>
      <c r="V60" s="70">
        <v>1.6483574943476527E-2</v>
      </c>
      <c r="W60" s="70">
        <v>9.3061124793909905E-3</v>
      </c>
      <c r="X60" s="70">
        <v>4.1077293995375429E-3</v>
      </c>
      <c r="Y60" s="70">
        <v>3.6919115458928576E-4</v>
      </c>
      <c r="Z60" s="70">
        <v>5.4359444572722954E-4</v>
      </c>
    </row>
    <row r="61" spans="2:26">
      <c r="B61" s="13"/>
      <c r="C61" s="17"/>
      <c r="D61" s="14" t="s">
        <v>59</v>
      </c>
      <c r="E61" s="15"/>
      <c r="F61" s="65"/>
      <c r="G61" s="65"/>
      <c r="H61" s="65"/>
      <c r="I61" s="65"/>
      <c r="J61" s="65"/>
      <c r="K61" s="65"/>
      <c r="L61" s="65">
        <v>244</v>
      </c>
      <c r="M61" s="65">
        <v>244</v>
      </c>
      <c r="N61" s="65">
        <v>244</v>
      </c>
      <c r="P61" s="6"/>
      <c r="Q61" s="16" t="s">
        <v>11</v>
      </c>
      <c r="R61" s="70">
        <v>3.3738251879699248E-2</v>
      </c>
      <c r="S61" s="70">
        <v>3.6609234234234234E-2</v>
      </c>
      <c r="T61" s="70">
        <v>2.7318235995232421E-2</v>
      </c>
      <c r="U61" s="70">
        <v>1.9088191330343798E-2</v>
      </c>
      <c r="V61" s="70">
        <v>1.1174829510229385E-2</v>
      </c>
      <c r="W61" s="70">
        <v>0.1032964782964783</v>
      </c>
      <c r="X61" s="70">
        <v>9.1773547217733578E-2</v>
      </c>
      <c r="Y61" s="70">
        <v>8.5678493872820519E-2</v>
      </c>
      <c r="Z61" s="70">
        <v>7.9656310262079061E-2</v>
      </c>
    </row>
    <row r="62" spans="2:26">
      <c r="B62" s="13"/>
      <c r="C62" s="17"/>
      <c r="D62" s="14" t="s">
        <v>60</v>
      </c>
      <c r="E62" s="15"/>
      <c r="F62" s="65"/>
      <c r="G62" s="65"/>
      <c r="H62" s="65"/>
      <c r="I62" s="65"/>
      <c r="J62" s="65"/>
      <c r="K62" s="65"/>
      <c r="L62" s="65">
        <v>43</v>
      </c>
      <c r="M62" s="65">
        <v>43</v>
      </c>
      <c r="N62" s="65">
        <v>43</v>
      </c>
      <c r="P62" s="3" t="s">
        <v>13</v>
      </c>
      <c r="Q62" s="88"/>
      <c r="R62" s="89">
        <v>2.7099388379204892E-2</v>
      </c>
      <c r="S62" s="89">
        <v>3.3131636363636363E-2</v>
      </c>
      <c r="T62" s="89">
        <v>2.3980055020632739E-2</v>
      </c>
      <c r="U62" s="89">
        <v>2.575739644970414E-2</v>
      </c>
      <c r="V62" s="89">
        <v>1.8175418994413408E-2</v>
      </c>
      <c r="W62" s="89">
        <v>6.7868073878627963E-2</v>
      </c>
      <c r="X62" s="89">
        <v>5.4546008303866036E-2</v>
      </c>
      <c r="Y62" s="89">
        <v>4.7784130751930234E-2</v>
      </c>
      <c r="Z62" s="89">
        <v>4.3445156197352321E-2</v>
      </c>
    </row>
    <row r="63" spans="2:26">
      <c r="B63" s="13"/>
      <c r="C63" s="17" t="s">
        <v>61</v>
      </c>
      <c r="D63" s="14"/>
      <c r="E63" s="15"/>
      <c r="F63" s="62"/>
      <c r="G63" s="62"/>
      <c r="H63" s="62"/>
      <c r="I63" s="62"/>
      <c r="J63" s="62"/>
      <c r="K63" s="62"/>
      <c r="L63" s="62"/>
      <c r="M63" s="62"/>
      <c r="N63" s="62"/>
      <c r="P63" s="6"/>
      <c r="Q63" s="16" t="s">
        <v>9</v>
      </c>
      <c r="R63" s="70">
        <v>3.2937106918238993E-2</v>
      </c>
      <c r="S63" s="70">
        <v>4.039566929133858E-2</v>
      </c>
      <c r="T63" s="70">
        <v>3.0142599277978341E-2</v>
      </c>
      <c r="U63" s="70">
        <v>5.7221789883268481E-2</v>
      </c>
      <c r="V63" s="70">
        <v>4.6809885931558937E-2</v>
      </c>
      <c r="W63" s="70">
        <v>2.7133531157270029E-2</v>
      </c>
      <c r="X63" s="70">
        <v>1.1506547706876947E-2</v>
      </c>
      <c r="Y63" s="70">
        <v>1.1115432611290325E-3</v>
      </c>
      <c r="Z63" s="70">
        <v>1.4593064339553246E-3</v>
      </c>
    </row>
    <row r="64" spans="2:26">
      <c r="B64" s="13"/>
      <c r="C64" s="17"/>
      <c r="D64" s="14" t="s">
        <v>62</v>
      </c>
      <c r="E64" s="15"/>
      <c r="F64" s="65"/>
      <c r="G64" s="65"/>
      <c r="H64" s="65"/>
      <c r="I64" s="65"/>
      <c r="J64" s="65"/>
      <c r="K64" s="65"/>
      <c r="L64" s="65">
        <v>102</v>
      </c>
      <c r="M64" s="65"/>
      <c r="N64" s="65"/>
      <c r="P64" s="6"/>
      <c r="Q64" s="16" t="s">
        <v>11</v>
      </c>
      <c r="R64" s="70">
        <v>2.374849578820698E-2</v>
      </c>
      <c r="S64" s="70">
        <v>2.887427912341407E-2</v>
      </c>
      <c r="T64" s="70">
        <v>2.0187777777777777E-2</v>
      </c>
      <c r="U64" s="70">
        <v>1.2005102040816326E-2</v>
      </c>
      <c r="V64" s="70">
        <v>6.2594936708860764E-3</v>
      </c>
      <c r="W64" s="70">
        <v>0.10047743467933491</v>
      </c>
      <c r="X64" s="70">
        <v>9.0396713740160894E-2</v>
      </c>
      <c r="Y64" s="70">
        <v>8.3362414658852468E-2</v>
      </c>
      <c r="Z64" s="70">
        <v>7.7733852398654338E-2</v>
      </c>
    </row>
    <row r="65" spans="2:26">
      <c r="B65" s="13"/>
      <c r="C65" s="17"/>
      <c r="D65" s="14" t="s">
        <v>63</v>
      </c>
      <c r="E65" s="15"/>
      <c r="F65" s="65"/>
      <c r="G65" s="65"/>
      <c r="H65" s="65"/>
      <c r="I65" s="65"/>
      <c r="J65" s="65"/>
      <c r="K65" s="65"/>
      <c r="L65" s="65"/>
      <c r="M65" s="65">
        <v>209</v>
      </c>
      <c r="N65" s="65"/>
      <c r="P65" s="3" t="s">
        <v>19</v>
      </c>
      <c r="Q65" s="88"/>
      <c r="R65" s="90">
        <v>0.39227074235807863</v>
      </c>
      <c r="S65" s="90">
        <v>0.30263157894736842</v>
      </c>
      <c r="T65" s="90">
        <v>0.27404669260700387</v>
      </c>
      <c r="U65" s="90">
        <v>0.28423076923076923</v>
      </c>
      <c r="V65" s="90">
        <v>0.22105960264900662</v>
      </c>
      <c r="W65" s="90">
        <v>0.14687795648060548</v>
      </c>
      <c r="X65" s="90">
        <v>0.10603376975361085</v>
      </c>
      <c r="Y65" s="90">
        <v>0.12536991090909091</v>
      </c>
      <c r="Z65" s="90">
        <v>0.11093273333333335</v>
      </c>
    </row>
    <row r="66" spans="2:26">
      <c r="B66" s="13"/>
      <c r="C66" s="17" t="s">
        <v>64</v>
      </c>
      <c r="D66" s="14"/>
      <c r="E66" s="15"/>
      <c r="F66" s="62"/>
      <c r="G66" s="62"/>
      <c r="H66" s="62"/>
      <c r="I66" s="62"/>
      <c r="J66" s="62"/>
      <c r="K66" s="62"/>
      <c r="L66" s="62"/>
      <c r="M66" s="62"/>
      <c r="N66" s="62"/>
      <c r="P66" s="6"/>
      <c r="Q66" s="16" t="s">
        <v>9</v>
      </c>
      <c r="R66" s="71">
        <v>0</v>
      </c>
      <c r="S66" s="71">
        <v>0</v>
      </c>
      <c r="T66" s="71">
        <v>0</v>
      </c>
      <c r="U66" s="71">
        <v>0</v>
      </c>
      <c r="V66" s="71">
        <v>4.3684210526315791E-2</v>
      </c>
      <c r="W66" s="71">
        <v>0</v>
      </c>
      <c r="X66" s="71">
        <v>0</v>
      </c>
      <c r="Y66" s="71">
        <v>0</v>
      </c>
      <c r="Z66" s="71">
        <v>0</v>
      </c>
    </row>
    <row r="67" spans="2:26">
      <c r="B67" s="13"/>
      <c r="C67" s="17"/>
      <c r="D67" s="14" t="s">
        <v>65</v>
      </c>
      <c r="E67" s="15"/>
      <c r="F67" s="65"/>
      <c r="G67" s="65"/>
      <c r="H67" s="65"/>
      <c r="I67" s="65"/>
      <c r="J67" s="65">
        <v>46</v>
      </c>
      <c r="K67" s="65">
        <v>28</v>
      </c>
      <c r="L67" s="65">
        <v>41</v>
      </c>
      <c r="M67" s="65">
        <v>33</v>
      </c>
      <c r="N67" s="65">
        <v>72</v>
      </c>
      <c r="P67" s="6"/>
      <c r="Q67" s="16" t="s">
        <v>11</v>
      </c>
      <c r="R67" s="71">
        <v>0.44470297029702971</v>
      </c>
      <c r="S67" s="71">
        <v>0.35595238095238096</v>
      </c>
      <c r="T67" s="71">
        <v>0.30755458515283846</v>
      </c>
      <c r="U67" s="71">
        <v>0.31446808510638297</v>
      </c>
      <c r="V67" s="71">
        <v>0.24659090909090908</v>
      </c>
      <c r="W67" s="71">
        <v>0.16729525862068967</v>
      </c>
      <c r="X67" s="71">
        <v>0.12320014511352419</v>
      </c>
      <c r="Y67" s="71">
        <v>0.14516516000000002</v>
      </c>
      <c r="Z67" s="71">
        <v>0.12838915329949241</v>
      </c>
    </row>
    <row r="68" spans="2:26">
      <c r="B68" s="13"/>
      <c r="C68" s="17"/>
      <c r="D68" s="14" t="s">
        <v>66</v>
      </c>
      <c r="E68" s="15"/>
      <c r="F68" s="65"/>
      <c r="G68" s="65"/>
      <c r="H68" s="65"/>
      <c r="I68" s="65"/>
      <c r="J68" s="65">
        <v>234</v>
      </c>
      <c r="K68" s="65">
        <v>101</v>
      </c>
      <c r="L68" s="65">
        <v>193</v>
      </c>
      <c r="M68" s="65">
        <v>143</v>
      </c>
      <c r="N68" s="65">
        <v>264</v>
      </c>
      <c r="P68" s="34" t="s">
        <v>39</v>
      </c>
      <c r="Q68" s="84"/>
      <c r="R68" s="90">
        <v>1.4647272727272727E-3</v>
      </c>
      <c r="S68" s="90">
        <v>1.6307636363636364E-3</v>
      </c>
      <c r="T68" s="90">
        <v>2.4462899408284025E-3</v>
      </c>
      <c r="U68" s="90">
        <v>3.5764705882352942E-3</v>
      </c>
      <c r="V68" s="90">
        <v>3.6313333333333332E-3</v>
      </c>
      <c r="W68" s="90">
        <v>6.7425300000000001E-3</v>
      </c>
      <c r="X68" s="90">
        <v>4.7144136078782449E-3</v>
      </c>
      <c r="Y68" s="90">
        <v>3.0015380530973457E-3</v>
      </c>
      <c r="Z68" s="90">
        <v>2.8833371091980067E-3</v>
      </c>
    </row>
    <row r="69" spans="2:26">
      <c r="B69" s="13"/>
      <c r="C69" s="17" t="s">
        <v>67</v>
      </c>
      <c r="D69" s="14"/>
      <c r="E69" s="15"/>
      <c r="F69" s="62"/>
      <c r="G69" s="62"/>
      <c r="H69" s="62"/>
      <c r="I69" s="62"/>
      <c r="J69" s="62"/>
      <c r="K69" s="62"/>
      <c r="L69" s="62"/>
      <c r="M69" s="62"/>
      <c r="N69" s="62"/>
      <c r="P69" s="6"/>
      <c r="Q69" s="16" t="s">
        <v>9</v>
      </c>
      <c r="R69" s="71">
        <v>1.4647272727272727E-3</v>
      </c>
      <c r="S69" s="71">
        <v>1.6307636363636364E-3</v>
      </c>
      <c r="T69" s="71">
        <v>2.4462899408284025E-3</v>
      </c>
      <c r="U69" s="71">
        <v>3.5764705882352942E-3</v>
      </c>
      <c r="V69" s="71">
        <v>3.6313333333333332E-3</v>
      </c>
      <c r="W69" s="71">
        <v>6.7425300000000001E-3</v>
      </c>
      <c r="X69" s="71">
        <v>4.7144136078782449E-3</v>
      </c>
      <c r="Y69" s="71">
        <v>3.0015380530973457E-3</v>
      </c>
      <c r="Z69" s="71">
        <v>2.8833371091980067E-3</v>
      </c>
    </row>
    <row r="70" spans="2:26">
      <c r="B70" s="13"/>
      <c r="C70" s="17"/>
      <c r="D70" s="14" t="s">
        <v>36</v>
      </c>
      <c r="E70" s="15"/>
      <c r="F70" s="65"/>
      <c r="G70" s="65"/>
      <c r="H70" s="65"/>
      <c r="I70" s="65"/>
      <c r="J70" s="65"/>
      <c r="K70" s="65"/>
      <c r="L70" s="65">
        <v>5</v>
      </c>
      <c r="M70" s="65">
        <v>5</v>
      </c>
      <c r="N70" s="65">
        <v>5</v>
      </c>
      <c r="P70" s="6"/>
      <c r="Q70" s="16" t="s">
        <v>11</v>
      </c>
      <c r="R70" s="72"/>
      <c r="S70" s="72"/>
      <c r="T70" s="72"/>
      <c r="U70" s="72"/>
      <c r="V70" s="72"/>
      <c r="W70" s="72"/>
      <c r="X70" s="72"/>
      <c r="Y70" s="72"/>
      <c r="Z70" s="72"/>
    </row>
    <row r="71" spans="2:26">
      <c r="B71" s="180"/>
      <c r="C71" s="179"/>
      <c r="D71" s="181" t="s">
        <v>68</v>
      </c>
      <c r="E71" s="182"/>
      <c r="F71" s="183"/>
      <c r="G71" s="183"/>
      <c r="H71" s="183"/>
      <c r="I71" s="183"/>
      <c r="J71" s="183"/>
      <c r="K71" s="183"/>
      <c r="L71" s="183">
        <v>-3</v>
      </c>
      <c r="M71" s="183">
        <v>-8</v>
      </c>
      <c r="N71" s="183">
        <v>-2</v>
      </c>
      <c r="P71" s="34" t="s">
        <v>42</v>
      </c>
      <c r="Q71" s="84"/>
      <c r="R71" s="90">
        <v>1.7199093484419263E-3</v>
      </c>
      <c r="S71" s="90">
        <v>1.7013734610123118E-3</v>
      </c>
      <c r="T71" s="90">
        <v>2.3748075313807532E-3</v>
      </c>
      <c r="U71" s="90">
        <v>2.06284289276808E-3</v>
      </c>
      <c r="V71" s="90">
        <v>3.0007790973871733E-3</v>
      </c>
      <c r="W71" s="90">
        <v>3.7579410681399632E-3</v>
      </c>
      <c r="X71" s="90">
        <v>2.6443534855341436E-3</v>
      </c>
      <c r="Y71" s="90">
        <v>1.8902547468354429E-3</v>
      </c>
      <c r="Z71" s="90">
        <v>2.486579448403416E-3</v>
      </c>
    </row>
    <row r="72" spans="2:26">
      <c r="B72" s="13"/>
      <c r="C72" s="17" t="s">
        <v>35</v>
      </c>
      <c r="D72" s="14"/>
      <c r="E72" s="15"/>
      <c r="F72" s="62"/>
      <c r="G72" s="62"/>
      <c r="H72" s="62"/>
      <c r="I72" s="62"/>
      <c r="J72" s="62"/>
      <c r="K72" s="62"/>
      <c r="L72" s="62"/>
      <c r="M72" s="62"/>
      <c r="N72" s="62"/>
      <c r="P72" s="6"/>
      <c r="Q72" s="16" t="s">
        <v>9</v>
      </c>
      <c r="R72" s="71">
        <v>1.7199093484419263E-3</v>
      </c>
      <c r="S72" s="71">
        <v>1.7013734610123118E-3</v>
      </c>
      <c r="T72" s="71">
        <v>2.3748075313807532E-3</v>
      </c>
      <c r="U72" s="71">
        <v>2.06284289276808E-3</v>
      </c>
      <c r="V72" s="71">
        <v>3.0007790973871733E-3</v>
      </c>
      <c r="W72" s="71">
        <v>3.7579410681399632E-3</v>
      </c>
      <c r="X72" s="71">
        <v>2.6443534855341436E-3</v>
      </c>
      <c r="Y72" s="71">
        <v>1.8902547468354429E-3</v>
      </c>
      <c r="Z72" s="71">
        <v>2.486579448403416E-3</v>
      </c>
    </row>
    <row r="73" spans="2:26">
      <c r="B73" s="13"/>
      <c r="C73" s="17"/>
      <c r="D73" s="14" t="s">
        <v>69</v>
      </c>
      <c r="E73" s="15"/>
      <c r="F73" s="65"/>
      <c r="G73" s="65"/>
      <c r="H73" s="65"/>
      <c r="I73" s="65"/>
      <c r="J73" s="65"/>
      <c r="K73" s="65"/>
      <c r="L73" s="65"/>
      <c r="M73" s="65">
        <v>109</v>
      </c>
      <c r="N73" s="65">
        <v>35</v>
      </c>
      <c r="P73" s="6"/>
      <c r="Q73" s="16" t="s">
        <v>11</v>
      </c>
      <c r="R73" s="72"/>
      <c r="S73" s="72"/>
      <c r="T73" s="72"/>
      <c r="U73" s="72"/>
      <c r="V73" s="72"/>
      <c r="W73" s="72"/>
      <c r="X73" s="72"/>
      <c r="Y73" s="72"/>
      <c r="Z73" s="72"/>
    </row>
    <row r="74" spans="2:26">
      <c r="B74" s="13"/>
      <c r="C74" s="17"/>
      <c r="D74" s="14" t="s">
        <v>70</v>
      </c>
      <c r="E74" s="15"/>
      <c r="F74" s="65"/>
      <c r="G74" s="65"/>
      <c r="H74" s="65"/>
      <c r="I74" s="65"/>
      <c r="J74" s="65"/>
      <c r="K74" s="65"/>
      <c r="L74" s="65">
        <v>17</v>
      </c>
      <c r="M74" s="65">
        <v>33</v>
      </c>
      <c r="N74" s="65">
        <v>40</v>
      </c>
      <c r="Q74" s="42"/>
      <c r="R74"/>
      <c r="S74"/>
      <c r="T74"/>
      <c r="U74"/>
      <c r="V74"/>
      <c r="W74"/>
      <c r="X74"/>
      <c r="Y74"/>
    </row>
    <row r="75" spans="2:26">
      <c r="B75" s="13"/>
      <c r="C75" s="17"/>
      <c r="D75" s="14" t="s">
        <v>71</v>
      </c>
      <c r="E75" s="15"/>
      <c r="F75" s="65"/>
      <c r="G75" s="65"/>
      <c r="H75" s="65"/>
      <c r="I75" s="65"/>
      <c r="J75" s="65"/>
      <c r="K75" s="65"/>
      <c r="L75" s="65"/>
      <c r="M75" s="65">
        <v>2</v>
      </c>
      <c r="N75" s="65">
        <v>36</v>
      </c>
    </row>
    <row r="76" spans="2:26">
      <c r="B76" s="13"/>
      <c r="C76" s="17" t="s">
        <v>72</v>
      </c>
      <c r="D76" s="14"/>
      <c r="E76" s="15"/>
      <c r="F76" s="62"/>
      <c r="G76" s="62"/>
      <c r="H76" s="62"/>
      <c r="I76" s="62"/>
      <c r="J76" s="62"/>
      <c r="K76" s="62"/>
      <c r="L76" s="62"/>
      <c r="M76" s="62"/>
      <c r="N76" s="62"/>
    </row>
    <row r="77" spans="2:26">
      <c r="B77" s="13"/>
      <c r="C77" s="17"/>
      <c r="D77" s="14" t="s">
        <v>73</v>
      </c>
      <c r="E77" s="15"/>
      <c r="F77" s="65"/>
      <c r="G77" s="65"/>
      <c r="H77" s="65"/>
      <c r="I77" s="65"/>
      <c r="J77" s="65"/>
      <c r="K77" s="65">
        <v>7.5917275900000014</v>
      </c>
      <c r="L77" s="65">
        <v>34.214903032500004</v>
      </c>
      <c r="M77" s="65">
        <v>100.26366875200002</v>
      </c>
      <c r="N77" s="65">
        <v>9.4905524700000008</v>
      </c>
    </row>
    <row r="78" spans="2:26">
      <c r="B78" s="180"/>
      <c r="C78" s="17"/>
      <c r="D78" s="14" t="s">
        <v>74</v>
      </c>
      <c r="E78" s="15"/>
      <c r="F78" s="65"/>
      <c r="G78" s="65"/>
      <c r="H78" s="65"/>
      <c r="I78" s="65"/>
      <c r="J78" s="65"/>
      <c r="K78" s="65">
        <v>500.97673131309995</v>
      </c>
      <c r="L78" s="65">
        <v>293.02689504</v>
      </c>
      <c r="M78" s="65">
        <v>325.88863887690002</v>
      </c>
      <c r="N78" s="65">
        <v>219.13918374999997</v>
      </c>
    </row>
    <row r="79" spans="2:26">
      <c r="B79" s="106"/>
      <c r="C79" s="16"/>
      <c r="D79" s="4" t="s">
        <v>75</v>
      </c>
      <c r="E79" s="5"/>
      <c r="F79" s="65"/>
      <c r="G79" s="65"/>
      <c r="H79" s="65"/>
      <c r="I79" s="65"/>
      <c r="J79" s="65"/>
      <c r="K79" s="65">
        <v>14.5123390974</v>
      </c>
      <c r="L79" s="65">
        <v>19.720585198800002</v>
      </c>
      <c r="M79" s="65">
        <v>19.9009094301</v>
      </c>
      <c r="N79" s="65">
        <v>15.376154789999999</v>
      </c>
    </row>
    <row r="80" spans="2:26">
      <c r="B80" s="212"/>
      <c r="C80" s="105"/>
      <c r="D80" s="9" t="s">
        <v>76</v>
      </c>
      <c r="E80" s="10"/>
      <c r="F80" s="65"/>
      <c r="G80" s="65"/>
      <c r="H80" s="65"/>
      <c r="I80" s="65"/>
      <c r="J80" s="65"/>
      <c r="K80" s="65">
        <v>50.100577695699997</v>
      </c>
      <c r="L80" s="65">
        <v>60.887940924300004</v>
      </c>
      <c r="M80" s="65">
        <v>67.961759642000004</v>
      </c>
      <c r="N80" s="65">
        <v>49.982265830000003</v>
      </c>
    </row>
    <row r="81" spans="2:15">
      <c r="B81" s="212" t="s">
        <v>77</v>
      </c>
      <c r="C81" s="105"/>
      <c r="D81" s="9"/>
      <c r="E81" s="10"/>
      <c r="F81" s="63"/>
      <c r="G81" s="63"/>
      <c r="H81" s="63"/>
      <c r="I81" s="63"/>
      <c r="J81" s="63"/>
      <c r="K81" s="63"/>
      <c r="L81" s="63"/>
      <c r="M81" s="63"/>
      <c r="N81" s="63"/>
    </row>
    <row r="82" spans="2:15">
      <c r="B82" s="6"/>
      <c r="C82" s="16" t="s">
        <v>6</v>
      </c>
      <c r="D82" s="4"/>
      <c r="E82" s="5"/>
      <c r="F82" s="63"/>
      <c r="G82" s="63"/>
      <c r="H82" s="63"/>
      <c r="I82" s="63"/>
      <c r="J82" s="63"/>
      <c r="K82" s="63"/>
      <c r="L82" s="63"/>
      <c r="M82" s="63"/>
      <c r="N82" s="63"/>
    </row>
    <row r="83" spans="2:15">
      <c r="B83" s="6"/>
      <c r="C83" s="16"/>
      <c r="D83" s="4" t="s">
        <v>78</v>
      </c>
      <c r="E83" s="4"/>
      <c r="F83" s="63">
        <v>13357</v>
      </c>
      <c r="G83" s="63">
        <v>15573</v>
      </c>
      <c r="H83" s="63">
        <v>15334</v>
      </c>
      <c r="I83" s="63">
        <v>13606</v>
      </c>
      <c r="J83" s="63">
        <v>5581</v>
      </c>
      <c r="K83" s="63">
        <v>16359</v>
      </c>
      <c r="L83" s="63">
        <v>14589.436406741201</v>
      </c>
      <c r="M83" s="63">
        <v>13280.376033684639</v>
      </c>
      <c r="N83" s="63">
        <v>12042.5405797</v>
      </c>
    </row>
    <row r="84" spans="2:15">
      <c r="B84" s="6"/>
      <c r="C84" s="16" t="s">
        <v>12</v>
      </c>
      <c r="D84" s="4"/>
      <c r="E84" s="5"/>
      <c r="F84" s="63"/>
      <c r="G84" s="63"/>
      <c r="H84" s="63"/>
      <c r="I84" s="63"/>
      <c r="J84" s="63"/>
      <c r="K84" s="63"/>
      <c r="L84" s="63"/>
      <c r="M84" s="63"/>
      <c r="N84" s="63"/>
    </row>
    <row r="85" spans="2:15">
      <c r="B85" s="6"/>
      <c r="C85" s="16"/>
      <c r="D85" s="4" t="s">
        <v>78</v>
      </c>
      <c r="E85" s="37"/>
      <c r="F85" s="63">
        <v>988</v>
      </c>
      <c r="G85" s="63">
        <v>1038</v>
      </c>
      <c r="H85" s="63">
        <v>1244</v>
      </c>
      <c r="I85" s="63">
        <v>1105</v>
      </c>
      <c r="J85" s="63">
        <v>810</v>
      </c>
      <c r="K85" s="63">
        <v>770</v>
      </c>
      <c r="L85" s="63">
        <v>586.75789571000007</v>
      </c>
      <c r="M85" s="63">
        <v>647.52045146</v>
      </c>
      <c r="N85" s="63">
        <v>702.52224000000001</v>
      </c>
    </row>
    <row r="86" spans="2:15">
      <c r="B86" s="92"/>
      <c r="C86" s="42" t="s">
        <v>15</v>
      </c>
      <c r="E86" s="93"/>
      <c r="F86" s="63"/>
      <c r="G86" s="63"/>
      <c r="H86" s="63"/>
      <c r="I86" s="63"/>
      <c r="J86" s="63"/>
      <c r="K86" s="63"/>
      <c r="L86" s="63"/>
      <c r="M86" s="63"/>
      <c r="N86" s="63"/>
    </row>
    <row r="87" spans="2:15">
      <c r="B87" s="227"/>
      <c r="C87" s="224"/>
      <c r="D87" s="225" t="s">
        <v>79</v>
      </c>
      <c r="E87" s="226"/>
      <c r="F87" s="63"/>
      <c r="G87" s="63"/>
      <c r="H87" s="63"/>
      <c r="I87" s="63"/>
      <c r="J87" s="63"/>
      <c r="K87" s="63">
        <v>372.51650393999995</v>
      </c>
      <c r="L87" s="230">
        <v>196.37955687000002</v>
      </c>
      <c r="M87" s="230">
        <v>476.66448900248008</v>
      </c>
      <c r="N87" s="230">
        <v>310.87094403999998</v>
      </c>
    </row>
    <row r="88" spans="2:15">
      <c r="B88" s="92"/>
      <c r="C88" s="42" t="s">
        <v>18</v>
      </c>
      <c r="E88" s="93"/>
      <c r="F88" s="63"/>
      <c r="G88" s="63"/>
      <c r="H88" s="63"/>
      <c r="I88" s="63"/>
      <c r="J88" s="63"/>
      <c r="K88" s="229"/>
      <c r="L88" s="160"/>
      <c r="M88" s="160"/>
      <c r="N88" s="160"/>
    </row>
    <row r="89" spans="2:15">
      <c r="B89" s="6"/>
      <c r="C89" s="16"/>
      <c r="D89" s="4" t="s">
        <v>78</v>
      </c>
      <c r="E89" s="5"/>
      <c r="F89" s="63"/>
      <c r="G89" s="63"/>
      <c r="H89" s="63"/>
      <c r="I89" s="63"/>
      <c r="J89" s="63"/>
      <c r="K89" s="63"/>
      <c r="L89" s="63">
        <v>200.82882954000002</v>
      </c>
      <c r="M89" s="63">
        <v>99.36157738882001</v>
      </c>
      <c r="N89" s="63">
        <v>167.45419999999999</v>
      </c>
    </row>
    <row r="90" spans="2:15">
      <c r="B90" s="8"/>
      <c r="C90" s="105" t="s">
        <v>80</v>
      </c>
      <c r="D90" s="9"/>
      <c r="E90" s="10"/>
      <c r="F90" s="63"/>
      <c r="G90" s="63"/>
      <c r="H90" s="63"/>
      <c r="I90" s="63"/>
      <c r="J90" s="63"/>
      <c r="K90" s="63"/>
      <c r="L90" s="63"/>
      <c r="M90" s="63"/>
      <c r="N90" s="63"/>
    </row>
    <row r="91" spans="2:15">
      <c r="B91" s="8"/>
      <c r="C91" s="105"/>
      <c r="D91" s="9" t="s">
        <v>80</v>
      </c>
      <c r="E91" s="10"/>
      <c r="F91" s="63"/>
      <c r="G91" s="63"/>
      <c r="H91" s="63"/>
      <c r="I91" s="63"/>
      <c r="J91" s="63"/>
      <c r="K91" s="63"/>
      <c r="L91" s="63">
        <v>151.09432799999999</v>
      </c>
      <c r="M91" s="63">
        <v>126.98226</v>
      </c>
      <c r="N91" s="63">
        <v>105.66133861500001</v>
      </c>
      <c r="O91"/>
    </row>
    <row r="92" spans="2:15">
      <c r="B92" s="8" t="s">
        <v>81</v>
      </c>
      <c r="C92" s="105"/>
      <c r="D92" s="9"/>
      <c r="E92" s="10"/>
      <c r="F92" s="63"/>
      <c r="G92" s="63"/>
      <c r="H92" s="63"/>
      <c r="I92" s="63"/>
      <c r="J92" s="63"/>
      <c r="K92" s="63"/>
      <c r="L92" s="63"/>
      <c r="M92" s="63"/>
      <c r="N92" s="63"/>
      <c r="O92"/>
    </row>
    <row r="93" spans="2:15">
      <c r="B93" s="92"/>
      <c r="C93" s="42" t="s">
        <v>15</v>
      </c>
      <c r="E93" s="93"/>
      <c r="F93" s="63"/>
      <c r="G93" s="63"/>
      <c r="H93" s="63"/>
      <c r="I93" s="63"/>
      <c r="J93" s="63"/>
      <c r="K93" s="63"/>
      <c r="L93" s="63"/>
      <c r="M93" s="63"/>
      <c r="N93" s="63"/>
      <c r="O93"/>
    </row>
    <row r="94" spans="2:15">
      <c r="B94" s="13"/>
      <c r="C94" s="17"/>
      <c r="D94" s="14" t="s">
        <v>82</v>
      </c>
      <c r="E94" s="15"/>
      <c r="F94" s="63"/>
      <c r="G94" s="63"/>
      <c r="H94" s="63"/>
      <c r="I94" s="63"/>
      <c r="J94" s="63"/>
      <c r="K94" s="63"/>
      <c r="L94" s="63">
        <v>622.43785072000003</v>
      </c>
      <c r="M94" s="63">
        <v>580.34608520000006</v>
      </c>
      <c r="N94" s="63">
        <v>220.512936</v>
      </c>
    </row>
    <row r="95" spans="2:15">
      <c r="B95" s="13"/>
      <c r="C95" s="17"/>
      <c r="D95" s="14" t="s">
        <v>83</v>
      </c>
      <c r="E95" s="15"/>
      <c r="F95" s="63"/>
      <c r="G95" s="63"/>
      <c r="H95" s="63"/>
      <c r="I95" s="63"/>
      <c r="J95" s="63"/>
      <c r="K95" s="63"/>
      <c r="L95" s="63">
        <v>192.19018106999999</v>
      </c>
      <c r="M95" s="63">
        <v>177.44184582046</v>
      </c>
      <c r="N95" s="63">
        <v>70.699326260000007</v>
      </c>
    </row>
    <row r="96" spans="2:15">
      <c r="B96" s="6"/>
      <c r="C96" s="16"/>
      <c r="D96" s="4" t="s">
        <v>84</v>
      </c>
      <c r="E96" s="5"/>
      <c r="F96" s="65"/>
      <c r="G96" s="65"/>
      <c r="H96" s="65"/>
      <c r="I96" s="65"/>
      <c r="J96" s="65"/>
      <c r="K96" s="65">
        <v>11.153</v>
      </c>
      <c r="L96" s="65">
        <v>23.324999999999999</v>
      </c>
      <c r="M96" s="65">
        <v>38.070884599999999</v>
      </c>
      <c r="N96" s="65">
        <v>34.339763699999999</v>
      </c>
    </row>
    <row r="97" spans="2:15">
      <c r="B97" s="8"/>
      <c r="C97" s="42" t="s">
        <v>47</v>
      </c>
      <c r="D97" s="231"/>
      <c r="E97" s="10"/>
      <c r="F97" s="63"/>
      <c r="G97" s="63"/>
      <c r="H97" s="63"/>
      <c r="I97" s="63"/>
      <c r="J97" s="63"/>
      <c r="K97" s="63"/>
      <c r="L97" s="63"/>
      <c r="M97" s="63"/>
      <c r="N97" s="63"/>
    </row>
    <row r="98" spans="2:15">
      <c r="B98" s="6"/>
      <c r="C98" s="16"/>
      <c r="D98" s="14" t="s">
        <v>85</v>
      </c>
      <c r="E98" s="15"/>
      <c r="F98" s="63"/>
      <c r="G98" s="63"/>
      <c r="H98" s="63"/>
      <c r="I98" s="63"/>
      <c r="J98" s="63"/>
      <c r="K98" s="63"/>
      <c r="L98" s="63"/>
      <c r="M98" s="228">
        <v>4.7600000000000003E-2</v>
      </c>
      <c r="N98" s="228">
        <v>0.22949999999999998</v>
      </c>
      <c r="O98"/>
    </row>
    <row r="99" spans="2:15">
      <c r="B99" s="6"/>
      <c r="C99" s="16" t="s">
        <v>50</v>
      </c>
      <c r="D99" s="4"/>
      <c r="E99" s="5"/>
      <c r="F99" s="63"/>
      <c r="G99" s="63"/>
      <c r="H99" s="63"/>
      <c r="I99" s="63"/>
      <c r="J99" s="63"/>
      <c r="K99" s="63"/>
      <c r="L99" s="63"/>
      <c r="M99" s="63"/>
      <c r="N99" s="63"/>
      <c r="O99"/>
    </row>
    <row r="100" spans="2:15">
      <c r="B100" s="8"/>
      <c r="C100" s="9"/>
      <c r="D100" s="9" t="s">
        <v>86</v>
      </c>
      <c r="E100" s="10"/>
      <c r="F100" s="63"/>
      <c r="G100" s="63"/>
      <c r="H100" s="63"/>
      <c r="I100" s="63"/>
      <c r="J100" s="63"/>
      <c r="K100" s="63"/>
      <c r="L100" s="63"/>
      <c r="M100" s="63">
        <v>0.52359999999999995</v>
      </c>
      <c r="N100" s="63">
        <v>2.2057704</v>
      </c>
      <c r="O100"/>
    </row>
    <row r="101" spans="2:15">
      <c r="B101" s="8" t="s">
        <v>87</v>
      </c>
      <c r="C101" s="9"/>
      <c r="D101" s="9"/>
      <c r="E101" s="10"/>
      <c r="F101" s="174"/>
      <c r="G101" s="174"/>
      <c r="H101" s="174"/>
      <c r="I101" s="174"/>
      <c r="J101" s="174"/>
      <c r="K101" s="174"/>
      <c r="L101" s="174"/>
      <c r="M101" s="174"/>
      <c r="N101" s="174"/>
      <c r="O101"/>
    </row>
    <row r="102" spans="2:15">
      <c r="B102" s="92"/>
      <c r="C102" s="4"/>
      <c r="D102" s="4" t="s">
        <v>88</v>
      </c>
      <c r="E102" s="5"/>
      <c r="F102" s="65"/>
      <c r="G102" s="65">
        <v>119.019249</v>
      </c>
      <c r="H102" s="65"/>
      <c r="I102" s="65"/>
      <c r="J102" s="65">
        <v>6.0532870000000001</v>
      </c>
      <c r="K102" s="65">
        <v>40.163302999999999</v>
      </c>
      <c r="L102" s="65">
        <v>69.816636000000003</v>
      </c>
      <c r="M102" s="65">
        <v>147.05615799999998</v>
      </c>
      <c r="N102" s="65">
        <v>153.51467599999998</v>
      </c>
      <c r="O102"/>
    </row>
    <row r="103" spans="2:15" ht="15" thickBot="1">
      <c r="B103" s="94"/>
      <c r="C103" s="35"/>
      <c r="D103" s="35" t="s">
        <v>89</v>
      </c>
      <c r="E103" s="12"/>
      <c r="F103" s="67">
        <v>1.820508</v>
      </c>
      <c r="G103" s="67">
        <v>1.2189469999999998</v>
      </c>
      <c r="H103" s="67">
        <v>4.3476460000000001</v>
      </c>
      <c r="I103" s="67">
        <v>3.7959420000000001</v>
      </c>
      <c r="J103" s="67">
        <v>1.821709</v>
      </c>
      <c r="K103" s="67">
        <v>2.1717490000000002</v>
      </c>
      <c r="L103" s="67">
        <v>2.4911019999999997</v>
      </c>
      <c r="M103" s="67">
        <v>2.9644022999999997</v>
      </c>
      <c r="N103" s="67">
        <v>3.8024309999999999</v>
      </c>
    </row>
    <row r="104" spans="2:15">
      <c r="B104" s="38" t="s">
        <v>90</v>
      </c>
      <c r="C104" s="27"/>
      <c r="E104" s="176"/>
      <c r="F104" s="177">
        <v>33398.953841333328</v>
      </c>
      <c r="G104" s="177">
        <v>18800.738196000002</v>
      </c>
      <c r="H104" s="177">
        <v>102884.88097933335</v>
      </c>
      <c r="I104" s="177">
        <v>57777.395942000003</v>
      </c>
      <c r="J104" s="177">
        <v>11090.608329333334</v>
      </c>
      <c r="K104" s="177">
        <v>58059.180931636205</v>
      </c>
      <c r="L104" s="177">
        <v>85839.641444180117</v>
      </c>
      <c r="M104" s="177">
        <v>36048.720364157394</v>
      </c>
      <c r="N104" s="177">
        <v>53187.475195888328</v>
      </c>
    </row>
    <row r="105" spans="2:15">
      <c r="B105" s="6"/>
      <c r="C105" s="4"/>
      <c r="D105" s="4"/>
      <c r="E105" s="4"/>
      <c r="F105" s="4"/>
      <c r="G105" s="4"/>
      <c r="H105" s="4"/>
      <c r="I105" s="4"/>
      <c r="J105" s="4"/>
      <c r="K105" s="209"/>
      <c r="L105" s="5"/>
      <c r="M105" s="5"/>
      <c r="N105" s="5"/>
    </row>
    <row r="106" spans="2:15">
      <c r="B106" s="92"/>
      <c r="F106" s="178">
        <v>2017</v>
      </c>
      <c r="G106" s="178">
        <v>2018</v>
      </c>
      <c r="H106" s="178">
        <v>2019</v>
      </c>
      <c r="I106" s="178">
        <v>2020</v>
      </c>
      <c r="J106" s="178">
        <v>2021</v>
      </c>
      <c r="K106" s="178">
        <v>2022</v>
      </c>
      <c r="L106" s="178">
        <v>2023</v>
      </c>
      <c r="M106" s="178">
        <v>2024</v>
      </c>
      <c r="N106" s="178">
        <v>2025</v>
      </c>
    </row>
    <row r="107" spans="2:15">
      <c r="B107" s="3" t="s">
        <v>91</v>
      </c>
      <c r="C107" s="4"/>
      <c r="D107" s="4"/>
      <c r="E107" s="5"/>
      <c r="F107" s="65">
        <v>79283.889841333323</v>
      </c>
      <c r="G107" s="65">
        <v>73344.518196000005</v>
      </c>
      <c r="H107" s="65">
        <v>146968.73897933334</v>
      </c>
      <c r="I107" s="65">
        <v>85118.988941999996</v>
      </c>
      <c r="J107" s="65">
        <v>32406.299329333335</v>
      </c>
      <c r="K107" s="65">
        <v>117252.21572324621</v>
      </c>
      <c r="L107" s="65">
        <v>139767.59107142914</v>
      </c>
      <c r="M107" s="65">
        <v>85593.122990857402</v>
      </c>
      <c r="N107" s="65">
        <v>100858.130812875</v>
      </c>
    </row>
    <row r="108" spans="2:15">
      <c r="B108" s="3" t="s">
        <v>92</v>
      </c>
      <c r="C108" s="4"/>
      <c r="D108" s="4"/>
      <c r="E108" s="5"/>
      <c r="F108" s="65">
        <v>77827.953841333336</v>
      </c>
      <c r="G108" s="65">
        <v>71831.738196000006</v>
      </c>
      <c r="H108" s="65">
        <v>144794.88097933336</v>
      </c>
      <c r="I108" s="65">
        <v>84231.080942000001</v>
      </c>
      <c r="J108" s="65">
        <v>30937.540329333337</v>
      </c>
      <c r="K108" s="65">
        <v>114326.0927232462</v>
      </c>
      <c r="L108" s="65">
        <v>137471.03107142914</v>
      </c>
      <c r="M108" s="65">
        <v>83704.195262957393</v>
      </c>
      <c r="N108" s="65">
        <v>98500.862221608331</v>
      </c>
    </row>
    <row r="109" spans="2:15">
      <c r="B109" s="92"/>
      <c r="K109" s="93"/>
      <c r="L109" s="93"/>
      <c r="M109" s="93"/>
      <c r="N109" s="93"/>
    </row>
    <row r="110" spans="2:15">
      <c r="B110" s="40" t="s">
        <v>93</v>
      </c>
      <c r="C110" s="39"/>
      <c r="D110" s="39"/>
      <c r="E110" s="39"/>
      <c r="F110" s="26">
        <v>2017</v>
      </c>
      <c r="G110" s="26">
        <v>2018</v>
      </c>
      <c r="H110" s="26">
        <v>2019</v>
      </c>
      <c r="I110" s="26">
        <v>2020</v>
      </c>
      <c r="J110" s="26">
        <v>2021</v>
      </c>
      <c r="K110" s="26">
        <v>2022</v>
      </c>
      <c r="L110" s="26">
        <v>2023</v>
      </c>
      <c r="M110" s="26">
        <v>2024</v>
      </c>
      <c r="N110" s="26">
        <v>2025</v>
      </c>
    </row>
    <row r="111" spans="2:15">
      <c r="B111" s="7" t="s">
        <v>94</v>
      </c>
      <c r="C111" s="7"/>
      <c r="D111" s="7"/>
      <c r="E111" s="7"/>
      <c r="F111" s="65">
        <v>36231</v>
      </c>
      <c r="G111" s="65">
        <v>43376</v>
      </c>
      <c r="H111" s="65">
        <v>51043</v>
      </c>
      <c r="I111" s="65">
        <v>57356</v>
      </c>
      <c r="J111" s="65">
        <v>67949</v>
      </c>
      <c r="K111" s="65">
        <v>26128</v>
      </c>
      <c r="L111" s="65">
        <v>23126.699915286401</v>
      </c>
      <c r="M111" s="65">
        <v>16650.042007190001</v>
      </c>
      <c r="N111" s="65">
        <v>14044.029817740004</v>
      </c>
    </row>
    <row r="143" spans="1:28" s="30" customFormat="1" ht="15" thickBo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7" spans="2:15">
      <c r="N147"/>
      <c r="O147" s="112"/>
    </row>
    <row r="148" spans="2:15">
      <c r="N148"/>
      <c r="O148" s="112"/>
    </row>
    <row r="149" spans="2:15" ht="15" thickBot="1">
      <c r="B149" s="137"/>
      <c r="C149" s="137"/>
      <c r="D149" s="137"/>
      <c r="E149" s="137"/>
      <c r="F149" s="137"/>
      <c r="G149" s="137"/>
      <c r="H149" s="137"/>
      <c r="I149" s="137"/>
      <c r="J149" s="137"/>
      <c r="K149" s="137"/>
      <c r="L149" s="137"/>
      <c r="M149" s="137"/>
      <c r="N149" s="137"/>
      <c r="O149" s="112"/>
    </row>
    <row r="150" spans="2:15">
      <c r="O150" s="112"/>
    </row>
    <row r="151" spans="2:15">
      <c r="O151" s="112"/>
    </row>
    <row r="152" spans="2:15">
      <c r="B152" s="27" t="s">
        <v>95</v>
      </c>
      <c r="O152"/>
    </row>
    <row r="153" spans="2:15">
      <c r="O153"/>
    </row>
    <row r="154" spans="2:15">
      <c r="B154" s="237" t="s">
        <v>96</v>
      </c>
      <c r="C154" s="238"/>
      <c r="D154" s="238"/>
      <c r="E154" s="239"/>
      <c r="F154" s="44">
        <v>2017</v>
      </c>
      <c r="G154" s="44">
        <v>2018</v>
      </c>
      <c r="H154" s="44">
        <v>2019</v>
      </c>
      <c r="I154" s="44">
        <v>2020</v>
      </c>
      <c r="J154" s="44">
        <v>2021</v>
      </c>
      <c r="K154" s="44">
        <v>2022</v>
      </c>
      <c r="L154" s="121">
        <v>2023</v>
      </c>
      <c r="M154" s="115">
        <v>2024</v>
      </c>
      <c r="N154" s="115">
        <v>2025</v>
      </c>
    </row>
    <row r="155" spans="2:15">
      <c r="B155" s="8"/>
      <c r="C155" s="245" t="s">
        <v>97</v>
      </c>
      <c r="D155" s="245"/>
      <c r="E155" s="246"/>
      <c r="F155" s="73"/>
      <c r="G155" s="74"/>
      <c r="H155" s="74"/>
      <c r="I155" s="74"/>
      <c r="J155" s="74"/>
      <c r="K155" s="74"/>
      <c r="L155" s="122"/>
      <c r="M155" s="116"/>
      <c r="N155" s="116"/>
    </row>
    <row r="156" spans="2:15">
      <c r="B156" s="8"/>
      <c r="C156" s="9"/>
      <c r="D156" s="81" t="s">
        <v>7</v>
      </c>
      <c r="E156" s="82"/>
      <c r="F156" s="91">
        <v>229</v>
      </c>
      <c r="G156" s="91">
        <v>260</v>
      </c>
      <c r="H156" s="91">
        <v>359</v>
      </c>
      <c r="I156" s="91">
        <v>165.4</v>
      </c>
      <c r="J156" s="91">
        <v>105.6</v>
      </c>
      <c r="K156" s="91">
        <v>84.9</v>
      </c>
      <c r="L156" s="123">
        <v>49.373509999999996</v>
      </c>
      <c r="M156" s="117">
        <v>53.4589</v>
      </c>
      <c r="N156" s="117">
        <v>48.628700000000002</v>
      </c>
    </row>
    <row r="157" spans="2:15">
      <c r="B157" s="8"/>
      <c r="C157" s="9"/>
      <c r="D157" s="47"/>
      <c r="E157" s="48" t="s">
        <v>9</v>
      </c>
      <c r="F157" s="45">
        <v>70</v>
      </c>
      <c r="G157" s="45">
        <v>87</v>
      </c>
      <c r="H157" s="45">
        <v>105</v>
      </c>
      <c r="I157" s="45">
        <v>59</v>
      </c>
      <c r="J157" s="45">
        <v>58</v>
      </c>
      <c r="K157" s="45">
        <v>38.200000000000003</v>
      </c>
      <c r="L157" s="124">
        <v>9.7767900000000001</v>
      </c>
      <c r="M157" s="118">
        <v>11.309900000000001</v>
      </c>
      <c r="N157" s="118">
        <v>9.7769999999999992</v>
      </c>
    </row>
    <row r="158" spans="2:15">
      <c r="B158" s="8"/>
      <c r="C158" s="9"/>
      <c r="D158" s="47"/>
      <c r="E158" s="48" t="s">
        <v>11</v>
      </c>
      <c r="F158" s="45">
        <v>159</v>
      </c>
      <c r="G158" s="45">
        <v>170</v>
      </c>
      <c r="H158" s="45">
        <v>254</v>
      </c>
      <c r="I158" s="45">
        <v>106.4</v>
      </c>
      <c r="J158" s="45">
        <v>47.6</v>
      </c>
      <c r="K158" s="45">
        <v>46.7</v>
      </c>
      <c r="L158" s="124">
        <v>39.596719999999998</v>
      </c>
      <c r="M158" s="118">
        <v>42.149000000000001</v>
      </c>
      <c r="N158" s="118">
        <v>38.851700000000001</v>
      </c>
    </row>
    <row r="159" spans="2:15" ht="14.45" customHeight="1">
      <c r="B159" s="8"/>
      <c r="C159" s="9"/>
      <c r="D159" s="81" t="s">
        <v>13</v>
      </c>
      <c r="E159" s="82"/>
      <c r="F159" s="91">
        <v>176</v>
      </c>
      <c r="G159" s="91">
        <v>216</v>
      </c>
      <c r="H159" s="91">
        <v>298</v>
      </c>
      <c r="I159" s="91">
        <v>114</v>
      </c>
      <c r="J159" s="91">
        <v>68</v>
      </c>
      <c r="K159" s="91">
        <v>43</v>
      </c>
      <c r="L159" s="123">
        <v>17.650210000000001</v>
      </c>
      <c r="M159" s="117">
        <v>20.035</v>
      </c>
      <c r="N159" s="117">
        <v>17.5</v>
      </c>
    </row>
    <row r="160" spans="2:15">
      <c r="B160" s="8"/>
      <c r="C160" s="9"/>
      <c r="D160" s="47"/>
      <c r="E160" s="48" t="s">
        <v>9</v>
      </c>
      <c r="F160" s="45">
        <v>70</v>
      </c>
      <c r="G160" s="45">
        <v>87</v>
      </c>
      <c r="H160" s="45">
        <v>105</v>
      </c>
      <c r="I160" s="45">
        <v>59</v>
      </c>
      <c r="J160" s="45">
        <v>58</v>
      </c>
      <c r="K160" s="45">
        <v>33</v>
      </c>
      <c r="L160" s="124">
        <v>8.7167899999999996</v>
      </c>
      <c r="M160" s="118">
        <v>10.958</v>
      </c>
      <c r="N160" s="118">
        <v>9.6</v>
      </c>
    </row>
    <row r="161" spans="2:14">
      <c r="B161" s="8"/>
      <c r="C161" s="9"/>
      <c r="D161" s="47"/>
      <c r="E161" s="48" t="s">
        <v>11</v>
      </c>
      <c r="F161" s="45">
        <v>106</v>
      </c>
      <c r="G161" s="45">
        <v>126</v>
      </c>
      <c r="H161" s="45">
        <v>193</v>
      </c>
      <c r="I161" s="45">
        <v>55</v>
      </c>
      <c r="J161" s="45">
        <v>10</v>
      </c>
      <c r="K161" s="45">
        <v>10</v>
      </c>
      <c r="L161" s="124">
        <v>8.9334199999999999</v>
      </c>
      <c r="M161" s="118">
        <v>9.077</v>
      </c>
      <c r="N161" s="118">
        <v>7.9</v>
      </c>
    </row>
    <row r="162" spans="2:14">
      <c r="B162" s="8"/>
      <c r="C162" s="9"/>
      <c r="D162" s="81" t="s">
        <v>19</v>
      </c>
      <c r="E162" s="82"/>
      <c r="F162" s="91">
        <v>53</v>
      </c>
      <c r="G162" s="91">
        <v>44</v>
      </c>
      <c r="H162" s="91">
        <v>61</v>
      </c>
      <c r="I162" s="91">
        <v>51.4</v>
      </c>
      <c r="J162" s="91">
        <v>37.6</v>
      </c>
      <c r="K162" s="91">
        <v>41.300000000000004</v>
      </c>
      <c r="L162" s="123">
        <v>30.460999999999999</v>
      </c>
      <c r="M162" s="117">
        <v>32.511899999999997</v>
      </c>
      <c r="N162" s="117">
        <v>30.37</v>
      </c>
    </row>
    <row r="163" spans="2:14">
      <c r="B163" s="8"/>
      <c r="C163" s="9"/>
      <c r="D163" s="47"/>
      <c r="E163" s="48" t="s">
        <v>9</v>
      </c>
      <c r="F163" s="78"/>
      <c r="G163" s="78"/>
      <c r="H163" s="78"/>
      <c r="I163" s="78"/>
      <c r="J163" s="78"/>
      <c r="K163" s="45">
        <v>5.2</v>
      </c>
      <c r="L163" s="124">
        <v>0.17399999999999999</v>
      </c>
      <c r="M163" s="118">
        <v>1.1900000000000001E-2</v>
      </c>
      <c r="N163" s="118">
        <v>0</v>
      </c>
    </row>
    <row r="164" spans="2:14">
      <c r="B164" s="8"/>
      <c r="C164" s="9"/>
      <c r="D164" s="47"/>
      <c r="E164" s="48" t="s">
        <v>11</v>
      </c>
      <c r="F164" s="45">
        <v>53</v>
      </c>
      <c r="G164" s="45">
        <v>44</v>
      </c>
      <c r="H164" s="45">
        <v>61</v>
      </c>
      <c r="I164" s="45">
        <v>51.4</v>
      </c>
      <c r="J164" s="59">
        <v>37.6</v>
      </c>
      <c r="K164" s="45">
        <v>36.1</v>
      </c>
      <c r="L164" s="124">
        <v>30.286999999999999</v>
      </c>
      <c r="M164" s="145">
        <v>32.5</v>
      </c>
      <c r="N164" s="145">
        <v>30.37</v>
      </c>
    </row>
    <row r="165" spans="2:14">
      <c r="B165" s="8"/>
      <c r="C165" s="9"/>
      <c r="D165" s="81" t="s">
        <v>15</v>
      </c>
      <c r="E165" s="82"/>
      <c r="F165" s="91"/>
      <c r="G165" s="91"/>
      <c r="H165" s="91"/>
      <c r="I165" s="91"/>
      <c r="J165" s="91"/>
      <c r="K165" s="91">
        <v>0.6</v>
      </c>
      <c r="L165" s="123">
        <v>1.2623</v>
      </c>
      <c r="M165" s="117">
        <v>0.91200000000000003</v>
      </c>
      <c r="N165" s="117">
        <v>0.75869999999999993</v>
      </c>
    </row>
    <row r="166" spans="2:14">
      <c r="B166" s="8"/>
      <c r="C166" s="9"/>
      <c r="D166" s="47"/>
      <c r="E166" s="48" t="s">
        <v>9</v>
      </c>
      <c r="F166" s="78"/>
      <c r="G166" s="78"/>
      <c r="H166" s="78"/>
      <c r="I166" s="78"/>
      <c r="J166" s="78"/>
      <c r="K166" s="45"/>
      <c r="L166" s="124">
        <v>0.88600000000000001</v>
      </c>
      <c r="M166" s="118">
        <v>0.34</v>
      </c>
      <c r="N166" s="118">
        <v>0.17699999999999999</v>
      </c>
    </row>
    <row r="167" spans="2:14" ht="15" thickBot="1">
      <c r="B167" s="11"/>
      <c r="C167" s="35"/>
      <c r="D167" s="50"/>
      <c r="E167" s="51" t="s">
        <v>11</v>
      </c>
      <c r="F167" s="79"/>
      <c r="G167" s="79"/>
      <c r="H167" s="79"/>
      <c r="I167" s="79"/>
      <c r="J167" s="79"/>
      <c r="K167" s="80">
        <v>0.6</v>
      </c>
      <c r="L167" s="125">
        <v>0.37630000000000002</v>
      </c>
      <c r="M167" s="131">
        <v>0.57199999999999995</v>
      </c>
      <c r="N167" s="131">
        <v>0.58169999999999999</v>
      </c>
    </row>
    <row r="168" spans="2:14">
      <c r="B168" s="8"/>
      <c r="C168" s="245" t="s">
        <v>98</v>
      </c>
      <c r="D168" s="245"/>
      <c r="E168" s="246"/>
      <c r="F168" s="76"/>
      <c r="G168" s="76"/>
      <c r="H168" s="76"/>
      <c r="I168" s="76"/>
      <c r="J168" s="76"/>
      <c r="K168" s="76"/>
      <c r="L168" s="126"/>
      <c r="M168" s="132"/>
      <c r="N168" s="132"/>
    </row>
    <row r="169" spans="2:14">
      <c r="B169" s="8"/>
      <c r="C169" s="9"/>
      <c r="D169" s="81" t="s">
        <v>7</v>
      </c>
      <c r="E169" s="82"/>
      <c r="F169" s="83">
        <v>1.5</v>
      </c>
      <c r="G169" s="83">
        <v>1.8</v>
      </c>
      <c r="H169" s="83">
        <v>4</v>
      </c>
      <c r="I169" s="83">
        <v>2.1</v>
      </c>
      <c r="J169" s="83">
        <v>1.7</v>
      </c>
      <c r="K169" s="83">
        <v>1.452</v>
      </c>
      <c r="L169" s="127">
        <v>1.2151799999999999</v>
      </c>
      <c r="M169" s="120">
        <v>1.1015999999999999</v>
      </c>
      <c r="N169" s="120">
        <v>0.96209999999999996</v>
      </c>
    </row>
    <row r="170" spans="2:14">
      <c r="B170" s="8"/>
      <c r="C170" s="9"/>
      <c r="D170" s="47"/>
      <c r="E170" s="48" t="s">
        <v>9</v>
      </c>
      <c r="F170" s="46">
        <v>0.67</v>
      </c>
      <c r="G170" s="46">
        <v>0.85</v>
      </c>
      <c r="H170" s="46">
        <v>1.4</v>
      </c>
      <c r="I170" s="46">
        <v>0.9</v>
      </c>
      <c r="J170" s="46">
        <v>0.87</v>
      </c>
      <c r="K170" s="46">
        <v>0.54</v>
      </c>
      <c r="L170" s="128">
        <v>0.33178999999999997</v>
      </c>
      <c r="M170" s="119">
        <v>0.20500000000000002</v>
      </c>
      <c r="N170" s="119">
        <v>0.17349999999999999</v>
      </c>
    </row>
    <row r="171" spans="2:14">
      <c r="B171" s="8"/>
      <c r="C171" s="9"/>
      <c r="D171" s="47"/>
      <c r="E171" s="48" t="s">
        <v>11</v>
      </c>
      <c r="F171" s="52">
        <v>0.8</v>
      </c>
      <c r="G171" s="77">
        <v>0.91</v>
      </c>
      <c r="H171" s="77">
        <v>2.6</v>
      </c>
      <c r="I171" s="77">
        <v>1.3</v>
      </c>
      <c r="J171" s="77">
        <v>0.87</v>
      </c>
      <c r="K171" s="46">
        <v>0.91200000000000003</v>
      </c>
      <c r="L171" s="128">
        <v>0.88339000000000001</v>
      </c>
      <c r="M171" s="119">
        <v>0.89599999999999991</v>
      </c>
      <c r="N171" s="119">
        <v>0.78859999999999997</v>
      </c>
    </row>
    <row r="172" spans="2:14">
      <c r="B172" s="8"/>
      <c r="C172" s="9"/>
      <c r="D172" s="84" t="s">
        <v>13</v>
      </c>
      <c r="E172" s="82"/>
      <c r="F172" s="85">
        <v>1.5</v>
      </c>
      <c r="G172" s="85">
        <v>1.8</v>
      </c>
      <c r="H172" s="85">
        <v>4</v>
      </c>
      <c r="I172" s="85">
        <v>2.1</v>
      </c>
      <c r="J172" s="85">
        <v>1.7</v>
      </c>
      <c r="K172" s="85">
        <v>1.4</v>
      </c>
      <c r="L172" s="129">
        <v>1.083</v>
      </c>
      <c r="M172" s="120">
        <v>1.002</v>
      </c>
      <c r="N172" s="120">
        <v>0.88</v>
      </c>
    </row>
    <row r="173" spans="2:14">
      <c r="B173" s="8"/>
      <c r="C173" s="9"/>
      <c r="D173" s="47"/>
      <c r="E173" s="49" t="s">
        <v>9</v>
      </c>
      <c r="F173" s="46">
        <v>0.67</v>
      </c>
      <c r="G173" s="46">
        <v>0.85</v>
      </c>
      <c r="H173" s="46">
        <v>1.4</v>
      </c>
      <c r="I173" s="46">
        <v>0.9</v>
      </c>
      <c r="J173" s="46">
        <v>0.87</v>
      </c>
      <c r="K173" s="46">
        <v>0.54</v>
      </c>
      <c r="L173" s="128">
        <v>0.24299999999999999</v>
      </c>
      <c r="M173" s="119">
        <v>0.16800000000000001</v>
      </c>
      <c r="N173" s="119">
        <v>0.15</v>
      </c>
    </row>
    <row r="174" spans="2:14">
      <c r="B174" s="8"/>
      <c r="C174" s="9"/>
      <c r="D174" s="47"/>
      <c r="E174" s="49" t="s">
        <v>11</v>
      </c>
      <c r="F174" s="52">
        <v>0.8</v>
      </c>
      <c r="G174" s="77">
        <v>0.91</v>
      </c>
      <c r="H174" s="77">
        <v>2.6</v>
      </c>
      <c r="I174" s="77">
        <v>1.3</v>
      </c>
      <c r="J174" s="77">
        <v>0.87</v>
      </c>
      <c r="K174" s="77">
        <v>0.86</v>
      </c>
      <c r="L174" s="130">
        <v>0.84</v>
      </c>
      <c r="M174" s="119">
        <v>0.83399999999999996</v>
      </c>
      <c r="N174" s="119">
        <v>0.73</v>
      </c>
    </row>
    <row r="175" spans="2:14">
      <c r="B175" s="8"/>
      <c r="C175" s="9"/>
      <c r="D175" s="81" t="s">
        <v>15</v>
      </c>
      <c r="E175" s="82"/>
      <c r="F175" s="83"/>
      <c r="G175" s="86"/>
      <c r="H175" s="86"/>
      <c r="I175" s="86"/>
      <c r="J175" s="86"/>
      <c r="K175" s="85">
        <v>5.1999999999999998E-2</v>
      </c>
      <c r="L175" s="129">
        <v>0.13217999999999999</v>
      </c>
      <c r="M175" s="120">
        <v>9.9599999999999994E-2</v>
      </c>
      <c r="N175" s="120">
        <v>8.2100000000000006E-2</v>
      </c>
    </row>
    <row r="176" spans="2:14">
      <c r="B176" s="8"/>
      <c r="C176" s="9"/>
      <c r="D176" s="47"/>
      <c r="E176" s="48" t="s">
        <v>9</v>
      </c>
      <c r="F176" s="75"/>
      <c r="G176" s="75"/>
      <c r="H176" s="75"/>
      <c r="I176" s="75"/>
      <c r="J176" s="75"/>
      <c r="K176" s="46"/>
      <c r="L176" s="128">
        <v>8.8789999999999994E-2</v>
      </c>
      <c r="M176" s="119">
        <v>3.6999999999999998E-2</v>
      </c>
      <c r="N176" s="119">
        <v>2.35E-2</v>
      </c>
    </row>
    <row r="177" spans="2:14" ht="15" thickBot="1">
      <c r="B177" s="133"/>
      <c r="C177" s="137"/>
      <c r="D177" s="138"/>
      <c r="E177" s="139" t="s">
        <v>11</v>
      </c>
      <c r="F177" s="140"/>
      <c r="G177" s="140"/>
      <c r="H177" s="140"/>
      <c r="I177" s="140"/>
      <c r="J177" s="140"/>
      <c r="K177" s="141">
        <v>5.1999999999999998E-2</v>
      </c>
      <c r="L177" s="142">
        <v>4.3389999999999998E-2</v>
      </c>
      <c r="M177" s="143">
        <v>6.2E-2</v>
      </c>
      <c r="N177" s="143">
        <v>5.8599999999999999E-2</v>
      </c>
    </row>
    <row r="178" spans="2:14">
      <c r="B178" s="144"/>
      <c r="C178" s="247" t="s">
        <v>99</v>
      </c>
      <c r="D178" s="248"/>
      <c r="E178" s="248"/>
      <c r="F178" s="132"/>
      <c r="G178" s="132"/>
      <c r="H178" s="132"/>
      <c r="I178" s="132"/>
      <c r="J178" s="132"/>
      <c r="K178" s="132"/>
      <c r="L178" s="132"/>
      <c r="M178" s="132"/>
      <c r="N178" s="132"/>
    </row>
    <row r="179" spans="2:14">
      <c r="B179" s="8"/>
      <c r="C179" s="9"/>
      <c r="D179" s="81" t="s">
        <v>7</v>
      </c>
      <c r="E179" s="82"/>
      <c r="F179" s="134"/>
      <c r="G179" s="134"/>
      <c r="H179" s="134"/>
      <c r="I179" s="134"/>
      <c r="J179" s="134"/>
      <c r="K179" s="134"/>
      <c r="L179" s="135"/>
      <c r="M179" s="136">
        <v>3.6029999999999998</v>
      </c>
      <c r="N179" s="136">
        <v>3.3449999999999998</v>
      </c>
    </row>
    <row r="180" spans="2:14">
      <c r="B180" s="8"/>
      <c r="C180" s="9"/>
      <c r="D180" s="47"/>
      <c r="E180" s="48" t="s">
        <v>9</v>
      </c>
      <c r="F180" s="46"/>
      <c r="G180" s="46"/>
      <c r="H180" s="46"/>
      <c r="I180" s="46"/>
      <c r="J180" s="46"/>
      <c r="K180" s="46"/>
      <c r="L180" s="128"/>
      <c r="M180" s="119">
        <v>1.1599999999999999</v>
      </c>
      <c r="N180" s="119">
        <v>1.0549999999999999</v>
      </c>
    </row>
    <row r="181" spans="2:14">
      <c r="B181" s="8"/>
      <c r="C181" s="9"/>
      <c r="D181" s="47"/>
      <c r="E181" s="48" t="s">
        <v>11</v>
      </c>
      <c r="F181" s="52"/>
      <c r="G181" s="77"/>
      <c r="H181" s="77"/>
      <c r="I181" s="77"/>
      <c r="J181" s="77"/>
      <c r="K181" s="46"/>
      <c r="L181" s="128"/>
      <c r="M181" s="119">
        <v>2.4430000000000001</v>
      </c>
      <c r="N181" s="119">
        <v>2.29</v>
      </c>
    </row>
    <row r="182" spans="2:14">
      <c r="B182" s="8"/>
      <c r="C182" s="9"/>
      <c r="D182" s="84" t="s">
        <v>13</v>
      </c>
      <c r="E182" s="82"/>
      <c r="F182" s="85"/>
      <c r="G182" s="85"/>
      <c r="H182" s="85"/>
      <c r="I182" s="85"/>
      <c r="J182" s="85"/>
      <c r="K182" s="85"/>
      <c r="L182" s="129"/>
      <c r="M182" s="120">
        <v>3.258</v>
      </c>
      <c r="N182" s="120">
        <v>3.05</v>
      </c>
    </row>
    <row r="183" spans="2:14">
      <c r="B183" s="8"/>
      <c r="C183" s="9"/>
      <c r="D183" s="47"/>
      <c r="E183" s="49" t="s">
        <v>9</v>
      </c>
      <c r="F183" s="46"/>
      <c r="G183" s="46"/>
      <c r="H183" s="46"/>
      <c r="I183" s="46"/>
      <c r="J183" s="46"/>
      <c r="K183" s="46"/>
      <c r="L183" s="128"/>
      <c r="M183" s="119">
        <v>1.0309999999999999</v>
      </c>
      <c r="N183" s="119">
        <v>0.98</v>
      </c>
    </row>
    <row r="184" spans="2:14">
      <c r="B184" s="8"/>
      <c r="C184" s="9"/>
      <c r="D184" s="47"/>
      <c r="E184" s="49" t="s">
        <v>11</v>
      </c>
      <c r="F184" s="52"/>
      <c r="G184" s="77"/>
      <c r="H184" s="77"/>
      <c r="I184" s="77"/>
      <c r="J184" s="77"/>
      <c r="K184" s="77"/>
      <c r="L184" s="130"/>
      <c r="M184" s="119">
        <v>2.2269999999999999</v>
      </c>
      <c r="N184" s="119">
        <v>2.0699999999999998</v>
      </c>
    </row>
    <row r="185" spans="2:14">
      <c r="B185" s="8"/>
      <c r="C185" s="9"/>
      <c r="D185" s="81" t="s">
        <v>15</v>
      </c>
      <c r="E185" s="82"/>
      <c r="F185" s="83"/>
      <c r="G185" s="86"/>
      <c r="H185" s="86"/>
      <c r="I185" s="86"/>
      <c r="J185" s="86"/>
      <c r="K185" s="85"/>
      <c r="L185" s="129"/>
      <c r="M185" s="120">
        <v>0.34499999999999997</v>
      </c>
      <c r="N185" s="120">
        <v>0.29499999999999998</v>
      </c>
    </row>
    <row r="186" spans="2:14">
      <c r="B186" s="8"/>
      <c r="C186" s="9"/>
      <c r="D186" s="47"/>
      <c r="E186" s="48" t="s">
        <v>9</v>
      </c>
      <c r="F186" s="75"/>
      <c r="G186" s="75"/>
      <c r="H186" s="75"/>
      <c r="I186" s="75"/>
      <c r="J186" s="75"/>
      <c r="K186" s="46"/>
      <c r="L186" s="128"/>
      <c r="M186" s="119">
        <v>0.129</v>
      </c>
      <c r="N186" s="119">
        <v>7.4999999999999997E-2</v>
      </c>
    </row>
    <row r="187" spans="2:14">
      <c r="B187" s="8"/>
      <c r="C187" s="9"/>
      <c r="D187" s="47"/>
      <c r="E187" s="48" t="s">
        <v>11</v>
      </c>
      <c r="F187" s="75"/>
      <c r="G187" s="75"/>
      <c r="H187" s="75"/>
      <c r="I187" s="75"/>
      <c r="J187" s="75"/>
      <c r="K187" s="46"/>
      <c r="L187" s="128"/>
      <c r="M187" s="119">
        <v>0.216</v>
      </c>
      <c r="N187" s="119">
        <v>0.22</v>
      </c>
    </row>
  </sheetData>
  <mergeCells count="4">
    <mergeCell ref="B154:E154"/>
    <mergeCell ref="C155:E155"/>
    <mergeCell ref="C168:E168"/>
    <mergeCell ref="C178:E17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712D4-1B62-4514-BD5B-E6164853CF41}">
  <dimension ref="B2:P33"/>
  <sheetViews>
    <sheetView showGridLines="0" zoomScale="70" zoomScaleNormal="70" workbookViewId="0">
      <selection activeCell="G69" sqref="G69"/>
    </sheetView>
  </sheetViews>
  <sheetFormatPr defaultColWidth="9.42578125" defaultRowHeight="14.45"/>
  <cols>
    <col min="1" max="1" width="3.5703125" style="2" customWidth="1"/>
    <col min="2" max="2" width="33.85546875" style="2" bestFit="1" customWidth="1"/>
    <col min="3" max="3" width="14" style="2" customWidth="1"/>
    <col min="4" max="4" width="11.5703125" style="2" bestFit="1" customWidth="1"/>
    <col min="5" max="7" width="12.5703125" style="2" bestFit="1" customWidth="1"/>
    <col min="8" max="8" width="13.5703125" style="2" bestFit="1" customWidth="1"/>
    <col min="9" max="9" width="11.42578125" style="2" customWidth="1"/>
    <col min="10" max="10" width="8.7109375" style="2" customWidth="1"/>
    <col min="11" max="11" width="10.5703125" style="2" customWidth="1"/>
    <col min="12" max="12" width="6.5703125" style="2" customWidth="1"/>
    <col min="13" max="16384" width="9.42578125" style="2"/>
  </cols>
  <sheetData>
    <row r="2" spans="2:15" ht="18">
      <c r="B2" s="1" t="s">
        <v>100</v>
      </c>
    </row>
    <row r="4" spans="2:15">
      <c r="B4" s="7"/>
      <c r="C4" s="32">
        <v>2017</v>
      </c>
      <c r="D4" s="32">
        <v>2018</v>
      </c>
      <c r="E4" s="32">
        <v>2019</v>
      </c>
      <c r="F4" s="32">
        <v>2020</v>
      </c>
      <c r="G4" s="32">
        <v>2021</v>
      </c>
      <c r="H4" s="32">
        <v>2022</v>
      </c>
      <c r="I4" s="32">
        <v>2023</v>
      </c>
      <c r="J4" s="32">
        <v>2024</v>
      </c>
      <c r="K4" s="32">
        <v>2025</v>
      </c>
    </row>
    <row r="5" spans="2:15">
      <c r="B5" s="7" t="s">
        <v>101</v>
      </c>
      <c r="C5" s="24">
        <f>(C13*'Scope 2'!C$29)/1000</f>
        <v>0</v>
      </c>
      <c r="D5" s="24">
        <f>(D13*'Scope 2'!D$29)/1000</f>
        <v>0</v>
      </c>
      <c r="E5" s="24">
        <f>(E13*'Scope 2'!E$29)/1000</f>
        <v>0</v>
      </c>
      <c r="F5" s="24">
        <f>(F13*'Scope 2'!F$29)/1000</f>
        <v>4.976</v>
      </c>
      <c r="G5" s="24">
        <f>(G13*'Scope 2'!G$29)/1000</f>
        <v>6.4459999999999997</v>
      </c>
      <c r="H5" s="24">
        <f>(H13*'Scope 2'!H$29)/1000</f>
        <v>12.749000000000001</v>
      </c>
      <c r="I5" s="24">
        <f>(I13*'Scope 2'!I$29)/1000</f>
        <v>10.574999999999999</v>
      </c>
      <c r="J5" s="24">
        <f>(J13*'Scope 2'!J$29)/1000</f>
        <v>8.6394000000000002</v>
      </c>
      <c r="K5" s="24">
        <f>(K13*'Scope 2'!K$29)/1000</f>
        <v>13.01418</v>
      </c>
    </row>
    <row r="6" spans="2:15">
      <c r="B6" s="7" t="s">
        <v>102</v>
      </c>
      <c r="C6" s="24">
        <f>(C13*'Scope 2'!C$31)/1000</f>
        <v>0</v>
      </c>
      <c r="D6" s="24">
        <f>(D13*'Scope 2'!D$31)/1000</f>
        <v>0</v>
      </c>
      <c r="E6" s="24">
        <f>(E13*'Scope 2'!E$31)/1000</f>
        <v>0</v>
      </c>
      <c r="F6" s="24">
        <f>(F13*'Scope 2'!F$31)/1000</f>
        <v>250.04400000000001</v>
      </c>
      <c r="G6" s="24">
        <f>(G13*'Scope 2'!G$31)/1000</f>
        <v>237.33</v>
      </c>
      <c r="H6" s="24">
        <f>(H13*'Scope 2'!H$31)/1000</f>
        <v>336.84199999999998</v>
      </c>
      <c r="I6" s="24">
        <f>(I13*'Scope 2'!I$31)/1000</f>
        <v>422.29500000000002</v>
      </c>
      <c r="J6" s="24">
        <f>(J13*'Scope 2'!J$31)/1000</f>
        <v>364.452</v>
      </c>
      <c r="K6" s="24">
        <f>(K13*'Scope 2'!K$31)/1000</f>
        <v>454.50393333333335</v>
      </c>
    </row>
    <row r="7" spans="2:15">
      <c r="B7" s="7" t="s">
        <v>103</v>
      </c>
      <c r="C7" s="24"/>
      <c r="D7" s="24"/>
      <c r="E7" s="24"/>
      <c r="F7" s="24"/>
      <c r="G7" s="24"/>
      <c r="H7" s="24"/>
      <c r="I7" s="24">
        <f>(I15*I29)/1000</f>
        <v>6.18</v>
      </c>
      <c r="J7" s="24">
        <f>(J15*J29)/1000</f>
        <v>4.9028</v>
      </c>
      <c r="K7" s="24">
        <f>(K15*K29)/1000</f>
        <v>6.3035999999999994</v>
      </c>
    </row>
    <row r="8" spans="2:15">
      <c r="B8" s="7" t="s">
        <v>104</v>
      </c>
      <c r="C8" s="24"/>
      <c r="D8" s="24"/>
      <c r="E8" s="24"/>
      <c r="F8" s="24"/>
      <c r="G8" s="24"/>
      <c r="H8" s="24"/>
      <c r="I8" s="24">
        <f>(I15*I31)/1000</f>
        <v>246.78800000000001</v>
      </c>
      <c r="J8" s="24">
        <f>(J15*J31)/1000</f>
        <v>206.82400000000001</v>
      </c>
      <c r="K8" s="24">
        <f>(K15*K31)/1000</f>
        <v>220.14533333333335</v>
      </c>
    </row>
    <row r="9" spans="2:15">
      <c r="B9" s="7" t="s">
        <v>60</v>
      </c>
      <c r="C9" s="24"/>
      <c r="D9" s="24"/>
      <c r="E9" s="24"/>
      <c r="F9" s="24">
        <f t="shared" ref="F9:K9" si="0">(F14*F32)/1000</f>
        <v>4.641</v>
      </c>
      <c r="G9" s="24">
        <f t="shared" si="0"/>
        <v>4.6020000000000003</v>
      </c>
      <c r="H9" s="24">
        <f t="shared" si="0"/>
        <v>4.8490000000000002</v>
      </c>
      <c r="I9" s="24">
        <f t="shared" si="0"/>
        <v>5.577</v>
      </c>
      <c r="J9" s="24">
        <f t="shared" si="0"/>
        <v>2.80644E-2</v>
      </c>
      <c r="K9" s="24">
        <f t="shared" si="0"/>
        <v>4.9135666666666662</v>
      </c>
      <c r="O9" s="223"/>
    </row>
    <row r="11" spans="2:15">
      <c r="B11" s="27" t="s">
        <v>105</v>
      </c>
    </row>
    <row r="12" spans="2:15">
      <c r="B12" s="21" t="s">
        <v>106</v>
      </c>
      <c r="C12" s="32">
        <v>2017</v>
      </c>
      <c r="D12" s="32">
        <v>2018</v>
      </c>
      <c r="E12" s="32">
        <v>2019</v>
      </c>
      <c r="F12" s="32">
        <v>2020</v>
      </c>
      <c r="G12" s="32">
        <v>2021</v>
      </c>
      <c r="H12" s="32">
        <v>2022</v>
      </c>
      <c r="I12" s="32">
        <v>2023</v>
      </c>
      <c r="J12" s="32">
        <v>2024</v>
      </c>
      <c r="K12" s="32">
        <v>2025</v>
      </c>
    </row>
    <row r="13" spans="2:15">
      <c r="B13" s="7" t="s">
        <v>107</v>
      </c>
      <c r="C13" s="24"/>
      <c r="D13" s="24"/>
      <c r="E13" s="24"/>
      <c r="F13" s="24">
        <v>622</v>
      </c>
      <c r="G13" s="24">
        <v>586</v>
      </c>
      <c r="H13" s="24">
        <v>671</v>
      </c>
      <c r="I13" s="24">
        <v>705</v>
      </c>
      <c r="J13" s="24">
        <v>726</v>
      </c>
      <c r="K13" s="24">
        <f>53.6+352+445</f>
        <v>850.6</v>
      </c>
    </row>
    <row r="14" spans="2:15">
      <c r="B14" s="7" t="s">
        <v>108</v>
      </c>
      <c r="C14" s="24"/>
      <c r="D14" s="24"/>
      <c r="E14" s="24"/>
      <c r="F14" s="24">
        <v>357</v>
      </c>
      <c r="G14" s="24">
        <v>354</v>
      </c>
      <c r="H14" s="24">
        <v>373</v>
      </c>
      <c r="I14" s="24">
        <v>429</v>
      </c>
      <c r="J14" s="24">
        <v>1.542</v>
      </c>
      <c r="K14" s="24">
        <f>17.5+316</f>
        <v>333.5</v>
      </c>
    </row>
    <row r="15" spans="2:15">
      <c r="B15" s="7" t="s">
        <v>109</v>
      </c>
      <c r="C15" s="24"/>
      <c r="D15" s="24"/>
      <c r="E15" s="24"/>
      <c r="F15" s="24"/>
      <c r="G15" s="24"/>
      <c r="H15" s="24"/>
      <c r="I15" s="24">
        <v>412</v>
      </c>
      <c r="J15" s="24">
        <v>412</v>
      </c>
      <c r="K15" s="24">
        <v>412</v>
      </c>
    </row>
    <row r="16" spans="2:15">
      <c r="B16" s="7" t="s">
        <v>110</v>
      </c>
      <c r="C16" s="7"/>
      <c r="D16" s="7"/>
      <c r="E16" s="7"/>
      <c r="F16" s="60">
        <f>SUM(F13:F14)</f>
        <v>979</v>
      </c>
      <c r="G16" s="60">
        <f t="shared" ref="G16:H16" si="1">SUM(G13:G14)</f>
        <v>940</v>
      </c>
      <c r="H16" s="60">
        <f t="shared" si="1"/>
        <v>1044</v>
      </c>
      <c r="I16" s="60">
        <f>SUM(I13:I14)</f>
        <v>1134</v>
      </c>
      <c r="J16" s="60">
        <f>SUM(J13:J14)</f>
        <v>727.54200000000003</v>
      </c>
      <c r="K16" s="60">
        <f>SUM(K13:K14)</f>
        <v>1184.0999999999999</v>
      </c>
    </row>
    <row r="18" spans="2:16">
      <c r="P18" s="110"/>
    </row>
    <row r="20" spans="2:16">
      <c r="B20" s="42" t="s">
        <v>111</v>
      </c>
    </row>
    <row r="21" spans="2:16">
      <c r="B21" s="2" t="s">
        <v>112</v>
      </c>
    </row>
    <row r="22" spans="2:16">
      <c r="B22" s="2" t="s">
        <v>113</v>
      </c>
    </row>
    <row r="23" spans="2:16">
      <c r="B23" s="2" t="s">
        <v>114</v>
      </c>
    </row>
    <row r="28" spans="2:16">
      <c r="B28" s="21" t="s">
        <v>115</v>
      </c>
      <c r="C28" s="26">
        <v>2017</v>
      </c>
      <c r="D28" s="26">
        <v>2018</v>
      </c>
      <c r="E28" s="26">
        <v>2019</v>
      </c>
      <c r="F28" s="26">
        <v>2020</v>
      </c>
      <c r="G28" s="26">
        <v>2021</v>
      </c>
      <c r="H28" s="26">
        <v>2022</v>
      </c>
      <c r="I28" s="3">
        <v>2023</v>
      </c>
      <c r="J28" s="164">
        <v>2024</v>
      </c>
      <c r="K28" s="164">
        <v>2025</v>
      </c>
      <c r="M28" s="26" t="s">
        <v>116</v>
      </c>
    </row>
    <row r="29" spans="2:16">
      <c r="B29" s="7" t="s">
        <v>117</v>
      </c>
      <c r="C29" s="36">
        <f>AVERAGE($E$29:$G$29)</f>
        <v>12</v>
      </c>
      <c r="D29" s="36">
        <f>AVERAGE($E$29:$G$29)</f>
        <v>12</v>
      </c>
      <c r="E29" s="7">
        <v>17</v>
      </c>
      <c r="F29" s="7">
        <v>8</v>
      </c>
      <c r="G29" s="7">
        <v>11</v>
      </c>
      <c r="H29" s="7">
        <v>19</v>
      </c>
      <c r="I29" s="161">
        <v>15</v>
      </c>
      <c r="J29" s="111">
        <v>11.9</v>
      </c>
      <c r="K29" s="111">
        <f>(H29+I29+J29)/3</f>
        <v>15.299999999999999</v>
      </c>
      <c r="M29" s="31" t="s">
        <v>118</v>
      </c>
    </row>
    <row r="30" spans="2:16">
      <c r="B30" s="7" t="s">
        <v>119</v>
      </c>
      <c r="C30" s="7">
        <v>0</v>
      </c>
      <c r="D30" s="7">
        <v>0</v>
      </c>
      <c r="E30" s="7">
        <v>0</v>
      </c>
      <c r="F30" s="7">
        <v>0</v>
      </c>
      <c r="G30" s="7">
        <v>0</v>
      </c>
      <c r="H30" s="7">
        <v>0</v>
      </c>
      <c r="I30" s="13">
        <v>0</v>
      </c>
      <c r="J30" s="160">
        <v>0</v>
      </c>
      <c r="K30" s="160">
        <v>0</v>
      </c>
      <c r="M30" s="7"/>
    </row>
    <row r="31" spans="2:16">
      <c r="B31" s="7" t="s">
        <v>120</v>
      </c>
      <c r="C31" s="7">
        <v>531</v>
      </c>
      <c r="D31" s="7">
        <v>520</v>
      </c>
      <c r="E31" s="7">
        <v>396</v>
      </c>
      <c r="F31" s="7">
        <v>402</v>
      </c>
      <c r="G31" s="7">
        <v>405</v>
      </c>
      <c r="H31" s="2">
        <v>502</v>
      </c>
      <c r="I31" s="162">
        <v>599</v>
      </c>
      <c r="J31" s="111">
        <f>(G31+H31+I31)/3</f>
        <v>502</v>
      </c>
      <c r="K31" s="111">
        <f>(H31+I31+J31)/3</f>
        <v>534.33333333333337</v>
      </c>
      <c r="M31" s="31" t="s">
        <v>121</v>
      </c>
    </row>
    <row r="32" spans="2:16">
      <c r="B32" s="7" t="s">
        <v>60</v>
      </c>
      <c r="C32" s="7"/>
      <c r="D32" s="7"/>
      <c r="E32" s="7"/>
      <c r="F32" s="43">
        <v>13</v>
      </c>
      <c r="G32" s="43">
        <v>13</v>
      </c>
      <c r="H32" s="96">
        <v>13</v>
      </c>
      <c r="I32" s="163">
        <v>13</v>
      </c>
      <c r="J32" s="95">
        <v>18.2</v>
      </c>
      <c r="K32" s="95">
        <f>(H32+I32+J32)/3</f>
        <v>14.733333333333334</v>
      </c>
      <c r="M32" s="31" t="s">
        <v>122</v>
      </c>
    </row>
    <row r="33" spans="2:13">
      <c r="B33" s="7"/>
      <c r="C33" s="7"/>
      <c r="D33" s="7"/>
      <c r="E33" s="7"/>
      <c r="F33" s="7"/>
      <c r="G33" s="7"/>
      <c r="H33" s="7"/>
      <c r="I33" s="8"/>
      <c r="J33" s="160"/>
      <c r="K33" s="160"/>
      <c r="M33" s="7"/>
    </row>
  </sheetData>
  <hyperlinks>
    <hyperlink ref="M29" r:id="rId1" location=":~:text=Norsk%20kraftproduksjon%20st%C3%A5r%20i%20en,til%20en%20%C3%B8kende%20andel%20vindkraft" xr:uid="{DB9128FC-3143-44C7-A520-8E9F14DFA8C3}"/>
    <hyperlink ref="M31" r:id="rId2" xr:uid="{AD549EC3-4BBC-4F66-A877-96E7CF8B3342}"/>
    <hyperlink ref="M32" r:id="rId3" xr:uid="{01A4025F-6D05-4EBB-B8A9-BD28513510C6}"/>
  </hyperlinks>
  <pageMargins left="0.7" right="0.7" top="0.75" bottom="0.75" header="0.3" footer="0.3"/>
  <pageSetup paperSize="9"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07623-611C-4928-A916-7DB65440104D}">
  <dimension ref="B2:P166"/>
  <sheetViews>
    <sheetView showGridLines="0" tabSelected="1" topLeftCell="A137" zoomScale="80" zoomScaleNormal="80" workbookViewId="0">
      <selection activeCell="K155" sqref="K155:L160"/>
    </sheetView>
  </sheetViews>
  <sheetFormatPr defaultColWidth="9.42578125" defaultRowHeight="14.45"/>
  <cols>
    <col min="1" max="1" width="3.5703125" style="2" customWidth="1"/>
    <col min="2" max="2" width="43.5703125" style="2" customWidth="1"/>
    <col min="3" max="3" width="14" style="2" customWidth="1"/>
    <col min="4" max="4" width="17.5703125" style="2" customWidth="1"/>
    <col min="5" max="5" width="15" style="2" customWidth="1"/>
    <col min="6" max="6" width="16.140625" style="2" customWidth="1"/>
    <col min="7" max="7" width="14.42578125" style="2" customWidth="1"/>
    <col min="8" max="8" width="16.85546875" style="2" customWidth="1"/>
    <col min="9" max="9" width="17.140625" style="2" customWidth="1"/>
    <col min="10" max="10" width="17.5703125" style="2" customWidth="1"/>
    <col min="11" max="11" width="15.85546875" style="2" customWidth="1"/>
    <col min="12" max="12" width="17" style="2" customWidth="1"/>
    <col min="13" max="13" width="29.5703125" style="2" customWidth="1"/>
    <col min="14" max="14" width="9.42578125" style="2" customWidth="1"/>
    <col min="15" max="16384" width="9.42578125" style="2"/>
  </cols>
  <sheetData>
    <row r="2" spans="2:12" ht="18">
      <c r="B2" s="1" t="s">
        <v>123</v>
      </c>
    </row>
    <row r="6" spans="2:12">
      <c r="B6" s="249" t="s">
        <v>124</v>
      </c>
      <c r="C6" s="250"/>
      <c r="D6" s="44">
        <v>2017</v>
      </c>
      <c r="E6" s="44">
        <v>2018</v>
      </c>
      <c r="F6" s="44">
        <v>2019</v>
      </c>
      <c r="G6" s="44">
        <v>2020</v>
      </c>
      <c r="H6" s="44">
        <v>2021</v>
      </c>
      <c r="I6" s="44">
        <v>2022</v>
      </c>
      <c r="J6" s="44">
        <v>2023</v>
      </c>
      <c r="K6" s="44">
        <v>2024</v>
      </c>
      <c r="L6" s="44">
        <v>2025</v>
      </c>
    </row>
    <row r="7" spans="2:12">
      <c r="B7" s="251" t="s">
        <v>125</v>
      </c>
      <c r="C7" s="252"/>
      <c r="D7" s="156">
        <v>14208659</v>
      </c>
      <c r="E7" s="156">
        <v>17732100</v>
      </c>
      <c r="F7" s="156">
        <v>15552630</v>
      </c>
      <c r="G7" s="156">
        <v>9028760</v>
      </c>
      <c r="H7" s="156">
        <v>6562572</v>
      </c>
      <c r="I7" s="156">
        <f>I9+I8</f>
        <v>22047783</v>
      </c>
      <c r="J7" s="156">
        <f>J11+J10+J9+J8</f>
        <v>20970537.52</v>
      </c>
      <c r="K7" s="156">
        <f>K11+K10+K9+K8+K12</f>
        <v>19010037</v>
      </c>
      <c r="L7" s="156">
        <f>L9+L8</f>
        <v>17498211</v>
      </c>
    </row>
    <row r="8" spans="2:12">
      <c r="B8" s="53"/>
      <c r="C8" s="54" t="s">
        <v>9</v>
      </c>
      <c r="D8" s="55">
        <v>5278720</v>
      </c>
      <c r="E8" s="55">
        <v>7034300</v>
      </c>
      <c r="F8" s="55">
        <v>7481845</v>
      </c>
      <c r="G8" s="55">
        <v>6309316</v>
      </c>
      <c r="H8" s="55">
        <v>5161560</v>
      </c>
      <c r="I8" s="55">
        <v>3836856</v>
      </c>
      <c r="J8" s="55">
        <v>1650385.52</v>
      </c>
      <c r="K8" s="55">
        <v>0</v>
      </c>
      <c r="L8" s="55">
        <v>0</v>
      </c>
    </row>
    <row r="9" spans="2:12">
      <c r="B9" s="53"/>
      <c r="C9" s="54" t="s">
        <v>11</v>
      </c>
      <c r="D9" s="55">
        <v>8929939</v>
      </c>
      <c r="E9" s="55">
        <v>10697800</v>
      </c>
      <c r="F9" s="55">
        <v>8070785</v>
      </c>
      <c r="G9" s="55">
        <v>2719444</v>
      </c>
      <c r="H9" s="55">
        <v>1401012</v>
      </c>
      <c r="I9" s="55">
        <f>11091729+5934896+1184302</f>
        <v>18210927</v>
      </c>
      <c r="J9" s="55">
        <f>19144378-118428</f>
        <v>19025950</v>
      </c>
      <c r="K9" s="55">
        <f>15535045+3474992-(K12+K11+K10)</f>
        <v>18857652</v>
      </c>
      <c r="L9" s="55">
        <v>17498211</v>
      </c>
    </row>
    <row r="10" spans="2:12">
      <c r="B10" s="107" t="s">
        <v>126</v>
      </c>
      <c r="C10" s="54" t="s">
        <v>9</v>
      </c>
      <c r="D10" s="55"/>
      <c r="E10" s="55"/>
      <c r="F10" s="55"/>
      <c r="G10" s="55"/>
      <c r="H10" s="55"/>
      <c r="I10" s="55"/>
      <c r="J10" s="55">
        <v>281970</v>
      </c>
      <c r="K10" s="55">
        <v>86375</v>
      </c>
      <c r="L10" s="55">
        <v>69498</v>
      </c>
    </row>
    <row r="11" spans="2:12">
      <c r="B11" s="107" t="s">
        <v>127</v>
      </c>
      <c r="C11" s="54" t="s">
        <v>9</v>
      </c>
      <c r="D11" s="55"/>
      <c r="E11" s="55"/>
      <c r="F11" s="55"/>
      <c r="G11" s="55"/>
      <c r="H11" s="55"/>
      <c r="I11" s="55"/>
      <c r="J11" s="55">
        <v>12232</v>
      </c>
      <c r="K11" s="55">
        <v>58479</v>
      </c>
      <c r="L11" s="55">
        <v>150814</v>
      </c>
    </row>
    <row r="12" spans="2:12">
      <c r="B12" s="107" t="s">
        <v>128</v>
      </c>
      <c r="C12" s="54" t="s">
        <v>9</v>
      </c>
      <c r="D12" s="55"/>
      <c r="E12" s="55"/>
      <c r="F12" s="55"/>
      <c r="G12" s="55"/>
      <c r="H12" s="55"/>
      <c r="I12" s="55"/>
      <c r="J12" s="55"/>
      <c r="K12" s="55">
        <v>7531</v>
      </c>
      <c r="L12" s="55">
        <v>13622</v>
      </c>
    </row>
    <row r="13" spans="2:12">
      <c r="B13" s="107" t="s">
        <v>129</v>
      </c>
      <c r="C13" s="54" t="s">
        <v>9</v>
      </c>
      <c r="D13" s="55"/>
      <c r="E13" s="55"/>
      <c r="F13" s="55"/>
      <c r="G13" s="55"/>
      <c r="H13" s="55"/>
      <c r="I13" s="55"/>
      <c r="J13" s="55"/>
      <c r="K13" s="55"/>
      <c r="L13" s="55">
        <v>0</v>
      </c>
    </row>
    <row r="14" spans="2:12">
      <c r="B14" s="251" t="s">
        <v>130</v>
      </c>
      <c r="C14" s="252"/>
      <c r="D14" s="156">
        <v>1414909</v>
      </c>
      <c r="E14" s="156">
        <f>E16</f>
        <v>1525424</v>
      </c>
      <c r="F14" s="156">
        <f>F16</f>
        <v>1730384</v>
      </c>
      <c r="G14" s="156">
        <f>G16</f>
        <v>1649505</v>
      </c>
      <c r="H14" s="156">
        <f>H16+H15</f>
        <v>1233763</v>
      </c>
      <c r="I14" s="156">
        <f>I16</f>
        <v>1149870</v>
      </c>
      <c r="J14" s="156">
        <v>938359</v>
      </c>
      <c r="K14" s="156">
        <f>K16+K15</f>
        <v>1036894</v>
      </c>
      <c r="L14" s="156">
        <f>L16+L15</f>
        <v>950852</v>
      </c>
    </row>
    <row r="15" spans="2:12">
      <c r="B15" s="53"/>
      <c r="C15" s="54" t="s">
        <v>9</v>
      </c>
      <c r="D15" s="55">
        <v>0</v>
      </c>
      <c r="E15" s="55">
        <v>0</v>
      </c>
      <c r="F15" s="55">
        <v>0</v>
      </c>
      <c r="G15" s="55">
        <v>0</v>
      </c>
      <c r="H15" s="55">
        <v>30788</v>
      </c>
      <c r="I15" s="55">
        <v>0</v>
      </c>
      <c r="J15" s="55">
        <v>0</v>
      </c>
      <c r="K15" s="55">
        <v>0</v>
      </c>
      <c r="L15" s="55">
        <v>0</v>
      </c>
    </row>
    <row r="16" spans="2:12">
      <c r="B16" s="53"/>
      <c r="C16" s="54" t="s">
        <v>11</v>
      </c>
      <c r="D16" s="56">
        <f>D14</f>
        <v>1414909</v>
      </c>
      <c r="E16" s="56">
        <v>1525424</v>
      </c>
      <c r="F16" s="55">
        <v>1730384</v>
      </c>
      <c r="G16" s="55">
        <v>1649505</v>
      </c>
      <c r="H16" s="55">
        <v>1202975</v>
      </c>
      <c r="I16" s="56">
        <v>1149870</v>
      </c>
      <c r="J16" s="56">
        <v>938359</v>
      </c>
      <c r="K16" s="56">
        <v>1036894</v>
      </c>
      <c r="L16" s="56">
        <v>950852</v>
      </c>
    </row>
    <row r="17" spans="2:13">
      <c r="B17" s="251" t="s">
        <v>131</v>
      </c>
      <c r="C17" s="252"/>
      <c r="D17" s="156">
        <v>0</v>
      </c>
      <c r="E17" s="156">
        <v>0</v>
      </c>
      <c r="F17" s="156">
        <v>0</v>
      </c>
      <c r="G17" s="156">
        <v>0</v>
      </c>
      <c r="H17" s="156">
        <v>0</v>
      </c>
      <c r="I17" s="157">
        <v>592481</v>
      </c>
      <c r="J17" s="157">
        <f>J19+J18</f>
        <v>586458</v>
      </c>
      <c r="K17" s="157">
        <f>K19+K18</f>
        <v>1025769</v>
      </c>
      <c r="L17" s="157">
        <f>L19+L18</f>
        <v>597418</v>
      </c>
    </row>
    <row r="18" spans="2:13">
      <c r="B18" s="53"/>
      <c r="C18" s="54" t="s">
        <v>9</v>
      </c>
      <c r="D18" s="55">
        <v>0</v>
      </c>
      <c r="E18" s="55">
        <v>0</v>
      </c>
      <c r="F18" s="55">
        <v>0</v>
      </c>
      <c r="G18" s="55">
        <v>0</v>
      </c>
      <c r="H18" s="55">
        <v>0</v>
      </c>
      <c r="I18" s="55">
        <v>0</v>
      </c>
      <c r="J18" s="55">
        <v>283292</v>
      </c>
      <c r="K18" s="55">
        <v>269020</v>
      </c>
      <c r="L18" s="55">
        <v>99400</v>
      </c>
    </row>
    <row r="19" spans="2:13">
      <c r="B19" s="53"/>
      <c r="C19" s="54" t="s">
        <v>11</v>
      </c>
      <c r="D19" s="55">
        <v>0</v>
      </c>
      <c r="E19" s="55">
        <v>0</v>
      </c>
      <c r="F19" s="55">
        <v>0</v>
      </c>
      <c r="G19" s="55">
        <v>0</v>
      </c>
      <c r="H19" s="55">
        <v>0</v>
      </c>
      <c r="I19" s="56">
        <v>592481</v>
      </c>
      <c r="J19" s="56">
        <v>303166</v>
      </c>
      <c r="K19" s="56">
        <v>756749</v>
      </c>
      <c r="L19" s="56">
        <v>498018</v>
      </c>
    </row>
    <row r="20" spans="2:13">
      <c r="B20" s="251" t="s">
        <v>132</v>
      </c>
      <c r="C20" s="252"/>
      <c r="D20" s="156">
        <v>5970015</v>
      </c>
      <c r="E20" s="156">
        <v>7770428</v>
      </c>
      <c r="F20" s="156">
        <v>6311606</v>
      </c>
      <c r="G20" s="156">
        <v>3412618</v>
      </c>
      <c r="H20" s="156">
        <v>875785</v>
      </c>
      <c r="I20" s="156">
        <f>I21</f>
        <v>300639</v>
      </c>
      <c r="J20" s="156">
        <v>0</v>
      </c>
      <c r="K20" s="156">
        <v>0</v>
      </c>
      <c r="L20" s="156">
        <v>0</v>
      </c>
    </row>
    <row r="21" spans="2:13">
      <c r="B21" s="53"/>
      <c r="C21" s="54" t="s">
        <v>9</v>
      </c>
      <c r="D21" s="56">
        <v>871728</v>
      </c>
      <c r="E21" s="56">
        <v>1030814</v>
      </c>
      <c r="F21" s="55">
        <v>926897</v>
      </c>
      <c r="G21" s="55">
        <v>957218</v>
      </c>
      <c r="H21" s="55">
        <v>528832</v>
      </c>
      <c r="I21" s="56">
        <v>300639</v>
      </c>
      <c r="J21" s="56">
        <v>0</v>
      </c>
      <c r="K21" s="146">
        <v>0</v>
      </c>
      <c r="L21" s="146">
        <v>0</v>
      </c>
    </row>
    <row r="22" spans="2:13">
      <c r="B22" s="53"/>
      <c r="C22" s="54" t="s">
        <v>11</v>
      </c>
      <c r="D22" s="56">
        <v>5098287</v>
      </c>
      <c r="E22" s="56">
        <v>6739614</v>
      </c>
      <c r="F22" s="55">
        <v>5384709</v>
      </c>
      <c r="G22" s="55">
        <v>2455399</v>
      </c>
      <c r="H22" s="55">
        <v>346954</v>
      </c>
      <c r="I22" s="55">
        <v>0</v>
      </c>
      <c r="J22" s="55">
        <v>0</v>
      </c>
      <c r="K22" s="55">
        <v>0</v>
      </c>
      <c r="L22" s="55">
        <v>0</v>
      </c>
    </row>
    <row r="23" spans="2:13">
      <c r="B23" s="251" t="s">
        <v>133</v>
      </c>
      <c r="C23" s="252"/>
      <c r="D23" s="157">
        <v>4339522</v>
      </c>
      <c r="E23" s="157">
        <v>5240811</v>
      </c>
      <c r="F23" s="157">
        <v>8750506</v>
      </c>
      <c r="G23" s="157">
        <v>16954831</v>
      </c>
      <c r="H23" s="157">
        <v>23754380</v>
      </c>
      <c r="I23" s="157">
        <f>I24</f>
        <v>5087619</v>
      </c>
      <c r="J23" s="157">
        <f>J26+J24</f>
        <v>4512493.51</v>
      </c>
      <c r="K23" s="157">
        <f>K26+K25+K24</f>
        <v>2382238</v>
      </c>
      <c r="L23" s="157">
        <f>L25+L24</f>
        <v>1904510</v>
      </c>
    </row>
    <row r="24" spans="2:13">
      <c r="B24" s="53"/>
      <c r="C24" s="54" t="s">
        <v>9</v>
      </c>
      <c r="D24" s="57">
        <v>2943272</v>
      </c>
      <c r="E24" s="57">
        <v>3938337</v>
      </c>
      <c r="F24" s="57">
        <v>3966048</v>
      </c>
      <c r="G24" s="57">
        <v>4351589</v>
      </c>
      <c r="H24" s="57">
        <v>5866294</v>
      </c>
      <c r="I24" s="57">
        <v>5087619</v>
      </c>
      <c r="J24" s="57">
        <f>4512493.51-J26</f>
        <v>4489945.51</v>
      </c>
      <c r="K24" s="57">
        <v>2382238</v>
      </c>
      <c r="L24" s="57">
        <v>1904510</v>
      </c>
      <c r="M24" s="41" t="s">
        <v>134</v>
      </c>
    </row>
    <row r="25" spans="2:13">
      <c r="B25" s="53"/>
      <c r="C25" s="58" t="s">
        <v>11</v>
      </c>
      <c r="D25" s="24">
        <v>1396250</v>
      </c>
      <c r="E25" s="24">
        <v>1302474</v>
      </c>
      <c r="F25" s="24">
        <v>4783892</v>
      </c>
      <c r="G25" s="24">
        <v>12603242</v>
      </c>
      <c r="H25" s="24">
        <v>17888087</v>
      </c>
      <c r="I25" s="55">
        <v>0</v>
      </c>
      <c r="J25" s="55">
        <v>0</v>
      </c>
      <c r="K25" s="55">
        <v>0</v>
      </c>
      <c r="L25" s="55">
        <v>0</v>
      </c>
    </row>
    <row r="26" spans="2:13">
      <c r="B26" s="107" t="s">
        <v>135</v>
      </c>
      <c r="C26" s="58" t="s">
        <v>9</v>
      </c>
      <c r="D26" s="24"/>
      <c r="E26" s="24"/>
      <c r="F26" s="24"/>
      <c r="G26" s="24"/>
      <c r="H26" s="24"/>
      <c r="I26" s="55"/>
      <c r="J26" s="55">
        <v>22548</v>
      </c>
      <c r="K26" s="55">
        <v>0</v>
      </c>
      <c r="L26" s="55">
        <v>40027</v>
      </c>
    </row>
    <row r="27" spans="2:13">
      <c r="B27" s="107" t="s">
        <v>126</v>
      </c>
      <c r="C27" s="58" t="s">
        <v>9</v>
      </c>
      <c r="D27" s="24"/>
      <c r="E27" s="24"/>
      <c r="F27" s="24"/>
      <c r="G27" s="24"/>
      <c r="H27" s="24"/>
      <c r="I27" s="55"/>
      <c r="J27" s="55">
        <v>0</v>
      </c>
      <c r="K27" s="55">
        <v>0</v>
      </c>
      <c r="L27" s="55">
        <v>278585</v>
      </c>
    </row>
    <row r="28" spans="2:13">
      <c r="B28" s="251" t="s">
        <v>136</v>
      </c>
      <c r="C28" s="252"/>
      <c r="D28" s="157">
        <v>251586</v>
      </c>
      <c r="E28" s="157">
        <v>268885</v>
      </c>
      <c r="F28" s="157">
        <v>437072</v>
      </c>
      <c r="G28" s="157">
        <v>192763</v>
      </c>
      <c r="H28" s="157">
        <v>161780</v>
      </c>
      <c r="I28" s="157">
        <v>132493</v>
      </c>
      <c r="J28" s="157">
        <v>4085</v>
      </c>
      <c r="K28" s="157">
        <f>K30+K29</f>
        <v>725</v>
      </c>
      <c r="L28" s="157">
        <f>L30+L29</f>
        <v>201775</v>
      </c>
    </row>
    <row r="29" spans="2:13">
      <c r="B29" s="53"/>
      <c r="C29" s="54" t="s">
        <v>9</v>
      </c>
      <c r="D29" s="57">
        <v>251586</v>
      </c>
      <c r="E29" s="57">
        <v>268885</v>
      </c>
      <c r="F29" s="57">
        <v>237072</v>
      </c>
      <c r="G29" s="57">
        <v>192763</v>
      </c>
      <c r="H29" s="57">
        <v>161780</v>
      </c>
      <c r="I29" s="57">
        <v>132493</v>
      </c>
      <c r="J29" s="57">
        <v>4085</v>
      </c>
      <c r="K29" s="57">
        <v>725</v>
      </c>
      <c r="L29" s="57">
        <v>885</v>
      </c>
    </row>
    <row r="30" spans="2:13">
      <c r="B30" s="53"/>
      <c r="C30" s="54" t="s">
        <v>11</v>
      </c>
      <c r="D30" s="55">
        <v>0</v>
      </c>
      <c r="E30" s="55">
        <v>0</v>
      </c>
      <c r="F30" s="24">
        <v>200000</v>
      </c>
      <c r="G30" s="55">
        <v>0</v>
      </c>
      <c r="H30" s="55">
        <v>0</v>
      </c>
      <c r="I30" s="55">
        <v>0</v>
      </c>
      <c r="J30" s="55">
        <v>0</v>
      </c>
      <c r="K30" s="55">
        <v>0</v>
      </c>
      <c r="L30" s="55">
        <v>200890</v>
      </c>
    </row>
    <row r="31" spans="2:13">
      <c r="B31" s="251" t="s">
        <v>137</v>
      </c>
      <c r="C31" s="252"/>
      <c r="D31" s="157">
        <v>3200172</v>
      </c>
      <c r="E31" s="157">
        <v>4313561</v>
      </c>
      <c r="F31" s="157">
        <v>5541556</v>
      </c>
      <c r="G31" s="157">
        <v>4851186</v>
      </c>
      <c r="H31" s="157">
        <v>4940536</v>
      </c>
      <c r="I31" s="157">
        <f>I33+I32</f>
        <v>4196362</v>
      </c>
      <c r="J31" s="157">
        <f>J34+J33+J32</f>
        <v>2827750</v>
      </c>
      <c r="K31" s="157">
        <f>K34+K33+K32</f>
        <v>1789789</v>
      </c>
      <c r="L31" s="157">
        <f>L33+L32</f>
        <v>1235895</v>
      </c>
    </row>
    <row r="32" spans="2:13">
      <c r="B32" s="53"/>
      <c r="C32" s="54" t="s">
        <v>9</v>
      </c>
      <c r="D32" s="55">
        <v>1871071</v>
      </c>
      <c r="E32" s="55">
        <v>2653328</v>
      </c>
      <c r="F32" s="55">
        <v>3726772</v>
      </c>
      <c r="G32" s="55">
        <v>3226750</v>
      </c>
      <c r="H32" s="55">
        <v>3373930</v>
      </c>
      <c r="I32" s="56">
        <v>2702363</v>
      </c>
      <c r="J32" s="56">
        <v>1262833</v>
      </c>
      <c r="K32" s="56">
        <v>473789</v>
      </c>
      <c r="L32" s="56">
        <v>267655</v>
      </c>
    </row>
    <row r="33" spans="2:15">
      <c r="B33" s="53"/>
      <c r="C33" s="54" t="s">
        <v>11</v>
      </c>
      <c r="D33" s="55">
        <v>1329101</v>
      </c>
      <c r="E33" s="55">
        <v>1660232</v>
      </c>
      <c r="F33" s="55">
        <v>1814784</v>
      </c>
      <c r="G33" s="55">
        <v>1624436</v>
      </c>
      <c r="H33" s="55">
        <v>1566606</v>
      </c>
      <c r="I33" s="56">
        <v>1493999</v>
      </c>
      <c r="J33" s="56">
        <f>1564917-J34</f>
        <v>1495589</v>
      </c>
      <c r="K33" s="56">
        <f>1316000-K34</f>
        <v>1274587</v>
      </c>
      <c r="L33" s="56">
        <v>968240</v>
      </c>
    </row>
    <row r="34" spans="2:15">
      <c r="B34" s="107" t="s">
        <v>138</v>
      </c>
      <c r="C34" s="54" t="s">
        <v>9</v>
      </c>
      <c r="D34" s="55"/>
      <c r="E34" s="55"/>
      <c r="F34" s="55"/>
      <c r="G34" s="55"/>
      <c r="H34" s="55"/>
      <c r="I34" s="56"/>
      <c r="J34" s="56">
        <v>69328</v>
      </c>
      <c r="K34" s="56">
        <v>41413</v>
      </c>
      <c r="L34" s="56">
        <v>0</v>
      </c>
    </row>
    <row r="35" spans="2:15">
      <c r="B35" s="251" t="s">
        <v>139</v>
      </c>
      <c r="C35" s="252"/>
      <c r="D35" s="157">
        <v>0</v>
      </c>
      <c r="E35" s="157">
        <v>0</v>
      </c>
      <c r="F35" s="157">
        <v>0</v>
      </c>
      <c r="G35" s="157">
        <v>0</v>
      </c>
      <c r="H35" s="157">
        <v>0</v>
      </c>
      <c r="I35" s="157">
        <v>0</v>
      </c>
      <c r="J35" s="157">
        <v>142983</v>
      </c>
      <c r="K35" s="157">
        <f>K37+K36</f>
        <v>135471</v>
      </c>
      <c r="L35" s="157">
        <f>L37+L36</f>
        <v>108605</v>
      </c>
    </row>
    <row r="36" spans="2:15">
      <c r="B36" s="53"/>
      <c r="C36" s="54" t="s">
        <v>9</v>
      </c>
      <c r="D36" s="55">
        <v>0</v>
      </c>
      <c r="E36" s="55">
        <v>0</v>
      </c>
      <c r="F36" s="55">
        <v>0</v>
      </c>
      <c r="G36" s="55">
        <v>0</v>
      </c>
      <c r="H36" s="55">
        <v>0</v>
      </c>
      <c r="I36" s="56">
        <v>0</v>
      </c>
      <c r="J36" s="56">
        <v>97513</v>
      </c>
      <c r="K36" s="56">
        <v>92839</v>
      </c>
      <c r="L36" s="56">
        <v>88191</v>
      </c>
    </row>
    <row r="37" spans="2:15">
      <c r="B37" s="53"/>
      <c r="C37" s="54" t="s">
        <v>11</v>
      </c>
      <c r="D37" s="55">
        <v>0</v>
      </c>
      <c r="E37" s="55">
        <v>0</v>
      </c>
      <c r="F37" s="55">
        <v>0</v>
      </c>
      <c r="G37" s="55">
        <v>0</v>
      </c>
      <c r="H37" s="55">
        <v>0</v>
      </c>
      <c r="I37" s="56">
        <v>0</v>
      </c>
      <c r="J37" s="56">
        <v>45471</v>
      </c>
      <c r="K37" s="56">
        <v>42632</v>
      </c>
      <c r="L37" s="56">
        <v>20414</v>
      </c>
    </row>
    <row r="43" spans="2:15" ht="14.45" customHeight="1"/>
    <row r="44" spans="2:15">
      <c r="B44" s="242" t="s">
        <v>140</v>
      </c>
      <c r="C44" s="244"/>
      <c r="D44" s="147">
        <v>2017</v>
      </c>
      <c r="E44" s="151">
        <v>2018</v>
      </c>
      <c r="F44" s="147">
        <v>2019</v>
      </c>
      <c r="G44" s="151">
        <v>2020</v>
      </c>
      <c r="H44" s="147">
        <v>2021</v>
      </c>
      <c r="I44" s="151">
        <v>2022</v>
      </c>
      <c r="J44" s="151">
        <v>2023</v>
      </c>
      <c r="K44" s="151">
        <v>2024</v>
      </c>
      <c r="L44" s="151">
        <v>2025</v>
      </c>
    </row>
    <row r="45" spans="2:15">
      <c r="B45" s="240" t="s">
        <v>141</v>
      </c>
      <c r="C45" s="241"/>
      <c r="D45" s="158">
        <f>D47+D46</f>
        <v>67340786</v>
      </c>
      <c r="E45" s="158">
        <f t="shared" ref="E45:J45" si="0">E47+E46</f>
        <v>82821344</v>
      </c>
      <c r="F45" s="158">
        <f t="shared" si="0"/>
        <v>82142112</v>
      </c>
      <c r="G45" s="158">
        <f t="shared" si="0"/>
        <v>87845765</v>
      </c>
      <c r="H45" s="158">
        <f t="shared" si="0"/>
        <v>94154156</v>
      </c>
      <c r="I45" s="158">
        <f t="shared" si="0"/>
        <v>92922801</v>
      </c>
      <c r="J45" s="158">
        <f t="shared" si="0"/>
        <v>91686578</v>
      </c>
      <c r="K45" s="158">
        <f>K47+K46</f>
        <v>90395475</v>
      </c>
      <c r="L45" s="158">
        <f>L47+L46</f>
        <v>89535311</v>
      </c>
      <c r="M45" s="196"/>
      <c r="O45" s="196"/>
    </row>
    <row r="46" spans="2:15">
      <c r="B46" s="149" t="s">
        <v>48</v>
      </c>
      <c r="C46" s="150" t="s">
        <v>9</v>
      </c>
      <c r="D46" s="153">
        <v>23632838</v>
      </c>
      <c r="E46" s="153">
        <v>30295810</v>
      </c>
      <c r="F46" s="153">
        <v>30389272</v>
      </c>
      <c r="G46" s="153">
        <v>30468563</v>
      </c>
      <c r="H46" s="153">
        <v>32276773</v>
      </c>
      <c r="I46" s="153">
        <v>32202313</v>
      </c>
      <c r="J46" s="153">
        <v>31789060</v>
      </c>
      <c r="K46" s="153">
        <v>30543779</v>
      </c>
      <c r="L46" s="153">
        <v>30129438</v>
      </c>
    </row>
    <row r="47" spans="2:15" ht="14.45" customHeight="1">
      <c r="B47" s="149" t="s">
        <v>48</v>
      </c>
      <c r="C47" s="150" t="s">
        <v>11</v>
      </c>
      <c r="D47" s="153">
        <v>43707948</v>
      </c>
      <c r="E47" s="153">
        <v>52525534</v>
      </c>
      <c r="F47" s="153">
        <v>51752840</v>
      </c>
      <c r="G47" s="153">
        <v>57377202</v>
      </c>
      <c r="H47" s="153">
        <v>61877383</v>
      </c>
      <c r="I47" s="153">
        <v>60720488</v>
      </c>
      <c r="J47" s="154">
        <v>59897518</v>
      </c>
      <c r="K47" s="154">
        <v>59851696</v>
      </c>
      <c r="L47" s="153">
        <v>59405873</v>
      </c>
    </row>
    <row r="48" spans="2:15">
      <c r="B48" s="240" t="s">
        <v>142</v>
      </c>
      <c r="C48" s="241"/>
      <c r="D48" s="158">
        <f>D50+D49</f>
        <v>1348</v>
      </c>
      <c r="E48" s="158">
        <f t="shared" ref="E48:J48" si="1">E50+E49</f>
        <v>114381</v>
      </c>
      <c r="F48" s="158">
        <f t="shared" si="1"/>
        <v>2581966</v>
      </c>
      <c r="G48" s="158">
        <f t="shared" si="1"/>
        <v>7339902</v>
      </c>
      <c r="H48" s="158">
        <f t="shared" si="1"/>
        <v>9004768</v>
      </c>
      <c r="I48" s="158">
        <f t="shared" si="1"/>
        <v>14753697</v>
      </c>
      <c r="J48" s="158">
        <f t="shared" si="1"/>
        <v>22799535</v>
      </c>
      <c r="K48" s="158">
        <f>K50+K49</f>
        <v>29653536</v>
      </c>
      <c r="L48" s="158">
        <f>L50+L49</f>
        <v>34617289</v>
      </c>
    </row>
    <row r="49" spans="2:12">
      <c r="B49" s="149" t="s">
        <v>48</v>
      </c>
      <c r="C49" s="150" t="s">
        <v>9</v>
      </c>
      <c r="D49" s="153">
        <v>1348</v>
      </c>
      <c r="E49" s="153">
        <v>114381</v>
      </c>
      <c r="F49" s="153">
        <v>1227548</v>
      </c>
      <c r="G49" s="153">
        <v>3231208</v>
      </c>
      <c r="H49" s="153">
        <v>4464100</v>
      </c>
      <c r="I49" s="153">
        <v>10448746</v>
      </c>
      <c r="J49" s="153">
        <v>18644235</v>
      </c>
      <c r="K49" s="153">
        <v>25611740</v>
      </c>
      <c r="L49" s="153">
        <v>24932009</v>
      </c>
    </row>
    <row r="50" spans="2:12" ht="14.45" customHeight="1">
      <c r="B50" s="149" t="s">
        <v>48</v>
      </c>
      <c r="C50" s="150" t="s">
        <v>11</v>
      </c>
      <c r="D50" s="153">
        <v>0</v>
      </c>
      <c r="E50" s="153">
        <v>0</v>
      </c>
      <c r="F50" s="153">
        <v>1354418</v>
      </c>
      <c r="G50" s="153">
        <v>4108694</v>
      </c>
      <c r="H50" s="153">
        <v>4540668</v>
      </c>
      <c r="I50" s="153">
        <v>4304951</v>
      </c>
      <c r="J50" s="153">
        <v>4155300</v>
      </c>
      <c r="K50" s="153">
        <v>4041796</v>
      </c>
      <c r="L50" s="153">
        <v>9685280</v>
      </c>
    </row>
    <row r="51" spans="2:12">
      <c r="B51" s="240" t="s">
        <v>143</v>
      </c>
      <c r="C51" s="241"/>
      <c r="D51" s="158">
        <f>D53+D52</f>
        <v>6895953</v>
      </c>
      <c r="E51" s="158">
        <f t="shared" ref="E51:J51" si="2">E53+E52</f>
        <v>9109961</v>
      </c>
      <c r="F51" s="158">
        <f t="shared" si="2"/>
        <v>11338040</v>
      </c>
      <c r="G51" s="158">
        <f t="shared" si="2"/>
        <v>10676941</v>
      </c>
      <c r="H51" s="158">
        <f t="shared" si="2"/>
        <v>10464031</v>
      </c>
      <c r="I51" s="158">
        <f t="shared" si="2"/>
        <v>9197129</v>
      </c>
      <c r="J51" s="158">
        <f t="shared" si="2"/>
        <v>6484393</v>
      </c>
      <c r="K51" s="158">
        <f>K53+K52</f>
        <v>4667207</v>
      </c>
      <c r="L51" s="158">
        <f>L53+L52</f>
        <v>2233080</v>
      </c>
    </row>
    <row r="52" spans="2:12">
      <c r="B52" s="149" t="s">
        <v>48</v>
      </c>
      <c r="C52" s="150" t="s">
        <v>9</v>
      </c>
      <c r="D52" s="153">
        <v>3550074</v>
      </c>
      <c r="E52" s="153">
        <v>4864955</v>
      </c>
      <c r="F52" s="153">
        <v>6713330</v>
      </c>
      <c r="G52" s="153">
        <v>6233265</v>
      </c>
      <c r="H52" s="153">
        <v>6388749</v>
      </c>
      <c r="I52" s="153">
        <v>4900429</v>
      </c>
      <c r="J52" s="153">
        <v>2155493</v>
      </c>
      <c r="K52" s="153">
        <v>716107</v>
      </c>
      <c r="L52" s="153">
        <v>402830</v>
      </c>
    </row>
    <row r="53" spans="2:12" ht="14.45" customHeight="1">
      <c r="B53" s="149" t="s">
        <v>48</v>
      </c>
      <c r="C53" s="150" t="s">
        <v>11</v>
      </c>
      <c r="D53" s="153">
        <v>3345879</v>
      </c>
      <c r="E53" s="153">
        <v>4245006</v>
      </c>
      <c r="F53" s="153">
        <v>4624710</v>
      </c>
      <c r="G53" s="153">
        <v>4443676</v>
      </c>
      <c r="H53" s="153">
        <v>4075282</v>
      </c>
      <c r="I53" s="153">
        <v>4296700</v>
      </c>
      <c r="J53" s="153">
        <v>4328900</v>
      </c>
      <c r="K53" s="153">
        <v>3951100</v>
      </c>
      <c r="L53" s="153">
        <v>1830250</v>
      </c>
    </row>
    <row r="54" spans="2:12">
      <c r="B54" s="240" t="s">
        <v>144</v>
      </c>
      <c r="C54" s="241"/>
      <c r="D54" s="158">
        <f>D55</f>
        <v>4559952</v>
      </c>
      <c r="E54" s="158">
        <f t="shared" ref="E54:J54" si="3">E55</f>
        <v>4802000</v>
      </c>
      <c r="F54" s="158">
        <f t="shared" si="3"/>
        <v>4660979</v>
      </c>
      <c r="G54" s="158">
        <f t="shared" si="3"/>
        <v>4575557</v>
      </c>
      <c r="H54" s="158">
        <f t="shared" si="3"/>
        <v>5000001</v>
      </c>
      <c r="I54" s="158">
        <f t="shared" si="3"/>
        <v>4864699</v>
      </c>
      <c r="J54" s="158">
        <f t="shared" si="3"/>
        <v>4804351</v>
      </c>
      <c r="K54" s="158">
        <f>K55</f>
        <v>4719888</v>
      </c>
      <c r="L54" s="158">
        <f>L55</f>
        <v>4694101</v>
      </c>
    </row>
    <row r="55" spans="2:12">
      <c r="B55" s="149" t="s">
        <v>48</v>
      </c>
      <c r="C55" s="150" t="s">
        <v>9</v>
      </c>
      <c r="D55" s="153">
        <v>4559952</v>
      </c>
      <c r="E55" s="153">
        <v>4802000</v>
      </c>
      <c r="F55" s="153">
        <v>4660979</v>
      </c>
      <c r="G55" s="153">
        <v>4575557</v>
      </c>
      <c r="H55" s="153">
        <v>5000001</v>
      </c>
      <c r="I55" s="153">
        <v>4864699</v>
      </c>
      <c r="J55" s="153">
        <v>4804351</v>
      </c>
      <c r="K55" s="153">
        <v>4719888</v>
      </c>
      <c r="L55" s="153">
        <v>4694101</v>
      </c>
    </row>
    <row r="56" spans="2:12" ht="14.45" customHeight="1">
      <c r="B56" s="149" t="s">
        <v>48</v>
      </c>
      <c r="C56" s="150" t="s">
        <v>11</v>
      </c>
      <c r="D56" s="153">
        <v>0</v>
      </c>
      <c r="E56" s="153">
        <v>0</v>
      </c>
      <c r="F56" s="153">
        <v>0</v>
      </c>
      <c r="G56" s="153">
        <v>0</v>
      </c>
      <c r="H56" s="153">
        <v>0</v>
      </c>
      <c r="I56" s="153">
        <v>0</v>
      </c>
      <c r="J56" s="153">
        <v>0</v>
      </c>
      <c r="K56" s="153">
        <v>0</v>
      </c>
      <c r="L56" s="153">
        <v>0</v>
      </c>
    </row>
    <row r="57" spans="2:12">
      <c r="B57" s="240" t="s">
        <v>145</v>
      </c>
      <c r="C57" s="241"/>
      <c r="D57" s="158">
        <f>D58</f>
        <v>46827090</v>
      </c>
      <c r="E57" s="158">
        <f t="shared" ref="E57:J57" si="4">E58</f>
        <v>47800000</v>
      </c>
      <c r="F57" s="158">
        <f t="shared" si="4"/>
        <v>46684750</v>
      </c>
      <c r="G57" s="158">
        <f t="shared" si="4"/>
        <v>47369944</v>
      </c>
      <c r="H57" s="158">
        <f t="shared" si="4"/>
        <v>47286867</v>
      </c>
      <c r="I57" s="158">
        <f t="shared" si="4"/>
        <v>47232281</v>
      </c>
      <c r="J57" s="158">
        <f t="shared" si="4"/>
        <v>45782648</v>
      </c>
      <c r="K57" s="158">
        <f>K58</f>
        <v>46575674</v>
      </c>
      <c r="L57" s="158">
        <f>L58</f>
        <v>43601417</v>
      </c>
    </row>
    <row r="58" spans="2:12">
      <c r="B58" s="149" t="s">
        <v>48</v>
      </c>
      <c r="C58" s="150" t="s">
        <v>9</v>
      </c>
      <c r="D58" s="153">
        <v>46827090</v>
      </c>
      <c r="E58" s="153">
        <v>47800000</v>
      </c>
      <c r="F58" s="153">
        <v>46684750</v>
      </c>
      <c r="G58" s="153">
        <v>47369944</v>
      </c>
      <c r="H58" s="153">
        <v>47286867</v>
      </c>
      <c r="I58" s="153">
        <v>47232281</v>
      </c>
      <c r="J58" s="153">
        <v>45782648</v>
      </c>
      <c r="K58" s="153">
        <v>46575674</v>
      </c>
      <c r="L58" s="153">
        <v>43601417</v>
      </c>
    </row>
    <row r="59" spans="2:12">
      <c r="B59" s="149" t="s">
        <v>48</v>
      </c>
      <c r="C59" s="150" t="s">
        <v>11</v>
      </c>
      <c r="D59" s="153">
        <v>0</v>
      </c>
      <c r="E59" s="153">
        <v>0</v>
      </c>
      <c r="F59" s="153">
        <v>0</v>
      </c>
      <c r="G59" s="153">
        <v>0</v>
      </c>
      <c r="H59" s="153">
        <v>0</v>
      </c>
      <c r="I59" s="153">
        <v>0</v>
      </c>
      <c r="J59" s="153">
        <v>0</v>
      </c>
      <c r="K59" s="153">
        <v>0</v>
      </c>
      <c r="L59" s="153">
        <v>0</v>
      </c>
    </row>
    <row r="60" spans="2:12">
      <c r="B60" s="148" t="s">
        <v>146</v>
      </c>
      <c r="C60" s="152"/>
      <c r="D60" s="159" t="s">
        <v>48</v>
      </c>
      <c r="E60" s="159" t="s">
        <v>48</v>
      </c>
      <c r="F60" s="159" t="s">
        <v>48</v>
      </c>
      <c r="G60" s="159" t="s">
        <v>48</v>
      </c>
      <c r="H60" s="159" t="s">
        <v>48</v>
      </c>
      <c r="I60" s="159" t="s">
        <v>48</v>
      </c>
      <c r="J60" s="159">
        <f>J63+J62+J61</f>
        <v>961706</v>
      </c>
      <c r="K60" s="159">
        <f>K63+K62+K61</f>
        <v>561962</v>
      </c>
      <c r="L60" s="159">
        <f>L64+L63+L62+L61</f>
        <v>1256827</v>
      </c>
    </row>
    <row r="61" spans="2:12">
      <c r="B61" s="149" t="s">
        <v>48</v>
      </c>
      <c r="C61" s="150" t="s">
        <v>147</v>
      </c>
      <c r="D61" s="155" t="s">
        <v>48</v>
      </c>
      <c r="E61" s="155" t="s">
        <v>48</v>
      </c>
      <c r="F61" s="155" t="s">
        <v>48</v>
      </c>
      <c r="G61" s="155" t="s">
        <v>48</v>
      </c>
      <c r="H61" s="155" t="s">
        <v>48</v>
      </c>
      <c r="I61" s="153" t="s">
        <v>48</v>
      </c>
      <c r="J61" s="153">
        <v>896436</v>
      </c>
      <c r="K61" s="153">
        <v>336395</v>
      </c>
      <c r="L61" s="153">
        <v>602336</v>
      </c>
    </row>
    <row r="62" spans="2:12">
      <c r="B62" s="149" t="s">
        <v>48</v>
      </c>
      <c r="C62" s="150" t="s">
        <v>148</v>
      </c>
      <c r="D62" s="155" t="s">
        <v>48</v>
      </c>
      <c r="E62" s="155" t="s">
        <v>48</v>
      </c>
      <c r="F62" s="155" t="s">
        <v>48</v>
      </c>
      <c r="G62" s="155" t="s">
        <v>48</v>
      </c>
      <c r="H62" s="155" t="s">
        <v>48</v>
      </c>
      <c r="I62" s="153" t="s">
        <v>48</v>
      </c>
      <c r="J62" s="153">
        <v>30581</v>
      </c>
      <c r="K62" s="153">
        <v>146196</v>
      </c>
      <c r="L62" s="153">
        <v>377036</v>
      </c>
    </row>
    <row r="63" spans="2:12" ht="30.75" customHeight="1">
      <c r="B63" s="149" t="s">
        <v>48</v>
      </c>
      <c r="C63" s="150" t="s">
        <v>149</v>
      </c>
      <c r="D63" s="153" t="s">
        <v>48</v>
      </c>
      <c r="E63" s="153" t="s">
        <v>48</v>
      </c>
      <c r="F63" s="153" t="s">
        <v>48</v>
      </c>
      <c r="G63" s="153" t="s">
        <v>48</v>
      </c>
      <c r="H63" s="153" t="s">
        <v>48</v>
      </c>
      <c r="I63" s="153" t="s">
        <v>48</v>
      </c>
      <c r="J63" s="153">
        <v>34689</v>
      </c>
      <c r="K63" s="153">
        <v>79371</v>
      </c>
      <c r="L63" s="153">
        <v>138763</v>
      </c>
    </row>
    <row r="64" spans="2:12" ht="14.45" customHeight="1">
      <c r="B64" s="149"/>
      <c r="C64" s="150" t="s">
        <v>150</v>
      </c>
      <c r="D64" s="222"/>
      <c r="E64" s="222"/>
      <c r="F64" s="222"/>
      <c r="G64" s="222"/>
      <c r="H64" s="222"/>
      <c r="I64" s="222"/>
      <c r="J64" s="222">
        <v>0</v>
      </c>
      <c r="K64" s="222">
        <v>0</v>
      </c>
      <c r="L64" s="222">
        <v>138692</v>
      </c>
    </row>
    <row r="65" spans="2:12">
      <c r="B65" s="240" t="s">
        <v>151</v>
      </c>
      <c r="C65" s="241"/>
      <c r="D65" s="159">
        <f t="shared" ref="D65:K65" si="5">D67+D66</f>
        <v>334774</v>
      </c>
      <c r="E65" s="159">
        <f t="shared" si="5"/>
        <v>351941</v>
      </c>
      <c r="F65" s="159">
        <f t="shared" si="5"/>
        <v>378200</v>
      </c>
      <c r="G65" s="159">
        <f t="shared" si="5"/>
        <v>371829</v>
      </c>
      <c r="H65" s="159">
        <f t="shared" si="5"/>
        <v>380527</v>
      </c>
      <c r="I65" s="159">
        <f t="shared" si="5"/>
        <v>400644</v>
      </c>
      <c r="J65" s="159">
        <f t="shared" si="5"/>
        <v>382911</v>
      </c>
      <c r="K65" s="159">
        <f t="shared" si="5"/>
        <v>397008</v>
      </c>
      <c r="L65" s="159">
        <f>L67+L66</f>
        <v>381081</v>
      </c>
    </row>
    <row r="66" spans="2:12">
      <c r="B66" s="149" t="s">
        <v>48</v>
      </c>
      <c r="C66" s="150" t="s">
        <v>9</v>
      </c>
      <c r="D66" s="153">
        <v>77035</v>
      </c>
      <c r="E66" s="153">
        <v>86154</v>
      </c>
      <c r="F66" s="155">
        <v>83406</v>
      </c>
      <c r="G66" s="153">
        <v>68402</v>
      </c>
      <c r="H66" s="153">
        <v>69147</v>
      </c>
      <c r="I66" s="153">
        <v>77698</v>
      </c>
      <c r="J66" s="153">
        <v>95792</v>
      </c>
      <c r="K66" s="153">
        <v>83845</v>
      </c>
      <c r="L66" s="153">
        <v>80815</v>
      </c>
    </row>
    <row r="67" spans="2:12" ht="14.45" customHeight="1">
      <c r="B67" s="149" t="s">
        <v>48</v>
      </c>
      <c r="C67" s="150" t="s">
        <v>11</v>
      </c>
      <c r="D67" s="153">
        <v>257739</v>
      </c>
      <c r="E67" s="153">
        <v>265787</v>
      </c>
      <c r="F67" s="153">
        <v>294794</v>
      </c>
      <c r="G67" s="153">
        <v>303427</v>
      </c>
      <c r="H67" s="153">
        <v>311380</v>
      </c>
      <c r="I67" s="153">
        <v>322946</v>
      </c>
      <c r="J67" s="153">
        <v>287119</v>
      </c>
      <c r="K67" s="153">
        <v>313163</v>
      </c>
      <c r="L67" s="153">
        <v>300266</v>
      </c>
    </row>
    <row r="68" spans="2:12">
      <c r="B68" s="240" t="s">
        <v>152</v>
      </c>
      <c r="C68" s="241"/>
      <c r="D68" s="158" t="s">
        <v>48</v>
      </c>
      <c r="E68" s="158" t="s">
        <v>48</v>
      </c>
      <c r="F68" s="158" t="s">
        <v>48</v>
      </c>
      <c r="G68" s="158">
        <f>G70+G69</f>
        <v>160800</v>
      </c>
      <c r="H68" s="158">
        <f t="shared" ref="H68:J68" si="6">H70+H69</f>
        <v>167529</v>
      </c>
      <c r="I68" s="158">
        <f t="shared" si="6"/>
        <v>230465</v>
      </c>
      <c r="J68" s="158">
        <f t="shared" si="6"/>
        <v>259400</v>
      </c>
      <c r="K68" s="158">
        <f>K70+K69</f>
        <v>231379</v>
      </c>
      <c r="L68" s="158">
        <f>L70+L69</f>
        <v>235448</v>
      </c>
    </row>
    <row r="69" spans="2:12">
      <c r="B69" s="149" t="s">
        <v>48</v>
      </c>
      <c r="C69" s="150" t="s">
        <v>9</v>
      </c>
      <c r="D69" s="153" t="s">
        <v>48</v>
      </c>
      <c r="E69" s="153" t="s">
        <v>48</v>
      </c>
      <c r="F69" s="153" t="s">
        <v>48</v>
      </c>
      <c r="G69" s="153">
        <v>0</v>
      </c>
      <c r="H69" s="153">
        <v>0</v>
      </c>
      <c r="I69" s="153">
        <v>57932</v>
      </c>
      <c r="J69" s="153">
        <v>93794</v>
      </c>
      <c r="K69" s="153">
        <v>83554</v>
      </c>
      <c r="L69" s="153">
        <v>80436</v>
      </c>
    </row>
    <row r="70" spans="2:12" ht="14.45" customHeight="1">
      <c r="B70" s="149" t="s">
        <v>48</v>
      </c>
      <c r="C70" s="150" t="s">
        <v>11</v>
      </c>
      <c r="D70" s="153" t="s">
        <v>48</v>
      </c>
      <c r="E70" s="153" t="s">
        <v>48</v>
      </c>
      <c r="F70" s="153" t="s">
        <v>48</v>
      </c>
      <c r="G70" s="153">
        <v>160800</v>
      </c>
      <c r="H70" s="153">
        <v>167529</v>
      </c>
      <c r="I70" s="153">
        <v>172533</v>
      </c>
      <c r="J70" s="153">
        <v>165606</v>
      </c>
      <c r="K70" s="153">
        <v>147825</v>
      </c>
      <c r="L70" s="153">
        <v>155012</v>
      </c>
    </row>
    <row r="71" spans="2:12">
      <c r="B71" s="240" t="s">
        <v>153</v>
      </c>
      <c r="C71" s="241"/>
      <c r="D71" s="158">
        <v>0</v>
      </c>
      <c r="E71" s="158">
        <v>0</v>
      </c>
      <c r="F71" s="158">
        <v>0</v>
      </c>
      <c r="G71" s="158">
        <v>0</v>
      </c>
      <c r="H71" s="158">
        <v>0</v>
      </c>
      <c r="I71" s="158">
        <f>I73+I72</f>
        <v>6799737</v>
      </c>
      <c r="J71" s="158">
        <f>J73+J72</f>
        <v>15623044</v>
      </c>
      <c r="K71" s="158">
        <f>K73+K72</f>
        <v>17788290</v>
      </c>
      <c r="L71" s="158">
        <f>L73+L72</f>
        <v>19543579</v>
      </c>
    </row>
    <row r="72" spans="2:12">
      <c r="B72" s="149" t="s">
        <v>48</v>
      </c>
      <c r="C72" s="150" t="s">
        <v>9</v>
      </c>
      <c r="D72" s="153">
        <v>0</v>
      </c>
      <c r="E72" s="153">
        <v>0</v>
      </c>
      <c r="F72" s="153">
        <v>0</v>
      </c>
      <c r="G72" s="153">
        <v>0</v>
      </c>
      <c r="H72" s="153">
        <v>0</v>
      </c>
      <c r="I72" s="153">
        <v>1655684</v>
      </c>
      <c r="J72" s="153">
        <v>11217417</v>
      </c>
      <c r="K72" s="153">
        <v>11845518</v>
      </c>
      <c r="L72" s="153">
        <v>12538072</v>
      </c>
    </row>
    <row r="73" spans="2:12">
      <c r="B73" s="149" t="s">
        <v>48</v>
      </c>
      <c r="C73" s="150" t="s">
        <v>11</v>
      </c>
      <c r="D73" s="153">
        <v>0</v>
      </c>
      <c r="E73" s="153">
        <v>0</v>
      </c>
      <c r="F73" s="153">
        <v>0</v>
      </c>
      <c r="G73" s="153">
        <v>0</v>
      </c>
      <c r="H73" s="153">
        <v>0</v>
      </c>
      <c r="I73" s="153">
        <v>5144053</v>
      </c>
      <c r="J73" s="153">
        <v>4405627</v>
      </c>
      <c r="K73" s="153">
        <v>5942772</v>
      </c>
      <c r="L73" s="153">
        <v>7005507</v>
      </c>
    </row>
    <row r="74" spans="2:12" ht="29.1">
      <c r="B74" s="148" t="s">
        <v>154</v>
      </c>
      <c r="C74" s="152"/>
      <c r="D74" s="158" t="s">
        <v>48</v>
      </c>
      <c r="E74" s="158" t="s">
        <v>48</v>
      </c>
      <c r="F74" s="158" t="s">
        <v>48</v>
      </c>
      <c r="G74" s="158" t="s">
        <v>48</v>
      </c>
      <c r="H74" s="158" t="s">
        <v>48</v>
      </c>
      <c r="I74" s="158" t="s">
        <v>48</v>
      </c>
      <c r="J74" s="158">
        <f>J76+J75</f>
        <v>866361</v>
      </c>
      <c r="K74" s="158">
        <f>K76+K75</f>
        <v>875653</v>
      </c>
      <c r="L74" s="158">
        <f>L76+L75</f>
        <v>682570</v>
      </c>
    </row>
    <row r="75" spans="2:12">
      <c r="B75" s="149" t="s">
        <v>48</v>
      </c>
      <c r="C75" s="150" t="s">
        <v>9</v>
      </c>
      <c r="D75" s="153" t="s">
        <v>48</v>
      </c>
      <c r="E75" s="153" t="s">
        <v>48</v>
      </c>
      <c r="F75" s="153" t="s">
        <v>48</v>
      </c>
      <c r="G75" s="153" t="s">
        <v>48</v>
      </c>
      <c r="H75" s="153" t="s">
        <v>48</v>
      </c>
      <c r="I75" s="153" t="s">
        <v>48</v>
      </c>
      <c r="J75" s="153">
        <v>367930</v>
      </c>
      <c r="K75" s="153">
        <v>343099</v>
      </c>
      <c r="L75" s="153">
        <v>420169</v>
      </c>
    </row>
    <row r="76" spans="2:12" ht="14.45" customHeight="1">
      <c r="B76" s="149" t="s">
        <v>48</v>
      </c>
      <c r="C76" s="150" t="s">
        <v>11</v>
      </c>
      <c r="D76" s="153" t="s">
        <v>48</v>
      </c>
      <c r="E76" s="153" t="s">
        <v>48</v>
      </c>
      <c r="F76" s="153" t="s">
        <v>48</v>
      </c>
      <c r="G76" s="153" t="s">
        <v>48</v>
      </c>
      <c r="H76" s="153" t="s">
        <v>48</v>
      </c>
      <c r="I76" s="153" t="s">
        <v>48</v>
      </c>
      <c r="J76" s="153">
        <v>498431</v>
      </c>
      <c r="K76" s="153">
        <v>532554</v>
      </c>
      <c r="L76" s="153">
        <v>262401</v>
      </c>
    </row>
    <row r="77" spans="2:12">
      <c r="B77" s="240" t="s">
        <v>155</v>
      </c>
      <c r="C77" s="241"/>
      <c r="D77" s="158">
        <v>0</v>
      </c>
      <c r="E77" s="158">
        <v>0</v>
      </c>
      <c r="F77" s="158">
        <v>0</v>
      </c>
      <c r="G77" s="158">
        <v>0</v>
      </c>
      <c r="H77" s="158">
        <v>0</v>
      </c>
      <c r="I77" s="158">
        <f>I79+I78</f>
        <v>3096730</v>
      </c>
      <c r="J77" s="158">
        <f>J79+J78</f>
        <v>6862223</v>
      </c>
      <c r="K77" s="158">
        <f>K79+K78</f>
        <v>10769434</v>
      </c>
      <c r="L77" s="158">
        <f>L79+L78</f>
        <v>13891008</v>
      </c>
    </row>
    <row r="78" spans="2:12">
      <c r="B78" s="149" t="s">
        <v>48</v>
      </c>
      <c r="C78" s="150" t="s">
        <v>9</v>
      </c>
      <c r="D78" s="153">
        <v>0</v>
      </c>
      <c r="E78" s="153">
        <v>0</v>
      </c>
      <c r="F78" s="153">
        <v>0</v>
      </c>
      <c r="G78" s="153">
        <v>0</v>
      </c>
      <c r="H78" s="153">
        <v>0</v>
      </c>
      <c r="I78" s="153">
        <v>1655684</v>
      </c>
      <c r="J78" s="153">
        <v>5164574</v>
      </c>
      <c r="K78" s="153">
        <v>9329232</v>
      </c>
      <c r="L78" s="153">
        <v>10868546</v>
      </c>
    </row>
    <row r="79" spans="2:12">
      <c r="B79" s="149" t="s">
        <v>48</v>
      </c>
      <c r="C79" s="150" t="s">
        <v>11</v>
      </c>
      <c r="D79" s="153">
        <v>0</v>
      </c>
      <c r="E79" s="153">
        <v>0</v>
      </c>
      <c r="F79" s="153">
        <v>0</v>
      </c>
      <c r="G79" s="153">
        <v>0</v>
      </c>
      <c r="H79" s="153">
        <v>0</v>
      </c>
      <c r="I79" s="153">
        <v>1441046</v>
      </c>
      <c r="J79" s="153">
        <v>1697649</v>
      </c>
      <c r="K79" s="153">
        <v>1440202</v>
      </c>
      <c r="L79" s="153">
        <v>3022462</v>
      </c>
    </row>
    <row r="80" spans="2:12">
      <c r="B80" s="149" t="s">
        <v>156</v>
      </c>
      <c r="C80" s="150"/>
      <c r="D80" s="7"/>
      <c r="E80" s="7"/>
      <c r="F80" s="7"/>
      <c r="G80" s="7"/>
      <c r="H80" s="7"/>
      <c r="I80" s="7"/>
      <c r="J80" s="7"/>
      <c r="K80" s="158">
        <f>K81</f>
        <v>17058</v>
      </c>
      <c r="L80" s="219">
        <f>L82+L81</f>
        <v>55826</v>
      </c>
    </row>
    <row r="81" spans="2:12">
      <c r="B81" s="149" t="s">
        <v>48</v>
      </c>
      <c r="C81" s="150" t="s">
        <v>9</v>
      </c>
      <c r="D81" s="153">
        <v>0</v>
      </c>
      <c r="E81" s="153">
        <v>0</v>
      </c>
      <c r="F81" s="153">
        <v>0</v>
      </c>
      <c r="G81" s="153">
        <v>0</v>
      </c>
      <c r="H81" s="153">
        <v>0</v>
      </c>
      <c r="I81" s="153">
        <v>0</v>
      </c>
      <c r="J81" s="153">
        <v>0</v>
      </c>
      <c r="K81" s="153">
        <v>17058</v>
      </c>
      <c r="L81" s="153">
        <v>55826</v>
      </c>
    </row>
    <row r="82" spans="2:12">
      <c r="B82" s="149" t="s">
        <v>48</v>
      </c>
      <c r="C82" s="150" t="s">
        <v>11</v>
      </c>
      <c r="D82" s="153">
        <v>0</v>
      </c>
      <c r="E82" s="153">
        <v>0</v>
      </c>
      <c r="F82" s="153">
        <v>0</v>
      </c>
      <c r="G82" s="153">
        <v>0</v>
      </c>
      <c r="H82" s="153">
        <v>0</v>
      </c>
      <c r="I82" s="153">
        <v>0</v>
      </c>
      <c r="J82" s="153">
        <v>0</v>
      </c>
      <c r="K82" s="153">
        <v>0</v>
      </c>
      <c r="L82" s="153">
        <v>0</v>
      </c>
    </row>
    <row r="83" spans="2:12">
      <c r="B83" s="149" t="s">
        <v>157</v>
      </c>
      <c r="C83" s="150"/>
      <c r="D83" s="7"/>
      <c r="E83" s="7"/>
      <c r="F83" s="7"/>
      <c r="G83" s="7"/>
      <c r="H83" s="7"/>
      <c r="I83" s="7"/>
      <c r="J83" s="7"/>
      <c r="K83" s="158">
        <f>K84</f>
        <v>89172</v>
      </c>
      <c r="L83" s="219">
        <f>L84</f>
        <v>321366</v>
      </c>
    </row>
    <row r="84" spans="2:12">
      <c r="B84" s="149" t="s">
        <v>48</v>
      </c>
      <c r="C84" s="150" t="s">
        <v>9</v>
      </c>
      <c r="D84" s="153">
        <v>0</v>
      </c>
      <c r="E84" s="153">
        <v>0</v>
      </c>
      <c r="F84" s="153">
        <v>0</v>
      </c>
      <c r="G84" s="153">
        <v>0</v>
      </c>
      <c r="H84" s="153">
        <v>0</v>
      </c>
      <c r="I84" s="153">
        <v>0</v>
      </c>
      <c r="J84" s="153">
        <v>0</v>
      </c>
      <c r="K84" s="153">
        <v>89172</v>
      </c>
      <c r="L84" s="153">
        <v>321366</v>
      </c>
    </row>
    <row r="85" spans="2:12">
      <c r="B85" s="149" t="s">
        <v>48</v>
      </c>
      <c r="C85" s="150" t="s">
        <v>11</v>
      </c>
      <c r="D85" s="153">
        <v>0</v>
      </c>
      <c r="E85" s="153">
        <v>0</v>
      </c>
      <c r="F85" s="153">
        <v>0</v>
      </c>
      <c r="G85" s="153">
        <v>0</v>
      </c>
      <c r="H85" s="153">
        <v>0</v>
      </c>
      <c r="I85" s="153">
        <v>0</v>
      </c>
      <c r="J85" s="153">
        <v>0</v>
      </c>
      <c r="K85" s="153">
        <v>0</v>
      </c>
      <c r="L85" s="153">
        <v>0</v>
      </c>
    </row>
    <row r="90" spans="2:12">
      <c r="B90" s="242" t="s">
        <v>158</v>
      </c>
      <c r="C90" s="243"/>
      <c r="D90" s="192">
        <v>2017</v>
      </c>
      <c r="E90" s="193">
        <v>2018</v>
      </c>
      <c r="F90" s="192">
        <v>2019</v>
      </c>
      <c r="G90" s="193">
        <v>2020</v>
      </c>
      <c r="H90" s="192">
        <v>2021</v>
      </c>
      <c r="I90" s="193">
        <v>2022</v>
      </c>
      <c r="J90" s="193">
        <v>2023</v>
      </c>
      <c r="K90" s="193">
        <v>2024</v>
      </c>
      <c r="L90" s="193">
        <v>2025</v>
      </c>
    </row>
    <row r="91" spans="2:12">
      <c r="B91" s="240" t="s">
        <v>159</v>
      </c>
      <c r="C91" s="241"/>
      <c r="D91" s="194">
        <f>D48/D45</f>
        <v>2.0017586370316497E-5</v>
      </c>
      <c r="E91" s="194">
        <f t="shared" ref="E91:J91" si="7">E48/E45</f>
        <v>1.3810570376641075E-3</v>
      </c>
      <c r="F91" s="194">
        <f t="shared" si="7"/>
        <v>3.1432914702753202E-2</v>
      </c>
      <c r="G91" s="194">
        <f t="shared" si="7"/>
        <v>8.3554420637124621E-2</v>
      </c>
      <c r="H91" s="194">
        <f t="shared" si="7"/>
        <v>9.5638561084865972E-2</v>
      </c>
      <c r="I91" s="194">
        <f t="shared" si="7"/>
        <v>0.15877370076263628</v>
      </c>
      <c r="J91" s="194">
        <f t="shared" si="7"/>
        <v>0.24866818565308435</v>
      </c>
      <c r="K91" s="194">
        <f>K48/K45</f>
        <v>0.32804226096494321</v>
      </c>
      <c r="L91" s="194">
        <f>L48/L45</f>
        <v>0.38663281127152171</v>
      </c>
    </row>
    <row r="92" spans="2:12">
      <c r="B92" s="149" t="s">
        <v>48</v>
      </c>
      <c r="C92" s="150" t="s">
        <v>9</v>
      </c>
      <c r="D92" s="195">
        <f>D49/D46</f>
        <v>5.7039277297123605E-5</v>
      </c>
      <c r="E92" s="195">
        <f t="shared" ref="E92:J92" si="8">E49/E46</f>
        <v>3.775472581852078E-3</v>
      </c>
      <c r="F92" s="195">
        <f t="shared" si="8"/>
        <v>4.0394123294562635E-2</v>
      </c>
      <c r="G92" s="195">
        <f t="shared" si="8"/>
        <v>0.10605055446822352</v>
      </c>
      <c r="H92" s="195">
        <f t="shared" si="8"/>
        <v>0.13830688712282357</v>
      </c>
      <c r="I92" s="195">
        <f t="shared" si="8"/>
        <v>0.32447190982834057</v>
      </c>
      <c r="J92" s="195">
        <f t="shared" si="8"/>
        <v>0.58649846834099528</v>
      </c>
      <c r="K92" s="195">
        <f>K49/K46</f>
        <v>0.83852557995525046</v>
      </c>
      <c r="L92" s="195">
        <f>L49/L46</f>
        <v>0.8274966496222067</v>
      </c>
    </row>
    <row r="93" spans="2:12">
      <c r="B93" s="149" t="s">
        <v>48</v>
      </c>
      <c r="C93" s="150" t="s">
        <v>11</v>
      </c>
      <c r="D93" s="195">
        <f>D50/D47</f>
        <v>0</v>
      </c>
      <c r="E93" s="195">
        <f t="shared" ref="E93:K93" si="9">E50/E47</f>
        <v>0</v>
      </c>
      <c r="F93" s="195">
        <f t="shared" si="9"/>
        <v>2.6170892264076717E-2</v>
      </c>
      <c r="G93" s="195">
        <f t="shared" si="9"/>
        <v>7.1608476133081564E-2</v>
      </c>
      <c r="H93" s="195">
        <f t="shared" si="9"/>
        <v>7.3381707174008964E-2</v>
      </c>
      <c r="I93" s="195">
        <f t="shared" si="9"/>
        <v>7.0897832705165351E-2</v>
      </c>
      <c r="J93" s="195">
        <f t="shared" si="9"/>
        <v>6.9373492237190859E-2</v>
      </c>
      <c r="K93" s="195">
        <f t="shared" si="9"/>
        <v>6.7530183271665351E-2</v>
      </c>
      <c r="L93" s="195">
        <f>L50/L47</f>
        <v>0.16303573217415726</v>
      </c>
    </row>
    <row r="94" spans="2:12">
      <c r="B94" s="240" t="s">
        <v>160</v>
      </c>
      <c r="C94" s="241"/>
      <c r="D94" s="194">
        <f>D51/D45</f>
        <v>0.10240380918630798</v>
      </c>
      <c r="E94" s="194">
        <f t="shared" ref="E94:K94" si="10">E51/E45</f>
        <v>0.10999532922334609</v>
      </c>
      <c r="F94" s="194">
        <f t="shared" si="10"/>
        <v>0.13802956515167275</v>
      </c>
      <c r="G94" s="194">
        <f t="shared" si="10"/>
        <v>0.12154189789342719</v>
      </c>
      <c r="H94" s="194">
        <f t="shared" si="10"/>
        <v>0.1111372184144479</v>
      </c>
      <c r="I94" s="194">
        <f t="shared" si="10"/>
        <v>9.8976019889886871E-2</v>
      </c>
      <c r="J94" s="194">
        <f t="shared" si="10"/>
        <v>7.0723470560761906E-2</v>
      </c>
      <c r="K94" s="194">
        <f t="shared" si="10"/>
        <v>5.1630980422416053E-2</v>
      </c>
      <c r="L94" s="194">
        <f>L51/L45</f>
        <v>2.4940774483935172E-2</v>
      </c>
    </row>
    <row r="95" spans="2:12">
      <c r="B95" s="149" t="s">
        <v>48</v>
      </c>
      <c r="C95" s="150" t="s">
        <v>9</v>
      </c>
      <c r="D95" s="195">
        <f>D52/D46</f>
        <v>0.15021784518643086</v>
      </c>
      <c r="E95" s="195">
        <f t="shared" ref="E95:K95" si="11">E52/E46</f>
        <v>0.16058177681996288</v>
      </c>
      <c r="F95" s="195">
        <f t="shared" si="11"/>
        <v>0.22091118207767529</v>
      </c>
      <c r="G95" s="195">
        <f t="shared" si="11"/>
        <v>0.20458020944407521</v>
      </c>
      <c r="H95" s="195">
        <f t="shared" si="11"/>
        <v>0.19793642319819271</v>
      </c>
      <c r="I95" s="195">
        <f t="shared" si="11"/>
        <v>0.15217630485114533</v>
      </c>
      <c r="J95" s="195">
        <f t="shared" si="11"/>
        <v>6.7806125755212637E-2</v>
      </c>
      <c r="K95" s="195">
        <f t="shared" si="11"/>
        <v>2.3445265237153529E-2</v>
      </c>
      <c r="L95" s="195">
        <f>L52/L46</f>
        <v>1.3369980548591712E-2</v>
      </c>
    </row>
    <row r="96" spans="2:12">
      <c r="B96" s="149" t="s">
        <v>48</v>
      </c>
      <c r="C96" s="150" t="s">
        <v>11</v>
      </c>
      <c r="D96" s="195">
        <f>D53/D47</f>
        <v>7.6550814053315888E-2</v>
      </c>
      <c r="E96" s="195">
        <f t="shared" ref="E96:K96" si="12">E53/E47</f>
        <v>8.0817950370575958E-2</v>
      </c>
      <c r="F96" s="195">
        <f t="shared" si="12"/>
        <v>8.9361472723042831E-2</v>
      </c>
      <c r="G96" s="195">
        <f t="shared" si="12"/>
        <v>7.7446718297626296E-2</v>
      </c>
      <c r="H96" s="195">
        <f t="shared" si="12"/>
        <v>6.586060693614014E-2</v>
      </c>
      <c r="I96" s="195">
        <f t="shared" si="12"/>
        <v>7.0761947763002167E-2</v>
      </c>
      <c r="J96" s="195">
        <f t="shared" si="12"/>
        <v>7.2271775935690688E-2</v>
      </c>
      <c r="K96" s="195">
        <f t="shared" si="12"/>
        <v>6.6014837741607185E-2</v>
      </c>
      <c r="L96" s="195">
        <f>L53/L47</f>
        <v>3.0809243389117436E-2</v>
      </c>
    </row>
    <row r="97" spans="2:16">
      <c r="B97" s="240" t="s">
        <v>161</v>
      </c>
      <c r="C97" s="241"/>
      <c r="D97" s="194">
        <f>(D51+D48)/D45</f>
        <v>0.10242382677267831</v>
      </c>
      <c r="E97" s="194">
        <f t="shared" ref="E97:K97" si="13">(E51+E48)/E45</f>
        <v>0.11137638626101021</v>
      </c>
      <c r="F97" s="194">
        <f t="shared" si="13"/>
        <v>0.16946247985442595</v>
      </c>
      <c r="G97" s="194">
        <f t="shared" si="13"/>
        <v>0.20509631853055182</v>
      </c>
      <c r="H97" s="194">
        <f t="shared" si="13"/>
        <v>0.20677577949931386</v>
      </c>
      <c r="I97" s="194">
        <f t="shared" si="13"/>
        <v>0.25774972065252316</v>
      </c>
      <c r="J97" s="194">
        <f t="shared" si="13"/>
        <v>0.31939165621384624</v>
      </c>
      <c r="K97" s="194">
        <f t="shared" si="13"/>
        <v>0.37967324138735925</v>
      </c>
      <c r="L97" s="194">
        <f>(L51+L48)/L45</f>
        <v>0.41157358575545688</v>
      </c>
    </row>
    <row r="98" spans="2:16">
      <c r="B98" s="149" t="s">
        <v>48</v>
      </c>
      <c r="C98" s="150" t="s">
        <v>9</v>
      </c>
      <c r="D98" s="195">
        <f>(D52+D49)/D46</f>
        <v>0.15027488446372797</v>
      </c>
      <c r="E98" s="195">
        <f t="shared" ref="E98:K98" si="14">(E52+E49)/E46</f>
        <v>0.16435724940181498</v>
      </c>
      <c r="F98" s="195">
        <f t="shared" si="14"/>
        <v>0.26130530537223795</v>
      </c>
      <c r="G98" s="195">
        <f t="shared" si="14"/>
        <v>0.31063076391229871</v>
      </c>
      <c r="H98" s="195">
        <f t="shared" si="14"/>
        <v>0.33624331032101629</v>
      </c>
      <c r="I98" s="195">
        <f t="shared" si="14"/>
        <v>0.47664821467948593</v>
      </c>
      <c r="J98" s="195">
        <f t="shared" si="14"/>
        <v>0.65430459409620789</v>
      </c>
      <c r="K98" s="195">
        <f t="shared" si="14"/>
        <v>0.86197084519240397</v>
      </c>
      <c r="L98" s="195">
        <f>(L52+L49)/L46</f>
        <v>0.84086663017079843</v>
      </c>
    </row>
    <row r="99" spans="2:16">
      <c r="B99" s="149" t="s">
        <v>48</v>
      </c>
      <c r="C99" s="150" t="s">
        <v>11</v>
      </c>
      <c r="D99" s="195">
        <f>(D53+D50)/D47</f>
        <v>7.6550814053315888E-2</v>
      </c>
      <c r="E99" s="195">
        <f t="shared" ref="E99:K99" si="15">(E53+E50)/E47</f>
        <v>8.0817950370575958E-2</v>
      </c>
      <c r="F99" s="195">
        <f t="shared" si="15"/>
        <v>0.11553236498711955</v>
      </c>
      <c r="G99" s="195">
        <f t="shared" si="15"/>
        <v>0.14905519443070786</v>
      </c>
      <c r="H99" s="195">
        <f t="shared" si="15"/>
        <v>0.13924231411014909</v>
      </c>
      <c r="I99" s="195">
        <f t="shared" si="15"/>
        <v>0.14165978046816752</v>
      </c>
      <c r="J99" s="195">
        <f t="shared" si="15"/>
        <v>0.14164526817288156</v>
      </c>
      <c r="K99" s="195">
        <f t="shared" si="15"/>
        <v>0.13354502101327254</v>
      </c>
      <c r="L99" s="195">
        <f>(L53+L50)/L47</f>
        <v>0.19384497556327471</v>
      </c>
    </row>
    <row r="100" spans="2:16">
      <c r="B100" s="240" t="s">
        <v>162</v>
      </c>
      <c r="C100" s="241"/>
      <c r="D100" s="194"/>
      <c r="E100" s="194"/>
      <c r="F100" s="194"/>
      <c r="G100" s="194">
        <f>G68/G65</f>
        <v>0.43245685516729465</v>
      </c>
      <c r="H100" s="194">
        <f t="shared" ref="H100:K100" si="16">H68/H65</f>
        <v>0.44025522499060515</v>
      </c>
      <c r="I100" s="194">
        <f t="shared" si="16"/>
        <v>0.57523636944519319</v>
      </c>
      <c r="J100" s="194">
        <f t="shared" si="16"/>
        <v>0.6774420165521492</v>
      </c>
      <c r="K100" s="194">
        <f t="shared" si="16"/>
        <v>0.5828068955789304</v>
      </c>
      <c r="L100" s="194">
        <f>L68/L65</f>
        <v>0.61784240095937604</v>
      </c>
    </row>
    <row r="101" spans="2:16">
      <c r="B101" s="149" t="s">
        <v>48</v>
      </c>
      <c r="C101" s="150" t="s">
        <v>9</v>
      </c>
      <c r="D101" s="195"/>
      <c r="E101" s="195"/>
      <c r="F101" s="195"/>
      <c r="G101" s="195">
        <f>G69/G66</f>
        <v>0</v>
      </c>
      <c r="H101" s="195">
        <f t="shared" ref="H101:K101" si="17">H69/H66</f>
        <v>0</v>
      </c>
      <c r="I101" s="195">
        <f t="shared" si="17"/>
        <v>0.74560477747174958</v>
      </c>
      <c r="J101" s="195">
        <f t="shared" si="17"/>
        <v>0.97914230833472526</v>
      </c>
      <c r="K101" s="195">
        <f t="shared" si="17"/>
        <v>0.99652931003637668</v>
      </c>
      <c r="L101" s="195">
        <f>L69/L66</f>
        <v>0.99531027655756976</v>
      </c>
    </row>
    <row r="102" spans="2:16">
      <c r="B102" s="149" t="s">
        <v>48</v>
      </c>
      <c r="C102" s="150" t="s">
        <v>11</v>
      </c>
      <c r="D102" s="195"/>
      <c r="E102" s="195"/>
      <c r="F102" s="195"/>
      <c r="G102" s="195">
        <f>G70/G67</f>
        <v>0.52994624736757112</v>
      </c>
      <c r="H102" s="195">
        <f t="shared" ref="H102:K102" si="18">H70/H67</f>
        <v>0.53802106750594125</v>
      </c>
      <c r="I102" s="195">
        <f t="shared" si="18"/>
        <v>0.5342472116081326</v>
      </c>
      <c r="J102" s="195">
        <f t="shared" si="18"/>
        <v>0.5767852353902041</v>
      </c>
      <c r="K102" s="195">
        <f t="shared" si="18"/>
        <v>0.47203852306945582</v>
      </c>
      <c r="L102" s="195">
        <f>L70/L67</f>
        <v>0.5162489259523223</v>
      </c>
    </row>
    <row r="106" spans="2:16">
      <c r="B106" s="242" t="s">
        <v>163</v>
      </c>
      <c r="C106" s="243"/>
      <c r="D106" s="192">
        <v>2017</v>
      </c>
      <c r="E106" s="193">
        <v>2018</v>
      </c>
      <c r="F106" s="192">
        <v>2019</v>
      </c>
      <c r="G106" s="193">
        <v>2020</v>
      </c>
      <c r="H106" s="192">
        <v>2021</v>
      </c>
      <c r="I106" s="193">
        <v>2022</v>
      </c>
      <c r="J106" s="193">
        <v>2023</v>
      </c>
      <c r="K106" s="193">
        <v>2024</v>
      </c>
      <c r="L106" s="193">
        <v>2025</v>
      </c>
    </row>
    <row r="107" spans="2:16">
      <c r="B107" s="240" t="s">
        <v>164</v>
      </c>
      <c r="C107" s="241"/>
      <c r="D107" s="198">
        <f>D109+D108</f>
        <v>418412.613488</v>
      </c>
      <c r="E107" s="198">
        <f t="shared" ref="E107:K107" si="19">E109+E108</f>
        <v>499773.07494399999</v>
      </c>
      <c r="F107" s="198">
        <f t="shared" si="19"/>
        <v>518784.16028800001</v>
      </c>
      <c r="G107" s="198">
        <f t="shared" si="19"/>
        <v>501723.96913600003</v>
      </c>
      <c r="H107" s="198">
        <f t="shared" si="19"/>
        <v>524800.0770719999</v>
      </c>
      <c r="I107" s="198">
        <f t="shared" si="19"/>
        <v>519758.87969600002</v>
      </c>
      <c r="J107" s="198">
        <f t="shared" si="19"/>
        <v>490020.66626735998</v>
      </c>
      <c r="K107" s="198">
        <f t="shared" si="19"/>
        <v>452057.02488800004</v>
      </c>
      <c r="L107" s="198">
        <f>L109+L108</f>
        <v>417763.85871200002</v>
      </c>
      <c r="M107" s="208"/>
      <c r="N107" s="208"/>
      <c r="O107" s="208"/>
      <c r="P107" s="208"/>
    </row>
    <row r="108" spans="2:16">
      <c r="B108" s="149" t="s">
        <v>48</v>
      </c>
      <c r="C108" s="150" t="s">
        <v>9</v>
      </c>
      <c r="D108" s="60">
        <f>D162+D156+D147+D138+D132+D126+D117</f>
        <v>237234.16753600002</v>
      </c>
      <c r="E108" s="60">
        <f t="shared" ref="E108:K108" si="20">E162+E156+E147+E138+E132+E126+E117</f>
        <v>281133.94713600003</v>
      </c>
      <c r="F108" s="60">
        <f t="shared" si="20"/>
        <v>299915.838192</v>
      </c>
      <c r="G108" s="60">
        <f t="shared" si="20"/>
        <v>289200.4976</v>
      </c>
      <c r="H108" s="60">
        <f t="shared" si="20"/>
        <v>301628.67609600001</v>
      </c>
      <c r="I108" s="60">
        <f t="shared" si="20"/>
        <v>286034.851456</v>
      </c>
      <c r="J108" s="60">
        <f t="shared" si="20"/>
        <v>252816.67826736</v>
      </c>
      <c r="K108" s="60">
        <f t="shared" si="20"/>
        <v>214472.58228800003</v>
      </c>
      <c r="L108" s="60">
        <f>L162+L156+L147+L138+L132+L126+L117</f>
        <v>193260.812592</v>
      </c>
    </row>
    <row r="109" spans="2:16">
      <c r="B109" s="149" t="s">
        <v>48</v>
      </c>
      <c r="C109" s="150" t="s">
        <v>11</v>
      </c>
      <c r="D109" s="60">
        <f>D148+D139+D118</f>
        <v>181178.44595199998</v>
      </c>
      <c r="E109" s="60">
        <f t="shared" ref="E109:K109" si="21">E148+E139+E118</f>
        <v>218639.12780799999</v>
      </c>
      <c r="F109" s="60">
        <f t="shared" si="21"/>
        <v>218868.32209599999</v>
      </c>
      <c r="G109" s="60">
        <f t="shared" si="21"/>
        <v>212523.471536</v>
      </c>
      <c r="H109" s="60">
        <f t="shared" si="21"/>
        <v>223171.40097599995</v>
      </c>
      <c r="I109" s="60">
        <f t="shared" si="21"/>
        <v>233724.02824000001</v>
      </c>
      <c r="J109" s="60">
        <f t="shared" si="21"/>
        <v>237203.98799999998</v>
      </c>
      <c r="K109" s="60">
        <f t="shared" si="21"/>
        <v>237584.44260000001</v>
      </c>
      <c r="L109" s="60">
        <f>L148+L139+L118</f>
        <v>224503.04612000001</v>
      </c>
    </row>
    <row r="110" spans="2:16">
      <c r="B110" s="240" t="s">
        <v>165</v>
      </c>
      <c r="C110" s="241"/>
      <c r="D110" s="198">
        <f>D112+D111</f>
        <v>260927.04804799997</v>
      </c>
      <c r="E110" s="198">
        <f t="shared" ref="E110:J110" si="22">E112+E111</f>
        <v>305657.23302399996</v>
      </c>
      <c r="F110" s="198">
        <f t="shared" si="22"/>
        <v>344571.37916799996</v>
      </c>
      <c r="G110" s="198">
        <f t="shared" si="22"/>
        <v>394087.057936</v>
      </c>
      <c r="H110" s="198">
        <f t="shared" si="22"/>
        <v>446213.02027199999</v>
      </c>
      <c r="I110" s="198">
        <f t="shared" si="22"/>
        <v>279954.32897599996</v>
      </c>
      <c r="J110" s="198">
        <f t="shared" si="22"/>
        <v>263267.49270576</v>
      </c>
      <c r="K110" s="198">
        <f>K112+K111</f>
        <v>239644.20888799999</v>
      </c>
      <c r="L110" s="198">
        <f>L112+L111</f>
        <v>223417.27551199999</v>
      </c>
    </row>
    <row r="111" spans="2:16">
      <c r="B111" s="149" t="s">
        <v>48</v>
      </c>
      <c r="C111" s="150" t="s">
        <v>9</v>
      </c>
      <c r="D111" s="60">
        <f>D164+D158+D150+D141+D134+D128+D120</f>
        <v>184024.66993599999</v>
      </c>
      <c r="E111" s="60">
        <f t="shared" ref="E111:K111" si="23">E164+E158+E150+E141+E134+E128+E120</f>
        <v>210228.20313599997</v>
      </c>
      <c r="F111" s="60">
        <f t="shared" si="23"/>
        <v>224498.84059199999</v>
      </c>
      <c r="G111" s="60">
        <f t="shared" si="23"/>
        <v>225602.59232</v>
      </c>
      <c r="H111" s="60">
        <f t="shared" si="23"/>
        <v>249289.80825599999</v>
      </c>
      <c r="I111" s="60">
        <f t="shared" si="23"/>
        <v>247359.34297599999</v>
      </c>
      <c r="J111" s="60">
        <f t="shared" si="23"/>
        <v>230359.65270576</v>
      </c>
      <c r="K111" s="60">
        <f t="shared" si="23"/>
        <v>210224.819888</v>
      </c>
      <c r="L111" s="60">
        <f>L164+L158+L150+L141+L134+L128+L120</f>
        <v>189900.805872</v>
      </c>
    </row>
    <row r="112" spans="2:16">
      <c r="B112" s="149" t="s">
        <v>48</v>
      </c>
      <c r="C112" s="150" t="s">
        <v>11</v>
      </c>
      <c r="D112" s="60">
        <f>D151+D142+D121</f>
        <v>76902.378111999991</v>
      </c>
      <c r="E112" s="60">
        <f t="shared" ref="E112:K112" si="24">E151+E142+E121</f>
        <v>95429.02988799999</v>
      </c>
      <c r="F112" s="60">
        <f t="shared" si="24"/>
        <v>120072.53857599998</v>
      </c>
      <c r="G112" s="60">
        <f t="shared" si="24"/>
        <v>168484.465616</v>
      </c>
      <c r="H112" s="60">
        <f t="shared" si="24"/>
        <v>196923.21201599998</v>
      </c>
      <c r="I112" s="60">
        <f t="shared" si="24"/>
        <v>32594.986000000001</v>
      </c>
      <c r="J112" s="60">
        <f t="shared" si="24"/>
        <v>32907.839999999997</v>
      </c>
      <c r="K112" s="60">
        <f t="shared" si="24"/>
        <v>29419.389000000003</v>
      </c>
      <c r="L112" s="60">
        <f>L151+L142+L121</f>
        <v>33516.469640000003</v>
      </c>
    </row>
    <row r="113" spans="2:12">
      <c r="B113" s="240" t="s">
        <v>166</v>
      </c>
      <c r="C113" s="241"/>
      <c r="D113" s="194">
        <f>D110/D107</f>
        <v>0.62361181196915161</v>
      </c>
      <c r="E113" s="194">
        <f t="shared" ref="E113:K115" si="25">E110/E107</f>
        <v>0.61159203716256449</v>
      </c>
      <c r="F113" s="194">
        <f t="shared" si="25"/>
        <v>0.66419024624173795</v>
      </c>
      <c r="G113" s="194">
        <f t="shared" si="25"/>
        <v>0.78546587800985967</v>
      </c>
      <c r="H113" s="194">
        <f t="shared" si="25"/>
        <v>0.85025334363809901</v>
      </c>
      <c r="I113" s="194">
        <f t="shared" si="25"/>
        <v>0.53862346544178619</v>
      </c>
      <c r="J113" s="194">
        <f t="shared" si="25"/>
        <v>0.53725793793790466</v>
      </c>
      <c r="K113" s="194">
        <f t="shared" si="25"/>
        <v>0.53011942231707021</v>
      </c>
      <c r="L113" s="194">
        <f>L110/L107</f>
        <v>0.53479321117153034</v>
      </c>
    </row>
    <row r="114" spans="2:12">
      <c r="B114" s="149" t="s">
        <v>48</v>
      </c>
      <c r="C114" s="150" t="s">
        <v>9</v>
      </c>
      <c r="D114" s="195">
        <f>D111/D108</f>
        <v>0.77570896236131104</v>
      </c>
      <c r="E114" s="195">
        <f t="shared" si="25"/>
        <v>0.74778661658494394</v>
      </c>
      <c r="F114" s="195">
        <f t="shared" si="25"/>
        <v>0.74853946342200317</v>
      </c>
      <c r="G114" s="195">
        <f t="shared" si="25"/>
        <v>0.78009060908337802</v>
      </c>
      <c r="H114" s="195">
        <f t="shared" si="25"/>
        <v>0.82647913813293394</v>
      </c>
      <c r="I114" s="195">
        <f t="shared" si="25"/>
        <v>0.86478742613660364</v>
      </c>
      <c r="J114" s="195">
        <f t="shared" si="25"/>
        <v>0.91117268957291209</v>
      </c>
      <c r="K114" s="195">
        <f t="shared" si="25"/>
        <v>0.98019438030407069</v>
      </c>
      <c r="L114" s="195">
        <f>L111/L108</f>
        <v>0.98261413333134717</v>
      </c>
    </row>
    <row r="115" spans="2:12">
      <c r="B115" s="149" t="s">
        <v>48</v>
      </c>
      <c r="C115" s="150" t="s">
        <v>11</v>
      </c>
      <c r="D115" s="195">
        <f>D112/D109</f>
        <v>0.42445655004886129</v>
      </c>
      <c r="E115" s="195">
        <f t="shared" si="25"/>
        <v>0.43646821520346485</v>
      </c>
      <c r="F115" s="195">
        <f t="shared" si="25"/>
        <v>0.54860629179280584</v>
      </c>
      <c r="G115" s="195">
        <f t="shared" si="25"/>
        <v>0.7927805074813109</v>
      </c>
      <c r="H115" s="195">
        <f t="shared" si="25"/>
        <v>0.88238551693806533</v>
      </c>
      <c r="I115" s="195">
        <f t="shared" si="25"/>
        <v>0.13945928557473675</v>
      </c>
      <c r="J115" s="195">
        <f t="shared" si="25"/>
        <v>0.13873223750352798</v>
      </c>
      <c r="K115" s="195">
        <f t="shared" si="25"/>
        <v>0.12382708513255153</v>
      </c>
      <c r="L115" s="195">
        <f>L112/L109</f>
        <v>0.14929182574246669</v>
      </c>
    </row>
    <row r="116" spans="2:12">
      <c r="B116" s="240" t="s">
        <v>167</v>
      </c>
      <c r="C116" s="241"/>
      <c r="D116" s="33">
        <f>D118+D117</f>
        <v>280564.09483199997</v>
      </c>
      <c r="E116" s="33">
        <f t="shared" ref="E116:K116" si="26">E118+E117</f>
        <v>355918.28926400002</v>
      </c>
      <c r="F116" s="33">
        <f t="shared" si="26"/>
        <v>372938.73129599995</v>
      </c>
      <c r="G116" s="33">
        <f t="shared" si="26"/>
        <v>351681.71804800001</v>
      </c>
      <c r="H116" s="33">
        <f t="shared" si="26"/>
        <v>368867.60875199991</v>
      </c>
      <c r="I116" s="33">
        <f t="shared" si="26"/>
        <v>350235.72444799996</v>
      </c>
      <c r="J116" s="33">
        <f t="shared" si="26"/>
        <v>327738.06794735999</v>
      </c>
      <c r="K116" s="33">
        <f t="shared" si="26"/>
        <v>289734.405248</v>
      </c>
      <c r="L116" s="33">
        <f>L118+L117</f>
        <v>273560.86371200002</v>
      </c>
    </row>
    <row r="117" spans="2:12">
      <c r="B117" s="149" t="s">
        <v>48</v>
      </c>
      <c r="C117" s="150" t="s">
        <v>9</v>
      </c>
      <c r="D117" s="24">
        <f>(((D12+D11+D10+D8)*'Utslippsfaktorer kjøring'!$E$26)/1000)+'Kjøring og seiling'!D120</f>
        <v>113647.93160000001</v>
      </c>
      <c r="E117" s="24">
        <f>(((E12+E11+E10+E8)*'Utslippsfaktorer kjøring'!$E$26)/1000)+'Kjøring og seiling'!E120</f>
        <v>152655.43537600001</v>
      </c>
      <c r="F117" s="24">
        <f>(((F12+F11+F10+F8)*'Utslippsfaktorer kjøring'!$E$26)/1000)+'Kjøring og seiling'!F120</f>
        <v>173307.87991999998</v>
      </c>
      <c r="G117" s="24">
        <f>(((G12+G11+G10+G8)*'Utslippsfaktorer kjøring'!$E$26)/1000)+'Kjøring og seiling'!G120</f>
        <v>161270.25691199998</v>
      </c>
      <c r="H117" s="24">
        <f>(((H12+H11+H10+H8)*'Utslippsfaktorer kjøring'!$E$26)/1000)+'Kjøring og seiling'!H120</f>
        <v>163230.19577599998</v>
      </c>
      <c r="I117" s="24">
        <f>(((I12+I11+I10+I8)*'Utslippsfaktorer kjøring'!$E$26)/1000)+'Kjøring og seiling'!I120</f>
        <v>140016.59428799999</v>
      </c>
      <c r="J117" s="24">
        <f>(((J12+J11+J10+J8)*'Utslippsfaktorer kjøring'!$E$26)/1000)+'Kjøring og seiling'!J120</f>
        <v>109748.24594736</v>
      </c>
      <c r="K117" s="24">
        <f>(((K12+K11+K10+K8)*'Utslippsfaktorer kjøring'!$E$26)/1000)+'Kjøring og seiling'!K120</f>
        <v>76584.055088000008</v>
      </c>
      <c r="L117" s="24">
        <f>(((L12+L11+L10+L8)*'Utslippsfaktorer kjøring'!$E$26)/1000)+'Kjøring og seiling'!L120</f>
        <v>72414.916832000003</v>
      </c>
    </row>
    <row r="118" spans="2:12">
      <c r="B118" s="149" t="s">
        <v>48</v>
      </c>
      <c r="C118" s="150" t="s">
        <v>11</v>
      </c>
      <c r="D118" s="24">
        <f>((D9*'Utslippsfaktorer kjøring'!$E$26)/1000)+'Kjøring og seiling'!D121</f>
        <v>166916.16323199999</v>
      </c>
      <c r="E118" s="24">
        <f>((E9*'Utslippsfaktorer kjøring'!$E$26)/1000)+'Kjøring og seiling'!E121</f>
        <v>203262.85388799998</v>
      </c>
      <c r="F118" s="24">
        <f>((F9*'Utslippsfaktorer kjøring'!$E$26)/1000)+'Kjøring og seiling'!F121</f>
        <v>199630.85137599998</v>
      </c>
      <c r="G118" s="24">
        <f>((G9*'Utslippsfaktorer kjøring'!$E$26)/1000)+'Kjøring og seiling'!G121</f>
        <v>190411.461136</v>
      </c>
      <c r="H118" s="24">
        <f>((H9*'Utslippsfaktorer kjøring'!$E$26)/1000)+'Kjøring og seiling'!H121</f>
        <v>205637.41297599996</v>
      </c>
      <c r="I118" s="24">
        <f>((I9*'Utslippsfaktorer kjøring'!$E$26)/1000)+'Kjøring og seiling'!I121</f>
        <v>210219.13016</v>
      </c>
      <c r="J118" s="24">
        <f>((J9*'Utslippsfaktorer kjøring'!$E$26)/1000)+'Kjøring og seiling'!J121</f>
        <v>217989.82199999999</v>
      </c>
      <c r="K118" s="24">
        <f>((K9*'Utslippsfaktorer kjøring'!$E$26)/1000)+'Kjøring og seiling'!K121</f>
        <v>213150.35016</v>
      </c>
      <c r="L118" s="24">
        <f>((L9*'Utslippsfaktorer kjøring'!$E$26)/1000)+'Kjøring og seiling'!L121</f>
        <v>201145.94688</v>
      </c>
    </row>
    <row r="119" spans="2:12">
      <c r="B119" s="240" t="s">
        <v>168</v>
      </c>
      <c r="C119" s="241"/>
      <c r="D119" s="198">
        <f>D121+D120</f>
        <v>137340.81211199999</v>
      </c>
      <c r="E119" s="198">
        <f t="shared" ref="E119:K119" si="27">E121+E120</f>
        <v>177178.72126399999</v>
      </c>
      <c r="F119" s="198">
        <f t="shared" si="27"/>
        <v>216168.22089599998</v>
      </c>
      <c r="G119" s="198">
        <f t="shared" si="27"/>
        <v>260671.81724800001</v>
      </c>
      <c r="H119" s="198">
        <f t="shared" si="27"/>
        <v>302716.88299199997</v>
      </c>
      <c r="I119" s="198">
        <f t="shared" si="27"/>
        <v>127994.07180800001</v>
      </c>
      <c r="J119" s="198">
        <f t="shared" si="27"/>
        <v>116355.04974576</v>
      </c>
      <c r="K119" s="198">
        <f t="shared" si="27"/>
        <v>98113.232287999999</v>
      </c>
      <c r="L119" s="198">
        <f>L121+L120</f>
        <v>94820.842112000013</v>
      </c>
    </row>
    <row r="120" spans="2:12">
      <c r="B120" s="149" t="s">
        <v>48</v>
      </c>
      <c r="C120" s="150" t="s">
        <v>9</v>
      </c>
      <c r="D120" s="60">
        <f>'Klimaregnskap og lokale utslipp'!R34+'Klimaregnskap og lokale utslipp'!R31+(('Kjøring og seiling'!D32*'Utslippsfaktorer kjøring'!$D$28)/1000)+((('Kjøring og seiling'!D26+'Kjøring og seiling'!D24+'Kjøring og seiling'!D21)*'Utslippsfaktorer kjøring'!$E$27)/1000)</f>
        <v>60438.434000000001</v>
      </c>
      <c r="E120" s="60">
        <f>'Klimaregnskap og lokale utslipp'!S34+'Klimaregnskap og lokale utslipp'!S31+(('Kjøring og seiling'!E32*'Utslippsfaktorer kjøring'!$D$28)/1000)+((('Kjøring og seiling'!E26+'Kjøring og seiling'!E24+'Kjøring og seiling'!E21)*'Utslippsfaktorer kjøring'!$E$27)/1000)</f>
        <v>81749.691375999988</v>
      </c>
      <c r="F120" s="60">
        <f>'Klimaregnskap og lokale utslipp'!T34+'Klimaregnskap og lokale utslipp'!T31+(('Kjøring og seiling'!F32*'Utslippsfaktorer kjøring'!$D$28)/1000)+((('Kjøring og seiling'!F26+'Kjøring og seiling'!F24+'Kjøring og seiling'!F21)*'Utslippsfaktorer kjøring'!$E$27)/1000)</f>
        <v>97890.88231999999</v>
      </c>
      <c r="G120" s="60">
        <f>'Klimaregnskap og lokale utslipp'!U34+'Klimaregnskap og lokale utslipp'!U31+(('Kjøring og seiling'!G32*'Utslippsfaktorer kjøring'!$D$28)/1000)+((('Kjøring og seiling'!G26+'Kjøring og seiling'!G24+'Kjøring og seiling'!G21)*'Utslippsfaktorer kjøring'!$E$27)/1000)</f>
        <v>97672.351631999991</v>
      </c>
      <c r="H120" s="60">
        <f>'Klimaregnskap og lokale utslipp'!V34+'Klimaregnskap og lokale utslipp'!V31+(('Kjøring og seiling'!H32*'Utslippsfaktorer kjøring'!$D$28)/1000)+((('Kjøring og seiling'!H26+'Kjøring og seiling'!H24+'Kjøring og seiling'!H21)*'Utslippsfaktorer kjøring'!$E$27)/1000)</f>
        <v>111201.67097599999</v>
      </c>
      <c r="I120" s="60">
        <f>'Klimaregnskap og lokale utslipp'!W34+'Klimaregnskap og lokale utslipp'!W31+(('Kjøring og seiling'!I32*'Utslippsfaktorer kjøring'!$D$28)/1000)+((('Kjøring og seiling'!I26+'Kjøring og seiling'!I24+'Kjøring og seiling'!I21)*'Utslippsfaktorer kjøring'!$E$27)/1000)</f>
        <v>101341.085808</v>
      </c>
      <c r="J120" s="60">
        <f>'Klimaregnskap og lokale utslipp'!X34+'Klimaregnskap og lokale utslipp'!X31+(('Kjøring og seiling'!J32*'Utslippsfaktorer kjøring'!$D$28)/1000)+((('Kjøring og seiling'!J26+'Kjøring og seiling'!J24+'Kjøring og seiling'!J21)*'Utslippsfaktorer kjøring'!$E$27)/1000)</f>
        <v>90146.80374576</v>
      </c>
      <c r="K120" s="60">
        <f>'Klimaregnskap og lokale utslipp'!Y34+'Klimaregnskap og lokale utslipp'!Y31+(('Kjøring og seiling'!K32*'Utslippsfaktorer kjøring'!$D$28)/1000)+((('Kjøring og seiling'!K26+'Kjøring og seiling'!K24+'Kjøring og seiling'!K21)*'Utslippsfaktorer kjøring'!$E$27)/1000)</f>
        <v>75048.014288000006</v>
      </c>
      <c r="L120" s="60">
        <f>'Klimaregnskap og lokale utslipp'!Z34+'Klimaregnskap og lokale utslipp'!Z31+(('Kjøring og seiling'!L32*'Utslippsfaktorer kjøring'!$D$28)/1000)+((('Kjøring og seiling'!L26+'Kjøring og seiling'!L24+'Kjøring og seiling'!L21)*'Utslippsfaktorer kjøring'!$E$27)/1000)</f>
        <v>70056.862112000003</v>
      </c>
    </row>
    <row r="121" spans="2:12">
      <c r="B121" s="149" t="s">
        <v>48</v>
      </c>
      <c r="C121" s="150" t="s">
        <v>11</v>
      </c>
      <c r="D121" s="60">
        <f>'Klimaregnskap og lokale utslipp'!R32+(('Kjøring og seiling'!D33*'Utslippsfaktorer kjøring'!$D$28)/1000)+(((D25+D22)*'Utslippsfaktorer kjøring'!$E$27)/1000)</f>
        <v>76902.378111999991</v>
      </c>
      <c r="E121" s="60">
        <f>'Klimaregnskap og lokale utslipp'!S32+(('Kjøring og seiling'!E33*'Utslippsfaktorer kjøring'!$D$28)/1000)+(((E25+E22)*'Utslippsfaktorer kjøring'!$E$27)/1000)</f>
        <v>95429.02988799999</v>
      </c>
      <c r="F121" s="60">
        <f>'Klimaregnskap og lokale utslipp'!T32+(('Kjøring og seiling'!F33*'Utslippsfaktorer kjøring'!$D$28)/1000)+(((F25+F22)*'Utslippsfaktorer kjøring'!$E$27)/1000)</f>
        <v>118277.33857599998</v>
      </c>
      <c r="G121" s="60">
        <f>'Klimaregnskap og lokale utslipp'!U32+(('Kjøring og seiling'!G33*'Utslippsfaktorer kjøring'!$D$28)/1000)+(((G25+G22)*'Utslippsfaktorer kjøring'!$E$27)/1000)</f>
        <v>162999.465616</v>
      </c>
      <c r="H121" s="60">
        <f>'Klimaregnskap og lokale utslipp'!V32+(('Kjøring og seiling'!H33*'Utslippsfaktorer kjøring'!$D$28)/1000)+(((H25+H22)*'Utslippsfaktorer kjøring'!$E$27)/1000)</f>
        <v>191515.21201599998</v>
      </c>
      <c r="I121" s="60">
        <f>'Klimaregnskap og lokale utslipp'!W32+(('Kjøring og seiling'!I33*'Utslippsfaktorer kjøring'!$D$28)/1000)+(((I25+I22)*'Utslippsfaktorer kjøring'!$E$27)/1000)</f>
        <v>26652.986000000001</v>
      </c>
      <c r="J121" s="60">
        <f>'Klimaregnskap og lokale utslipp'!X32+(('Kjøring og seiling'!J33*'Utslippsfaktorer kjøring'!$D$28)/1000)+(((J25+J22)*'Utslippsfaktorer kjøring'!$E$27)/1000)</f>
        <v>26208.245999999999</v>
      </c>
      <c r="K121" s="60">
        <f>'Klimaregnskap og lokale utslipp'!Y32+(('Kjøring og seiling'!K33*'Utslippsfaktorer kjøring'!$D$28)/1000)+(((K25+K22)*'Utslippsfaktorer kjøring'!$E$27)/1000)</f>
        <v>23065.218000000001</v>
      </c>
      <c r="L121" s="60">
        <f>'Klimaregnskap og lokale utslipp'!Z32+(('Kjøring og seiling'!L33*'Utslippsfaktorer kjøring'!$D$28)/1000)+(((L25+L22)*'Utslippsfaktorer kjøring'!$E$27)/1000)</f>
        <v>24763.980000000003</v>
      </c>
    </row>
    <row r="122" spans="2:12">
      <c r="B122" s="240" t="s">
        <v>169</v>
      </c>
      <c r="C122" s="241"/>
      <c r="D122" s="194">
        <f>D119/D116</f>
        <v>0.48951670809566278</v>
      </c>
      <c r="E122" s="194">
        <f t="shared" ref="E122:K124" si="28">E119/E116</f>
        <v>0.49780729624877146</v>
      </c>
      <c r="F122" s="194">
        <f t="shared" si="28"/>
        <v>0.57963467657219048</v>
      </c>
      <c r="G122" s="194">
        <f t="shared" si="28"/>
        <v>0.74121514958142254</v>
      </c>
      <c r="H122" s="194">
        <f t="shared" si="28"/>
        <v>0.82066539812533412</v>
      </c>
      <c r="I122" s="194">
        <f t="shared" si="28"/>
        <v>0.36545121720443879</v>
      </c>
      <c r="J122" s="194">
        <f t="shared" si="28"/>
        <v>0.3550245184347901</v>
      </c>
      <c r="K122" s="194">
        <f t="shared" si="28"/>
        <v>0.33863162438033328</v>
      </c>
      <c r="L122" s="194">
        <f>L119/L116</f>
        <v>0.34661698616299769</v>
      </c>
    </row>
    <row r="123" spans="2:12">
      <c r="B123" s="149" t="s">
        <v>48</v>
      </c>
      <c r="C123" s="150" t="s">
        <v>9</v>
      </c>
      <c r="D123" s="195">
        <f>D120/D117</f>
        <v>0.53180408256545864</v>
      </c>
      <c r="E123" s="195">
        <f t="shared" si="28"/>
        <v>0.53551772444030776</v>
      </c>
      <c r="F123" s="195">
        <f t="shared" si="28"/>
        <v>0.5648380348613522</v>
      </c>
      <c r="G123" s="195">
        <f t="shared" si="28"/>
        <v>0.6056439265505521</v>
      </c>
      <c r="H123" s="195">
        <f t="shared" si="28"/>
        <v>0.68125673958390343</v>
      </c>
      <c r="I123" s="195">
        <f t="shared" si="28"/>
        <v>0.72377910863587802</v>
      </c>
      <c r="J123" s="195">
        <f t="shared" si="28"/>
        <v>0.821396305404264</v>
      </c>
      <c r="K123" s="195">
        <f t="shared" si="28"/>
        <v>0.97994307302956218</v>
      </c>
      <c r="L123" s="195">
        <f>L120/L117</f>
        <v>0.96743689251938791</v>
      </c>
    </row>
    <row r="124" spans="2:12">
      <c r="B124" s="149"/>
      <c r="C124" s="150" t="s">
        <v>11</v>
      </c>
      <c r="D124" s="195">
        <f>D121/D118</f>
        <v>0.46072457348011225</v>
      </c>
      <c r="E124" s="195">
        <f t="shared" si="28"/>
        <v>0.46948583109328185</v>
      </c>
      <c r="F124" s="195">
        <f t="shared" si="28"/>
        <v>0.59248025924223213</v>
      </c>
      <c r="G124" s="195">
        <f t="shared" si="28"/>
        <v>0.85603810108667155</v>
      </c>
      <c r="H124" s="195">
        <f t="shared" si="28"/>
        <v>0.93132474895680484</v>
      </c>
      <c r="I124" s="195">
        <f t="shared" si="28"/>
        <v>0.12678668197187445</v>
      </c>
      <c r="J124" s="195">
        <f t="shared" si="28"/>
        <v>0.12022692509010811</v>
      </c>
      <c r="K124" s="195">
        <f t="shared" si="28"/>
        <v>0.10821102561026166</v>
      </c>
      <c r="L124" s="195">
        <f>L121/L118</f>
        <v>0.12311448669047127</v>
      </c>
    </row>
    <row r="125" spans="2:12">
      <c r="B125" s="240" t="s">
        <v>170</v>
      </c>
      <c r="C125" s="241"/>
      <c r="D125" s="199">
        <f>D126</f>
        <v>20140</v>
      </c>
      <c r="E125" s="199">
        <f t="shared" ref="E125:K125" si="29">E126</f>
        <v>22423</v>
      </c>
      <c r="F125" s="199">
        <f t="shared" si="29"/>
        <v>24319</v>
      </c>
      <c r="G125" s="199">
        <f t="shared" si="29"/>
        <v>22800</v>
      </c>
      <c r="H125" s="199">
        <f t="shared" si="29"/>
        <v>21788</v>
      </c>
      <c r="I125" s="199">
        <f t="shared" si="29"/>
        <v>35487</v>
      </c>
      <c r="J125" s="199">
        <f t="shared" si="29"/>
        <v>31596</v>
      </c>
      <c r="K125" s="199">
        <f t="shared" si="29"/>
        <v>28502</v>
      </c>
      <c r="L125" s="199">
        <f>L126</f>
        <v>24955</v>
      </c>
    </row>
    <row r="126" spans="2:12">
      <c r="B126" s="149" t="s">
        <v>48</v>
      </c>
      <c r="C126" s="150" t="s">
        <v>9</v>
      </c>
      <c r="D126" s="200">
        <f>'Klimaregnskap og lokale utslipp'!R40</f>
        <v>20140</v>
      </c>
      <c r="E126" s="200">
        <f>'Klimaregnskap og lokale utslipp'!S40</f>
        <v>22423</v>
      </c>
      <c r="F126" s="200">
        <f>'Klimaregnskap og lokale utslipp'!T40</f>
        <v>24319</v>
      </c>
      <c r="G126" s="200">
        <f>'Klimaregnskap og lokale utslipp'!U40</f>
        <v>22800</v>
      </c>
      <c r="H126" s="200">
        <f>'Klimaregnskap og lokale utslipp'!V40</f>
        <v>21788</v>
      </c>
      <c r="I126" s="200">
        <f>'Klimaregnskap og lokale utslipp'!W40</f>
        <v>35487</v>
      </c>
      <c r="J126" s="200">
        <f>'Klimaregnskap og lokale utslipp'!X40</f>
        <v>31596</v>
      </c>
      <c r="K126" s="200">
        <f>'Klimaregnskap og lokale utslipp'!Y40</f>
        <v>28502</v>
      </c>
      <c r="L126" s="200">
        <f>'Klimaregnskap og lokale utslipp'!Z40</f>
        <v>24955</v>
      </c>
    </row>
    <row r="127" spans="2:12">
      <c r="B127" s="240" t="s">
        <v>171</v>
      </c>
      <c r="C127" s="241"/>
      <c r="D127" s="199">
        <f>D128</f>
        <v>20140</v>
      </c>
      <c r="E127" s="199">
        <f t="shared" ref="E127:K127" si="30">E128</f>
        <v>22423</v>
      </c>
      <c r="F127" s="199">
        <f t="shared" si="30"/>
        <v>24319</v>
      </c>
      <c r="G127" s="199">
        <f t="shared" si="30"/>
        <v>22800</v>
      </c>
      <c r="H127" s="199">
        <f t="shared" si="30"/>
        <v>21788</v>
      </c>
      <c r="I127" s="199">
        <f t="shared" si="30"/>
        <v>35487</v>
      </c>
      <c r="J127" s="199">
        <f t="shared" si="30"/>
        <v>31596</v>
      </c>
      <c r="K127" s="199">
        <f t="shared" si="30"/>
        <v>28502</v>
      </c>
      <c r="L127" s="199">
        <f>L128</f>
        <v>24955</v>
      </c>
    </row>
    <row r="128" spans="2:12">
      <c r="B128" s="149" t="s">
        <v>48</v>
      </c>
      <c r="C128" s="150" t="s">
        <v>9</v>
      </c>
      <c r="D128" s="200">
        <f>'Klimaregnskap og lokale utslipp'!R40</f>
        <v>20140</v>
      </c>
      <c r="E128" s="200">
        <f>'Klimaregnskap og lokale utslipp'!S40</f>
        <v>22423</v>
      </c>
      <c r="F128" s="200">
        <f>'Klimaregnskap og lokale utslipp'!T40</f>
        <v>24319</v>
      </c>
      <c r="G128" s="200">
        <f>'Klimaregnskap og lokale utslipp'!U40</f>
        <v>22800</v>
      </c>
      <c r="H128" s="200">
        <f>'Klimaregnskap og lokale utslipp'!V40</f>
        <v>21788</v>
      </c>
      <c r="I128" s="200">
        <f>'Klimaregnskap og lokale utslipp'!W40</f>
        <v>35487</v>
      </c>
      <c r="J128" s="200">
        <f>'Klimaregnskap og lokale utslipp'!X40</f>
        <v>31596</v>
      </c>
      <c r="K128" s="200">
        <f>'Klimaregnskap og lokale utslipp'!Y40</f>
        <v>28502</v>
      </c>
      <c r="L128" s="200">
        <f>'Klimaregnskap og lokale utslipp'!Z40</f>
        <v>24955</v>
      </c>
    </row>
    <row r="129" spans="2:12">
      <c r="B129" s="240" t="s">
        <v>172</v>
      </c>
      <c r="C129" s="241"/>
      <c r="D129" s="201">
        <f>D130</f>
        <v>1</v>
      </c>
      <c r="E129" s="201">
        <f t="shared" ref="E129:K129" si="31">E130</f>
        <v>1</v>
      </c>
      <c r="F129" s="201">
        <f t="shared" si="31"/>
        <v>1</v>
      </c>
      <c r="G129" s="201">
        <f t="shared" si="31"/>
        <v>1</v>
      </c>
      <c r="H129" s="201">
        <f t="shared" si="31"/>
        <v>1</v>
      </c>
      <c r="I129" s="201">
        <f t="shared" si="31"/>
        <v>1</v>
      </c>
      <c r="J129" s="201">
        <f t="shared" si="31"/>
        <v>1</v>
      </c>
      <c r="K129" s="201">
        <f t="shared" si="31"/>
        <v>1</v>
      </c>
      <c r="L129" s="201">
        <f>L130</f>
        <v>1</v>
      </c>
    </row>
    <row r="130" spans="2:12">
      <c r="B130" s="149" t="s">
        <v>48</v>
      </c>
      <c r="C130" s="150" t="s">
        <v>9</v>
      </c>
      <c r="D130" s="195">
        <f>D128/D126</f>
        <v>1</v>
      </c>
      <c r="E130" s="195">
        <f t="shared" ref="E130:K130" si="32">E128/E126</f>
        <v>1</v>
      </c>
      <c r="F130" s="195">
        <f t="shared" si="32"/>
        <v>1</v>
      </c>
      <c r="G130" s="195">
        <f t="shared" si="32"/>
        <v>1</v>
      </c>
      <c r="H130" s="195">
        <f t="shared" si="32"/>
        <v>1</v>
      </c>
      <c r="I130" s="195">
        <f t="shared" si="32"/>
        <v>1</v>
      </c>
      <c r="J130" s="195">
        <f t="shared" si="32"/>
        <v>1</v>
      </c>
      <c r="K130" s="195">
        <f t="shared" si="32"/>
        <v>1</v>
      </c>
      <c r="L130" s="195">
        <f>L128/L126</f>
        <v>1</v>
      </c>
    </row>
    <row r="131" spans="2:12">
      <c r="B131" s="240" t="s">
        <v>173</v>
      </c>
      <c r="C131" s="241"/>
      <c r="D131" s="199">
        <f>D132</f>
        <v>101188</v>
      </c>
      <c r="E131" s="199">
        <f t="shared" ref="E131:K131" si="33">E132</f>
        <v>103642</v>
      </c>
      <c r="F131" s="199">
        <f t="shared" si="33"/>
        <v>100161</v>
      </c>
      <c r="G131" s="199">
        <f t="shared" si="33"/>
        <v>103400</v>
      </c>
      <c r="H131" s="199">
        <f t="shared" si="33"/>
        <v>114848</v>
      </c>
      <c r="I131" s="199">
        <f t="shared" si="33"/>
        <v>107398</v>
      </c>
      <c r="J131" s="199">
        <f t="shared" si="33"/>
        <v>104013</v>
      </c>
      <c r="K131" s="199">
        <f t="shared" si="33"/>
        <v>100390</v>
      </c>
      <c r="L131" s="199">
        <f>L132</f>
        <v>89629</v>
      </c>
    </row>
    <row r="132" spans="2:12">
      <c r="B132" s="149" t="s">
        <v>48</v>
      </c>
      <c r="C132" s="150" t="s">
        <v>9</v>
      </c>
      <c r="D132" s="200">
        <f>'Klimaregnskap og lokale utslipp'!R42</f>
        <v>101188</v>
      </c>
      <c r="E132" s="200">
        <f>'Klimaregnskap og lokale utslipp'!S42</f>
        <v>103642</v>
      </c>
      <c r="F132" s="200">
        <f>'Klimaregnskap og lokale utslipp'!T42</f>
        <v>100161</v>
      </c>
      <c r="G132" s="200">
        <f>'Klimaregnskap og lokale utslipp'!U42</f>
        <v>103400</v>
      </c>
      <c r="H132" s="200">
        <f>'Klimaregnskap og lokale utslipp'!V42</f>
        <v>114848</v>
      </c>
      <c r="I132" s="200">
        <f>'Klimaregnskap og lokale utslipp'!W42</f>
        <v>107398</v>
      </c>
      <c r="J132" s="200">
        <f>'Klimaregnskap og lokale utslipp'!X42</f>
        <v>104013</v>
      </c>
      <c r="K132" s="200">
        <f>'Klimaregnskap og lokale utslipp'!Y42</f>
        <v>100390</v>
      </c>
      <c r="L132" s="200">
        <f>'Klimaregnskap og lokale utslipp'!Z42</f>
        <v>89629</v>
      </c>
    </row>
    <row r="133" spans="2:12">
      <c r="B133" s="240" t="s">
        <v>174</v>
      </c>
      <c r="C133" s="241"/>
      <c r="D133" s="199">
        <f>D134</f>
        <v>101188</v>
      </c>
      <c r="E133" s="199">
        <f t="shared" ref="E133:K133" si="34">E134</f>
        <v>103642</v>
      </c>
      <c r="F133" s="199">
        <f t="shared" si="34"/>
        <v>100161</v>
      </c>
      <c r="G133" s="199">
        <f t="shared" si="34"/>
        <v>103400</v>
      </c>
      <c r="H133" s="199">
        <f t="shared" si="34"/>
        <v>114848</v>
      </c>
      <c r="I133" s="199">
        <f t="shared" si="34"/>
        <v>107398</v>
      </c>
      <c r="J133" s="199">
        <f t="shared" si="34"/>
        <v>104013</v>
      </c>
      <c r="K133" s="199">
        <f t="shared" si="34"/>
        <v>100390</v>
      </c>
      <c r="L133" s="199">
        <f>L134</f>
        <v>89629</v>
      </c>
    </row>
    <row r="134" spans="2:12">
      <c r="B134" s="149" t="s">
        <v>48</v>
      </c>
      <c r="C134" s="150" t="s">
        <v>9</v>
      </c>
      <c r="D134" s="200">
        <f>'Klimaregnskap og lokale utslipp'!R42</f>
        <v>101188</v>
      </c>
      <c r="E134" s="200">
        <f>'Klimaregnskap og lokale utslipp'!S42</f>
        <v>103642</v>
      </c>
      <c r="F134" s="200">
        <f>'Klimaregnskap og lokale utslipp'!T42</f>
        <v>100161</v>
      </c>
      <c r="G134" s="200">
        <f>'Klimaregnskap og lokale utslipp'!U42</f>
        <v>103400</v>
      </c>
      <c r="H134" s="200">
        <f>'Klimaregnskap og lokale utslipp'!V42</f>
        <v>114848</v>
      </c>
      <c r="I134" s="200">
        <f>'Klimaregnskap og lokale utslipp'!W42</f>
        <v>107398</v>
      </c>
      <c r="J134" s="200">
        <f>'Klimaregnskap og lokale utslipp'!X42</f>
        <v>104013</v>
      </c>
      <c r="K134" s="200">
        <f>'Klimaregnskap og lokale utslipp'!Y42</f>
        <v>100390</v>
      </c>
      <c r="L134" s="200">
        <f>'Klimaregnskap og lokale utslipp'!Z42</f>
        <v>89629</v>
      </c>
    </row>
    <row r="135" spans="2:12">
      <c r="B135" s="240" t="s">
        <v>175</v>
      </c>
      <c r="C135" s="241"/>
      <c r="D135" s="201">
        <f>D136</f>
        <v>1</v>
      </c>
      <c r="E135" s="201">
        <f t="shared" ref="E135:K135" si="35">E136</f>
        <v>1</v>
      </c>
      <c r="F135" s="201">
        <f t="shared" si="35"/>
        <v>1</v>
      </c>
      <c r="G135" s="201">
        <f t="shared" si="35"/>
        <v>1</v>
      </c>
      <c r="H135" s="201">
        <f t="shared" si="35"/>
        <v>1</v>
      </c>
      <c r="I135" s="201">
        <f t="shared" si="35"/>
        <v>1</v>
      </c>
      <c r="J135" s="201">
        <f t="shared" si="35"/>
        <v>1</v>
      </c>
      <c r="K135" s="201">
        <f t="shared" si="35"/>
        <v>1</v>
      </c>
      <c r="L135" s="201">
        <f>L136</f>
        <v>1</v>
      </c>
    </row>
    <row r="136" spans="2:12">
      <c r="B136" s="149" t="s">
        <v>48</v>
      </c>
      <c r="C136" s="150" t="s">
        <v>9</v>
      </c>
      <c r="D136" s="195">
        <f>D134/D132</f>
        <v>1</v>
      </c>
      <c r="E136" s="195">
        <f t="shared" ref="E136:K136" si="36">E134/E132</f>
        <v>1</v>
      </c>
      <c r="F136" s="195">
        <f t="shared" si="36"/>
        <v>1</v>
      </c>
      <c r="G136" s="195">
        <f t="shared" si="36"/>
        <v>1</v>
      </c>
      <c r="H136" s="195">
        <f t="shared" si="36"/>
        <v>1</v>
      </c>
      <c r="I136" s="195">
        <f t="shared" si="36"/>
        <v>1</v>
      </c>
      <c r="J136" s="195">
        <f t="shared" si="36"/>
        <v>1</v>
      </c>
      <c r="K136" s="195">
        <f t="shared" si="36"/>
        <v>1</v>
      </c>
      <c r="L136" s="195">
        <f>L134/L132</f>
        <v>1</v>
      </c>
    </row>
    <row r="137" spans="2:12">
      <c r="B137" s="240" t="s">
        <v>176</v>
      </c>
      <c r="C137" s="241"/>
      <c r="D137" s="198">
        <f>D139+D138</f>
        <v>16520.518656</v>
      </c>
      <c r="E137" s="198">
        <f t="shared" ref="E137:K137" si="37">E139+E138</f>
        <v>17789.785680000001</v>
      </c>
      <c r="F137" s="198">
        <f t="shared" si="37"/>
        <v>21365.428992000001</v>
      </c>
      <c r="G137" s="198">
        <f t="shared" si="37"/>
        <v>23842.251087999997</v>
      </c>
      <c r="H137" s="198">
        <f t="shared" si="37"/>
        <v>19296.468319999996</v>
      </c>
      <c r="I137" s="198">
        <f t="shared" si="37"/>
        <v>19567.946767999998</v>
      </c>
      <c r="J137" s="198">
        <f t="shared" si="37"/>
        <v>16972.325680000002</v>
      </c>
      <c r="K137" s="198">
        <f t="shared" si="37"/>
        <v>17669.539119999998</v>
      </c>
      <c r="L137" s="198">
        <f>L139+L138</f>
        <v>18983.28556</v>
      </c>
    </row>
    <row r="138" spans="2:12">
      <c r="B138" s="149" t="s">
        <v>48</v>
      </c>
      <c r="C138" s="150" t="s">
        <v>9</v>
      </c>
      <c r="D138" s="24">
        <f>((D15*'Utslippsfaktorer kjøring'!$E$26)/1000)+'Kjøring og seiling'!D141</f>
        <v>2258.2359359999996</v>
      </c>
      <c r="E138" s="24">
        <f>((E15*'Utslippsfaktorer kjøring'!$E$26)/1000)+'Kjøring og seiling'!E141</f>
        <v>2413.5117599999999</v>
      </c>
      <c r="F138" s="24">
        <f>((F15*'Utslippsfaktorer kjøring'!$E$26)/1000)+'Kjøring og seiling'!F141</f>
        <v>2127.9582719999999</v>
      </c>
      <c r="G138" s="24">
        <f>((G15*'Utslippsfaktorer kjøring'!$E$26)/1000)+'Kjøring og seiling'!G141</f>
        <v>1730.2406879999999</v>
      </c>
      <c r="H138" s="24">
        <f>((H15*'Utslippsfaktorer kjøring'!$E$26)/1000)+'Kjøring og seiling'!H141</f>
        <v>1762.4803199999997</v>
      </c>
      <c r="I138" s="24">
        <f>((I15*'Utslippsfaktorer kjøring'!$E$26)/1000)+'Kjøring og seiling'!I141</f>
        <v>2546.2571680000001</v>
      </c>
      <c r="J138" s="24">
        <f>((J15*'Utslippsfaktorer kjøring'!$E$26)/1000)+'Kjøring og seiling'!J141</f>
        <v>1683.66696</v>
      </c>
      <c r="K138" s="24">
        <f>((K15*'Utslippsfaktorer kjøring'!$E$26)/1000)+'Kjøring og seiling'!K141</f>
        <v>1737.8255999999999</v>
      </c>
      <c r="L138" s="24">
        <f>((L15*'Utslippsfaktorer kjøring'!$E$26)/1000)+'Kjøring og seiling'!L141</f>
        <v>1621.6727600000002</v>
      </c>
    </row>
    <row r="139" spans="2:12">
      <c r="B139" s="149" t="s">
        <v>48</v>
      </c>
      <c r="C139" s="150" t="s">
        <v>11</v>
      </c>
      <c r="D139" s="24">
        <f>((D16*'Utslippsfaktorer kjøring'!$E$26)/1000)+'Kjøring og seiling'!D142</f>
        <v>14262.282720000001</v>
      </c>
      <c r="E139" s="24">
        <f>((E16*'Utslippsfaktorer kjøring'!$E$26)/1000)+'Kjøring og seiling'!E142</f>
        <v>15376.27392</v>
      </c>
      <c r="F139" s="24">
        <f>((F16*'Utslippsfaktorer kjøring'!$E$26)/1000)+'Kjøring og seiling'!F142</f>
        <v>19237.470720000001</v>
      </c>
      <c r="G139" s="24">
        <f>((G16*'Utslippsfaktorer kjøring'!$E$26)/1000)+'Kjøring og seiling'!G142</f>
        <v>22112.010399999999</v>
      </c>
      <c r="H139" s="24">
        <f>((H16*'Utslippsfaktorer kjøring'!$E$26)/1000)+'Kjøring og seiling'!H142</f>
        <v>17533.987999999998</v>
      </c>
      <c r="I139" s="24">
        <f>((I16*'Utslippsfaktorer kjøring'!$E$26)/1000)+'Kjøring og seiling'!I142</f>
        <v>17021.689599999998</v>
      </c>
      <c r="J139" s="24">
        <f>((J16*'Utslippsfaktorer kjøring'!$E$26)/1000)+'Kjøring og seiling'!J142</f>
        <v>15288.658720000001</v>
      </c>
      <c r="K139" s="24">
        <f>((K16*'Utslippsfaktorer kjøring'!$E$26)/1000)+'Kjøring og seiling'!K142</f>
        <v>15931.713519999999</v>
      </c>
      <c r="L139" s="24">
        <f>((L16*'Utslippsfaktorer kjøring'!$E$26)/1000)+'Kjøring og seiling'!L142</f>
        <v>17361.612799999999</v>
      </c>
    </row>
    <row r="140" spans="2:12">
      <c r="B140" s="240" t="s">
        <v>177</v>
      </c>
      <c r="C140" s="241"/>
      <c r="D140" s="198">
        <f>D142+D141</f>
        <v>2258.2359359999996</v>
      </c>
      <c r="E140" s="198">
        <f t="shared" ref="E140:K140" si="38">E142+E141</f>
        <v>2413.5117599999999</v>
      </c>
      <c r="F140" s="198">
        <f t="shared" si="38"/>
        <v>3923.1582719999997</v>
      </c>
      <c r="G140" s="198">
        <f t="shared" si="38"/>
        <v>7215.2406879999999</v>
      </c>
      <c r="H140" s="198">
        <f t="shared" si="38"/>
        <v>6860.1372799999999</v>
      </c>
      <c r="I140" s="198">
        <f t="shared" si="38"/>
        <v>7977.2571680000001</v>
      </c>
      <c r="J140" s="198">
        <f t="shared" si="38"/>
        <v>7513.6669600000005</v>
      </c>
      <c r="K140" s="198">
        <f t="shared" si="38"/>
        <v>7217.6476000000002</v>
      </c>
      <c r="L140" s="198">
        <f>L142+L141</f>
        <v>9398.6973999999991</v>
      </c>
    </row>
    <row r="141" spans="2:12">
      <c r="B141" s="149" t="s">
        <v>48</v>
      </c>
      <c r="C141" s="150" t="s">
        <v>9</v>
      </c>
      <c r="D141" s="60">
        <f>'Klimaregnskap og lokale utslipp'!R37+(('Kjøring og seiling'!D29*'Utslippsfaktorer kjøring'!$E$27)/1000)</f>
        <v>2258.2359359999996</v>
      </c>
      <c r="E141" s="60">
        <f>'Klimaregnskap og lokale utslipp'!S37+(('Kjøring og seiling'!E29*'Utslippsfaktorer kjøring'!$E$27)/1000)</f>
        <v>2413.5117599999999</v>
      </c>
      <c r="F141" s="60">
        <f>'Klimaregnskap og lokale utslipp'!T37+(('Kjøring og seiling'!F29*'Utslippsfaktorer kjøring'!$E$27)/1000)</f>
        <v>2127.9582719999999</v>
      </c>
      <c r="G141" s="60">
        <f>'Klimaregnskap og lokale utslipp'!U37+(('Kjøring og seiling'!G29*'Utslippsfaktorer kjøring'!$E$27)/1000)</f>
        <v>1730.2406879999999</v>
      </c>
      <c r="H141" s="60">
        <f>'Klimaregnskap og lokale utslipp'!V37+(('Kjøring og seiling'!H29*'Utslippsfaktorer kjøring'!$E$27)/1000)</f>
        <v>1452.1372799999997</v>
      </c>
      <c r="I141" s="60">
        <f>'Klimaregnskap og lokale utslipp'!W37+(('Kjøring og seiling'!I29*'Utslippsfaktorer kjøring'!$E$27)/1000)</f>
        <v>2546.2571680000001</v>
      </c>
      <c r="J141" s="60">
        <f>'Klimaregnskap og lokale utslipp'!X37+(('Kjøring og seiling'!J29*'Utslippsfaktorer kjøring'!$E$27)/1000)</f>
        <v>1683.66696</v>
      </c>
      <c r="K141" s="60">
        <f>'Klimaregnskap og lokale utslipp'!Y37+(('Kjøring og seiling'!K29*'Utslippsfaktorer kjøring'!$E$27)/1000)</f>
        <v>1737.8255999999999</v>
      </c>
      <c r="L141" s="60">
        <f>'Klimaregnskap og lokale utslipp'!Z37+(('Kjøring og seiling'!L29*'Utslippsfaktorer kjøring'!$E$27)/1000)</f>
        <v>1621.6727600000002</v>
      </c>
    </row>
    <row r="142" spans="2:12">
      <c r="B142" s="149" t="s">
        <v>48</v>
      </c>
      <c r="C142" s="150" t="s">
        <v>11</v>
      </c>
      <c r="D142" s="60">
        <f>'Klimaregnskap og lokale utslipp'!R38+(('Kjøring og seiling'!D30*'Utslippsfaktorer kjøring'!$E$27)/1000)</f>
        <v>0</v>
      </c>
      <c r="E142" s="60">
        <f>'Klimaregnskap og lokale utslipp'!S38+(('Kjøring og seiling'!E30*'Utslippsfaktorer kjøring'!$E$27)/1000)</f>
        <v>0</v>
      </c>
      <c r="F142" s="60">
        <f>'Klimaregnskap og lokale utslipp'!T38+(('Kjøring og seiling'!F30*'Utslippsfaktorer kjøring'!$E$27)/1000)</f>
        <v>1795.1999999999998</v>
      </c>
      <c r="G142" s="60">
        <f>'Klimaregnskap og lokale utslipp'!U38+(('Kjøring og seiling'!G30*'Utslippsfaktorer kjøring'!$E$27)/1000)</f>
        <v>5485</v>
      </c>
      <c r="H142" s="60">
        <f>'Klimaregnskap og lokale utslipp'!V38+(('Kjøring og seiling'!H30*'Utslippsfaktorer kjøring'!$E$27)/1000)</f>
        <v>5408</v>
      </c>
      <c r="I142" s="60">
        <f>'Klimaregnskap og lokale utslipp'!W38+(('Kjøring og seiling'!I30*'Utslippsfaktorer kjøring'!$E$27)/1000)</f>
        <v>5431</v>
      </c>
      <c r="J142" s="60">
        <f>'Klimaregnskap og lokale utslipp'!X38+(('Kjøring og seiling'!J30*'Utslippsfaktorer kjøring'!$E$27)/1000)</f>
        <v>5830</v>
      </c>
      <c r="K142" s="60">
        <f>'Klimaregnskap og lokale utslipp'!Y38+(('Kjøring og seiling'!K30*'Utslippsfaktorer kjøring'!$E$27)/1000)</f>
        <v>5479.8220000000001</v>
      </c>
      <c r="L142" s="60">
        <f>'Klimaregnskap og lokale utslipp'!Z38+(('Kjøring og seiling'!L30*'Utslippsfaktorer kjøring'!$E$27)/1000)</f>
        <v>7777.0246399999996</v>
      </c>
    </row>
    <row r="143" spans="2:12">
      <c r="B143" s="240" t="s">
        <v>178</v>
      </c>
      <c r="C143" s="241"/>
      <c r="D143" s="194">
        <f>D140/D137</f>
        <v>0.13669279899876768</v>
      </c>
      <c r="E143" s="194">
        <f t="shared" ref="E143:K145" si="39">E140/E137</f>
        <v>0.13566840002537905</v>
      </c>
      <c r="F143" s="194">
        <f t="shared" si="39"/>
        <v>0.18362178795796583</v>
      </c>
      <c r="G143" s="194">
        <f t="shared" si="39"/>
        <v>0.30262413818934614</v>
      </c>
      <c r="H143" s="194">
        <f t="shared" si="39"/>
        <v>0.35551258221120957</v>
      </c>
      <c r="I143" s="194">
        <f t="shared" si="39"/>
        <v>0.40766960696384497</v>
      </c>
      <c r="J143" s="194">
        <f t="shared" si="39"/>
        <v>0.44270108302564692</v>
      </c>
      <c r="K143" s="194">
        <f t="shared" si="39"/>
        <v>0.4084796751620085</v>
      </c>
      <c r="L143" s="194">
        <f>L140/L137</f>
        <v>0.49510383069852526</v>
      </c>
    </row>
    <row r="144" spans="2:12">
      <c r="B144" s="149" t="s">
        <v>48</v>
      </c>
      <c r="C144" s="150" t="s">
        <v>9</v>
      </c>
      <c r="D144" s="195">
        <f>D141/D138</f>
        <v>1</v>
      </c>
      <c r="E144" s="195">
        <f t="shared" si="39"/>
        <v>1</v>
      </c>
      <c r="F144" s="195">
        <f t="shared" si="39"/>
        <v>1</v>
      </c>
      <c r="G144" s="195">
        <f t="shared" si="39"/>
        <v>1</v>
      </c>
      <c r="H144" s="195">
        <f t="shared" si="39"/>
        <v>0.82391687641652644</v>
      </c>
      <c r="I144" s="195">
        <f t="shared" si="39"/>
        <v>1</v>
      </c>
      <c r="J144" s="195">
        <f t="shared" si="39"/>
        <v>1</v>
      </c>
      <c r="K144" s="195">
        <f t="shared" si="39"/>
        <v>1</v>
      </c>
      <c r="L144" s="195">
        <f>L141/L138</f>
        <v>1</v>
      </c>
    </row>
    <row r="145" spans="2:12">
      <c r="B145" s="149"/>
      <c r="C145" s="150" t="s">
        <v>11</v>
      </c>
      <c r="D145" s="195">
        <f>D142/D139</f>
        <v>0</v>
      </c>
      <c r="E145" s="195">
        <f t="shared" si="39"/>
        <v>0</v>
      </c>
      <c r="F145" s="195">
        <f t="shared" si="39"/>
        <v>9.3317880823784283E-2</v>
      </c>
      <c r="G145" s="195">
        <f t="shared" si="39"/>
        <v>0.24805523789008349</v>
      </c>
      <c r="H145" s="195">
        <f t="shared" si="39"/>
        <v>0.30842954837199621</v>
      </c>
      <c r="I145" s="195">
        <f t="shared" si="39"/>
        <v>0.31906350824303603</v>
      </c>
      <c r="J145" s="195">
        <f t="shared" si="39"/>
        <v>0.3813284151848737</v>
      </c>
      <c r="K145" s="195">
        <f t="shared" si="39"/>
        <v>0.34395685016058464</v>
      </c>
      <c r="L145" s="195">
        <f>L142/L139</f>
        <v>0.44794367491020187</v>
      </c>
    </row>
    <row r="146" spans="2:12">
      <c r="B146" s="240" t="s">
        <v>179</v>
      </c>
      <c r="C146" s="241"/>
      <c r="D146" s="33">
        <f>D148+D147</f>
        <v>0</v>
      </c>
      <c r="E146" s="33">
        <f t="shared" ref="E146:K146" si="40">E148+E147</f>
        <v>0</v>
      </c>
      <c r="F146" s="33">
        <f t="shared" si="40"/>
        <v>0</v>
      </c>
      <c r="G146" s="33">
        <f t="shared" si="40"/>
        <v>0</v>
      </c>
      <c r="H146" s="33">
        <f t="shared" si="40"/>
        <v>0</v>
      </c>
      <c r="I146" s="33">
        <f t="shared" si="40"/>
        <v>7070.2084800000002</v>
      </c>
      <c r="J146" s="33">
        <f t="shared" si="40"/>
        <v>9701.2726399999992</v>
      </c>
      <c r="K146" s="33">
        <f t="shared" si="40"/>
        <v>15713.08052</v>
      </c>
      <c r="L146" s="33">
        <f>L148+L147</f>
        <v>10476.541440000001</v>
      </c>
    </row>
    <row r="147" spans="2:12">
      <c r="B147" s="149" t="s">
        <v>48</v>
      </c>
      <c r="C147" s="150" t="s">
        <v>9</v>
      </c>
      <c r="D147" s="24">
        <f>((D18*'Utslippsfaktorer kjøring'!$E$26)/1000)+'Kjøring og seiling'!D150</f>
        <v>0</v>
      </c>
      <c r="E147" s="24">
        <f>((E18*'Utslippsfaktorer kjøring'!$E$26)/1000)+'Kjøring og seiling'!E150</f>
        <v>0</v>
      </c>
      <c r="F147" s="24">
        <f>((F18*'Utslippsfaktorer kjøring'!$E$26)/1000)+'Kjøring og seiling'!F150</f>
        <v>0</v>
      </c>
      <c r="G147" s="24">
        <f>((G18*'Utslippsfaktorer kjøring'!$E$26)/1000)+'Kjøring og seiling'!G150</f>
        <v>0</v>
      </c>
      <c r="H147" s="24">
        <f>((H18*'Utslippsfaktorer kjøring'!$E$26)/1000)+'Kjøring og seiling'!H150</f>
        <v>0</v>
      </c>
      <c r="I147" s="24">
        <f>((I18*'Utslippsfaktorer kjøring'!$E$26)/1000)+'Kjøring og seiling'!I150</f>
        <v>587</v>
      </c>
      <c r="J147" s="24">
        <f>((J18*'Utslippsfaktorer kjøring'!$E$26)/1000)+'Kjøring og seiling'!J150</f>
        <v>5775.7653599999994</v>
      </c>
      <c r="K147" s="24">
        <f>((K18*'Utslippsfaktorer kjøring'!$E$26)/1000)+'Kjøring og seiling'!K150</f>
        <v>7210.7016000000003</v>
      </c>
      <c r="L147" s="24">
        <f>((L18*'Utslippsfaktorer kjøring'!$E$26)/1000)+'Kjøring og seiling'!L150</f>
        <v>4481.0550000000003</v>
      </c>
    </row>
    <row r="148" spans="2:12">
      <c r="B148" s="149" t="s">
        <v>48</v>
      </c>
      <c r="C148" s="150" t="s">
        <v>11</v>
      </c>
      <c r="D148" s="24">
        <f>((D19*'Utslippsfaktorer kjøring'!$E$26)/1000)+'Kjøring og seiling'!D151</f>
        <v>0</v>
      </c>
      <c r="E148" s="24">
        <f>((E19*'Utslippsfaktorer kjøring'!$E$26)/1000)+'Kjøring og seiling'!E151</f>
        <v>0</v>
      </c>
      <c r="F148" s="24">
        <f>((F19*'Utslippsfaktorer kjøring'!$E$26)/1000)+'Kjøring og seiling'!F151</f>
        <v>0</v>
      </c>
      <c r="G148" s="24">
        <f>((G19*'Utslippsfaktorer kjøring'!$E$26)/1000)+'Kjøring og seiling'!G151</f>
        <v>0</v>
      </c>
      <c r="H148" s="24">
        <f>((H19*'Utslippsfaktorer kjøring'!$E$26)/1000)+'Kjøring og seiling'!H151</f>
        <v>0</v>
      </c>
      <c r="I148" s="24">
        <f>((I19*'Utslippsfaktorer kjøring'!$E$26)/1000)+'Kjøring og seiling'!I151</f>
        <v>6483.2084800000002</v>
      </c>
      <c r="J148" s="24">
        <f>((J19*'Utslippsfaktorer kjøring'!$E$26)/1000)+'Kjøring og seiling'!J151</f>
        <v>3925.5072799999998</v>
      </c>
      <c r="K148" s="24">
        <f>((K19*'Utslippsfaktorer kjøring'!$E$26)/1000)+'Kjøring og seiling'!K151</f>
        <v>8502.3789199999992</v>
      </c>
      <c r="L148" s="24">
        <f>((L19*'Utslippsfaktorer kjøring'!$E$26)/1000)+'Kjøring og seiling'!L151</f>
        <v>5995.4864400000006</v>
      </c>
    </row>
    <row r="149" spans="2:12">
      <c r="B149" s="240" t="s">
        <v>180</v>
      </c>
      <c r="C149" s="241"/>
      <c r="D149" s="33">
        <f>D151+D150</f>
        <v>0</v>
      </c>
      <c r="E149" s="33">
        <f t="shared" ref="E149:K149" si="41">E151+E150</f>
        <v>0</v>
      </c>
      <c r="F149" s="33">
        <f t="shared" si="41"/>
        <v>0</v>
      </c>
      <c r="G149" s="33">
        <f t="shared" si="41"/>
        <v>0</v>
      </c>
      <c r="H149" s="33">
        <f t="shared" si="41"/>
        <v>0</v>
      </c>
      <c r="I149" s="33">
        <f t="shared" si="41"/>
        <v>1098</v>
      </c>
      <c r="J149" s="33">
        <f t="shared" si="41"/>
        <v>3789.7759999999998</v>
      </c>
      <c r="K149" s="33">
        <f t="shared" si="41"/>
        <v>5373.3289999999997</v>
      </c>
      <c r="L149" s="33">
        <f>L151+L150</f>
        <v>4454.5680000000002</v>
      </c>
    </row>
    <row r="150" spans="2:12">
      <c r="B150" s="149" t="s">
        <v>48</v>
      </c>
      <c r="C150" s="150" t="s">
        <v>9</v>
      </c>
      <c r="D150" s="24">
        <f>'Klimaregnskap og lokale utslipp'!R46+(('Kjøring og seiling'!D36*'Utslippsfaktorer kjøring'!$D$28)/1000)</f>
        <v>0</v>
      </c>
      <c r="E150" s="24">
        <f>'Klimaregnskap og lokale utslipp'!S46+(('Kjøring og seiling'!E36*'Utslippsfaktorer kjøring'!$D$28)/1000)</f>
        <v>0</v>
      </c>
      <c r="F150" s="24">
        <f>'Klimaregnskap og lokale utslipp'!T46+(('Kjøring og seiling'!F36*'Utslippsfaktorer kjøring'!$D$28)/1000)</f>
        <v>0</v>
      </c>
      <c r="G150" s="24">
        <f>'Klimaregnskap og lokale utslipp'!U46+(('Kjøring og seiling'!G36*'Utslippsfaktorer kjøring'!$D$28)/1000)</f>
        <v>0</v>
      </c>
      <c r="H150" s="24">
        <f>'Klimaregnskap og lokale utslipp'!V46+(('Kjøring og seiling'!H36*'Utslippsfaktorer kjøring'!$D$28)/1000)</f>
        <v>0</v>
      </c>
      <c r="I150" s="24">
        <f>'Klimaregnskap og lokale utslipp'!W46+(('Kjøring og seiling'!I36*'Utslippsfaktorer kjøring'!$D$28)/1000)</f>
        <v>587</v>
      </c>
      <c r="J150" s="24">
        <f>'Klimaregnskap og lokale utslipp'!X46+(('Kjøring og seiling'!J36*'Utslippsfaktorer kjøring'!$D$28)/1000)</f>
        <v>2920.1819999999998</v>
      </c>
      <c r="K150" s="24">
        <f>'Klimaregnskap og lokale utslipp'!Y46+(('Kjøring og seiling'!K36*'Utslippsfaktorer kjøring'!$D$28)/1000)</f>
        <v>4498.9799999999996</v>
      </c>
      <c r="L150" s="24">
        <f>'Klimaregnskap og lokale utslipp'!Z46+(('Kjøring og seiling'!L36*'Utslippsfaktorer kjøring'!$D$28)/1000)</f>
        <v>3479.1030000000001</v>
      </c>
    </row>
    <row r="151" spans="2:12">
      <c r="B151" s="149" t="s">
        <v>48</v>
      </c>
      <c r="C151" s="150" t="s">
        <v>11</v>
      </c>
      <c r="D151" s="24">
        <f>'Klimaregnskap og lokale utslipp'!R47+(('Kjøring og seiling'!D37*'Utslippsfaktorer kjøring'!$D$28)/1000)</f>
        <v>0</v>
      </c>
      <c r="E151" s="24">
        <f>'Klimaregnskap og lokale utslipp'!S47+(('Kjøring og seiling'!E37*'Utslippsfaktorer kjøring'!$D$28)/1000)</f>
        <v>0</v>
      </c>
      <c r="F151" s="24">
        <f>'Klimaregnskap og lokale utslipp'!T47+(('Kjøring og seiling'!F37*'Utslippsfaktorer kjøring'!$D$28)/1000)</f>
        <v>0</v>
      </c>
      <c r="G151" s="24">
        <f>'Klimaregnskap og lokale utslipp'!U47+(('Kjøring og seiling'!G37*'Utslippsfaktorer kjøring'!$D$28)/1000)</f>
        <v>0</v>
      </c>
      <c r="H151" s="24">
        <f>'Klimaregnskap og lokale utslipp'!V47+(('Kjøring og seiling'!H37*'Utslippsfaktorer kjøring'!$D$28)/1000)</f>
        <v>0</v>
      </c>
      <c r="I151" s="24">
        <f>'Klimaregnskap og lokale utslipp'!W47+(('Kjøring og seiling'!I37*'Utslippsfaktorer kjøring'!$D$28)/1000)</f>
        <v>511</v>
      </c>
      <c r="J151" s="24">
        <f>'Klimaregnskap og lokale utslipp'!X47+(('Kjøring og seiling'!J37*'Utslippsfaktorer kjøring'!$D$28)/1000)</f>
        <v>869.59400000000005</v>
      </c>
      <c r="K151" s="24">
        <f>'Klimaregnskap og lokale utslipp'!Y47+(('Kjøring og seiling'!K37*'Utslippsfaktorer kjøring'!$D$28)/1000)</f>
        <v>874.34899999999993</v>
      </c>
      <c r="L151" s="24">
        <f>'Klimaregnskap og lokale utslipp'!Z47+(('Kjøring og seiling'!L37*'Utslippsfaktorer kjøring'!$D$28)/1000)</f>
        <v>975.46499999999992</v>
      </c>
    </row>
    <row r="152" spans="2:12">
      <c r="B152" s="240" t="s">
        <v>181</v>
      </c>
      <c r="C152" s="241"/>
      <c r="D152" s="21"/>
      <c r="E152" s="21"/>
      <c r="F152" s="21"/>
      <c r="G152" s="21"/>
      <c r="H152" s="21"/>
      <c r="I152" s="194">
        <f>I149/I146</f>
        <v>0.1552995223699542</v>
      </c>
      <c r="J152" s="194">
        <f t="shared" ref="J152:K154" si="42">J149/J146</f>
        <v>0.39064730377477569</v>
      </c>
      <c r="K152" s="194">
        <f t="shared" si="42"/>
        <v>0.34196534493415809</v>
      </c>
      <c r="L152" s="194">
        <f>L149/L146</f>
        <v>0.42519451915612333</v>
      </c>
    </row>
    <row r="153" spans="2:12">
      <c r="B153" s="149" t="s">
        <v>48</v>
      </c>
      <c r="C153" s="150" t="s">
        <v>9</v>
      </c>
      <c r="D153" s="7"/>
      <c r="E153" s="7"/>
      <c r="F153" s="7"/>
      <c r="G153" s="7"/>
      <c r="H153" s="7"/>
      <c r="I153" s="195">
        <f>I150/I147</f>
        <v>1</v>
      </c>
      <c r="J153" s="195">
        <f t="shared" si="42"/>
        <v>0.50559221470866678</v>
      </c>
      <c r="K153" s="195">
        <f t="shared" si="42"/>
        <v>0.62393096394392455</v>
      </c>
      <c r="L153" s="195">
        <f>L150/L147</f>
        <v>0.77640265517830065</v>
      </c>
    </row>
    <row r="154" spans="2:12">
      <c r="B154" s="149"/>
      <c r="C154" s="150" t="s">
        <v>11</v>
      </c>
      <c r="D154" s="7"/>
      <c r="E154" s="7"/>
      <c r="F154" s="7"/>
      <c r="G154" s="7"/>
      <c r="H154" s="7"/>
      <c r="I154" s="195">
        <f>I151/I148</f>
        <v>7.881899858324469E-2</v>
      </c>
      <c r="J154" s="195">
        <f t="shared" si="42"/>
        <v>0.22152398097195736</v>
      </c>
      <c r="K154" s="195">
        <f t="shared" si="42"/>
        <v>0.10283580727545368</v>
      </c>
      <c r="L154" s="195">
        <f>L151/L148</f>
        <v>0.16269989262122322</v>
      </c>
    </row>
    <row r="155" spans="2:12">
      <c r="B155" s="240" t="s">
        <v>182</v>
      </c>
      <c r="C155" s="241"/>
      <c r="D155" s="21"/>
      <c r="E155" s="21"/>
      <c r="F155" s="21"/>
      <c r="G155" s="21"/>
      <c r="H155" s="21"/>
      <c r="I155" s="21"/>
      <c r="J155" s="21"/>
      <c r="K155" s="199">
        <f>K156</f>
        <v>4</v>
      </c>
      <c r="L155" s="199">
        <f>L156</f>
        <v>15</v>
      </c>
    </row>
    <row r="156" spans="2:12">
      <c r="B156" s="149" t="s">
        <v>48</v>
      </c>
      <c r="C156" s="150" t="s">
        <v>9</v>
      </c>
      <c r="D156" s="7"/>
      <c r="E156" s="7"/>
      <c r="F156" s="7"/>
      <c r="G156" s="7"/>
      <c r="H156" s="7"/>
      <c r="I156" s="7"/>
      <c r="J156" s="7"/>
      <c r="K156" s="200">
        <f>'Klimaregnskap og lokale utslipp'!Y49</f>
        <v>4</v>
      </c>
      <c r="L156" s="200">
        <f>'Klimaregnskap og lokale utslipp'!Z49</f>
        <v>15</v>
      </c>
    </row>
    <row r="157" spans="2:12">
      <c r="B157" s="240" t="s">
        <v>183</v>
      </c>
      <c r="C157" s="241"/>
      <c r="D157" s="21"/>
      <c r="E157" s="21"/>
      <c r="F157" s="21"/>
      <c r="G157" s="21"/>
      <c r="H157" s="21"/>
      <c r="I157" s="21"/>
      <c r="J157" s="21"/>
      <c r="K157" s="199">
        <f>K158</f>
        <v>4</v>
      </c>
      <c r="L157" s="199">
        <f>L158</f>
        <v>15</v>
      </c>
    </row>
    <row r="158" spans="2:12">
      <c r="B158" s="149" t="s">
        <v>48</v>
      </c>
      <c r="C158" s="150" t="s">
        <v>9</v>
      </c>
      <c r="D158" s="7"/>
      <c r="E158" s="7"/>
      <c r="F158" s="7"/>
      <c r="G158" s="7"/>
      <c r="H158" s="7"/>
      <c r="I158" s="7"/>
      <c r="J158" s="7"/>
      <c r="K158" s="200">
        <f>'Klimaregnskap og lokale utslipp'!Y49</f>
        <v>4</v>
      </c>
      <c r="L158" s="200">
        <f>'Klimaregnskap og lokale utslipp'!Z49</f>
        <v>15</v>
      </c>
    </row>
    <row r="159" spans="2:12">
      <c r="B159" s="240" t="s">
        <v>184</v>
      </c>
      <c r="C159" s="241"/>
      <c r="D159" s="21"/>
      <c r="E159" s="21"/>
      <c r="F159" s="21"/>
      <c r="G159" s="21"/>
      <c r="H159" s="21"/>
      <c r="I159" s="21"/>
      <c r="J159" s="21"/>
      <c r="K159" s="194">
        <f>K157/K155</f>
        <v>1</v>
      </c>
      <c r="L159" s="194">
        <f>L157/L155</f>
        <v>1</v>
      </c>
    </row>
    <row r="160" spans="2:12">
      <c r="B160" s="149" t="s">
        <v>48</v>
      </c>
      <c r="C160" s="150" t="s">
        <v>9</v>
      </c>
      <c r="D160" s="7"/>
      <c r="E160" s="7"/>
      <c r="F160" s="7"/>
      <c r="G160" s="7"/>
      <c r="H160" s="7"/>
      <c r="I160" s="7"/>
      <c r="J160" s="7"/>
      <c r="K160" s="195">
        <f>K158/K156</f>
        <v>1</v>
      </c>
      <c r="L160" s="195">
        <f>L158/L156</f>
        <v>1</v>
      </c>
    </row>
    <row r="161" spans="2:12">
      <c r="B161" s="240" t="s">
        <v>185</v>
      </c>
      <c r="C161" s="241"/>
      <c r="D161" s="21"/>
      <c r="E161" s="21"/>
      <c r="F161" s="21"/>
      <c r="G161" s="21"/>
      <c r="H161" s="21"/>
      <c r="I161" s="21"/>
      <c r="J161" s="21"/>
      <c r="K161" s="199">
        <f>K162</f>
        <v>44</v>
      </c>
      <c r="L161" s="199">
        <f>L162</f>
        <v>144.16800000000001</v>
      </c>
    </row>
    <row r="162" spans="2:12">
      <c r="B162" s="149" t="s">
        <v>48</v>
      </c>
      <c r="C162" s="150" t="s">
        <v>9</v>
      </c>
      <c r="D162" s="7"/>
      <c r="E162" s="7"/>
      <c r="F162" s="7"/>
      <c r="G162" s="7"/>
      <c r="H162" s="7"/>
      <c r="I162" s="7"/>
      <c r="J162" s="7"/>
      <c r="K162" s="200">
        <f>'Klimaregnskap og lokale utslipp'!Y52</f>
        <v>44</v>
      </c>
      <c r="L162" s="200">
        <f>'Klimaregnskap og lokale utslipp'!Z52</f>
        <v>144.16800000000001</v>
      </c>
    </row>
    <row r="163" spans="2:12">
      <c r="B163" s="240" t="s">
        <v>186</v>
      </c>
      <c r="C163" s="241"/>
      <c r="D163" s="21"/>
      <c r="E163" s="21"/>
      <c r="F163" s="21"/>
      <c r="G163" s="21"/>
      <c r="H163" s="21"/>
      <c r="I163" s="21"/>
      <c r="J163" s="21"/>
      <c r="K163" s="199">
        <f>K164</f>
        <v>44</v>
      </c>
      <c r="L163" s="199">
        <f>L164</f>
        <v>144.16800000000001</v>
      </c>
    </row>
    <row r="164" spans="2:12">
      <c r="B164" s="149" t="s">
        <v>48</v>
      </c>
      <c r="C164" s="150" t="s">
        <v>9</v>
      </c>
      <c r="D164" s="7"/>
      <c r="E164" s="7"/>
      <c r="F164" s="7"/>
      <c r="G164" s="7"/>
      <c r="H164" s="7"/>
      <c r="I164" s="7"/>
      <c r="J164" s="7"/>
      <c r="K164" s="200">
        <f>'Klimaregnskap og lokale utslipp'!Y52</f>
        <v>44</v>
      </c>
      <c r="L164" s="200">
        <f>'Klimaregnskap og lokale utslipp'!Z52</f>
        <v>144.16800000000001</v>
      </c>
    </row>
    <row r="165" spans="2:12">
      <c r="B165" s="240" t="s">
        <v>187</v>
      </c>
      <c r="C165" s="241"/>
      <c r="D165" s="21"/>
      <c r="E165" s="21"/>
      <c r="F165" s="21"/>
      <c r="G165" s="21"/>
      <c r="H165" s="21"/>
      <c r="I165" s="21"/>
      <c r="J165" s="21"/>
      <c r="K165" s="194">
        <f>K163/K161</f>
        <v>1</v>
      </c>
      <c r="L165" s="194">
        <f>L163/L161</f>
        <v>1</v>
      </c>
    </row>
    <row r="166" spans="2:12">
      <c r="B166" s="149" t="s">
        <v>48</v>
      </c>
      <c r="C166" s="150" t="s">
        <v>9</v>
      </c>
      <c r="D166" s="7"/>
      <c r="E166" s="7"/>
      <c r="F166" s="7"/>
      <c r="G166" s="7"/>
      <c r="H166" s="7"/>
      <c r="I166" s="7"/>
      <c r="J166" s="7"/>
      <c r="K166" s="195">
        <f>K164/K162</f>
        <v>1</v>
      </c>
      <c r="L166" s="195">
        <f>L164/L162</f>
        <v>1</v>
      </c>
    </row>
  </sheetData>
  <mergeCells count="49">
    <mergeCell ref="B28:C28"/>
    <mergeCell ref="B31:C31"/>
    <mergeCell ref="B6:C6"/>
    <mergeCell ref="B7:C7"/>
    <mergeCell ref="B14:C14"/>
    <mergeCell ref="B17:C17"/>
    <mergeCell ref="B20:C20"/>
    <mergeCell ref="B23:C23"/>
    <mergeCell ref="B44:C44"/>
    <mergeCell ref="B45:C45"/>
    <mergeCell ref="B48:C48"/>
    <mergeCell ref="B51:C51"/>
    <mergeCell ref="B35:C35"/>
    <mergeCell ref="B77:C77"/>
    <mergeCell ref="B54:C54"/>
    <mergeCell ref="B57:C57"/>
    <mergeCell ref="B65:C65"/>
    <mergeCell ref="B68:C68"/>
    <mergeCell ref="B71:C71"/>
    <mergeCell ref="B90:C90"/>
    <mergeCell ref="B91:C91"/>
    <mergeCell ref="B94:C94"/>
    <mergeCell ref="B97:C97"/>
    <mergeCell ref="B100:C100"/>
    <mergeCell ref="B106:C106"/>
    <mergeCell ref="B107:C107"/>
    <mergeCell ref="B110:C110"/>
    <mergeCell ref="B113:C113"/>
    <mergeCell ref="B116:C116"/>
    <mergeCell ref="B119:C119"/>
    <mergeCell ref="B122:C122"/>
    <mergeCell ref="B125:C125"/>
    <mergeCell ref="B127:C127"/>
    <mergeCell ref="B129:C129"/>
    <mergeCell ref="B131:C131"/>
    <mergeCell ref="B133:C133"/>
    <mergeCell ref="B135:C135"/>
    <mergeCell ref="B137:C137"/>
    <mergeCell ref="B140:C140"/>
    <mergeCell ref="B143:C143"/>
    <mergeCell ref="B146:C146"/>
    <mergeCell ref="B149:C149"/>
    <mergeCell ref="B152:C152"/>
    <mergeCell ref="B155:C155"/>
    <mergeCell ref="B157:C157"/>
    <mergeCell ref="B159:C159"/>
    <mergeCell ref="B161:C161"/>
    <mergeCell ref="B163:C163"/>
    <mergeCell ref="B165:C165"/>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544EE-17EB-4630-855A-8CF18F583CC2}">
  <dimension ref="A2:L28"/>
  <sheetViews>
    <sheetView workbookViewId="0">
      <selection activeCell="J41" sqref="J41"/>
    </sheetView>
  </sheetViews>
  <sheetFormatPr defaultColWidth="8.5703125" defaultRowHeight="14.45"/>
  <cols>
    <col min="1" max="1" width="23.140625" customWidth="1"/>
    <col min="2" max="2" width="39" customWidth="1"/>
    <col min="3" max="3" width="12.5703125" customWidth="1"/>
    <col min="4" max="4" width="13.5703125" customWidth="1"/>
    <col min="5" max="5" width="13.85546875" customWidth="1"/>
    <col min="6" max="7" width="11.42578125" customWidth="1"/>
    <col min="8" max="8" width="11.140625" customWidth="1"/>
    <col min="9" max="9" width="11.5703125" customWidth="1"/>
    <col min="10" max="10" width="11.85546875" customWidth="1"/>
    <col min="11" max="11" width="10" customWidth="1"/>
  </cols>
  <sheetData>
    <row r="2" spans="1:12" ht="18.600000000000001">
      <c r="B2" s="97" t="s">
        <v>188</v>
      </c>
    </row>
    <row r="5" spans="1:12">
      <c r="A5" s="98"/>
      <c r="B5" s="98" t="s">
        <v>189</v>
      </c>
      <c r="C5" s="98" t="s">
        <v>190</v>
      </c>
      <c r="D5" s="98">
        <v>2017</v>
      </c>
      <c r="E5" s="98">
        <v>2018</v>
      </c>
      <c r="F5" s="98">
        <v>2019</v>
      </c>
      <c r="G5" s="98">
        <v>2020</v>
      </c>
      <c r="H5" s="98">
        <v>2021</v>
      </c>
      <c r="I5" s="98">
        <v>2022</v>
      </c>
      <c r="J5" s="98">
        <v>2023</v>
      </c>
      <c r="K5" s="98">
        <v>2024</v>
      </c>
      <c r="L5" s="98">
        <v>2025</v>
      </c>
    </row>
    <row r="6" spans="1:12">
      <c r="A6" s="98" t="s">
        <v>191</v>
      </c>
      <c r="B6" s="98" t="s">
        <v>192</v>
      </c>
      <c r="C6" s="98" t="s">
        <v>193</v>
      </c>
      <c r="D6" s="100">
        <v>2.6719300000000001</v>
      </c>
      <c r="E6" s="100">
        <v>2.6877900000000001</v>
      </c>
      <c r="F6" s="100">
        <v>2.6869700000000001</v>
      </c>
      <c r="G6" s="100">
        <v>2.6878700000000002</v>
      </c>
      <c r="H6" s="100">
        <v>2.70553</v>
      </c>
      <c r="I6" s="100">
        <v>2.7</v>
      </c>
      <c r="J6" s="100">
        <v>2.66</v>
      </c>
      <c r="K6" s="100">
        <v>2.66</v>
      </c>
      <c r="L6" s="98">
        <v>2.66</v>
      </c>
    </row>
    <row r="7" spans="1:12">
      <c r="A7" s="98"/>
      <c r="B7" s="98" t="s">
        <v>194</v>
      </c>
      <c r="C7" s="98" t="s">
        <v>193</v>
      </c>
      <c r="D7" s="100">
        <v>2.001E-2</v>
      </c>
      <c r="E7" s="100">
        <v>3.4599999999999999E-2</v>
      </c>
      <c r="F7" s="100">
        <v>3.1780000000000003E-2</v>
      </c>
      <c r="G7" s="100">
        <v>0.03</v>
      </c>
      <c r="H7" s="100">
        <v>3.5580000000000001E-2</v>
      </c>
      <c r="I7" s="100">
        <f t="shared" ref="I7:K8" si="0">H7</f>
        <v>3.5580000000000001E-2</v>
      </c>
      <c r="J7" s="100">
        <f t="shared" si="0"/>
        <v>3.5580000000000001E-2</v>
      </c>
      <c r="K7" s="100">
        <f t="shared" si="0"/>
        <v>3.5580000000000001E-2</v>
      </c>
      <c r="L7" s="98">
        <v>0.04</v>
      </c>
    </row>
    <row r="8" spans="1:12">
      <c r="A8" s="98"/>
      <c r="B8" s="98" t="s">
        <v>195</v>
      </c>
      <c r="C8" s="98" t="s">
        <v>193</v>
      </c>
      <c r="D8" s="100"/>
      <c r="E8" s="100"/>
      <c r="F8" s="100"/>
      <c r="G8" s="100">
        <v>0.1658</v>
      </c>
      <c r="H8" s="100">
        <v>0.16750999999999999</v>
      </c>
      <c r="I8" s="100">
        <f t="shared" si="0"/>
        <v>0.16750999999999999</v>
      </c>
      <c r="J8" s="100">
        <f t="shared" si="0"/>
        <v>0.16750999999999999</v>
      </c>
      <c r="K8" s="100">
        <f t="shared" si="0"/>
        <v>0.16750999999999999</v>
      </c>
      <c r="L8" s="98">
        <v>0.17</v>
      </c>
    </row>
    <row r="9" spans="1:12">
      <c r="A9" s="98" t="s">
        <v>196</v>
      </c>
      <c r="B9" s="98" t="s">
        <v>192</v>
      </c>
      <c r="C9" s="98" t="s">
        <v>193</v>
      </c>
      <c r="D9" s="100">
        <v>0.62565999999999999</v>
      </c>
      <c r="E9" s="100">
        <v>0.62563999999999997</v>
      </c>
      <c r="F9" s="100">
        <v>0.62617</v>
      </c>
      <c r="G9" s="100">
        <v>0.62611000000000006</v>
      </c>
      <c r="H9" s="100">
        <v>0.62873999999999997</v>
      </c>
      <c r="I9" s="100">
        <f>H9</f>
        <v>0.62873999999999997</v>
      </c>
      <c r="J9" s="100">
        <v>0.62409000000000003</v>
      </c>
      <c r="K9" s="100">
        <f>J9</f>
        <v>0.62409000000000003</v>
      </c>
      <c r="L9" s="98">
        <v>0.62</v>
      </c>
    </row>
    <row r="10" spans="1:12">
      <c r="A10" s="98"/>
      <c r="B10" s="98" t="s">
        <v>194</v>
      </c>
      <c r="C10" s="98" t="s">
        <v>193</v>
      </c>
      <c r="D10" s="100">
        <v>0.40801999999999999</v>
      </c>
      <c r="E10" s="100">
        <v>0.31295000000000001</v>
      </c>
      <c r="F10" s="100">
        <v>0.36671999999999999</v>
      </c>
      <c r="G10" s="100">
        <v>0.37380999999999998</v>
      </c>
      <c r="H10" s="100">
        <v>0.2132</v>
      </c>
      <c r="I10" s="100">
        <v>0.35177999999999998</v>
      </c>
      <c r="J10" s="100">
        <v>0.27844000000000002</v>
      </c>
      <c r="K10" s="100">
        <v>0.55900000000000005</v>
      </c>
      <c r="L10" s="211">
        <v>0.56000000000000005</v>
      </c>
    </row>
    <row r="11" spans="1:12">
      <c r="A11" s="98"/>
      <c r="B11" s="98" t="s">
        <v>195</v>
      </c>
      <c r="C11" s="98" t="s">
        <v>193</v>
      </c>
      <c r="D11" s="100">
        <v>0.38268999999999997</v>
      </c>
      <c r="E11" s="100">
        <v>0.29360000000000003</v>
      </c>
      <c r="F11" s="100">
        <v>0.26477000000000001</v>
      </c>
      <c r="G11" s="100">
        <v>0.28977000000000003</v>
      </c>
      <c r="H11" s="100">
        <v>0.34900999999999999</v>
      </c>
      <c r="I11" s="100">
        <v>0.34251999999999999</v>
      </c>
      <c r="J11" s="100">
        <v>0.44758999999999999</v>
      </c>
      <c r="K11" s="100">
        <v>0.48103000000000001</v>
      </c>
      <c r="L11" s="98">
        <v>0.35</v>
      </c>
    </row>
    <row r="12" spans="1:12">
      <c r="A12" s="98"/>
      <c r="B12" s="98" t="s">
        <v>197</v>
      </c>
      <c r="C12" s="98" t="s">
        <v>198</v>
      </c>
      <c r="D12" s="100">
        <v>133.61000000000001</v>
      </c>
      <c r="E12" s="100">
        <f>D12</f>
        <v>133.61000000000001</v>
      </c>
      <c r="F12" s="100">
        <f>E12</f>
        <v>133.61000000000001</v>
      </c>
      <c r="G12" s="100">
        <f>F12</f>
        <v>133.61000000000001</v>
      </c>
      <c r="H12" s="100">
        <f>G12</f>
        <v>133.61000000000001</v>
      </c>
      <c r="I12" s="100">
        <v>157.83000000000001</v>
      </c>
      <c r="J12" s="100">
        <f>I12</f>
        <v>157.83000000000001</v>
      </c>
      <c r="K12" s="100">
        <v>102.85714</v>
      </c>
      <c r="L12" s="98">
        <v>102.86</v>
      </c>
    </row>
    <row r="13" spans="1:12">
      <c r="A13" s="98" t="s">
        <v>93</v>
      </c>
      <c r="B13" s="98" t="s">
        <v>199</v>
      </c>
      <c r="C13" s="98" t="s">
        <v>193</v>
      </c>
      <c r="D13" s="100">
        <v>2.4900000000000002</v>
      </c>
      <c r="E13" s="100">
        <f>D13</f>
        <v>2.4900000000000002</v>
      </c>
      <c r="F13" s="100">
        <f>E13</f>
        <v>2.4900000000000002</v>
      </c>
      <c r="G13" s="100">
        <v>2.36</v>
      </c>
      <c r="H13" s="100">
        <v>2.4300000000000002</v>
      </c>
      <c r="I13" s="100">
        <v>2.4700000000000002</v>
      </c>
      <c r="J13" s="100">
        <v>2.4300000000000002</v>
      </c>
      <c r="K13" s="100">
        <f>J13</f>
        <v>2.4300000000000002</v>
      </c>
      <c r="L13" s="98">
        <v>2.4300000000000002</v>
      </c>
    </row>
    <row r="14" spans="1:12">
      <c r="A14" s="98"/>
      <c r="B14" s="98" t="s">
        <v>200</v>
      </c>
      <c r="C14" s="98" t="s">
        <v>193</v>
      </c>
      <c r="D14" s="100">
        <v>2.4900000000000002</v>
      </c>
      <c r="E14" s="100">
        <v>2.4900000000000002</v>
      </c>
      <c r="F14" s="100">
        <v>2.4900000000000002</v>
      </c>
      <c r="G14" s="100">
        <v>2.36</v>
      </c>
      <c r="H14" s="100">
        <f>G14</f>
        <v>2.36</v>
      </c>
      <c r="I14" s="100">
        <f>H14</f>
        <v>2.36</v>
      </c>
      <c r="J14" s="100">
        <v>2.39</v>
      </c>
      <c r="K14" s="100">
        <f>J14</f>
        <v>2.39</v>
      </c>
      <c r="L14" s="98">
        <v>2.39</v>
      </c>
    </row>
    <row r="15" spans="1:12">
      <c r="A15" s="98"/>
      <c r="B15" s="98" t="s">
        <v>197</v>
      </c>
      <c r="C15" s="98" t="s">
        <v>201</v>
      </c>
      <c r="D15" s="100">
        <v>1.1056999999999999</v>
      </c>
      <c r="E15" s="100">
        <v>1.1056699999999999</v>
      </c>
      <c r="F15" s="100">
        <f>E15</f>
        <v>1.1056699999999999</v>
      </c>
      <c r="G15" s="100">
        <f>F15</f>
        <v>1.1056699999999999</v>
      </c>
      <c r="H15" s="100">
        <f>G15</f>
        <v>1.1056699999999999</v>
      </c>
      <c r="I15" s="100">
        <f>H15</f>
        <v>1.1056699999999999</v>
      </c>
      <c r="J15" s="100">
        <f>I15</f>
        <v>1.1056699999999999</v>
      </c>
      <c r="K15" s="100">
        <f>J15</f>
        <v>1.1056699999999999</v>
      </c>
      <c r="L15" s="98">
        <v>1.1100000000000001</v>
      </c>
    </row>
    <row r="18" spans="2:11">
      <c r="B18" s="19" t="s">
        <v>202</v>
      </c>
    </row>
    <row r="19" spans="2:11">
      <c r="B19" s="98"/>
      <c r="C19" s="98">
        <v>2017</v>
      </c>
      <c r="D19" s="98">
        <v>2018</v>
      </c>
      <c r="E19" s="98">
        <v>2019</v>
      </c>
      <c r="F19" s="98">
        <v>2020</v>
      </c>
      <c r="G19" s="98">
        <v>2021</v>
      </c>
      <c r="H19" s="98">
        <v>2022</v>
      </c>
      <c r="I19" s="210">
        <v>2023</v>
      </c>
      <c r="J19" s="98">
        <v>2024</v>
      </c>
      <c r="K19" s="98">
        <v>2025</v>
      </c>
    </row>
    <row r="20" spans="2:11">
      <c r="B20" s="98" t="s">
        <v>203</v>
      </c>
      <c r="C20" s="99">
        <v>0.80589999999999995</v>
      </c>
      <c r="D20" s="99">
        <v>0.85940000000000005</v>
      </c>
      <c r="E20" s="99">
        <v>0.82289999999999996</v>
      </c>
      <c r="F20" s="99">
        <v>0.84870000000000001</v>
      </c>
      <c r="G20" s="99">
        <v>0.86029999999999995</v>
      </c>
      <c r="H20" s="99">
        <v>0.86499999999999999</v>
      </c>
      <c r="I20" s="113">
        <v>0.82599999999999996</v>
      </c>
      <c r="J20" s="99">
        <v>0.81100000000000005</v>
      </c>
      <c r="K20" s="99">
        <f>(H20+I20+J20)/3</f>
        <v>0.83399999999999996</v>
      </c>
    </row>
    <row r="21" spans="2:11">
      <c r="B21" s="98" t="s">
        <v>204</v>
      </c>
      <c r="C21" s="99">
        <f t="shared" ref="C21:H21" si="1">1-C20</f>
        <v>0.19410000000000005</v>
      </c>
      <c r="D21" s="99">
        <f t="shared" si="1"/>
        <v>0.14059999999999995</v>
      </c>
      <c r="E21" s="99">
        <f t="shared" si="1"/>
        <v>0.17710000000000004</v>
      </c>
      <c r="F21" s="99">
        <f t="shared" si="1"/>
        <v>0.15129999999999999</v>
      </c>
      <c r="G21" s="99">
        <f t="shared" si="1"/>
        <v>0.13970000000000005</v>
      </c>
      <c r="H21" s="99">
        <f t="shared" si="1"/>
        <v>0.13500000000000001</v>
      </c>
      <c r="I21" s="113">
        <f>1-I20</f>
        <v>0.17400000000000004</v>
      </c>
      <c r="J21" s="99">
        <f>1-J20</f>
        <v>0.18899999999999995</v>
      </c>
      <c r="K21" s="99">
        <f>1-K20</f>
        <v>0.16600000000000004</v>
      </c>
    </row>
    <row r="24" spans="2:11">
      <c r="B24" s="19" t="s">
        <v>205</v>
      </c>
    </row>
    <row r="25" spans="2:11">
      <c r="B25" s="20" t="s">
        <v>206</v>
      </c>
      <c r="C25" s="20" t="s">
        <v>207</v>
      </c>
      <c r="D25" s="20" t="s">
        <v>208</v>
      </c>
      <c r="E25" s="20" t="s">
        <v>209</v>
      </c>
    </row>
    <row r="26" spans="2:11">
      <c r="B26" s="20" t="s">
        <v>210</v>
      </c>
      <c r="C26" s="197">
        <v>0.84</v>
      </c>
      <c r="D26" s="197">
        <v>12</v>
      </c>
      <c r="E26" s="197">
        <f>C26*D26</f>
        <v>10.08</v>
      </c>
    </row>
    <row r="27" spans="2:11">
      <c r="B27" s="20" t="s">
        <v>211</v>
      </c>
      <c r="C27" s="197">
        <v>0.88</v>
      </c>
      <c r="D27" s="197">
        <v>10.199999999999999</v>
      </c>
      <c r="E27" s="197">
        <f>C27*D27</f>
        <v>8.9759999999999991</v>
      </c>
    </row>
    <row r="28" spans="2:11">
      <c r="B28" s="20" t="s">
        <v>197</v>
      </c>
      <c r="C28" s="197">
        <v>0.68</v>
      </c>
      <c r="D28" s="197">
        <v>14</v>
      </c>
      <c r="E28" s="197">
        <f>C28*D28</f>
        <v>9.5200000000000014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4C51A-1F2B-4F12-A251-C80B7F3AD78D}">
  <dimension ref="B2:K32"/>
  <sheetViews>
    <sheetView showGridLines="0" topLeftCell="B1" zoomScale="80" zoomScaleNormal="80" workbookViewId="0">
      <selection activeCell="K6" sqref="K6"/>
    </sheetView>
  </sheetViews>
  <sheetFormatPr defaultColWidth="9.42578125" defaultRowHeight="14.45"/>
  <cols>
    <col min="2" max="2" width="52.7109375" customWidth="1"/>
    <col min="3" max="3" width="12.42578125" bestFit="1" customWidth="1"/>
    <col min="4" max="4" width="13.5703125" customWidth="1"/>
    <col min="5" max="5" width="12.42578125" customWidth="1"/>
    <col min="6" max="6" width="17.5703125" bestFit="1" customWidth="1"/>
    <col min="7" max="7" width="17.42578125" bestFit="1" customWidth="1"/>
    <col min="8" max="8" width="17.42578125" customWidth="1"/>
    <col min="9" max="10" width="20.5703125" customWidth="1"/>
    <col min="11" max="13" width="17.42578125" customWidth="1"/>
    <col min="14" max="14" width="51.42578125" bestFit="1" customWidth="1"/>
    <col min="15" max="15" width="30.5703125" customWidth="1"/>
    <col min="17" max="17" width="11.42578125" customWidth="1"/>
  </cols>
  <sheetData>
    <row r="2" spans="2:11" ht="18">
      <c r="B2" s="1" t="s">
        <v>212</v>
      </c>
    </row>
    <row r="4" spans="2:11">
      <c r="B4" s="21" t="s">
        <v>213</v>
      </c>
      <c r="C4" s="26">
        <v>2017</v>
      </c>
      <c r="D4" s="26">
        <v>2018</v>
      </c>
      <c r="E4" s="26">
        <v>2019</v>
      </c>
      <c r="F4" s="26">
        <v>2020</v>
      </c>
      <c r="G4" s="26">
        <v>2021</v>
      </c>
      <c r="H4" s="26">
        <v>2022</v>
      </c>
      <c r="I4" s="26">
        <v>2023</v>
      </c>
      <c r="J4" s="26">
        <v>2024</v>
      </c>
      <c r="K4" s="26">
        <v>2025</v>
      </c>
    </row>
    <row r="5" spans="2:11">
      <c r="B5" s="21" t="s">
        <v>7</v>
      </c>
      <c r="C5" s="29">
        <f t="shared" ref="C5:G7" si="0">C8+C11+C14+C17</f>
        <v>2201.9</v>
      </c>
      <c r="D5" s="29">
        <f t="shared" si="0"/>
        <v>2295.6999999999998</v>
      </c>
      <c r="E5" s="29">
        <f t="shared" si="0"/>
        <v>2365.6999999999998</v>
      </c>
      <c r="F5" s="29">
        <f t="shared" si="0"/>
        <v>1312.6</v>
      </c>
      <c r="G5" s="29">
        <f t="shared" si="0"/>
        <v>1397.1</v>
      </c>
      <c r="H5" s="29">
        <f>H7+H6</f>
        <v>1422.14</v>
      </c>
      <c r="I5" s="29">
        <f>I7+I6</f>
        <v>1561.72</v>
      </c>
      <c r="J5" s="29">
        <f>J7+J6</f>
        <v>1627</v>
      </c>
      <c r="K5" s="29">
        <f>K7+K6</f>
        <v>1613.92</v>
      </c>
    </row>
    <row r="6" spans="2:11">
      <c r="B6" s="28" t="s">
        <v>9</v>
      </c>
      <c r="C6" s="25">
        <f t="shared" si="0"/>
        <v>1350.7</v>
      </c>
      <c r="D6" s="25">
        <f t="shared" si="0"/>
        <v>1407.8</v>
      </c>
      <c r="E6" s="25">
        <f t="shared" si="0"/>
        <v>1442.8</v>
      </c>
      <c r="F6" s="25">
        <f t="shared" si="0"/>
        <v>710.5</v>
      </c>
      <c r="G6" s="25">
        <f t="shared" si="0"/>
        <v>751.9</v>
      </c>
      <c r="H6" s="25">
        <f>H18+H15+H12+H9</f>
        <v>982.58</v>
      </c>
      <c r="I6" s="25">
        <f>I18+I15+I12+I9</f>
        <v>1079.02</v>
      </c>
      <c r="J6" s="25">
        <f>J18+J15+J12+J9</f>
        <v>1120</v>
      </c>
      <c r="K6" s="25">
        <f>K18+K15+K12+K9</f>
        <v>1094.8399999999999</v>
      </c>
    </row>
    <row r="7" spans="2:11">
      <c r="B7" s="28" t="s">
        <v>11</v>
      </c>
      <c r="C7" s="25">
        <f t="shared" si="0"/>
        <v>851.2</v>
      </c>
      <c r="D7" s="25">
        <f t="shared" si="0"/>
        <v>888</v>
      </c>
      <c r="E7" s="25">
        <f t="shared" si="0"/>
        <v>922.9</v>
      </c>
      <c r="F7" s="25">
        <f t="shared" si="0"/>
        <v>602.1</v>
      </c>
      <c r="G7" s="25">
        <f t="shared" si="0"/>
        <v>645.20000000000005</v>
      </c>
      <c r="H7" s="25">
        <f>H13+H10</f>
        <v>439.56</v>
      </c>
      <c r="I7" s="25">
        <f>I19+I16+I13+I10</f>
        <v>482.7</v>
      </c>
      <c r="J7" s="25">
        <f>J13+J10</f>
        <v>507</v>
      </c>
      <c r="K7" s="25">
        <f>K19+K16+K13+K10</f>
        <v>519.08000000000004</v>
      </c>
    </row>
    <row r="8" spans="2:11">
      <c r="B8" s="21" t="s">
        <v>13</v>
      </c>
      <c r="C8" s="29">
        <v>1308</v>
      </c>
      <c r="D8" s="29">
        <v>1375</v>
      </c>
      <c r="E8" s="29">
        <v>1454</v>
      </c>
      <c r="F8" s="29">
        <v>845</v>
      </c>
      <c r="G8" s="29">
        <v>895</v>
      </c>
      <c r="H8" s="29">
        <f>H10+H9</f>
        <v>758</v>
      </c>
      <c r="I8" s="29">
        <f>I10+I9</f>
        <v>847.64</v>
      </c>
      <c r="J8" s="29">
        <f>J10+J9</f>
        <v>860</v>
      </c>
      <c r="K8" s="29">
        <f>K10+K9</f>
        <v>907.21</v>
      </c>
    </row>
    <row r="9" spans="2:11">
      <c r="B9" s="28" t="s">
        <v>9</v>
      </c>
      <c r="C9" s="25">
        <v>477</v>
      </c>
      <c r="D9" s="25">
        <v>508</v>
      </c>
      <c r="E9" s="25">
        <v>554</v>
      </c>
      <c r="F9" s="25">
        <v>257</v>
      </c>
      <c r="G9" s="25">
        <v>263</v>
      </c>
      <c r="H9" s="25">
        <v>337</v>
      </c>
      <c r="I9" s="25">
        <v>385.2</v>
      </c>
      <c r="J9" s="25">
        <v>372</v>
      </c>
      <c r="K9" s="25">
        <v>407.83</v>
      </c>
    </row>
    <row r="10" spans="2:11">
      <c r="B10" s="28" t="s">
        <v>11</v>
      </c>
      <c r="C10" s="25">
        <v>831</v>
      </c>
      <c r="D10" s="25">
        <v>867</v>
      </c>
      <c r="E10" s="25">
        <v>900</v>
      </c>
      <c r="F10" s="25">
        <v>588</v>
      </c>
      <c r="G10" s="25">
        <v>632</v>
      </c>
      <c r="H10" s="25">
        <v>421</v>
      </c>
      <c r="I10" s="25">
        <v>462.44</v>
      </c>
      <c r="J10" s="25">
        <v>488</v>
      </c>
      <c r="K10" s="25">
        <v>499.38</v>
      </c>
    </row>
    <row r="11" spans="2:11">
      <c r="B11" s="21" t="s">
        <v>19</v>
      </c>
      <c r="C11" s="29">
        <v>22.9</v>
      </c>
      <c r="D11" s="29">
        <v>24.7</v>
      </c>
      <c r="E11" s="29">
        <v>25.7</v>
      </c>
      <c r="F11" s="29">
        <v>15.6</v>
      </c>
      <c r="G11" s="29">
        <v>15.1</v>
      </c>
      <c r="H11" s="29">
        <f>H13+H12</f>
        <v>21.14</v>
      </c>
      <c r="I11" s="29">
        <f>I13+I12</f>
        <v>23.540000000000003</v>
      </c>
      <c r="J11" s="29">
        <f>J13+J12</f>
        <v>22</v>
      </c>
      <c r="K11" s="29">
        <f>K13+K12</f>
        <v>22.8</v>
      </c>
    </row>
    <row r="12" spans="2:11">
      <c r="B12" s="28" t="s">
        <v>9</v>
      </c>
      <c r="C12" s="25">
        <v>2.7</v>
      </c>
      <c r="D12" s="25">
        <v>3.8</v>
      </c>
      <c r="E12" s="25">
        <v>2.8</v>
      </c>
      <c r="F12" s="25">
        <v>1.5</v>
      </c>
      <c r="G12" s="25">
        <v>1.9</v>
      </c>
      <c r="H12" s="25">
        <v>2.58</v>
      </c>
      <c r="I12" s="25">
        <v>3.28</v>
      </c>
      <c r="J12" s="25">
        <v>3</v>
      </c>
      <c r="K12" s="25">
        <v>3.1</v>
      </c>
    </row>
    <row r="13" spans="2:11">
      <c r="B13" s="28" t="s">
        <v>11</v>
      </c>
      <c r="C13" s="25">
        <v>20.2</v>
      </c>
      <c r="D13" s="25">
        <v>21</v>
      </c>
      <c r="E13" s="25">
        <v>22.9</v>
      </c>
      <c r="F13" s="25">
        <v>14.1</v>
      </c>
      <c r="G13" s="25">
        <v>13.2</v>
      </c>
      <c r="H13" s="25">
        <v>18.559999999999999</v>
      </c>
      <c r="I13" s="25">
        <v>20.260000000000002</v>
      </c>
      <c r="J13" s="25">
        <v>19</v>
      </c>
      <c r="K13" s="25">
        <v>19.7</v>
      </c>
    </row>
    <row r="14" spans="2:11">
      <c r="B14" s="21" t="s">
        <v>39</v>
      </c>
      <c r="C14" s="29">
        <v>165</v>
      </c>
      <c r="D14" s="29">
        <v>165</v>
      </c>
      <c r="E14" s="29">
        <v>169</v>
      </c>
      <c r="F14" s="29">
        <v>51</v>
      </c>
      <c r="G14" s="29">
        <v>66</v>
      </c>
      <c r="H14" s="29">
        <f>H15</f>
        <v>100</v>
      </c>
      <c r="I14" s="29">
        <f>I16+I15</f>
        <v>100.53</v>
      </c>
      <c r="J14" s="29">
        <f>J15</f>
        <v>113</v>
      </c>
      <c r="K14" s="29">
        <f>K15</f>
        <v>132.41999999999999</v>
      </c>
    </row>
    <row r="15" spans="2:11">
      <c r="B15" s="28" t="s">
        <v>9</v>
      </c>
      <c r="C15" s="25">
        <v>165</v>
      </c>
      <c r="D15" s="25">
        <v>165</v>
      </c>
      <c r="E15" s="25">
        <v>169</v>
      </c>
      <c r="F15" s="25">
        <v>51</v>
      </c>
      <c r="G15" s="25">
        <v>66</v>
      </c>
      <c r="H15" s="25">
        <v>100</v>
      </c>
      <c r="I15" s="25">
        <v>100.53</v>
      </c>
      <c r="J15" s="25">
        <v>113</v>
      </c>
      <c r="K15" s="25">
        <v>132.41999999999999</v>
      </c>
    </row>
    <row r="16" spans="2:11">
      <c r="B16" s="28" t="s">
        <v>11</v>
      </c>
      <c r="C16" s="25">
        <v>0</v>
      </c>
      <c r="D16" s="25">
        <v>0</v>
      </c>
      <c r="E16" s="25">
        <v>0</v>
      </c>
      <c r="F16" s="25">
        <v>0</v>
      </c>
      <c r="G16" s="25">
        <v>0</v>
      </c>
      <c r="H16" s="207" t="s">
        <v>214</v>
      </c>
      <c r="I16" s="207">
        <v>0</v>
      </c>
      <c r="J16" s="207">
        <v>0</v>
      </c>
      <c r="K16" s="207">
        <v>0</v>
      </c>
    </row>
    <row r="17" spans="2:11">
      <c r="B17" s="21" t="s">
        <v>42</v>
      </c>
      <c r="C17" s="29">
        <v>706</v>
      </c>
      <c r="D17" s="29">
        <v>731</v>
      </c>
      <c r="E17" s="29">
        <v>717</v>
      </c>
      <c r="F17" s="29">
        <v>401</v>
      </c>
      <c r="G17" s="29">
        <v>421</v>
      </c>
      <c r="H17" s="29">
        <f>H18</f>
        <v>543</v>
      </c>
      <c r="I17" s="29">
        <f>I19+I18</f>
        <v>590.01</v>
      </c>
      <c r="J17" s="29">
        <f>J18</f>
        <v>632</v>
      </c>
      <c r="K17" s="29">
        <f>K18</f>
        <v>551.49</v>
      </c>
    </row>
    <row r="18" spans="2:11">
      <c r="B18" s="28" t="s">
        <v>9</v>
      </c>
      <c r="C18" s="25">
        <v>706</v>
      </c>
      <c r="D18" s="25">
        <v>731</v>
      </c>
      <c r="E18" s="25">
        <v>717</v>
      </c>
      <c r="F18" s="25">
        <v>401</v>
      </c>
      <c r="G18" s="25">
        <v>421</v>
      </c>
      <c r="H18" s="25">
        <v>543</v>
      </c>
      <c r="I18" s="25">
        <v>590.01</v>
      </c>
      <c r="J18" s="203">
        <v>632</v>
      </c>
      <c r="K18" s="203">
        <v>551.49</v>
      </c>
    </row>
    <row r="19" spans="2:11">
      <c r="B19" s="28" t="s">
        <v>11</v>
      </c>
      <c r="C19" s="25">
        <v>0</v>
      </c>
      <c r="D19" s="25">
        <v>0</v>
      </c>
      <c r="E19" s="25">
        <v>0</v>
      </c>
      <c r="F19" s="25">
        <v>0</v>
      </c>
      <c r="G19" s="25">
        <v>0</v>
      </c>
      <c r="H19" s="25">
        <v>0</v>
      </c>
      <c r="I19" s="25">
        <v>0</v>
      </c>
      <c r="J19" s="25">
        <v>0</v>
      </c>
      <c r="K19" s="25">
        <v>0</v>
      </c>
    </row>
    <row r="20" spans="2:11">
      <c r="B20" s="21" t="s">
        <v>15</v>
      </c>
      <c r="C20" s="25"/>
      <c r="D20" s="25"/>
      <c r="E20" s="25"/>
      <c r="F20" s="25"/>
      <c r="G20" s="25"/>
      <c r="H20" s="25"/>
      <c r="I20" s="25"/>
      <c r="J20" s="204"/>
      <c r="K20" s="204"/>
    </row>
    <row r="21" spans="2:11">
      <c r="B21" s="28" t="s">
        <v>9</v>
      </c>
      <c r="C21" s="25"/>
      <c r="D21" s="25"/>
      <c r="E21" s="25"/>
      <c r="F21" s="25"/>
      <c r="G21" s="25"/>
      <c r="H21" s="25"/>
      <c r="I21" s="25"/>
      <c r="J21" s="204"/>
      <c r="K21" s="204"/>
    </row>
    <row r="22" spans="2:11">
      <c r="B22" s="101" t="s">
        <v>11</v>
      </c>
      <c r="C22" s="102"/>
      <c r="D22" s="102"/>
      <c r="E22" s="102"/>
      <c r="F22" s="102"/>
      <c r="G22" s="102"/>
      <c r="H22" s="102"/>
      <c r="I22" s="102"/>
      <c r="J22" s="205"/>
      <c r="K22" s="205"/>
    </row>
    <row r="23" spans="2:11">
      <c r="B23" s="104" t="s">
        <v>215</v>
      </c>
      <c r="C23" s="98"/>
      <c r="D23" s="98"/>
      <c r="E23" s="98"/>
      <c r="F23" s="98"/>
      <c r="G23" s="98"/>
      <c r="H23" s="98"/>
      <c r="I23" s="98"/>
      <c r="J23" s="206"/>
      <c r="K23" s="206"/>
    </row>
    <row r="24" spans="2:11">
      <c r="B24" s="202" t="s">
        <v>216</v>
      </c>
      <c r="C24" s="103">
        <v>0</v>
      </c>
      <c r="D24" s="25">
        <v>0</v>
      </c>
      <c r="E24" s="25">
        <v>0</v>
      </c>
      <c r="F24" s="25">
        <v>0</v>
      </c>
      <c r="G24" s="25">
        <v>0</v>
      </c>
      <c r="H24" s="25">
        <v>4.2999999999999997E-2</v>
      </c>
      <c r="I24" s="25"/>
      <c r="J24" s="204"/>
      <c r="K24" s="204"/>
    </row>
    <row r="30" spans="2:11">
      <c r="H30" s="61"/>
    </row>
    <row r="31" spans="2:11">
      <c r="H31" s="61"/>
    </row>
    <row r="32" spans="2:11">
      <c r="H32" s="61"/>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6FE4B-61E2-471B-A5EA-532BBDCB352F}">
  <dimension ref="B2:K16"/>
  <sheetViews>
    <sheetView showGridLines="0" zoomScale="80" zoomScaleNormal="80" workbookViewId="0">
      <selection activeCell="N11" sqref="N11"/>
    </sheetView>
  </sheetViews>
  <sheetFormatPr defaultColWidth="9.42578125" defaultRowHeight="14.45"/>
  <cols>
    <col min="2" max="2" width="52.7109375" customWidth="1"/>
    <col min="3" max="3" width="12.42578125" bestFit="1" customWidth="1"/>
    <col min="4" max="4" width="13.5703125" customWidth="1"/>
    <col min="5" max="5" width="12.42578125" customWidth="1"/>
    <col min="6" max="6" width="17.5703125" bestFit="1" customWidth="1"/>
    <col min="7" max="7" width="17.42578125" bestFit="1" customWidth="1"/>
    <col min="8" max="8" width="17.42578125" customWidth="1"/>
    <col min="9" max="10" width="20.5703125" customWidth="1"/>
    <col min="11" max="13" width="17.42578125" customWidth="1"/>
    <col min="14" max="14" width="51.42578125" bestFit="1" customWidth="1"/>
    <col min="15" max="15" width="30.5703125" customWidth="1"/>
    <col min="17" max="17" width="11.42578125" customWidth="1"/>
  </cols>
  <sheetData>
    <row r="2" spans="2:11">
      <c r="B2" s="233" t="s">
        <v>217</v>
      </c>
      <c r="C2" s="232"/>
      <c r="D2" s="232"/>
      <c r="E2" s="232"/>
      <c r="F2" s="232"/>
      <c r="G2" s="232"/>
      <c r="H2" s="232"/>
      <c r="I2" s="232"/>
      <c r="J2" s="232"/>
    </row>
    <row r="3" spans="2:11">
      <c r="B3" s="232"/>
      <c r="C3" s="232"/>
      <c r="D3" s="232"/>
      <c r="E3" s="232"/>
      <c r="F3" s="232"/>
      <c r="G3" s="232"/>
      <c r="H3" s="232"/>
      <c r="I3" s="232"/>
      <c r="J3" s="232"/>
    </row>
    <row r="4" spans="2:11">
      <c r="B4" s="234"/>
      <c r="C4" s="234">
        <v>2017</v>
      </c>
      <c r="D4" s="234">
        <v>2018</v>
      </c>
      <c r="E4" s="234">
        <v>2019</v>
      </c>
      <c r="F4" s="234">
        <v>2020</v>
      </c>
      <c r="G4" s="234">
        <v>2021</v>
      </c>
      <c r="H4" s="234">
        <v>2022</v>
      </c>
      <c r="I4" s="234">
        <v>2023</v>
      </c>
      <c r="J4" s="234">
        <v>2024</v>
      </c>
      <c r="K4" s="234">
        <v>2025</v>
      </c>
    </row>
    <row r="5" spans="2:11">
      <c r="B5" s="235" t="s">
        <v>218</v>
      </c>
      <c r="C5" s="235">
        <v>1198</v>
      </c>
      <c r="D5" s="235">
        <v>1248</v>
      </c>
      <c r="E5" s="235">
        <v>1387</v>
      </c>
      <c r="F5" s="235">
        <v>1390</v>
      </c>
      <c r="G5" s="235">
        <v>1391</v>
      </c>
      <c r="H5" s="235">
        <v>1391</v>
      </c>
      <c r="I5" s="235">
        <v>1358</v>
      </c>
      <c r="J5" s="235">
        <v>1377</v>
      </c>
      <c r="K5" s="235">
        <v>1397</v>
      </c>
    </row>
    <row r="6" spans="2:11">
      <c r="B6" s="236" t="s">
        <v>9</v>
      </c>
      <c r="C6" s="234">
        <v>489</v>
      </c>
      <c r="D6" s="234">
        <v>483</v>
      </c>
      <c r="E6" s="234">
        <v>557</v>
      </c>
      <c r="F6" s="234">
        <v>520</v>
      </c>
      <c r="G6" s="234">
        <v>521</v>
      </c>
      <c r="H6" s="234">
        <v>543</v>
      </c>
      <c r="I6" s="234">
        <v>494</v>
      </c>
      <c r="J6" s="234">
        <v>530</v>
      </c>
      <c r="K6" s="234">
        <v>535</v>
      </c>
    </row>
    <row r="7" spans="2:11">
      <c r="B7" s="236" t="s">
        <v>11</v>
      </c>
      <c r="C7" s="234">
        <v>709</v>
      </c>
      <c r="D7" s="234">
        <v>765</v>
      </c>
      <c r="E7" s="234">
        <v>830</v>
      </c>
      <c r="F7" s="234">
        <v>870</v>
      </c>
      <c r="G7" s="234">
        <v>870</v>
      </c>
      <c r="H7" s="234">
        <v>848</v>
      </c>
      <c r="I7" s="234">
        <v>864</v>
      </c>
      <c r="J7" s="234">
        <v>847</v>
      </c>
      <c r="K7" s="234">
        <v>862</v>
      </c>
    </row>
    <row r="8" spans="2:11">
      <c r="B8" s="235" t="s">
        <v>219</v>
      </c>
      <c r="C8" s="235">
        <v>6</v>
      </c>
      <c r="D8" s="235">
        <v>6</v>
      </c>
      <c r="E8" s="235">
        <v>115</v>
      </c>
      <c r="F8" s="235">
        <v>156</v>
      </c>
      <c r="G8" s="235">
        <v>156</v>
      </c>
      <c r="H8" s="235">
        <v>265</v>
      </c>
      <c r="I8" s="235">
        <v>448</v>
      </c>
      <c r="J8" s="235">
        <v>471</v>
      </c>
      <c r="K8" s="235">
        <v>687</v>
      </c>
    </row>
    <row r="9" spans="2:11">
      <c r="B9" s="236" t="s">
        <v>9</v>
      </c>
      <c r="C9" s="234">
        <v>6</v>
      </c>
      <c r="D9" s="234">
        <v>6</v>
      </c>
      <c r="E9" s="234">
        <v>76</v>
      </c>
      <c r="F9" s="234">
        <v>99</v>
      </c>
      <c r="G9" s="234">
        <v>99</v>
      </c>
      <c r="H9" s="234">
        <v>207</v>
      </c>
      <c r="I9" s="234">
        <v>391</v>
      </c>
      <c r="J9" s="234">
        <v>413</v>
      </c>
      <c r="K9" s="234">
        <v>477</v>
      </c>
    </row>
    <row r="10" spans="2:11">
      <c r="B10" s="236" t="s">
        <v>11</v>
      </c>
      <c r="C10" s="234">
        <v>0</v>
      </c>
      <c r="D10" s="234">
        <v>0</v>
      </c>
      <c r="E10" s="234">
        <v>39</v>
      </c>
      <c r="F10" s="234">
        <v>57</v>
      </c>
      <c r="G10" s="234">
        <v>57</v>
      </c>
      <c r="H10" s="234">
        <v>58</v>
      </c>
      <c r="I10" s="234">
        <v>57</v>
      </c>
      <c r="J10" s="234">
        <v>58</v>
      </c>
      <c r="K10" s="234">
        <v>210</v>
      </c>
    </row>
    <row r="11" spans="2:11">
      <c r="B11" s="235" t="s">
        <v>220</v>
      </c>
      <c r="C11" s="235">
        <v>11</v>
      </c>
      <c r="D11" s="235">
        <v>11</v>
      </c>
      <c r="E11" s="235">
        <v>11</v>
      </c>
      <c r="F11" s="235">
        <v>11</v>
      </c>
      <c r="G11" s="235">
        <v>11</v>
      </c>
      <c r="H11" s="235">
        <v>13</v>
      </c>
      <c r="I11" s="235">
        <v>14</v>
      </c>
      <c r="J11" s="235">
        <v>13</v>
      </c>
      <c r="K11" s="235">
        <v>13</v>
      </c>
    </row>
    <row r="12" spans="2:11">
      <c r="B12" s="236" t="s">
        <v>9</v>
      </c>
      <c r="C12" s="234">
        <v>4</v>
      </c>
      <c r="D12" s="234">
        <v>4</v>
      </c>
      <c r="E12" s="234">
        <v>4</v>
      </c>
      <c r="F12" s="234">
        <v>4</v>
      </c>
      <c r="G12" s="234">
        <v>4</v>
      </c>
      <c r="H12" s="234">
        <v>7</v>
      </c>
      <c r="I12" s="234">
        <v>6</v>
      </c>
      <c r="J12" s="234">
        <v>5</v>
      </c>
      <c r="K12" s="234">
        <v>5</v>
      </c>
    </row>
    <row r="13" spans="2:11">
      <c r="B13" s="236" t="s">
        <v>11</v>
      </c>
      <c r="C13" s="234">
        <v>7</v>
      </c>
      <c r="D13" s="234">
        <v>7</v>
      </c>
      <c r="E13" s="234">
        <v>7</v>
      </c>
      <c r="F13" s="234">
        <v>7</v>
      </c>
      <c r="G13" s="234">
        <v>7</v>
      </c>
      <c r="H13" s="234">
        <v>6</v>
      </c>
      <c r="I13" s="234">
        <v>8</v>
      </c>
      <c r="J13" s="234">
        <v>8</v>
      </c>
      <c r="K13" s="234">
        <v>8</v>
      </c>
    </row>
    <row r="14" spans="2:11">
      <c r="B14" s="235" t="s">
        <v>221</v>
      </c>
      <c r="C14" s="235">
        <v>0</v>
      </c>
      <c r="D14" s="235">
        <v>0</v>
      </c>
      <c r="E14" s="235">
        <v>0</v>
      </c>
      <c r="F14" s="235">
        <v>3</v>
      </c>
      <c r="G14" s="235">
        <v>3</v>
      </c>
      <c r="H14" s="235">
        <v>8</v>
      </c>
      <c r="I14" s="235">
        <v>8</v>
      </c>
      <c r="J14" s="235">
        <v>9</v>
      </c>
      <c r="K14" s="235">
        <v>9</v>
      </c>
    </row>
    <row r="15" spans="2:11">
      <c r="B15" s="236" t="s">
        <v>9</v>
      </c>
      <c r="C15" s="234">
        <v>0</v>
      </c>
      <c r="D15" s="234">
        <v>0</v>
      </c>
      <c r="E15" s="234">
        <v>0</v>
      </c>
      <c r="F15" s="234">
        <v>0</v>
      </c>
      <c r="G15" s="234">
        <v>0</v>
      </c>
      <c r="H15" s="234">
        <v>5</v>
      </c>
      <c r="I15" s="234">
        <v>5</v>
      </c>
      <c r="J15" s="234">
        <v>5</v>
      </c>
      <c r="K15" s="234">
        <v>5</v>
      </c>
    </row>
    <row r="16" spans="2:11">
      <c r="B16" s="236" t="s">
        <v>11</v>
      </c>
      <c r="C16" s="234">
        <v>0</v>
      </c>
      <c r="D16" s="234">
        <v>0</v>
      </c>
      <c r="E16" s="234">
        <v>0</v>
      </c>
      <c r="F16" s="234">
        <v>3</v>
      </c>
      <c r="G16" s="234">
        <v>3</v>
      </c>
      <c r="H16" s="234">
        <v>3</v>
      </c>
      <c r="I16" s="234">
        <v>3</v>
      </c>
      <c r="J16" s="234">
        <v>4</v>
      </c>
      <c r="K16" s="234">
        <v>4</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fbfd9ed-babb-47bb-9184-3b3efb255a8f" xsi:nil="true"/>
    <lcf76f155ced4ddcb4097134ff3c332f xmlns="c1ad0d81-df65-4566-ae4a-f8d5ea599e4e">
      <Terms xmlns="http://schemas.microsoft.com/office/infopath/2007/PartnerControls"/>
    </lcf76f155ced4ddcb4097134ff3c332f>
  </documentManagement>
</p:properties>
</file>

<file path=customXml/item3.xml>��< ? x m l   v e r s i o n = " 1 . 0 "   e n c o d i n g = " U T F - 1 6 "   s t a n d a l o n e = " n o " ? > < D a t a M a s h u p   x m l n s = " h t t p : / / s c h e m a s . m i c r o s o f t . c o m / D a t a M a s h u p " > A A A A A H c 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s y D 0 W q w A A A D 3 A A A A E g A A A E N v b m Z p Z y 9 Q Y W N r Y W d l L n h t b I S P s Q r C M B i E d 8 F 3 K N m b p H E r f 1 P Q w c W C I I h r a E M b b P 9 I k 9 q + m 4 O P 5 C v Y o l U 3 x 7 v 7 4 O 4 e t z u k Q 1 M H V 9 0 6 Y z E h E e U k c F 5 h o W q L O i F o S S q X C 9 i r / K x K H Y w 0 u n h w R U I q 7 y 8 x Y 3 3 f 0 3 5 F b V s y w X n E T t n u k F e 6 U e Q D m / 9 w a H C q z T W R c H y t k Y J G X F D B x 1 H A Z h M y g 1 9 A j N m U / p i w 6 W r f t V p q D L d r Y L M E 9 v 4 g n w A A A P / / A w B Q S w M E F A A C A A g A A A A h A P 8 s I S S H A Q A A 0 Q I A A B M A A A B G b 3 J t d W x h c y 9 T Z W N 0 a W 9 u M S 5 t d F H L b t s w E L w b 8 D 8 s m I s M s I J t p E m R Q I d A T t A e 6 j 7 k H o K 4 C G h p Z R O i y I B L u j W M / H t X s Q E 3 s a M L x Z n F z O y Q s A z a W S h 2 5 + i 6 3 + v 3 a K U 8 V n A m p h u E R S R C D 6 Q r t D A e j i 4 F Z G A w 9 H v A X + G i L 5 G R n N b p x J W x R R u S O 2 0 w z Z 0 N f K F E 5 F f z X 6 x B 8 2 Y 1 + j Q e z i f u j z V O V T Q / a Z C W t B Y D + T B B o 1 s d 0 G d C C g m 5 M 7 G 1 l F 1 K u L W l q 7 R d Z h c f h 8 O R h B / R B S z C x m B 2 + E 2 n z u L v g d w F P R P f v W u Z q + A z q o r T d H v M 1 I I H 9 8 w e T 3 Y 7 S X j Y 4 z f G F K U y y l M W f P x f M l 8 p u 2 T F 2 e Y J D 3 I z r y z V z r e 7 x B 1 J y Q l / u d 2 K e 1 S e d / t i w 8 V 5 2 k 0 + S 9 i K r y 4 4 H 7 C x u m m Y D Y x D w L / h h W T 5 m n E y a n n E c S A i T U / e V Z G 4 / H c G G D t i z h 9 v l 2 j X 2 I T j P E V s w d X 8 A t G + Y Z 8 P Z f x k t u L 1 v t X 1 u 1 1 0 P b w q r e v g l T O q c g X T 2 C 7 Q p y + K y a O E D + P B G 9 d + T 9 t T x t f / A A A A / / 8 D A F B L A Q I t A B Q A B g A I A A A A I Q A q 3 a p A 0 g A A A D c B A A A T A A A A A A A A A A A A A A A A A A A A A A B b Q 2 9 u d G V u d F 9 U e X B l c 1 0 u e G 1 s U E s B A i 0 A F A A C A A g A A A A h A L M g 9 F q s A A A A 9 w A A A B I A A A A A A A A A A A A A A A A A C w M A A E N v b m Z p Z y 9 Q Y W N r Y W d l L n h t b F B L A Q I t A B Q A A g A I A A A A I Q D / L C E k h w E A A N E C A A A T A A A A A A A A A A A A A A A A A O c D A A B G b 3 J t d W x h c y 9 T Z W N 0 a W 9 u M S 5 t U E s F B g A A A A A D A A M A w g A A A J 8 F 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D Q A A A A A A A F 0 N A A D v u 7 8 8 P 3 h t b C B 2 Z X J z a W 9 u P S I x L j A i I H N 0 Y W 5 k Y W x v b m U 9 I m 5 v I j 8 + D Q o 8 T G 9 j Y W x Q Y W N r Y W d l T W V 0 Y W R h d G F G a W x l I H h t b G 5 z O n h z Z D 0 i a H R 0 c D o v L 3 d 3 d y 5 3 M y 5 v c m c v M j A w M S 9 Y T U x T Y 2 h l b W E i I H h t b G 5 z O n h z a T 0 i a H R 0 c D o v L 3 d 3 d y 5 3 M y 5 v c m c v M j A w M S 9 Y T U x T Y 2 h l b W E t a W 5 z d G F u Y 2 U i P j x J d G V t c z 4 8 S X R l b T 4 8 S X R l b U x v Y 2 F 0 a W 9 u P j x J d G V t V H l w Z T 5 G b 3 J t d W x h P C 9 J d G V t V H l w Z T 4 8 S X R l b V B h d G g + U 2 V j d G l v b j E v T n l l J T I w Y n V z c 2 V y J T I w c 2 l k Z W 4 l M j A y M D E 3 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M y 0 w M S 0 y N F Q x M z o 0 O D o z O S 4 2 M z k 0 M z Q y W i I v P j x F b n R y e S B U e X B l P S J G a W x s Q 2 9 s d W 1 u V H l w Z X M i I F Z h b H V l P S J z Q X d Z R 0 J n W U R B d z 0 9 I i 8 + P E V u d H J 5 I F R 5 c G U 9 I k Z p b G x D b 2 x 1 b W 5 O Y W 1 l c y I g V m F s d W U 9 I n N b J n F 1 b 3 Q 7 W W V h c i Z x d W 9 0 O y w m c X V v d D t N b 3 R v c n R l a 2 5 p a 2 s m c X V v d D s s J n F 1 b 3 Q 7 V H J h Z m l r a 3 N s Y W c m c X V v d D s s J n F 1 b 3 Q 7 Q 2 h h c 3 N p c 3 B y b 2 R 1 c 2 V u d C Z x d W 9 0 O y w m c X V v d D t D a G F z c 2 l 0 e X A m c X V v d D s s J n F 1 b 3 Q 7 N F 9 F Z 2 V u d m V r d C Z x d W 9 0 O y w m c X V v d D t T d W 0 g b 2 Y g Q 2 9 1 b n Q 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3 L C Z x d W 9 0 O 2 t l e U N v b H V t b k 5 h b W V z J n F 1 b 3 Q 7 O l t d L C Z x d W 9 0 O 3 F 1 Z X J 5 U m V s Y X R p b 2 5 z a G l w c y Z x d W 9 0 O z p b X S w m c X V v d D t j b 2 x 1 b W 5 J Z G V u d G l 0 a W V z J n F 1 b 3 Q 7 O l s m c X V v d D t T Z W N 0 a W 9 u M S 9 O e W U g Y n V z c 2 V y I H N p Z G V u I D I w M T c v Q X V 0 b 1 J l b W 9 2 Z W R D b 2 x 1 b W 5 z M S 5 7 W W V h c i w w f S Z x d W 9 0 O y w m c X V v d D t T Z W N 0 a W 9 u M S 9 O e W U g Y n V z c 2 V y I H N p Z G V u I D I w M T c v Q X V 0 b 1 J l b W 9 2 Z W R D b 2 x 1 b W 5 z M S 5 7 T W 9 0 b 3 J 0 Z W t u a W t r L D F 9 J n F 1 b 3 Q 7 L C Z x d W 9 0 O 1 N l Y 3 R p b 2 4 x L 0 5 5 Z S B i d X N z Z X I g c 2 l k Z W 4 g M j A x N y 9 B d X R v U m V t b 3 Z l Z E N v b H V t b n M x L n t U c m F m a W t r c 2 x h Z y w y f S Z x d W 9 0 O y w m c X V v d D t T Z W N 0 a W 9 u M S 9 O e W U g Y n V z c 2 V y I H N p Z G V u I D I w M T c v Q X V 0 b 1 J l b W 9 2 Z W R D b 2 x 1 b W 5 z M S 5 7 Q 2 h h c 3 N p c 3 B y b 2 R 1 c 2 V u d C w z f S Z x d W 9 0 O y w m c X V v d D t T Z W N 0 a W 9 u M S 9 O e W U g Y n V z c 2 V y I H N p Z G V u I D I w M T c v Q X V 0 b 1 J l b W 9 2 Z W R D b 2 x 1 b W 5 z M S 5 7 Q 2 h h c 3 N p d H l w L D R 9 J n F 1 b 3 Q 7 L C Z x d W 9 0 O 1 N l Y 3 R p b 2 4 x L 0 5 5 Z S B i d X N z Z X I g c 2 l k Z W 4 g M j A x N y 9 B d X R v U m V t b 3 Z l Z E N v b H V t b n M x L n s 0 X 0 V n Z W 5 2 Z W t 0 L D V 9 J n F 1 b 3 Q 7 L C Z x d W 9 0 O 1 N l Y 3 R p b 2 4 x L 0 5 5 Z S B i d X N z Z X I g c 2 l k Z W 4 g M j A x N y 9 B d X R v U m V t b 3 Z l Z E N v b H V t b n M x L n t T d W 0 g b 2 Y g Q 2 9 1 b n Q s N n 0 m c X V v d D t d L C Z x d W 9 0 O 0 N v b H V t b k N v d W 5 0 J n F 1 b 3 Q 7 O j c s J n F 1 b 3 Q 7 S 2 V 5 Q 2 9 s d W 1 u T m F t Z X M m c X V v d D s 6 W 1 0 s J n F 1 b 3 Q 7 Q 2 9 s d W 1 u S W R l b n R p d G l l c y Z x d W 9 0 O z p b J n F 1 b 3 Q 7 U 2 V j d G l v b j E v T n l l I G J 1 c 3 N l c i B z a W R l b i A y M D E 3 L 0 F 1 d G 9 S Z W 1 v d m V k Q 2 9 s d W 1 u c z E u e 1 l l Y X I s M H 0 m c X V v d D s s J n F 1 b 3 Q 7 U 2 V j d G l v b j E v T n l l I G J 1 c 3 N l c i B z a W R l b i A y M D E 3 L 0 F 1 d G 9 S Z W 1 v d m V k Q 2 9 s d W 1 u c z E u e 0 1 v d G 9 y d G V r b m l r a y w x f S Z x d W 9 0 O y w m c X V v d D t T Z W N 0 a W 9 u M S 9 O e W U g Y n V z c 2 V y I H N p Z G V u I D I w M T c v Q X V 0 b 1 J l b W 9 2 Z W R D b 2 x 1 b W 5 z M S 5 7 V H J h Z m l r a 3 N s Y W c s M n 0 m c X V v d D s s J n F 1 b 3 Q 7 U 2 V j d G l v b j E v T n l l I G J 1 c 3 N l c i B z a W R l b i A y M D E 3 L 0 F 1 d G 9 S Z W 1 v d m V k Q 2 9 s d W 1 u c z E u e 0 N o Y X N z a X N w c m 9 k d X N l b n Q s M 3 0 m c X V v d D s s J n F 1 b 3 Q 7 U 2 V j d G l v b j E v T n l l I G J 1 c 3 N l c i B z a W R l b i A y M D E 3 L 0 F 1 d G 9 S Z W 1 v d m V k Q 2 9 s d W 1 u c z E u e 0 N o Y X N z a X R 5 c C w 0 f S Z x d W 9 0 O y w m c X V v d D t T Z W N 0 a W 9 u M S 9 O e W U g Y n V z c 2 V y I H N p Z G V u I D I w M T c v Q X V 0 b 1 J l b W 9 2 Z W R D b 2 x 1 b W 5 z M S 5 7 N F 9 F Z 2 V u d m V r d C w 1 f S Z x d W 9 0 O y w m c X V v d D t T Z W N 0 a W 9 u M S 9 O e W U g Y n V z c 2 V y I H N p Z G V u I D I w M T c v Q X V 0 b 1 J l b W 9 2 Z W R D b 2 x 1 b W 5 z M S 5 7 U 3 V t I G 9 m I E N v d W 5 0 L D Z 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O e W U l M j B i d X N z Z X I l M j B z a W R l b i U y M D I w M T c v U 2 9 1 c m N l P C 9 J d G V t U G F 0 a D 4 8 L 0 l 0 Z W 1 M b 2 N h d G l v b j 4 8 U 3 R h Y m x l R W 5 0 c m l l c y 8 + P C 9 J d G V t P j x J d G V t P j x J d G V t T G 9 j Y X R p b 2 4 + P E l 0 Z W 1 U e X B l P k Z v c m 1 1 b G E 8 L 0 l 0 Z W 1 U e X B l P j x J d G V t U G F 0 a D 5 T Z W N 0 a W 9 u M S 9 O e W U l M j B i d X N z Z X I l M j B z a W R l b i U y M D I w M T c v U H J v b W 9 0 Z W Q l M j B I Z W F k Z X J z P C 9 J d G V t U G F 0 a D 4 8 L 0 l 0 Z W 1 M b 2 N h d G l v b j 4 8 U 3 R h Y m x l R W 5 0 c m l l c y 8 + P C 9 J d G V t P j x J d G V t P j x J d G V t T G 9 j Y X R p b 2 4 + P E l 0 Z W 1 U e X B l P k Z v c m 1 1 b G E 8 L 0 l 0 Z W 1 U e X B l P j x J d G V t U G F 0 a D 5 T Z W N 0 a W 9 u M S 9 O e W U l M j B i d X N z Z X I l M j B z a W R l b i U y M D I w M T c v Q 2 h h b m d l Z C U y M F R 5 c G U 8 L 0 l 0 Z W 1 Q Y X R o P j w v S X R l b U x v Y 2 F 0 a W 9 u P j x T d G F i b G V F b n R y a W V z L z 4 8 L 0 l 0 Z W 0 + P E l 0 Z W 0 + P E l 0 Z W 1 M b 2 N h d G l v b j 4 8 S X R l b V R 5 c G U + R m 9 y b X V s Y T w v S X R l b V R 5 c G U + P E l 0 Z W 1 Q Y X R o P l N l Y 3 R p b 2 4 x L 0 5 5 Z S U y M G J 1 c 3 N l c i U y M H N p Z G V u J T I w M j A x N y 9 S b 3 V u Z G V k J T I w T 2 Z m P C 9 J d G V t U G F 0 a D 4 8 L 0 l 0 Z W 1 M b 2 N h d G l v b j 4 8 U 3 R h Y m x l R W 5 0 c m l l c y 8 + P C 9 J d G V t P j x J d G V t P j x J d G V t T G 9 j Y X R p b 2 4 + P E l 0 Z W 1 U e X B l P k F s b E Z v c m 1 1 b G F z P C 9 J d G V t V H l w Z T 4 8 S X R l b V B h d G g + P C 9 J d G V t U G F 0 a D 4 8 L 0 l 0 Z W 1 M b 2 N h d G l v b j 4 8 U 3 R h Y m x l R W 5 0 c m l l c y 8 + P C 9 J d G V t P j w v S X R l b X M + P C 9 M b 2 N h b F B h Y 2 t h Z 2 V N Z X R h Z G F 0 Y U Z p b G U + F g A A A F B L B Q Y A A A A A A A A A A A A A A A A A A A A A A A D a A A A A A Q A A A N C M n d 8 B F d E R j H o A w E / C l + s B A A A A n T F s F 8 q h o U i L 1 P j g q V Y y R g A A A A A C A A A A A A A D Z g A A w A A A A B A A A A A y n P 0 e H d o 6 j o K 9 y H + j X 2 7 W A A A A A A S A A A C g A A A A E A A A A E d w 1 f M c C G 2 2 O 7 r 8 y K 8 o h M t Q A A A A u E Q D 9 + z j d P T u Q q O h W / r E X B G G R p h 7 2 t g B / X 8 C 5 d b I s P F E Q 3 Q B h o 1 V Y y E S B P 4 7 s v P r Z t E V n R h W C t O n L 2 a w c z 1 / S E w o 7 8 w d S U H q 0 G y 6 H M Y N P A 8 U A A A A 8 t 4 v j g B T 1 t i X b v P A M B a r 5 3 S C W x g = < / D a t a M a s h u p > 
</file>

<file path=customXml/item4.xml><?xml version="1.0" encoding="utf-8"?>
<ct:contentTypeSchema xmlns:ct="http://schemas.microsoft.com/office/2006/metadata/contentType" xmlns:ma="http://schemas.microsoft.com/office/2006/metadata/properties/metaAttributes" ct:_="" ma:_="" ma:contentTypeName="Dokument" ma:contentTypeID="0x010100C50E3C942841BF4885810D5D9CDF4E4A" ma:contentTypeVersion="12" ma:contentTypeDescription="Opprett et nytt dokument." ma:contentTypeScope="" ma:versionID="eee19762769b85c50b37e6989e0ff7a4">
  <xsd:schema xmlns:xsd="http://www.w3.org/2001/XMLSchema" xmlns:xs="http://www.w3.org/2001/XMLSchema" xmlns:p="http://schemas.microsoft.com/office/2006/metadata/properties" xmlns:ns2="c1ad0d81-df65-4566-ae4a-f8d5ea599e4e" xmlns:ns3="5fbfd9ed-babb-47bb-9184-3b3efb255a8f" targetNamespace="http://schemas.microsoft.com/office/2006/metadata/properties" ma:root="true" ma:fieldsID="73a50f61280f06674432705147f9f5c8" ns2:_="" ns3:_="">
    <xsd:import namespace="c1ad0d81-df65-4566-ae4a-f8d5ea599e4e"/>
    <xsd:import namespace="5fbfd9ed-babb-47bb-9184-3b3efb255a8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ad0d81-df65-4566-ae4a-f8d5ea599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emerkelapper" ma:readOnly="false" ma:fieldId="{5cf76f15-5ced-4ddc-b409-7134ff3c332f}" ma:taxonomyMulti="true" ma:sspId="47d55938-41ab-4010-9402-597ab796c02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bfd9ed-babb-47bb-9184-3b3efb255a8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fa87470-2b34-438b-aeb9-72e3fe909786}" ma:internalName="TaxCatchAll" ma:showField="CatchAllData" ma:web="5fbfd9ed-babb-47bb-9184-3b3efb255a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DBC567-CFE4-41E5-9BAB-82A022C1D01E}"/>
</file>

<file path=customXml/itemProps2.xml><?xml version="1.0" encoding="utf-8"?>
<ds:datastoreItem xmlns:ds="http://schemas.openxmlformats.org/officeDocument/2006/customXml" ds:itemID="{025EBF0D-BF92-4DEE-96DB-AFD4AEF7862F}"/>
</file>

<file path=customXml/itemProps3.xml><?xml version="1.0" encoding="utf-8"?>
<ds:datastoreItem xmlns:ds="http://schemas.openxmlformats.org/officeDocument/2006/customXml" ds:itemID="{1E94B60E-9579-4EC7-9242-BDDF63FF7A3C}"/>
</file>

<file path=customXml/itemProps4.xml><?xml version="1.0" encoding="utf-8"?>
<ds:datastoreItem xmlns:ds="http://schemas.openxmlformats.org/officeDocument/2006/customXml" ds:itemID="{82D23A9D-330C-4CB4-B25E-F338DFE2196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Brittmark Håvard</dc:creator>
  <cp:keywords/>
  <dc:description/>
  <cp:lastModifiedBy>Aslak Dypbukt Grandum</cp:lastModifiedBy>
  <cp:revision/>
  <dcterms:created xsi:type="dcterms:W3CDTF">2022-11-02T14:16:22Z</dcterms:created>
  <dcterms:modified xsi:type="dcterms:W3CDTF">2026-04-07T12:59:27Z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0x010100C50E3C942841BF4885810D5D9CDF4E4A</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