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kl365-my.sharepoint.com/personal/mala_kl_dk/Documents/Skrivebord/"/>
    </mc:Choice>
  </mc:AlternateContent>
  <xr:revisionPtr revIDLastSave="0" documentId="8_{8FA86B2E-8425-4108-A649-A3B9807F70E3}" xr6:coauthVersionLast="47" xr6:coauthVersionMax="47" xr10:uidLastSave="{00000000-0000-0000-0000-000000000000}"/>
  <workbookProtection workbookAlgorithmName="SHA-512" workbookHashValue="KTTVU8j9P5W4X6eGsL+UOk+n3xEFcgDtYY7YxOMKyqXPusgmLYu5ENGWN/nT3y1Eza+2RL0NwmS6/M//oSvP2w==" workbookSaltValue="xhZEE+ScAql7HJH3tSbPmw==" workbookSpinCount="100000" lockStructure="1"/>
  <bookViews>
    <workbookView xWindow="-110" yWindow="-110" windowWidth="22780" windowHeight="14540" xr2:uid="{7BDAE2FA-C1B3-4C2A-902C-4DF34CA7706C}"/>
  </bookViews>
  <sheets>
    <sheet name="Løn" sheetId="3" r:id="rId1"/>
    <sheet name="Satser, mv" sheetId="1" state="hidden" r:id="rId2"/>
    <sheet name="Satstabeller" sheetId="8" state="hidden" r:id="rId3"/>
  </sheets>
  <definedNames>
    <definedName name="_xlnm._FilterDatabase" localSheetId="1" hidden="1">'Satser, mv'!#REF!</definedName>
    <definedName name="Anlæg">'Satser, mv'!$AS$3:$AS$4</definedName>
    <definedName name="Asfaltør">'Satser, mv'!$AT$3:$AT$4</definedName>
    <definedName name="Chauffør">'Satser, mv'!$AV$3:$AV$4</definedName>
    <definedName name="Dyrepasser">'Satser, mv'!$AX$3:$AX$4</definedName>
    <definedName name="Ejendomsservicetekniker">'Satser, mv'!$AY$3:$AY$4</definedName>
    <definedName name="Ernæringsassistent">'Satser, mv'!$AZ$3:$AZ$4</definedName>
    <definedName name="Forsyningsoperatør">'Satser, mv'!$BA$3:$BA$4</definedName>
    <definedName name="Gartner">'Satser, mv'!$BB$3:$BB$4</definedName>
    <definedName name="Industrioperatør">'Satser, mv'!$BC$3:$BC$4</definedName>
    <definedName name="Kloakmester">'Satser, mv'!$AU$3:$AU$4</definedName>
    <definedName name="Kranfører">'Satser, mv'!$BD$3:$BD$4</definedName>
    <definedName name="Lager_terminal">'Satser, mv'!$BF$3:$BF$4</definedName>
    <definedName name="Landbrugsuddannelsen">'Satser, mv'!$BG$3:$BG$4</definedName>
    <definedName name="Murer">'Satser, mv'!$BH$3:$BH$4</definedName>
    <definedName name="OK18_sats">Satstabeller!$D$3:$J$62</definedName>
    <definedName name="OK21_sats">Satstabeller!$M$3:$S$62</definedName>
    <definedName name="OK24_sats">Satstabeller!$V$3:$AB$62</definedName>
    <definedName name="PAU">'Satser, mv'!$AW$3:$AW$9</definedName>
    <definedName name="Redderuddannelsen">'Satser, mv'!$BI$3:$BI$4</definedName>
    <definedName name="Rengøringstekniker">'Satser, mv'!$BJ$3:$BJ$4</definedName>
    <definedName name="Serviceassistent">'Satser, mv'!$BK$3:$BK$4</definedName>
    <definedName name="Skov_natur">'Satser, mv'!$BM$3:$BM$4</definedName>
    <definedName name="SSA">'Satser, mv'!$BN$3:$BN$4</definedName>
    <definedName name="SSH">'Satser, mv'!$BO$3:$BO$4</definedName>
    <definedName name="Svømmebadsassistent">'Satser, mv'!$BP$3:$BP$4</definedName>
    <definedName name="Uddannelser">OFFSET('Satser, mv'!$AM$1,2,0,COUNTA('Satser, mv'!$AM:$AM)-1)</definedName>
    <definedName name="Vælg_uddannelse">'Satser, mv'!$AR$3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" i="1" l="1"/>
  <c r="C6" i="3"/>
  <c r="P3" i="1" s="1" a="1"/>
  <c r="P3" i="1" s="1"/>
  <c r="P6" i="1" s="1" a="1"/>
  <c r="P6" i="1" s="1"/>
  <c r="W61" i="8"/>
  <c r="AB61" i="8" s="1"/>
  <c r="W60" i="8"/>
  <c r="AA60" i="8" s="1"/>
  <c r="P60" i="8"/>
  <c r="W59" i="8"/>
  <c r="AM3" i="3"/>
  <c r="E61" i="8"/>
  <c r="G61" i="8" s="1"/>
  <c r="E60" i="8"/>
  <c r="J60" i="8" s="1"/>
  <c r="E59" i="8"/>
  <c r="N61" i="8"/>
  <c r="P61" i="8" s="1"/>
  <c r="N60" i="8"/>
  <c r="R60" i="8" s="1"/>
  <c r="N59" i="8"/>
  <c r="AP3" i="1"/>
  <c r="AQ4" i="1" a="1"/>
  <c r="P5" i="1" l="1" a="1"/>
  <c r="P5" i="1" s="1"/>
  <c r="AB60" i="8"/>
  <c r="Y60" i="8"/>
  <c r="Z60" i="8"/>
  <c r="Y61" i="8"/>
  <c r="Z61" i="8"/>
  <c r="AA61" i="8"/>
  <c r="S61" i="8"/>
  <c r="J61" i="8"/>
  <c r="R61" i="8"/>
  <c r="I60" i="8"/>
  <c r="I61" i="8"/>
  <c r="G60" i="8"/>
  <c r="H60" i="8"/>
  <c r="H61" i="8"/>
  <c r="S60" i="8"/>
  <c r="Q60" i="8"/>
  <c r="Q61" i="8"/>
  <c r="AQ4" i="1"/>
  <c r="P4" i="1"/>
  <c r="P13" i="1" s="1" a="1"/>
  <c r="P13" i="1" s="1"/>
  <c r="H13" i="3" l="1"/>
  <c r="G3" i="1" a="1"/>
  <c r="G3" i="1" l="1"/>
  <c r="P8" i="1"/>
  <c r="P9" i="1"/>
  <c r="AC3" i="1"/>
  <c r="AB26" i="1"/>
  <c r="AF27" i="1"/>
  <c r="AC10" i="1"/>
  <c r="AE29" i="1"/>
  <c r="AD31" i="1"/>
  <c r="AE6" i="1"/>
  <c r="AC33" i="1"/>
  <c r="AD24" i="1"/>
  <c r="AE13" i="1"/>
  <c r="AE22" i="1"/>
  <c r="AB28" i="1"/>
  <c r="AB10" i="1"/>
  <c r="AD33" i="1"/>
  <c r="AD28" i="1"/>
  <c r="AD9" i="1"/>
  <c r="AF22" i="1"/>
  <c r="AB32" i="1"/>
  <c r="AF5" i="1"/>
  <c r="AE33" i="1"/>
  <c r="AE28" i="1"/>
  <c r="AF12" i="1"/>
  <c r="AB23" i="1"/>
  <c r="AC32" i="1"/>
  <c r="AC9" i="1"/>
  <c r="AE26" i="1"/>
  <c r="AE21" i="1"/>
  <c r="AE5" i="1"/>
  <c r="AD23" i="1"/>
  <c r="AC25" i="1"/>
  <c r="AE12" i="1"/>
  <c r="AB27" i="1"/>
  <c r="AF28" i="1"/>
  <c r="AB9" i="1"/>
  <c r="AE30" i="1"/>
  <c r="AD32" i="1"/>
  <c r="AF8" i="1"/>
  <c r="AE23" i="1"/>
  <c r="AF21" i="1"/>
  <c r="AF4" i="1"/>
  <c r="AF23" i="1"/>
  <c r="AD25" i="1"/>
  <c r="AB8" i="1"/>
  <c r="AD27" i="1"/>
  <c r="AB29" i="1"/>
  <c r="AD4" i="1"/>
  <c r="AE27" i="1"/>
  <c r="AE32" i="1"/>
  <c r="AB15" i="1"/>
  <c r="AC31" i="1"/>
  <c r="AB22" i="1"/>
  <c r="AD22" i="1"/>
  <c r="AC24" i="1"/>
  <c r="AD15" i="1"/>
  <c r="AC30" i="1"/>
  <c r="AE31" i="1"/>
  <c r="AE25" i="1"/>
  <c r="AB7" i="1"/>
  <c r="AC8" i="1"/>
  <c r="AF33" i="1"/>
  <c r="AB21" i="1"/>
  <c r="AC22" i="1"/>
  <c r="AB14" i="1"/>
  <c r="AE4" i="1"/>
  <c r="AC23" i="1"/>
  <c r="AE24" i="1"/>
  <c r="AF25" i="1"/>
  <c r="AD10" i="1"/>
  <c r="AC15" i="1"/>
  <c r="AF26" i="1"/>
  <c r="AC28" i="1"/>
  <c r="AF13" i="1"/>
  <c r="AE11" i="1"/>
  <c r="AD30" i="1"/>
  <c r="AF31" i="1"/>
  <c r="AD5" i="1"/>
  <c r="AC26" i="1"/>
  <c r="AC27" i="1"/>
  <c r="AC21" i="1"/>
  <c r="AC29" i="1"/>
  <c r="AE10" i="1"/>
  <c r="AD12" i="1"/>
  <c r="AF29" i="1"/>
  <c r="AF30" i="1"/>
  <c r="AF24" i="1"/>
  <c r="AF32" i="1"/>
  <c r="AD26" i="1"/>
  <c r="AB31" i="1"/>
  <c r="AD21" i="1"/>
  <c r="AD29" i="1"/>
  <c r="AF6" i="1"/>
  <c r="AF11" i="1"/>
  <c r="AB30" i="1"/>
  <c r="AB24" i="1"/>
  <c r="AB25" i="1"/>
  <c r="AB33" i="1"/>
  <c r="AD6" i="1"/>
  <c r="AC5" i="1"/>
  <c r="AD11" i="1"/>
  <c r="AE14" i="1"/>
  <c r="AD13" i="1"/>
  <c r="AF15" i="1"/>
  <c r="AF7" i="1"/>
  <c r="AB11" i="1"/>
  <c r="AF9" i="1"/>
  <c r="AC12" i="1"/>
  <c r="AC4" i="1"/>
  <c r="AD7" i="1"/>
  <c r="AC6" i="1"/>
  <c r="AE8" i="1"/>
  <c r="AF14" i="1"/>
  <c r="AD14" i="1"/>
  <c r="AC13" i="1"/>
  <c r="AB5" i="1"/>
  <c r="AC11" i="1"/>
  <c r="AF10" i="1"/>
  <c r="AE9" i="1"/>
  <c r="AE15" i="1"/>
  <c r="AE7" i="1"/>
  <c r="AC7" i="1"/>
  <c r="AB6" i="1"/>
  <c r="AB12" i="1"/>
  <c r="AB4" i="1"/>
  <c r="AC14" i="1"/>
  <c r="AB13" i="1"/>
  <c r="AD8" i="1"/>
  <c r="AF3" i="1"/>
  <c r="AE3" i="1"/>
  <c r="AD3" i="1"/>
  <c r="AB3" i="1"/>
  <c r="P12" i="1" l="1"/>
  <c r="F13" i="3"/>
  <c r="I1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<sst xmlns="http://schemas.openxmlformats.org/spreadsheetml/2006/main" count="516" uniqueCount="211">
  <si>
    <t>Løntrin</t>
  </si>
  <si>
    <t>Områdetillæg</t>
  </si>
  <si>
    <t>Grundsats</t>
  </si>
  <si>
    <t>Område 0</t>
  </si>
  <si>
    <t>Område 1</t>
  </si>
  <si>
    <t>Område 2</t>
  </si>
  <si>
    <t>Område 3</t>
  </si>
  <si>
    <t>Område 4</t>
  </si>
  <si>
    <t>Kommune</t>
  </si>
  <si>
    <t>Område</t>
  </si>
  <si>
    <t>Reguleringsdato</t>
  </si>
  <si>
    <t>Assens</t>
  </si>
  <si>
    <t>Billund</t>
  </si>
  <si>
    <t>Bornholm</t>
  </si>
  <si>
    <t>Brønderselv</t>
  </si>
  <si>
    <t>Fanø</t>
  </si>
  <si>
    <t>Favrskov</t>
  </si>
  <si>
    <t>Faxe</t>
  </si>
  <si>
    <t>Fredericia</t>
  </si>
  <si>
    <t>Guldborgssund</t>
  </si>
  <si>
    <t>Haderslev</t>
  </si>
  <si>
    <t>Hedensted</t>
  </si>
  <si>
    <t>Herning</t>
  </si>
  <si>
    <t>Hjørring</t>
  </si>
  <si>
    <t>Holbæk</t>
  </si>
  <si>
    <t>Holstebro</t>
  </si>
  <si>
    <t>Horsens</t>
  </si>
  <si>
    <t>Ikast-Brande</t>
  </si>
  <si>
    <t>Jammerbugt</t>
  </si>
  <si>
    <t>Kolding</t>
  </si>
  <si>
    <t>Langeland</t>
  </si>
  <si>
    <t>Lemvig</t>
  </si>
  <si>
    <t>Lolland</t>
  </si>
  <si>
    <t>Læsø</t>
  </si>
  <si>
    <t>Mariagerfjord</t>
  </si>
  <si>
    <t>Middelfart</t>
  </si>
  <si>
    <t>Morsø</t>
  </si>
  <si>
    <t>Norddjurs</t>
  </si>
  <si>
    <t>Nordfyn</t>
  </si>
  <si>
    <t>Odder</t>
  </si>
  <si>
    <t>Odsherred</t>
  </si>
  <si>
    <t>Randers</t>
  </si>
  <si>
    <t>Rebild</t>
  </si>
  <si>
    <t>Ringkøbing-Skjern</t>
  </si>
  <si>
    <t>Ringsted</t>
  </si>
  <si>
    <t>Samsø</t>
  </si>
  <si>
    <t>Silkeborg</t>
  </si>
  <si>
    <t>Skive</t>
  </si>
  <si>
    <t>Sorø</t>
  </si>
  <si>
    <t>Stevns</t>
  </si>
  <si>
    <t>Struer</t>
  </si>
  <si>
    <t>Svendborg</t>
  </si>
  <si>
    <t>Syddjurs</t>
  </si>
  <si>
    <t>Thisted</t>
  </si>
  <si>
    <t>Tønder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</si>
  <si>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</si>
  <si>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</si>
  <si>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</si>
  <si>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</si>
  <si>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</si>
  <si>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</si>
  <si>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</si>
  <si>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</si>
  <si>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Esbjerg</t>
  </si>
  <si>
    <t>Frederikshavn</t>
  </si>
  <si>
    <t>Faaborg-Midtfyn</t>
  </si>
  <si>
    <t>Kalundborg</t>
  </si>
  <si>
    <t>Kerteminde</t>
  </si>
  <si>
    <t>Nyborg</t>
  </si>
  <si>
    <t>Næstved</t>
  </si>
  <si>
    <t>Slagelse</t>
  </si>
  <si>
    <t>Sønderborg</t>
  </si>
  <si>
    <t>Aalborg</t>
  </si>
  <si>
    <t>Køge</t>
  </si>
  <si>
    <t>Lejre</t>
  </si>
  <si>
    <t>Roskilde</t>
  </si>
  <si>
    <t>Solrød</t>
  </si>
  <si>
    <t>Aarhus</t>
  </si>
  <si>
    <t>Allerød</t>
  </si>
  <si>
    <t>Fredensborg</t>
  </si>
  <si>
    <t>Frederikssund</t>
  </si>
  <si>
    <t>Gribskov</t>
  </si>
  <si>
    <t>Halsnæs</t>
  </si>
  <si>
    <t>Helsingør</t>
  </si>
  <si>
    <t>Hillerød</t>
  </si>
  <si>
    <t>Hørsholm</t>
  </si>
  <si>
    <t>Albertslund</t>
  </si>
  <si>
    <t>Ballerup</t>
  </si>
  <si>
    <t>Brøndby</t>
  </si>
  <si>
    <t>Egedal</t>
  </si>
  <si>
    <t>Frederiksberg</t>
  </si>
  <si>
    <t>Furesø</t>
  </si>
  <si>
    <t>Gentofte</t>
  </si>
  <si>
    <t>Gladsaxe</t>
  </si>
  <si>
    <t>Glostrup</t>
  </si>
  <si>
    <t>Greve</t>
  </si>
  <si>
    <t>Herlev</t>
  </si>
  <si>
    <t>Hvidovre</t>
  </si>
  <si>
    <t>Høje-Tåstrup</t>
  </si>
  <si>
    <t>Ishøj</t>
  </si>
  <si>
    <t>København</t>
  </si>
  <si>
    <t>Lyngby-Taarbæk</t>
  </si>
  <si>
    <t>Rødovre</t>
  </si>
  <si>
    <t>Tårnby</t>
  </si>
  <si>
    <t>Vallensbæk</t>
  </si>
  <si>
    <t>Odense</t>
  </si>
  <si>
    <t>Skanderborg</t>
  </si>
  <si>
    <t>Nedre datogrænse</t>
  </si>
  <si>
    <t>Øvre datogrænse</t>
  </si>
  <si>
    <t>Dragør</t>
  </si>
  <si>
    <t>Rudersdal</t>
  </si>
  <si>
    <t>Hjælpetabel løntrin</t>
  </si>
  <si>
    <t>Helligdage</t>
  </si>
  <si>
    <t>Uddannelser</t>
  </si>
  <si>
    <t>Social- og sundhedshjælper</t>
  </si>
  <si>
    <t>Ernæringsassistent</t>
  </si>
  <si>
    <t>Anlægsstruktør, bygningsstruktør og brolægger</t>
  </si>
  <si>
    <t>Asfaltør</t>
  </si>
  <si>
    <t>Autoriseret kloakmester</t>
  </si>
  <si>
    <t>Chauffør (Vejgodstransportuddannelsen)</t>
  </si>
  <si>
    <t>Den pædagogiske assistentuddannelse</t>
  </si>
  <si>
    <t>Dyrepasser (dyreassistent)</t>
  </si>
  <si>
    <t>Forsyningsoperatør</t>
  </si>
  <si>
    <t>Gartner</t>
  </si>
  <si>
    <t>Industrioperatør</t>
  </si>
  <si>
    <t>Kranfører</t>
  </si>
  <si>
    <t>Lager- og terminaluddannelsen</t>
  </si>
  <si>
    <t>Landbrugsuddannelsen</t>
  </si>
  <si>
    <t>Murer</t>
  </si>
  <si>
    <t>Skibsassistent</t>
  </si>
  <si>
    <t>Skov- og naturtekniker</t>
  </si>
  <si>
    <t>Socialformidleruddannelsen (HK kommunal)</t>
  </si>
  <si>
    <t>Ejendomsservicetekniker</t>
  </si>
  <si>
    <t>Kystskipper</t>
  </si>
  <si>
    <t>Redderuddannelsen</t>
  </si>
  <si>
    <t>Serviceassistent</t>
  </si>
  <si>
    <t>Svømmebadsassistent</t>
  </si>
  <si>
    <t>Sætteskipper</t>
  </si>
  <si>
    <t>Beredskabs- og ambulancepersonale</t>
  </si>
  <si>
    <t>Social- og sundhedspersonale</t>
  </si>
  <si>
    <t>Beregning af månedsløn</t>
  </si>
  <si>
    <t>Navnestyring</t>
  </si>
  <si>
    <t>Anlæg</t>
  </si>
  <si>
    <t>Kloakmester</t>
  </si>
  <si>
    <t>Chauffør</t>
  </si>
  <si>
    <t>PAU</t>
  </si>
  <si>
    <t>Dyrepasser</t>
  </si>
  <si>
    <t>Lager_terminal</t>
  </si>
  <si>
    <t>Skov_natur</t>
  </si>
  <si>
    <t>SSH</t>
  </si>
  <si>
    <t>Socialformidler</t>
  </si>
  <si>
    <t>Opslag</t>
  </si>
  <si>
    <t>Beregning af voksenelevløn</t>
  </si>
  <si>
    <t>Skal veligeholdes løbende</t>
  </si>
  <si>
    <t>Satstabel</t>
  </si>
  <si>
    <t>Hjælpetabel Voksenelevløn</t>
  </si>
  <si>
    <t>Satstabel for løntrinsløn
Skal vedligeholdes ved overenskomstfornyelse (hentet fra arket satstabeller, hvor opdateringen skal foregå)</t>
  </si>
  <si>
    <t>Specialarbejder</t>
  </si>
  <si>
    <t>Teknisk service</t>
  </si>
  <si>
    <t>Håndværkere, IT-supportere, mv.</t>
  </si>
  <si>
    <t>Pensionsprocent ok18</t>
  </si>
  <si>
    <t>Pensionsprocent ok21</t>
  </si>
  <si>
    <t>Ureguleret årsløn</t>
  </si>
  <si>
    <t>Vælg overenskomst</t>
  </si>
  <si>
    <t>Vælg uddannelse</t>
  </si>
  <si>
    <t>Elevoverenskomster - generelt</t>
  </si>
  <si>
    <t>Elevoverenskomst - Københavns kommune</t>
  </si>
  <si>
    <t>Trin-tabel</t>
  </si>
  <si>
    <t>Erhvervsuddannede serviceassistenter, rengøringsteknikere og -elever</t>
  </si>
  <si>
    <r>
      <rPr>
        <b/>
        <sz val="14"/>
        <color theme="1"/>
        <rFont val="Calibri"/>
        <family val="2"/>
        <scheme val="minor"/>
      </rPr>
      <t xml:space="preserve">Uddannelse
</t>
    </r>
    <r>
      <rPr>
        <sz val="11"/>
        <color theme="1"/>
        <rFont val="Calibri"/>
        <family val="2"/>
        <scheme val="minor"/>
      </rPr>
      <t>Vælg først uddannelse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fra listen</t>
    </r>
    <r>
      <rPr>
        <b/>
        <sz val="11"/>
        <color theme="1"/>
        <rFont val="Calibri"/>
        <family val="2"/>
        <scheme val="minor"/>
      </rPr>
      <t>.</t>
    </r>
  </si>
  <si>
    <t>Satstabellerne kan findes på krl.dk/#/sats</t>
  </si>
  <si>
    <r>
      <t>Skal vedligeholdes løbende, når reguleringsprocenter kendes (et par gange om året).
Datoer og procenter kan findes på</t>
    </r>
    <r>
      <rPr>
        <sz val="11"/>
        <color rgb="FFFF0000"/>
        <rFont val="Calibri"/>
        <family val="2"/>
        <scheme val="minor"/>
      </rPr>
      <t xml:space="preserve"> krl.dk/#/sats</t>
    </r>
    <r>
      <rPr>
        <sz val="11"/>
        <color theme="1"/>
        <rFont val="Calibri"/>
        <family val="2"/>
        <scheme val="minor"/>
      </rPr>
      <t xml:space="preserve">
Når tabellerne opdateres skal Trin-tabel-kolonnen også opdateres</t>
    </r>
  </si>
  <si>
    <t>Dagplejer EUV1 skal manuelt opdateres, da satsen ikke er givet ud fra løntrin</t>
  </si>
  <si>
    <t>KTO</t>
  </si>
  <si>
    <t>Før 01-04-22 KTO</t>
  </si>
  <si>
    <t>Fra 01-04-22 KTO</t>
  </si>
  <si>
    <t>Reguleringspct.</t>
  </si>
  <si>
    <t>SHK</t>
  </si>
  <si>
    <t>Dagplejer - EUV1</t>
  </si>
  <si>
    <r>
      <rPr>
        <b/>
        <sz val="14"/>
        <color theme="1"/>
        <rFont val="Calibri"/>
        <family val="2"/>
        <scheme val="minor"/>
      </rPr>
      <t xml:space="preserve">Overenskomst
</t>
    </r>
    <r>
      <rPr>
        <sz val="11"/>
        <color theme="1"/>
        <rFont val="Calibri"/>
        <family val="2"/>
        <scheme val="minor"/>
      </rPr>
      <t>Vælg derefter den overenskomst elevforholdet vedrører.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På de fleste uddannelser er der kun én overenskomst, man kan vælge. Tal med din leder, hvis der er flere, og du er i tvivl om, hvilken én du skal vælge.</t>
    </r>
  </si>
  <si>
    <t>Syge- og sundhedspersonale</t>
  </si>
  <si>
    <t>Dagplejer - EUV2 eller EUV3</t>
  </si>
  <si>
    <r>
      <rPr>
        <b/>
        <sz val="14"/>
        <color theme="1"/>
        <rFont val="Calibri"/>
        <family val="2"/>
        <scheme val="minor"/>
      </rPr>
      <t>Løntrin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Her angives dit løntrin. Løntrinnet kan findes på din lønseddel.</t>
    </r>
  </si>
  <si>
    <r>
      <rPr>
        <b/>
        <sz val="14"/>
        <color theme="1"/>
        <rFont val="Calibri"/>
        <family val="2"/>
        <scheme val="minor"/>
      </rPr>
      <t xml:space="preserve">Kommune
</t>
    </r>
    <r>
      <rPr>
        <sz val="10"/>
        <color theme="1"/>
        <rFont val="Calibri"/>
        <family val="2"/>
        <scheme val="minor"/>
      </rPr>
      <t>Her angives den kommune, du arbejder i.</t>
    </r>
  </si>
  <si>
    <r>
      <rPr>
        <b/>
        <sz val="14"/>
        <color theme="1"/>
        <rFont val="Calibri"/>
        <family val="2"/>
        <scheme val="minor"/>
      </rPr>
      <t xml:space="preserve">Ansøgningsdato
</t>
    </r>
    <r>
      <rPr>
        <sz val="10"/>
        <color theme="1"/>
        <rFont val="Calibri"/>
        <family val="2"/>
        <scheme val="minor"/>
      </rPr>
      <t>Her angives ansøgsningsdatoen.</t>
    </r>
  </si>
  <si>
    <t>Vælg_uddannelse</t>
  </si>
  <si>
    <t>Pædagogmedhjælpere og pædagogiske assistenter - EUV1</t>
  </si>
  <si>
    <t>Omsorgs- og pædagogmedhjælpere samt pædagogiske assistenter - EUV1</t>
  </si>
  <si>
    <t>Omsorgs- og pædagogmedhjælpere samt pædagogiske assistenter - EUV2 eller EUV3</t>
  </si>
  <si>
    <t>Pædagogmedhjælpere og pædagogiske assistenter - EUV2 eller EUV3</t>
  </si>
  <si>
    <r>
      <t xml:space="preserve">Pensionsprocent
</t>
    </r>
    <r>
      <rPr>
        <sz val="10"/>
        <color theme="1"/>
        <rFont val="Calibri"/>
        <family val="2"/>
        <scheme val="minor"/>
      </rPr>
      <t>Her angives din pensionsprocent.</t>
    </r>
    <r>
      <rPr>
        <b/>
        <sz val="10"/>
        <color theme="1"/>
        <rFont val="Calibri"/>
        <family val="2"/>
        <scheme val="minor"/>
      </rPr>
      <t xml:space="preserve">
(Hvis du ansøger til en pædagogisk assistentuddannelse skal du skrive 0% her)</t>
    </r>
  </si>
  <si>
    <r>
      <rPr>
        <b/>
        <sz val="14"/>
        <color theme="1"/>
        <rFont val="Calibri"/>
        <family val="2"/>
        <scheme val="minor"/>
      </rPr>
      <t xml:space="preserve">Fast ugentlig arbejdstid
</t>
    </r>
    <r>
      <rPr>
        <sz val="10"/>
        <color theme="1"/>
        <rFont val="Calibri"/>
        <family val="2"/>
        <scheme val="minor"/>
      </rPr>
      <t xml:space="preserve">Her angives din faste ugentlige arbejdstid i timer. Mer- og overarbejde skal </t>
    </r>
    <r>
      <rPr>
        <i/>
        <sz val="10"/>
        <color theme="1"/>
        <rFont val="Calibri"/>
        <family val="2"/>
        <scheme val="minor"/>
      </rPr>
      <t>ikke</t>
    </r>
    <r>
      <rPr>
        <sz val="10"/>
        <color theme="1"/>
        <rFont val="Calibri"/>
        <family val="2"/>
        <scheme val="minor"/>
      </rPr>
      <t>tælles med.
Timetallet står i dit ansættelsesbevis.</t>
    </r>
  </si>
  <si>
    <t>Social- og sundhedsassistent</t>
  </si>
  <si>
    <t>SSA</t>
  </si>
  <si>
    <t>Skal vedligeholdes ved overenskomstfonyelse
Trin og trintillæg findes i de respektive overenskomster
Dagplejer EUV1 og ernæringsassistenter skal opdateres manuelt, da de ikke følger løntrin, men har egne faste satser</t>
  </si>
  <si>
    <r>
      <t xml:space="preserve">Månedlige faste tillæg og fast påregnelige ydelser
</t>
    </r>
    <r>
      <rPr>
        <sz val="10"/>
        <color theme="1"/>
        <rFont val="Calibri"/>
        <family val="2"/>
        <scheme val="minor"/>
      </rPr>
      <t>Hvis du har faste tillæg angives de her i kroner. 
Hvis dine tillæg gives som ekstra løntrin, skal de indgå under 'Løntrin' og ikke her.</t>
    </r>
  </si>
  <si>
    <t>Skal vedligeholdes løbende</t>
  </si>
  <si>
    <t>Fra 01-04-25 KTO</t>
  </si>
  <si>
    <t>OK18_sats</t>
  </si>
  <si>
    <t>OK21_sats</t>
  </si>
  <si>
    <t>OK24_sats</t>
  </si>
  <si>
    <t>OK24-tillæg</t>
  </si>
  <si>
    <t>Pensionsprocent ok24</t>
  </si>
  <si>
    <t>OK18-Tillæg</t>
  </si>
  <si>
    <t>OK21-Tillæg</t>
  </si>
  <si>
    <t>Månedsløn</t>
  </si>
  <si>
    <r>
      <rPr>
        <sz val="11"/>
        <rFont val="Calibri"/>
        <family val="2"/>
        <scheme val="minor"/>
      </rPr>
      <t>Månedslønnen er angivet inkl. særlig feriegodtgørelse og den evt. angivne pension.</t>
    </r>
    <r>
      <rPr>
        <b/>
        <sz val="14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Hvis den pædagogiske assistentuddannelse er valgt under uddannelse, regnes der med en pensionspct. på 0%</t>
    </r>
  </si>
  <si>
    <t>Voksenelevløn pr. måned</t>
  </si>
  <si>
    <t>Pension</t>
  </si>
  <si>
    <t>Rengøringstekniker</t>
  </si>
  <si>
    <t>Reguleringspct. Elevløn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</si>
</sst>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_(* #,##0_);_(* \(#,##0\);_(* &quot;-&quot;??_);_(@_)"/>
    <numFmt numFmtId="166" formatCode="#,##0\ &quot;kr.&quot;"/>
    <numFmt numFmtId="167" formatCode="0.0"/>
    <numFmt numFmtId="168" formatCode="#,##0.00\ &quot;kr.&quot;"/>
    <numFmt numFmtId="169" formatCode="0.0%"/>
    <numFmt numFmtId="170" formatCode="0.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9A08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2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91">
    <xf numFmtId="0" fontId="0" fillId="0" borderId="0" xfId="0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14" fontId="0" fillId="3" borderId="16" xfId="0" applyNumberFormat="1" applyFill="1" applyBorder="1"/>
    <xf numFmtId="0" fontId="0" fillId="3" borderId="17" xfId="0" applyFill="1" applyBorder="1"/>
    <xf numFmtId="14" fontId="0" fillId="3" borderId="18" xfId="0" applyNumberFormat="1" applyFill="1" applyBorder="1"/>
    <xf numFmtId="0" fontId="0" fillId="3" borderId="19" xfId="0" applyFill="1" applyBorder="1"/>
    <xf numFmtId="14" fontId="0" fillId="3" borderId="20" xfId="0" applyNumberFormat="1" applyFill="1" applyBorder="1"/>
    <xf numFmtId="0" fontId="0" fillId="3" borderId="21" xfId="0" applyFill="1" applyBorder="1"/>
    <xf numFmtId="14" fontId="0" fillId="0" borderId="0" xfId="0" applyNumberFormat="1"/>
    <xf numFmtId="165" fontId="3" fillId="2" borderId="6" xfId="6" applyNumberFormat="1" applyFill="1" applyBorder="1"/>
    <xf numFmtId="165" fontId="3" fillId="2" borderId="5" xfId="6" applyNumberFormat="1" applyFill="1" applyBorder="1"/>
    <xf numFmtId="165" fontId="3" fillId="2" borderId="0" xfId="6" applyNumberFormat="1" applyFill="1" applyBorder="1"/>
    <xf numFmtId="165" fontId="3" fillId="2" borderId="7" xfId="6" applyNumberFormat="1" applyFill="1" applyBorder="1"/>
    <xf numFmtId="165" fontId="3" fillId="2" borderId="2" xfId="6" applyNumberFormat="1" applyFill="1" applyBorder="1"/>
    <xf numFmtId="165" fontId="3" fillId="2" borderId="3" xfId="6" applyNumberFormat="1" applyFill="1" applyBorder="1"/>
    <xf numFmtId="165" fontId="3" fillId="2" borderId="8" xfId="6" applyNumberFormat="1" applyFill="1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right"/>
    </xf>
    <xf numFmtId="3" fontId="0" fillId="0" borderId="6" xfId="0" applyNumberFormat="1" applyBorder="1"/>
    <xf numFmtId="0" fontId="0" fillId="0" borderId="2" xfId="0" applyBorder="1"/>
    <xf numFmtId="3" fontId="0" fillId="0" borderId="8" xfId="0" applyNumberFormat="1" applyBorder="1"/>
    <xf numFmtId="14" fontId="0" fillId="0" borderId="1" xfId="0" applyNumberFormat="1" applyBorder="1"/>
    <xf numFmtId="0" fontId="0" fillId="0" borderId="22" xfId="0" applyBorder="1"/>
    <xf numFmtId="0" fontId="0" fillId="0" borderId="9" xfId="0" applyBorder="1"/>
    <xf numFmtId="0" fontId="0" fillId="0" borderId="23" xfId="0" applyBorder="1"/>
    <xf numFmtId="14" fontId="0" fillId="0" borderId="9" xfId="0" applyNumberFormat="1" applyBorder="1"/>
    <xf numFmtId="0" fontId="1" fillId="0" borderId="0" xfId="0" applyFont="1"/>
    <xf numFmtId="165" fontId="0" fillId="0" borderId="0" xfId="0" applyNumberFormat="1"/>
    <xf numFmtId="168" fontId="0" fillId="0" borderId="0" xfId="0" applyNumberFormat="1"/>
    <xf numFmtId="10" fontId="0" fillId="0" borderId="0" xfId="0" applyNumberFormat="1"/>
    <xf numFmtId="0" fontId="0" fillId="0" borderId="6" xfId="0" applyBorder="1"/>
    <xf numFmtId="0" fontId="0" fillId="0" borderId="0" xfId="0" applyAlignment="1">
      <alignment horizontal="center"/>
    </xf>
    <xf numFmtId="165" fontId="3" fillId="0" borderId="0" xfId="6" applyNumberFormat="1" applyFill="1" applyBorder="1"/>
    <xf numFmtId="0" fontId="0" fillId="0" borderId="3" xfId="0" applyBorder="1" applyAlignment="1">
      <alignment wrapText="1"/>
    </xf>
    <xf numFmtId="0" fontId="0" fillId="2" borderId="0" xfId="0" applyFill="1" applyAlignment="1">
      <alignment wrapText="1"/>
    </xf>
    <xf numFmtId="0" fontId="0" fillId="2" borderId="11" xfId="0" applyFill="1" applyBorder="1" applyAlignment="1">
      <alignment wrapText="1"/>
    </xf>
    <xf numFmtId="3" fontId="0" fillId="0" borderId="0" xfId="0" applyNumberFormat="1"/>
    <xf numFmtId="0" fontId="0" fillId="4" borderId="0" xfId="0" applyFill="1"/>
    <xf numFmtId="0" fontId="1" fillId="4" borderId="24" xfId="0" applyFont="1" applyFill="1" applyBorder="1" applyAlignment="1">
      <alignment wrapText="1"/>
    </xf>
    <xf numFmtId="0" fontId="0" fillId="4" borderId="24" xfId="0" applyFill="1" applyBorder="1" applyAlignment="1">
      <alignment wrapText="1"/>
    </xf>
    <xf numFmtId="14" fontId="1" fillId="4" borderId="24" xfId="0" applyNumberFormat="1" applyFont="1" applyFill="1" applyBorder="1" applyAlignment="1">
      <alignment wrapText="1"/>
    </xf>
    <xf numFmtId="0" fontId="0" fillId="4" borderId="0" xfId="0" applyFill="1" applyAlignment="1">
      <alignment horizontal="right" vertical="center"/>
    </xf>
    <xf numFmtId="0" fontId="10" fillId="4" borderId="0" xfId="0" applyFont="1" applyFill="1" applyAlignment="1">
      <alignment vertical="center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7" fillId="5" borderId="25" xfId="0" applyFont="1" applyFill="1" applyBorder="1" applyAlignment="1" applyProtection="1">
      <alignment horizontal="right"/>
      <protection locked="0"/>
    </xf>
    <xf numFmtId="167" fontId="7" fillId="5" borderId="25" xfId="0" applyNumberFormat="1" applyFont="1" applyFill="1" applyBorder="1" applyProtection="1">
      <protection locked="0"/>
    </xf>
    <xf numFmtId="0" fontId="0" fillId="6" borderId="0" xfId="0" applyFill="1"/>
    <xf numFmtId="3" fontId="0" fillId="6" borderId="0" xfId="0" applyNumberFormat="1" applyFill="1"/>
    <xf numFmtId="3" fontId="2" fillId="6" borderId="0" xfId="11" applyNumberFormat="1" applyFill="1" applyBorder="1"/>
    <xf numFmtId="3" fontId="0" fillId="4" borderId="0" xfId="0" applyNumberFormat="1" applyFill="1"/>
    <xf numFmtId="14" fontId="8" fillId="4" borderId="0" xfId="0" applyNumberFormat="1" applyFont="1" applyFill="1"/>
    <xf numFmtId="14" fontId="7" fillId="4" borderId="0" xfId="0" applyNumberFormat="1" applyFont="1" applyFill="1" applyAlignment="1" applyProtection="1">
      <alignment horizontal="right" vertical="center"/>
      <protection locked="0"/>
    </xf>
    <xf numFmtId="0" fontId="7" fillId="5" borderId="25" xfId="0" applyFont="1" applyFill="1" applyBorder="1" applyAlignment="1" applyProtection="1">
      <alignment horizontal="right" wrapText="1"/>
      <protection locked="0"/>
    </xf>
    <xf numFmtId="3" fontId="7" fillId="5" borderId="25" xfId="0" applyNumberFormat="1" applyFont="1" applyFill="1" applyBorder="1" applyAlignment="1" applyProtection="1">
      <alignment horizontal="right"/>
      <protection locked="0"/>
    </xf>
    <xf numFmtId="169" fontId="7" fillId="5" borderId="25" xfId="0" applyNumberFormat="1" applyFont="1" applyFill="1" applyBorder="1" applyProtection="1">
      <protection locked="0"/>
    </xf>
    <xf numFmtId="14" fontId="7" fillId="5" borderId="25" xfId="0" applyNumberFormat="1" applyFont="1" applyFill="1" applyBorder="1" applyAlignment="1" applyProtection="1">
      <alignment horizontal="right" vertical="center" wrapText="1"/>
      <protection locked="0"/>
    </xf>
    <xf numFmtId="14" fontId="7" fillId="5" borderId="25" xfId="0" applyNumberFormat="1" applyFont="1" applyFill="1" applyBorder="1" applyProtection="1">
      <protection locked="0"/>
    </xf>
    <xf numFmtId="0" fontId="0" fillId="3" borderId="29" xfId="0" applyFill="1" applyBorder="1"/>
    <xf numFmtId="0" fontId="7" fillId="7" borderId="25" xfId="0" applyFont="1" applyFill="1" applyBorder="1" applyAlignment="1" applyProtection="1">
      <alignment horizontal="right"/>
      <protection locked="0"/>
    </xf>
    <xf numFmtId="0" fontId="8" fillId="4" borderId="24" xfId="0" applyFont="1" applyFill="1" applyBorder="1" applyAlignment="1">
      <alignment wrapText="1"/>
    </xf>
    <xf numFmtId="3" fontId="3" fillId="2" borderId="0" xfId="6" applyNumberFormat="1" applyFill="1" applyBorder="1"/>
    <xf numFmtId="0" fontId="12" fillId="5" borderId="2" xfId="0" applyFont="1" applyFill="1" applyBorder="1" applyAlignment="1">
      <alignment vertical="center" wrapText="1"/>
    </xf>
    <xf numFmtId="166" fontId="12" fillId="5" borderId="8" xfId="0" applyNumberFormat="1" applyFont="1" applyFill="1" applyBorder="1" applyAlignment="1" applyProtection="1">
      <alignment horizontal="center" vertical="center" wrapText="1"/>
      <protection hidden="1"/>
    </xf>
    <xf numFmtId="3" fontId="13" fillId="5" borderId="8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0" fillId="0" borderId="8" xfId="0" applyBorder="1"/>
    <xf numFmtId="3" fontId="0" fillId="0" borderId="1" xfId="0" applyNumberFormat="1" applyBorder="1"/>
    <xf numFmtId="2" fontId="0" fillId="0" borderId="0" xfId="0" applyNumberFormat="1"/>
    <xf numFmtId="170" fontId="0" fillId="3" borderId="0" xfId="0" applyNumberFormat="1" applyFill="1"/>
    <xf numFmtId="10" fontId="0" fillId="0" borderId="0" xfId="18" applyNumberFormat="1" applyFont="1"/>
    <xf numFmtId="0" fontId="10" fillId="4" borderId="0" xfId="0" applyFont="1" applyFill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5" fillId="0" borderId="3" xfId="0" applyFont="1" applyBorder="1" applyAlignment="1">
      <alignment horizontal="center"/>
    </xf>
    <xf numFmtId="0" fontId="11" fillId="0" borderId="0" xfId="0" applyFont="1" applyAlignment="1">
      <alignment horizontal="center" wrapText="1"/>
    </xf>
  </cellXfs>
  <cellStyles count="19">
    <cellStyle name="Besøgt Hyperlink" xfId="2" xr:uid="{7AA29D3A-306F-4431-AA6B-46626ACA0FCF}"/>
    <cellStyle name="Hyperlink" xfId="3" xr:uid="{9FACF812-B66A-4523-9CED-42C6EB2E7EF9}"/>
    <cellStyle name="Komma 2" xfId="6" xr:uid="{6D0A8D9D-5E6F-4DAB-A4CB-8CDADD9DF594}"/>
    <cellStyle name="Komma 2 2" xfId="11" xr:uid="{AD86BD48-80BE-4122-BC72-0074BCA86958}"/>
    <cellStyle name="Komma 2 3" xfId="17" xr:uid="{5A52BAFF-AA6D-4144-A25A-DCFD0A2D7526}"/>
    <cellStyle name="Komma 3" xfId="4" xr:uid="{1EE16B9B-77A4-4556-9095-A769C308EED2}"/>
    <cellStyle name="Komma 4" xfId="9" xr:uid="{B08B497A-DF6B-4983-9954-E971D6277C2A}"/>
    <cellStyle name="Komma 5" xfId="16" xr:uid="{7404BBAE-C098-4AB3-953E-DBEAD6F36E21}"/>
    <cellStyle name="Normal" xfId="0" builtinId="0"/>
    <cellStyle name="Normal 2" xfId="7" xr:uid="{BF09176C-E010-4B57-AD0A-DDF3D01AC0A5}"/>
    <cellStyle name="Normal 2 2" xfId="12" xr:uid="{2896669A-09F3-4AD6-97FC-4B206B6C519C}"/>
    <cellStyle name="Normal 3" xfId="1" xr:uid="{9C45C034-26BE-467A-A352-C1F15D270B15}"/>
    <cellStyle name="Normal 4" xfId="14" xr:uid="{EB1D6390-0A91-436B-B3B0-3D8FF9DDA58D}"/>
    <cellStyle name="Normal 5" xfId="15" xr:uid="{0973A8DE-8EE8-4B43-A572-C2CA9366C21B}"/>
    <cellStyle name="Procent" xfId="18" builtinId="5"/>
    <cellStyle name="Procent 2" xfId="8" xr:uid="{E64019E8-5F9C-41C5-B4EC-50534C00ACF1}"/>
    <cellStyle name="Procent 2 2" xfId="13" xr:uid="{9E72B057-B281-48B2-8FDE-3B3020667F4F}"/>
    <cellStyle name="Procent 3" xfId="5" xr:uid="{F0C02C08-DA93-4505-B06B-2692092761BD}"/>
    <cellStyle name="Procent 4" xfId="10" xr:uid="{F7769012-5B34-44FB-9942-104CB31D1E2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14321CE3-1F51-4301-BB3D-6DEEDA6F4109}">
      <tableStyleElement type="wholeTable" dxfId="1"/>
      <tableStyleElement type="headerRow" dxfId="0"/>
    </tableStyle>
  </tableStyles>
  <colors>
    <mruColors>
      <color rgb="FFE7E6E6"/>
      <color rgb="FF39A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FDA5-FE27-432D-B2F5-9222EA6D8E54}">
  <sheetPr codeName="Ark1"/>
  <dimension ref="B1:AM13"/>
  <sheetViews>
    <sheetView showGridLines="0" tabSelected="1" topLeftCell="B2" zoomScaleNormal="100" workbookViewId="0">
      <selection activeCell="C4" sqref="C4"/>
    </sheetView>
  </sheetViews>
  <sheetFormatPr defaultColWidth="9.1796875" defaultRowHeight="14.5" x14ac:dyDescent="0.35"/>
  <cols>
    <col min="1" max="1" width="9.1796875" style="45"/>
    <col min="2" max="2" width="44.81640625" style="45" customWidth="1"/>
    <col min="3" max="3" width="16.81640625" style="45" customWidth="1"/>
    <col min="4" max="4" width="9.1796875" style="45"/>
    <col min="5" max="5" width="34.1796875" style="45" customWidth="1"/>
    <col min="6" max="6" width="27" style="45" customWidth="1"/>
    <col min="7" max="7" width="9.1796875" style="45"/>
    <col min="8" max="8" width="32.453125" style="45" customWidth="1"/>
    <col min="9" max="9" width="30.453125" style="45" customWidth="1"/>
    <col min="10" max="16384" width="9.1796875" style="45"/>
  </cols>
  <sheetData>
    <row r="1" spans="2:39" ht="28.5" x14ac:dyDescent="0.35">
      <c r="E1" s="80" t="s">
        <v>140</v>
      </c>
      <c r="F1" s="80"/>
      <c r="G1" s="50"/>
      <c r="H1" s="80" t="s">
        <v>152</v>
      </c>
      <c r="I1" s="80"/>
      <c r="AH1" s="45" t="s">
        <v>196</v>
      </c>
    </row>
    <row r="2" spans="2:39" ht="28.5" x14ac:dyDescent="0.35">
      <c r="E2" s="80"/>
      <c r="F2" s="80"/>
      <c r="G2" s="50"/>
      <c r="H2" s="80"/>
      <c r="I2" s="80"/>
    </row>
    <row r="3" spans="2:39" ht="14.5" customHeight="1" x14ac:dyDescent="0.35">
      <c r="E3" s="81"/>
      <c r="F3" s="81"/>
      <c r="H3" s="81"/>
      <c r="I3" s="81"/>
      <c r="AM3" s="45" t="e">
        <f>VLOOKUP(Løn!I4,AJ3:AK29,2,0)</f>
        <v>#N/A</v>
      </c>
    </row>
    <row r="4" spans="2:39" ht="45" x14ac:dyDescent="0.35">
      <c r="B4" s="47" t="s">
        <v>183</v>
      </c>
      <c r="C4" s="68" t="s">
        <v>8</v>
      </c>
      <c r="E4" s="46" t="s">
        <v>182</v>
      </c>
      <c r="F4" s="54" t="s">
        <v>0</v>
      </c>
      <c r="H4" s="46" t="s">
        <v>169</v>
      </c>
      <c r="I4" s="62" t="s">
        <v>164</v>
      </c>
    </row>
    <row r="6" spans="2:39" ht="105.5" x14ac:dyDescent="0.35">
      <c r="B6" s="47" t="s">
        <v>184</v>
      </c>
      <c r="C6" s="66">
        <f ca="1">TODAY()</f>
        <v>46241</v>
      </c>
      <c r="E6" s="69" t="s">
        <v>195</v>
      </c>
      <c r="F6" s="63">
        <v>0</v>
      </c>
      <c r="H6" s="48" t="s">
        <v>179</v>
      </c>
      <c r="I6" s="65" t="s">
        <v>163</v>
      </c>
    </row>
    <row r="7" spans="2:39" x14ac:dyDescent="0.35">
      <c r="I7" s="49"/>
    </row>
    <row r="8" spans="2:39" ht="72" x14ac:dyDescent="0.45">
      <c r="E8" s="69" t="s">
        <v>190</v>
      </c>
      <c r="F8" s="64">
        <v>0</v>
      </c>
      <c r="H8" s="60"/>
      <c r="I8" s="61"/>
    </row>
    <row r="10" spans="2:39" ht="77.25" customHeight="1" x14ac:dyDescent="0.35">
      <c r="B10" s="59"/>
      <c r="E10" s="47" t="s">
        <v>191</v>
      </c>
      <c r="F10" s="55">
        <v>37</v>
      </c>
    </row>
    <row r="11" spans="2:39" ht="15" thickBot="1" x14ac:dyDescent="0.4"/>
    <row r="12" spans="2:39" ht="18.5" x14ac:dyDescent="0.35">
      <c r="E12" s="82" t="s">
        <v>205</v>
      </c>
      <c r="F12" s="83"/>
      <c r="H12" s="82" t="s">
        <v>207</v>
      </c>
      <c r="I12" s="83"/>
    </row>
    <row r="13" spans="2:39" ht="111" customHeight="1" thickBot="1" x14ac:dyDescent="0.4">
      <c r="C13" s="59"/>
      <c r="E13" s="71" t="s">
        <v>206</v>
      </c>
      <c r="F13" s="72" t="str">
        <f>IF(OR(F4="Løntrin",C4="Kommune"),"Vælg løntrin og kommune",((((SUM('Satser, mv'!P8:P9))*'Satser, mv'!P5+F6*12)*IF(C6&lt;DATEVALUE("01/05/2024"),101.95%,102.48%)+((SUM('Satser, mv'!P8:P9))*'Satser, mv'!P5+F6*12)*IF(I4="Den pædagogiske assistentuddannelse",0,F8))*F10/37)/12)</f>
        <v>Vælg løntrin og kommune</v>
      </c>
      <c r="G13" s="59"/>
      <c r="H13" s="74" t="str">
        <f ca="1">"Voksenelevlønnen er inkl. særlig feriegodtgørelse"&amp;IF('Satser, mv'!$P$13="Ja"," og pension.",".")</f>
        <v>Voksenelevlønnen er inkl. særlig feriegodtgørelse.</v>
      </c>
      <c r="I13" s="73" t="str">
        <f ca="1">IF(OR(I4="Vælg uddannelse",I6="Vælg overenskomst",C4="Kommune"),"Vælg uddannelse, overenskomst og kommune",IF(COUNTIF(INDIRECT('Satser, mv'!$AP$3),Løn!I6)=0,"Vælg overenskomst",'Satser, mv'!P12*'Satser, mv'!P6/12))</f>
        <v>Vælg uddannelse, overenskomst og kommune</v>
      </c>
    </row>
  </sheetData>
  <sheetProtection algorithmName="SHA-512" hashValue="HDMRuzU2GMrrN2pF5PGSTX+x2NUieoRBkQtqwbxvHNj2PN6gMKdGwzt5lacQMhfN9JRG+qqaiS+n8UlMgX34Xw==" saltValue="yjbE6oIKXaBAltNfXLLEbw==" spinCount="100000" sheet="1" selectLockedCells="1"/>
  <mergeCells count="4">
    <mergeCell ref="E1:F3"/>
    <mergeCell ref="H1:I3"/>
    <mergeCell ref="E12:F12"/>
    <mergeCell ref="H12:I12"/>
  </mergeCells>
  <dataValidations count="4">
    <dataValidation type="decimal" errorStyle="warning" operator="lessThan" allowBlank="1" showInputMessage="1" showErrorMessage="1" error="Du har indtastet en pensionsprocent over 25% eller er kommet til at fjerne %-tegnet. Er du sikker på at du har angivet den korrekte procent?" sqref="F8" xr:uid="{A4784BFF-A128-4B21-8F7C-9C959F9897D4}">
      <formula1>0.25</formula1>
    </dataValidation>
    <dataValidation type="whole" errorStyle="warning" allowBlank="1" showInputMessage="1" showErrorMessage="1" error="Du har angivet et meget højt eller et negativt beløb. Vær sikker på at du indtaster dit månedlige tillæg og at der ikke står et minus-tegn før beløbet." sqref="F6" xr:uid="{8795F434-18A9-4EED-8B27-DCEA6CAA9617}">
      <formula1>0</formula1>
      <formula2>100000</formula2>
    </dataValidation>
    <dataValidation type="decimal" errorStyle="warning" allowBlank="1" showInputMessage="1" showErrorMessage="1" error="Du har angivet en ugentlig arbejdstid på over 40 timer. Er du sikker på det er korrekt?" sqref="F10" xr:uid="{3EE5446C-A60D-4510-B221-977F2B3E5EFB}">
      <formula1>1</formula1>
      <formula2>40</formula2>
    </dataValidation>
    <dataValidation type="list" allowBlank="1" showInputMessage="1" showErrorMessage="1" sqref="I4" xr:uid="{36E14E5C-6996-4CCD-BDFA-F75F952B1E37}">
      <formula1>Uddannelser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30773C8-9C1A-406D-AF0B-A1F75F7190D1}">
          <x14:formula1>
            <xm:f>'Satser, mv'!$R$2:$R$100</xm:f>
          </x14:formula1>
          <xm:sqref>C4</xm:sqref>
        </x14:dataValidation>
        <x14:dataValidation type="list" allowBlank="1" showInputMessage="1" showErrorMessage="1" xr:uid="{B96C62BB-BD02-4645-B079-127CF80DBFE7}">
          <x14:formula1>
            <xm:f>INDIRECT('Satser, mv'!$AP$3)</xm:f>
          </x14:formula1>
          <xm:sqref>I6</xm:sqref>
        </x14:dataValidation>
        <x14:dataValidation type="list" allowBlank="1" showInputMessage="1" showErrorMessage="1" error="Angiv løntrin." xr:uid="{9A50B68D-CB0A-4060-A669-61ECDBABCA57}">
          <x14:formula1>
            <xm:f>OFFSET('Satser, mv'!$G$2,0,0,COUNTA('Satser, mv'!$G:$G)-5)</xm:f>
          </x14:formula1>
          <xm:sqref>F4</xm:sqref>
        </x14:dataValidation>
        <x14:dataValidation type="date" allowBlank="1" showInputMessage="1" showErrorMessage="1" error="Du har angivet en ugyldig dato eller en dato der ligger før 01-01-2021. Datoen skal angives med dag-måned-år." xr:uid="{11B93D6B-78FC-405F-AD74-9C166E0480C4}">
          <x14:formula1>
            <xm:f>'Satser, mv'!P23</xm:f>
          </x14:formula1>
          <x14:formula2>
            <xm:f>'Satser, mv'!P24</xm:f>
          </x14:formula2>
          <xm:sqref>C6</xm:sqref>
        </x14:dataValidation>
        <x14:dataValidation type="date" allowBlank="1" showInputMessage="1" showErrorMessage="1" xr:uid="{372A3F1B-9EDF-4429-88C9-46CADB7D7369}">
          <x14:formula1>
            <xm:f>'Satser, mv'!P23</xm:f>
          </x14:formula1>
          <x14:formula2>
            <xm:f>'Satser, mv'!P24</xm:f>
          </x14:formula2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B5BE-4240-43D7-8E46-376EE9F9D584}">
  <sheetPr codeName="Ark5"/>
  <dimension ref="A1:BQ101"/>
  <sheetViews>
    <sheetView workbookViewId="0">
      <selection activeCell="D19" sqref="D19"/>
    </sheetView>
  </sheetViews>
  <sheetFormatPr defaultRowHeight="14.5" x14ac:dyDescent="0.35"/>
  <cols>
    <col min="1" max="1" width="11.54296875" bestFit="1" customWidth="1"/>
    <col min="2" max="2" width="17.1796875" customWidth="1"/>
    <col min="3" max="3" width="11.453125" bestFit="1" customWidth="1"/>
    <col min="4" max="4" width="11.453125" customWidth="1"/>
    <col min="7" max="7" width="18" bestFit="1" customWidth="1"/>
    <col min="8" max="8" width="9.81640625" bestFit="1" customWidth="1"/>
    <col min="12" max="12" width="9.54296875" bestFit="1" customWidth="1"/>
    <col min="13" max="13" width="11.453125" bestFit="1" customWidth="1"/>
    <col min="14" max="14" width="11.453125" customWidth="1"/>
    <col min="15" max="15" width="16.453125" customWidth="1"/>
    <col min="16" max="16" width="12.54296875" bestFit="1" customWidth="1"/>
    <col min="18" max="18" width="17.453125" bestFit="1" customWidth="1"/>
    <col min="19" max="19" width="10.453125" bestFit="1" customWidth="1"/>
    <col min="21" max="21" width="61.453125" bestFit="1" customWidth="1"/>
    <col min="22" max="22" width="9.26953125" customWidth="1"/>
    <col min="23" max="24" width="8" customWidth="1"/>
    <col min="25" max="25" width="9.26953125" customWidth="1"/>
    <col min="26" max="27" width="8.7265625" customWidth="1"/>
    <col min="28" max="28" width="13.453125" bestFit="1" customWidth="1"/>
    <col min="29" max="29" width="12.81640625" bestFit="1" customWidth="1"/>
    <col min="30" max="30" width="18.26953125" bestFit="1" customWidth="1"/>
    <col min="31" max="32" width="12.81640625" bestFit="1" customWidth="1"/>
    <col min="33" max="33" width="17" customWidth="1"/>
    <col min="34" max="35" width="17.26953125" customWidth="1"/>
    <col min="37" max="37" width="10.453125" bestFit="1" customWidth="1"/>
    <col min="39" max="39" width="43.7265625" bestFit="1" customWidth="1"/>
  </cols>
  <sheetData>
    <row r="1" spans="1:69" ht="136.5" customHeight="1" thickBot="1" x14ac:dyDescent="0.4">
      <c r="A1" s="88" t="s">
        <v>171</v>
      </c>
      <c r="B1" s="88"/>
      <c r="C1" s="41"/>
      <c r="D1" s="51"/>
      <c r="G1" s="84" t="s">
        <v>156</v>
      </c>
      <c r="H1" s="85"/>
      <c r="I1" s="85"/>
      <c r="J1" s="85"/>
      <c r="K1" s="85"/>
      <c r="L1" s="85"/>
      <c r="M1" s="85"/>
      <c r="N1" s="39"/>
      <c r="U1" s="86" t="s">
        <v>194</v>
      </c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K1" t="s">
        <v>153</v>
      </c>
    </row>
    <row r="2" spans="1:69" ht="29.5" thickBot="1" x14ac:dyDescent="0.4">
      <c r="B2" s="6" t="s">
        <v>10</v>
      </c>
      <c r="C2" s="7" t="s">
        <v>173</v>
      </c>
      <c r="D2" s="52" t="s">
        <v>177</v>
      </c>
      <c r="E2" t="s">
        <v>167</v>
      </c>
      <c r="G2" s="2" t="s">
        <v>0</v>
      </c>
      <c r="H2" s="2" t="s">
        <v>2</v>
      </c>
      <c r="I2" s="2" t="s">
        <v>3</v>
      </c>
      <c r="J2" s="3" t="s">
        <v>4</v>
      </c>
      <c r="K2" s="3" t="s">
        <v>5</v>
      </c>
      <c r="L2" s="3" t="s">
        <v>6</v>
      </c>
      <c r="M2" s="4" t="s">
        <v>7</v>
      </c>
      <c r="O2" s="22" t="s">
        <v>111</v>
      </c>
      <c r="P2" s="23"/>
      <c r="R2" t="s">
        <v>8</v>
      </c>
      <c r="S2" t="s">
        <v>9</v>
      </c>
      <c r="U2" s="2" t="s">
        <v>165</v>
      </c>
      <c r="V2" s="43" t="s">
        <v>198</v>
      </c>
      <c r="W2" s="43" t="s">
        <v>199</v>
      </c>
      <c r="X2" s="43" t="s">
        <v>200</v>
      </c>
      <c r="Y2" s="43" t="s">
        <v>203</v>
      </c>
      <c r="Z2" s="43" t="s">
        <v>204</v>
      </c>
      <c r="AA2" s="43" t="s">
        <v>201</v>
      </c>
      <c r="AB2" s="2" t="s">
        <v>3</v>
      </c>
      <c r="AC2" s="3" t="s">
        <v>4</v>
      </c>
      <c r="AD2" s="3" t="s">
        <v>5</v>
      </c>
      <c r="AE2" s="3" t="s">
        <v>6</v>
      </c>
      <c r="AF2" s="4" t="s">
        <v>7</v>
      </c>
      <c r="AG2" s="42" t="s">
        <v>160</v>
      </c>
      <c r="AH2" s="42" t="s">
        <v>161</v>
      </c>
      <c r="AI2" s="42" t="s">
        <v>202</v>
      </c>
      <c r="AK2" s="30" t="s">
        <v>112</v>
      </c>
      <c r="AM2" s="34" t="s">
        <v>113</v>
      </c>
      <c r="AN2" s="34" t="s">
        <v>141</v>
      </c>
      <c r="AP2" s="34" t="s">
        <v>151</v>
      </c>
      <c r="AR2" s="34" t="s">
        <v>185</v>
      </c>
      <c r="AS2" s="34" t="s">
        <v>116</v>
      </c>
      <c r="AT2" s="34" t="s">
        <v>117</v>
      </c>
      <c r="AU2" s="34" t="s">
        <v>118</v>
      </c>
      <c r="AV2" s="34" t="s">
        <v>119</v>
      </c>
      <c r="AW2" s="34" t="s">
        <v>120</v>
      </c>
      <c r="AX2" s="34" t="s">
        <v>121</v>
      </c>
      <c r="AY2" s="34" t="s">
        <v>132</v>
      </c>
      <c r="AZ2" s="34" t="s">
        <v>115</v>
      </c>
      <c r="BA2" s="34" t="s">
        <v>122</v>
      </c>
      <c r="BB2" s="34" t="s">
        <v>123</v>
      </c>
      <c r="BC2" s="34" t="s">
        <v>124</v>
      </c>
      <c r="BD2" s="34" t="s">
        <v>125</v>
      </c>
      <c r="BE2" s="34" t="s">
        <v>133</v>
      </c>
      <c r="BF2" s="34" t="s">
        <v>126</v>
      </c>
      <c r="BG2" s="34" t="s">
        <v>127</v>
      </c>
      <c r="BH2" s="34" t="s">
        <v>128</v>
      </c>
      <c r="BI2" s="34" t="s">
        <v>134</v>
      </c>
      <c r="BJ2" s="34" t="s">
        <v>209</v>
      </c>
      <c r="BK2" s="34" t="s">
        <v>135</v>
      </c>
      <c r="BL2" s="34" t="s">
        <v>129</v>
      </c>
      <c r="BM2" s="34" t="s">
        <v>130</v>
      </c>
      <c r="BN2" s="34" t="s">
        <v>192</v>
      </c>
      <c r="BO2" s="34" t="s">
        <v>114</v>
      </c>
      <c r="BP2" s="34" t="s">
        <v>136</v>
      </c>
      <c r="BQ2" s="34" t="s">
        <v>137</v>
      </c>
    </row>
    <row r="3" spans="1:69" ht="15" thickBot="1" x14ac:dyDescent="0.4">
      <c r="B3" s="8">
        <v>43739</v>
      </c>
      <c r="C3" s="9">
        <v>1.3908609999999999</v>
      </c>
      <c r="D3" s="53">
        <v>1.219905</v>
      </c>
      <c r="E3" t="s">
        <v>198</v>
      </c>
      <c r="G3" s="1" cm="1">
        <f t="array" aca="1" ref="G3:M62" ca="1">INDIRECT(P4)</f>
        <v>1</v>
      </c>
      <c r="H3" s="16">
        <f ca="1"/>
        <v>147194</v>
      </c>
      <c r="I3" s="16">
        <f ca="1"/>
        <v>0</v>
      </c>
      <c r="J3" s="17">
        <f ca="1"/>
        <v>2082</v>
      </c>
      <c r="K3" s="17">
        <f ca="1"/>
        <v>3523</v>
      </c>
      <c r="L3" s="17">
        <f ca="1"/>
        <v>5606</v>
      </c>
      <c r="M3" s="15">
        <f ca="1"/>
        <v>7047</v>
      </c>
      <c r="N3" s="40"/>
      <c r="O3" s="22" t="s">
        <v>10</v>
      </c>
      <c r="P3" s="29" cm="1">
        <f t="array" aca="1" ref="P3" ca="1">MAX((OFFSET(B3,0,0,COUNTA(B:B)-1,1)&lt;=Løn!C6)*OFFSET(B3,0,0,COUNTA(B:B)-1,1))</f>
        <v>46113</v>
      </c>
      <c r="R3" t="s">
        <v>86</v>
      </c>
      <c r="S3" t="s">
        <v>7</v>
      </c>
      <c r="U3" t="s">
        <v>186</v>
      </c>
      <c r="V3" t="s">
        <v>186</v>
      </c>
      <c r="W3" t="s">
        <v>186</v>
      </c>
      <c r="X3" t="s">
        <v>186</v>
      </c>
      <c r="AB3" s="36">
        <f ca="1">(VLOOKUP(IF($V$2=$P$4,$V3,IF($P$4=$W$2,$W3,$X3)),_xlfn.ANCHORARRAY($G$3),2,0)+(VLOOKUP(IF($V$2=$P$4,$V3,$W3),_xlfn.ANCHORARRAY($G$3),VALUE(RIGHT(AB$2,1)+3),0))+IF($V$2=$P$4,$Y3,IF($P$4=$W$2,$Z3,$AA3)))*IF(Løn!$C$6&lt;DATEVALUE("01/05/2024"),101.95%,102.48%)+(VLOOKUP(IF($V$2=$P$4,$V3,IF($P$4=$W$2,$W3,$X3)),_xlfn.ANCHORARRAY($G$3),2,0)+(VLOOKUP(IF($V$2=$P$4,$V3,$W3),_xlfn.ANCHORARRAY($G$3),VALUE(RIGHT(AB$2,1)+3),0))+IF($V$2=$P$4,$Y3,IF($P$4=$W$2,$Z3,$AA3)))*IF($V$2=$P$4,$AG3,IF($P$4=$W$2,$AH3,$AI3))</f>
        <v>202340.61119999998</v>
      </c>
      <c r="AC3" s="36">
        <f ca="1">(VLOOKUP(IF($V$2=$P$4,$V3,IF($P$4=$W$2,$W3,$X3)),_xlfn.ANCHORARRAY($G$3),2,0)+(VLOOKUP(IF($V$2=$P$4,$V3,$W3),_xlfn.ANCHORARRAY($G$3),VALUE(RIGHT(AC$2,1)+3),0))+IF($V$2=$P$4,$Y3,IF($P$4=$W$2,$Z3,$AA3)))*IF(Løn!$C$6&lt;DATEVALUE("01/05/2024"),101.95%,102.48%)+(VLOOKUP(IF($V$2=$P$4,$V3,IF($P$4=$W$2,$W3,$X3)),_xlfn.ANCHORARRAY($G$3),2,0)+(VLOOKUP(IF($V$2=$P$4,$V3,$W3),_xlfn.ANCHORARRAY($G$3),VALUE(RIGHT(AC$2,1)+3),0))+IF($V$2=$P$4,$Y3,IF($P$4=$W$2,$Z3,$AA3)))*IF($V$2=$P$4,$AG3,IF($P$4=$W$2,$AH3,$AI3))</f>
        <v>205751.14559999999</v>
      </c>
      <c r="AD3" s="36">
        <f ca="1">(VLOOKUP(IF($V$2=$P$4,$V3,IF($P$4=$W$2,$W3,$X3)),_xlfn.ANCHORARRAY($G$3),2,0)+(VLOOKUP(IF($V$2=$P$4,$V3,$W3),_xlfn.ANCHORARRAY($G$3),VALUE(RIGHT(AD$2,1)+3),0))+IF($V$2=$P$4,$Y3,IF($P$4=$W$2,$Z3,$AA3)))*IF(Løn!$C$6&lt;DATEVALUE("01/05/2024"),101.95%,102.48%)+(VLOOKUP(IF($V$2=$P$4,$V3,IF($P$4=$W$2,$W3,$X3)),_xlfn.ANCHORARRAY($G$3),2,0)+(VLOOKUP(IF($V$2=$P$4,$V3,$W3),_xlfn.ANCHORARRAY($G$3),VALUE(RIGHT(AD$2,1)+3),0))+IF($V$2=$P$4,$Y3,IF($P$4=$W$2,$Z3,$AA3)))*IF($V$2=$P$4,$AG3,IF($P$4=$W$2,$AH3,$AI3))</f>
        <v>208522.20479999998</v>
      </c>
      <c r="AE3" s="36">
        <f ca="1">(VLOOKUP(IF($V$2=$P$4,$V3,IF($P$4=$W$2,$W3,$X3)),_xlfn.ANCHORARRAY($G$3),2,0)+(VLOOKUP(IF($V$2=$P$4,$V3,$W3),_xlfn.ANCHORARRAY($G$3),VALUE(RIGHT(AE$2,1)+3),0))+IF($V$2=$P$4,$Y3,IF($P$4=$W$2,$Z3,$AA3)))*IF(Løn!$C$6&lt;DATEVALUE("01/05/2024"),101.95%,102.48%)+(VLOOKUP(IF($V$2=$P$4,$V3,IF($P$4=$W$2,$W3,$X3)),_xlfn.ANCHORARRAY($G$3),2,0)+(VLOOKUP(IF($V$2=$P$4,$V3,$W3),_xlfn.ANCHORARRAY($G$3),VALUE(RIGHT(AE$2,1)+3),0))+IF($V$2=$P$4,$Y3,IF($P$4=$W$2,$Z3,$AA3)))*IF($V$2=$P$4,$AG3,IF($P$4=$W$2,$AH3,$AI3))</f>
        <v>212838.66239999997</v>
      </c>
      <c r="AF3" s="36">
        <f ca="1">(VLOOKUP(IF($V$2=$P$4,$V3,IF($P$4=$W$2,$W3,$X3)),_xlfn.ANCHORARRAY($G$3),2,0)+(VLOOKUP(IF($V$2=$P$4,$V3,$W3),_xlfn.ANCHORARRAY($G$3),VALUE(RIGHT(AF$2,1)+3),0))+IF($V$2=$P$4,$Y3,IF($P$4=$W$2,$Z3,$AA3)))*IF(Løn!$C$6&lt;DATEVALUE("01/05/2024"),101.95%,102.48%)+(VLOOKUP(IF($V$2=$P$4,$V3,IF($P$4=$W$2,$W3,$X3)),_xlfn.ANCHORARRAY($G$3),2,0)+(VLOOKUP(IF($V$2=$P$4,$V3,$W3),_xlfn.ANCHORARRAY($G$3),VALUE(RIGHT(AF$2,1)+3),0))+IF($V$2=$P$4,$Y3,IF($P$4=$W$2,$Z3,$AA3)))*IF($V$2=$P$4,$AG3,IF($P$4=$W$2,$AH3,$AI3))</f>
        <v>215716.3008</v>
      </c>
      <c r="AG3" s="37">
        <v>0</v>
      </c>
      <c r="AH3" s="37">
        <v>0</v>
      </c>
      <c r="AI3" s="37">
        <v>0</v>
      </c>
      <c r="AK3" s="33">
        <v>43466</v>
      </c>
      <c r="AM3" t="s">
        <v>164</v>
      </c>
      <c r="AN3" t="s">
        <v>185</v>
      </c>
      <c r="AP3" t="str">
        <f>VLOOKUP(Løn!I4,AM3:AN29,2,0)</f>
        <v>Vælg_uddannelse</v>
      </c>
      <c r="AR3" t="s">
        <v>163</v>
      </c>
      <c r="AS3" t="s">
        <v>163</v>
      </c>
      <c r="AT3" t="s">
        <v>163</v>
      </c>
      <c r="AU3" t="s">
        <v>163</v>
      </c>
      <c r="AV3" t="s">
        <v>163</v>
      </c>
      <c r="AW3" t="s">
        <v>163</v>
      </c>
      <c r="AX3" t="s">
        <v>163</v>
      </c>
      <c r="AY3" t="s">
        <v>163</v>
      </c>
      <c r="AZ3" t="s">
        <v>163</v>
      </c>
      <c r="BA3" t="s">
        <v>163</v>
      </c>
      <c r="BB3" t="s">
        <v>163</v>
      </c>
      <c r="BC3" t="s">
        <v>163</v>
      </c>
      <c r="BD3" t="s">
        <v>163</v>
      </c>
      <c r="BE3" t="s">
        <v>163</v>
      </c>
      <c r="BF3" t="s">
        <v>163</v>
      </c>
      <c r="BG3" t="s">
        <v>163</v>
      </c>
      <c r="BH3" t="s">
        <v>163</v>
      </c>
      <c r="BI3" t="s">
        <v>163</v>
      </c>
      <c r="BJ3" t="s">
        <v>163</v>
      </c>
      <c r="BK3" t="s">
        <v>163</v>
      </c>
      <c r="BL3" t="s">
        <v>163</v>
      </c>
      <c r="BM3" t="s">
        <v>163</v>
      </c>
      <c r="BN3" t="s">
        <v>163</v>
      </c>
      <c r="BO3" t="s">
        <v>163</v>
      </c>
      <c r="BP3" t="s">
        <v>163</v>
      </c>
      <c r="BQ3" t="s">
        <v>163</v>
      </c>
    </row>
    <row r="4" spans="1:69" x14ac:dyDescent="0.35">
      <c r="B4" s="8">
        <v>43831</v>
      </c>
      <c r="C4" s="9">
        <v>1.4124110000000001</v>
      </c>
      <c r="D4" s="53">
        <v>1.2388060000000001</v>
      </c>
      <c r="E4" t="s">
        <v>198</v>
      </c>
      <c r="G4" s="5">
        <f ca="1"/>
        <v>2</v>
      </c>
      <c r="H4" s="16">
        <f ca="1"/>
        <v>149455</v>
      </c>
      <c r="I4" s="16">
        <f ca="1"/>
        <v>0</v>
      </c>
      <c r="J4" s="17">
        <f ca="1"/>
        <v>2133</v>
      </c>
      <c r="K4" s="17">
        <f ca="1"/>
        <v>3609</v>
      </c>
      <c r="L4" s="17">
        <f ca="1"/>
        <v>5742</v>
      </c>
      <c r="M4" s="15">
        <f ca="1"/>
        <v>7218</v>
      </c>
      <c r="N4" s="40"/>
      <c r="O4" s="24" t="s">
        <v>154</v>
      </c>
      <c r="P4" s="38" t="str">
        <f ca="1">VLOOKUP(P3,OFFSET(B3,0,0,COUNTA(B:B),4),4,0)</f>
        <v>OK24_sats</v>
      </c>
      <c r="R4" t="s">
        <v>78</v>
      </c>
      <c r="S4" t="s">
        <v>6</v>
      </c>
      <c r="U4" t="s">
        <v>189</v>
      </c>
      <c r="V4">
        <v>13</v>
      </c>
      <c r="W4">
        <v>13</v>
      </c>
      <c r="X4">
        <v>13</v>
      </c>
      <c r="Y4">
        <v>1552</v>
      </c>
      <c r="Z4">
        <v>1552</v>
      </c>
      <c r="AA4">
        <v>3272</v>
      </c>
      <c r="AB4" s="36">
        <f ca="1">(VLOOKUP(IF($V$2=$P$4,$V4,IF($P$4=$W$2,$W4,$X4)),_xlfn.ANCHORARRAY($G$3),2,0)+(VLOOKUP(IF($V$2=$P$4,$V4,$W4),_xlfn.ANCHORARRAY($G$3),VALUE(RIGHT(AB$2,1)+3),0))+IF($V$2=$P$4,$Y4,IF($P$4=$W$2,$Z4,$AA4)))*IF(Løn!$C$6&lt;DATEVALUE("01/05/2024"),101.95%,102.48%)+(VLOOKUP(IF($V$2=$P$4,$V4,IF($P$4=$W$2,$W4,$X4)),_xlfn.ANCHORARRAY($G$3),2,0)+(VLOOKUP(IF($V$2=$P$4,$V4,$W4),_xlfn.ANCHORARRAY($G$3),VALUE(RIGHT(AB$2,1)+3),0))+IF($V$2=$P$4,$Y4,IF($P$4=$W$2,$Z4,$AA4)))*IF($V$2=$P$4,$AG4,IF($P$4=$W$2,$AH4,$AI4))</f>
        <v>189235.46879999997</v>
      </c>
      <c r="AC4" s="36">
        <f ca="1">(VLOOKUP(IF($V$2=$P$4,$V4,IF($P$4=$W$2,$W4,$X4)),_xlfn.ANCHORARRAY($G$3),2,0)+(VLOOKUP(IF($V$2=$P$4,$V4,$W4),_xlfn.ANCHORARRAY($G$3),VALUE(RIGHT(AC$2,1)+3),0))+IF($V$2=$P$4,$Y4,IF($P$4=$W$2,$Z4,$AA4)))*IF(Løn!$C$6&lt;DATEVALUE("01/05/2024"),101.95%,102.48%)+(VLOOKUP(IF($V$2=$P$4,$V4,IF($P$4=$W$2,$W4,$X4)),_xlfn.ANCHORARRAY($G$3),2,0)+(VLOOKUP(IF($V$2=$P$4,$V4,$W4),_xlfn.ANCHORARRAY($G$3),VALUE(RIGHT(AC$2,1)+3),0))+IF($V$2=$P$4,$Y4,IF($P$4=$W$2,$Z4,$AA4)))*IF($V$2=$P$4,$AG4,IF($P$4=$W$2,$AH4,$AI4))</f>
        <v>192099.78479999999</v>
      </c>
      <c r="AD4" s="36">
        <f ca="1">(VLOOKUP(IF($V$2=$P$4,$V4,IF($P$4=$W$2,$W4,$X4)),_xlfn.ANCHORARRAY($G$3),2,0)+(VLOOKUP(IF($V$2=$P$4,$V4,$W4),_xlfn.ANCHORARRAY($G$3),VALUE(RIGHT(AD$2,1)+3),0))+IF($V$2=$P$4,$Y4,IF($P$4=$W$2,$Z4,$AA4)))*IF(Løn!$C$6&lt;DATEVALUE("01/05/2024"),101.95%,102.48%)+(VLOOKUP(IF($V$2=$P$4,$V4,IF($P$4=$W$2,$W4,$X4)),_xlfn.ANCHORARRAY($G$3),2,0)+(VLOOKUP(IF($V$2=$P$4,$V4,$W4),_xlfn.ANCHORARRAY($G$3),VALUE(RIGHT(AD$2,1)+3),0))+IF($V$2=$P$4,$Y4,IF($P$4=$W$2,$Z4,$AA4)))*IF($V$2=$P$4,$AG4,IF($P$4=$W$2,$AH4,$AI4))</f>
        <v>194082.77279999998</v>
      </c>
      <c r="AE4" s="36">
        <f ca="1">(VLOOKUP(IF($V$2=$P$4,$V4,IF($P$4=$W$2,$W4,$X4)),_xlfn.ANCHORARRAY($G$3),2,0)+(VLOOKUP(IF($V$2=$P$4,$V4,$W4),_xlfn.ANCHORARRAY($G$3),VALUE(RIGHT(AE$2,1)+3),0))+IF($V$2=$P$4,$Y4,IF($P$4=$W$2,$Z4,$AA4)))*IF(Løn!$C$6&lt;DATEVALUE("01/05/2024"),101.95%,102.48%)+(VLOOKUP(IF($V$2=$P$4,$V4,IF($P$4=$W$2,$W4,$X4)),_xlfn.ANCHORARRAY($G$3),2,0)+(VLOOKUP(IF($V$2=$P$4,$V4,$W4),_xlfn.ANCHORARRAY($G$3),VALUE(RIGHT(AE$2,1)+3),0))+IF($V$2=$P$4,$Y4,IF($P$4=$W$2,$Z4,$AA4)))*IF($V$2=$P$4,$AG4,IF($P$4=$W$2,$AH4,$AI4))</f>
        <v>196947.0888</v>
      </c>
      <c r="AF4" s="36">
        <f ca="1">(VLOOKUP(IF($V$2=$P$4,$V4,IF($P$4=$W$2,$W4,$X4)),_xlfn.ANCHORARRAY($G$3),2,0)+(VLOOKUP(IF($V$2=$P$4,$V4,$W4),_xlfn.ANCHORARRAY($G$3),VALUE(RIGHT(AF$2,1)+3),0))+IF($V$2=$P$4,$Y4,IF($P$4=$W$2,$Z4,$AA4)))*IF(Løn!$C$6&lt;DATEVALUE("01/05/2024"),101.95%,102.48%)+(VLOOKUP(IF($V$2=$P$4,$V4,IF($P$4=$W$2,$W4,$X4)),_xlfn.ANCHORARRAY($G$3),2,0)+(VLOOKUP(IF($V$2=$P$4,$V4,$W4),_xlfn.ANCHORARRAY($G$3),VALUE(RIGHT(AF$2,1)+3),0))+IF($V$2=$P$4,$Y4,IF($P$4=$W$2,$Z4,$AA4)))*IF($V$2=$P$4,$AG4,IF($P$4=$W$2,$AH4,$AI4))</f>
        <v>198930.07679999998</v>
      </c>
      <c r="AG4" s="37">
        <v>0</v>
      </c>
      <c r="AH4" s="37">
        <v>0</v>
      </c>
      <c r="AI4" s="37">
        <v>0</v>
      </c>
      <c r="AK4" s="33">
        <v>43573</v>
      </c>
      <c r="AM4" t="s">
        <v>116</v>
      </c>
      <c r="AN4" t="s">
        <v>142</v>
      </c>
      <c r="AQ4" t="str" cm="1">
        <f t="array" aca="1" ref="AQ4" ca="1">INDIRECT('Satser, mv'!$AP$3)</f>
        <v>Vælg overenskomst</v>
      </c>
      <c r="AS4" t="s">
        <v>157</v>
      </c>
      <c r="AT4" t="s">
        <v>157</v>
      </c>
      <c r="AU4" t="s">
        <v>157</v>
      </c>
      <c r="AV4" t="s">
        <v>157</v>
      </c>
      <c r="AW4" t="s">
        <v>178</v>
      </c>
      <c r="AX4" t="s">
        <v>157</v>
      </c>
      <c r="AY4" t="s">
        <v>158</v>
      </c>
      <c r="AZ4" t="s">
        <v>180</v>
      </c>
      <c r="BA4" t="s">
        <v>157</v>
      </c>
      <c r="BB4" t="s">
        <v>157</v>
      </c>
      <c r="BC4" t="s">
        <v>157</v>
      </c>
      <c r="BD4" t="s">
        <v>157</v>
      </c>
      <c r="BF4" t="s">
        <v>157</v>
      </c>
      <c r="BG4" t="s">
        <v>157</v>
      </c>
      <c r="BH4" t="s">
        <v>159</v>
      </c>
      <c r="BI4" t="s">
        <v>138</v>
      </c>
      <c r="BJ4" t="s">
        <v>168</v>
      </c>
      <c r="BK4" t="s">
        <v>168</v>
      </c>
      <c r="BM4" t="s">
        <v>157</v>
      </c>
      <c r="BN4" t="s">
        <v>139</v>
      </c>
      <c r="BO4" t="s">
        <v>139</v>
      </c>
      <c r="BP4" t="s">
        <v>158</v>
      </c>
    </row>
    <row r="5" spans="1:69" x14ac:dyDescent="0.35">
      <c r="B5" s="10">
        <v>43922</v>
      </c>
      <c r="C5" s="11">
        <v>1.4177979999999999</v>
      </c>
      <c r="D5" s="53">
        <v>1.2435309999999999</v>
      </c>
      <c r="E5" t="s">
        <v>198</v>
      </c>
      <c r="G5" s="5">
        <f ca="1"/>
        <v>3</v>
      </c>
      <c r="H5" s="16">
        <f ca="1"/>
        <v>151777</v>
      </c>
      <c r="I5" s="16">
        <f ca="1"/>
        <v>0</v>
      </c>
      <c r="J5" s="17">
        <f ca="1"/>
        <v>2184</v>
      </c>
      <c r="K5" s="17">
        <f ca="1"/>
        <v>3697</v>
      </c>
      <c r="L5" s="17">
        <f ca="1"/>
        <v>5881</v>
      </c>
      <c r="M5" s="15">
        <f ca="1"/>
        <v>7395</v>
      </c>
      <c r="N5" s="40"/>
      <c r="O5" t="s">
        <v>176</v>
      </c>
      <c r="P5" cm="1">
        <f t="array" aca="1" ref="P5" ca="1">INDEX(C:C,2+MATCH(P3,OFFSET(B3,0,0,COUNTA(B:B)),0))</f>
        <v>1.653378</v>
      </c>
      <c r="R5" t="s">
        <v>11</v>
      </c>
      <c r="S5" t="s">
        <v>3</v>
      </c>
      <c r="U5" t="s">
        <v>187</v>
      </c>
      <c r="V5" t="s">
        <v>187</v>
      </c>
      <c r="W5" t="s">
        <v>187</v>
      </c>
      <c r="X5" t="s">
        <v>187</v>
      </c>
      <c r="AB5" s="36">
        <f ca="1">(VLOOKUP(IF($V$2=$P$4,$V5,IF($P$4=$W$2,$W5,$X5)),_xlfn.ANCHORARRAY($G$3),2,0)+(VLOOKUP(IF($V$2=$P$4,$V5,$W5),_xlfn.ANCHORARRAY($G$3),VALUE(RIGHT(AB$2,1)+3),0))+IF($V$2=$P$4,$Y5,IF($P$4=$W$2,$Z5,$AA5)))*IF(Løn!$C$6&lt;DATEVALUE("01/05/2024"),101.95%,102.48%)+(VLOOKUP(IF($V$2=$P$4,$V5,IF($P$4=$W$2,$W5,$X5)),_xlfn.ANCHORARRAY($G$3),2,0)+(VLOOKUP(IF($V$2=$P$4,$V5,$W5),_xlfn.ANCHORARRAY($G$3),VALUE(RIGHT(AB$2,1)+3),0))+IF($V$2=$P$4,$Y5,IF($P$4=$W$2,$Z5,$AA5)))*IF($V$2=$P$4,$AG5,IF($P$4=$W$2,$AH5,$AI5))</f>
        <v>202340.61119999998</v>
      </c>
      <c r="AC5" s="36">
        <f ca="1">(VLOOKUP(IF($V$2=$P$4,$V5,IF($P$4=$W$2,$W5,$X5)),_xlfn.ANCHORARRAY($G$3),2,0)+(VLOOKUP(IF($V$2=$P$4,$V5,$W5),_xlfn.ANCHORARRAY($G$3),VALUE(RIGHT(AC$2,1)+3),0))+IF($V$2=$P$4,$Y5,IF($P$4=$W$2,$Z5,$AA5)))*IF(Løn!$C$6&lt;DATEVALUE("01/05/2024"),101.95%,102.48%)+(VLOOKUP(IF($V$2=$P$4,$V5,IF($P$4=$W$2,$W5,$X5)),_xlfn.ANCHORARRAY($G$3),2,0)+(VLOOKUP(IF($V$2=$P$4,$V5,$W5),_xlfn.ANCHORARRAY($G$3),VALUE(RIGHT(AC$2,1)+3),0))+IF($V$2=$P$4,$Y5,IF($P$4=$W$2,$Z5,$AA5)))*IF($V$2=$P$4,$AG5,IF($P$4=$W$2,$AH5,$AI5))</f>
        <v>205751.14559999999</v>
      </c>
      <c r="AD5" s="36">
        <f ca="1">(VLOOKUP(IF($V$2=$P$4,$V5,IF($P$4=$W$2,$W5,$X5)),_xlfn.ANCHORARRAY($G$3),2,0)+(VLOOKUP(IF($V$2=$P$4,$V5,$W5),_xlfn.ANCHORARRAY($G$3),VALUE(RIGHT(AD$2,1)+3),0))+IF($V$2=$P$4,$Y5,IF($P$4=$W$2,$Z5,$AA5)))*IF(Løn!$C$6&lt;DATEVALUE("01/05/2024"),101.95%,102.48%)+(VLOOKUP(IF($V$2=$P$4,$V5,IF($P$4=$W$2,$W5,$X5)),_xlfn.ANCHORARRAY($G$3),2,0)+(VLOOKUP(IF($V$2=$P$4,$V5,$W5),_xlfn.ANCHORARRAY($G$3),VALUE(RIGHT(AD$2,1)+3),0))+IF($V$2=$P$4,$Y5,IF($P$4=$W$2,$Z5,$AA5)))*IF($V$2=$P$4,$AG5,IF($P$4=$W$2,$AH5,$AI5))</f>
        <v>208522.20479999998</v>
      </c>
      <c r="AE5" s="36">
        <f ca="1">(VLOOKUP(IF($V$2=$P$4,$V5,IF($P$4=$W$2,$W5,$X5)),_xlfn.ANCHORARRAY($G$3),2,0)+(VLOOKUP(IF($V$2=$P$4,$V5,$W5),_xlfn.ANCHORARRAY($G$3),VALUE(RIGHT(AE$2,1)+3),0))+IF($V$2=$P$4,$Y5,IF($P$4=$W$2,$Z5,$AA5)))*IF(Løn!$C$6&lt;DATEVALUE("01/05/2024"),101.95%,102.48%)+(VLOOKUP(IF($V$2=$P$4,$V5,IF($P$4=$W$2,$W5,$X5)),_xlfn.ANCHORARRAY($G$3),2,0)+(VLOOKUP(IF($V$2=$P$4,$V5,$W5),_xlfn.ANCHORARRAY($G$3),VALUE(RIGHT(AE$2,1)+3),0))+IF($V$2=$P$4,$Y5,IF($P$4=$W$2,$Z5,$AA5)))*IF($V$2=$P$4,$AG5,IF($P$4=$W$2,$AH5,$AI5))</f>
        <v>212838.66239999997</v>
      </c>
      <c r="AF5" s="36">
        <f ca="1">(VLOOKUP(IF($V$2=$P$4,$V5,IF($P$4=$W$2,$W5,$X5)),_xlfn.ANCHORARRAY($G$3),2,0)+(VLOOKUP(IF($V$2=$P$4,$V5,$W5),_xlfn.ANCHORARRAY($G$3),VALUE(RIGHT(AF$2,1)+3),0))+IF($V$2=$P$4,$Y5,IF($P$4=$W$2,$Z5,$AA5)))*IF(Løn!$C$6&lt;DATEVALUE("01/05/2024"),101.95%,102.48%)+(VLOOKUP(IF($V$2=$P$4,$V5,IF($P$4=$W$2,$W5,$X5)),_xlfn.ANCHORARRAY($G$3),2,0)+(VLOOKUP(IF($V$2=$P$4,$V5,$W5),_xlfn.ANCHORARRAY($G$3),VALUE(RIGHT(AF$2,1)+3),0))+IF($V$2=$P$4,$Y5,IF($P$4=$W$2,$Z5,$AA5)))*IF($V$2=$P$4,$AG5,IF($P$4=$W$2,$AH5,$AI5))</f>
        <v>215716.3008</v>
      </c>
      <c r="AG5" s="37">
        <v>0</v>
      </c>
      <c r="AH5" s="37">
        <v>0</v>
      </c>
      <c r="AI5" s="37">
        <v>0</v>
      </c>
      <c r="AK5" s="33">
        <v>43574</v>
      </c>
      <c r="AM5" t="s">
        <v>117</v>
      </c>
      <c r="AN5" t="s">
        <v>117</v>
      </c>
      <c r="AW5" t="s">
        <v>181</v>
      </c>
    </row>
    <row r="6" spans="1:69" x14ac:dyDescent="0.35">
      <c r="B6" s="8">
        <v>44105</v>
      </c>
      <c r="C6" s="9">
        <v>1.4285110000000001</v>
      </c>
      <c r="D6" s="53">
        <v>1.2529269999999999</v>
      </c>
      <c r="E6" t="s">
        <v>198</v>
      </c>
      <c r="G6" s="5">
        <f ca="1"/>
        <v>4</v>
      </c>
      <c r="H6" s="16">
        <f ca="1"/>
        <v>154163</v>
      </c>
      <c r="I6" s="16">
        <f ca="1"/>
        <v>0</v>
      </c>
      <c r="J6" s="17">
        <f ca="1"/>
        <v>2239</v>
      </c>
      <c r="K6" s="17">
        <f ca="1"/>
        <v>3788</v>
      </c>
      <c r="L6" s="17">
        <f ca="1"/>
        <v>6027</v>
      </c>
      <c r="M6" s="15">
        <f ca="1"/>
        <v>7576</v>
      </c>
      <c r="N6" s="40"/>
      <c r="O6" s="24" t="s">
        <v>210</v>
      </c>
      <c r="P6" s="38" cm="1">
        <f t="array" aca="1" ref="P6" ca="1">INDEX(IF(Løn!$I$6="Syge- og sundhedspersonale",D:D,C:C),2+MATCH(P3,OFFSET(B3,0,0,COUNTA(B:B)),0))</f>
        <v>1.653378</v>
      </c>
      <c r="R6" t="s">
        <v>87</v>
      </c>
      <c r="S6" t="s">
        <v>7</v>
      </c>
      <c r="U6" t="s">
        <v>188</v>
      </c>
      <c r="V6">
        <v>15</v>
      </c>
      <c r="W6">
        <v>15</v>
      </c>
      <c r="X6">
        <v>15</v>
      </c>
      <c r="Y6">
        <v>1160</v>
      </c>
      <c r="Z6">
        <v>1700</v>
      </c>
      <c r="AA6">
        <v>1700</v>
      </c>
      <c r="AB6" s="36">
        <f ca="1">(VLOOKUP(IF($V$2=$P$4,$V6,IF($P$4=$W$2,$W6,$X6)),_xlfn.ANCHORARRAY($G$3),2,0)+(VLOOKUP(IF($V$2=$P$4,$V6,$W6),_xlfn.ANCHORARRAY($G$3),VALUE(RIGHT(AB$2,1)+3),0))+IF($V$2=$P$4,$Y6,IF($P$4=$W$2,$Z6,$AA6)))*IF(Løn!$C$6&lt;DATEVALUE("01/05/2024"),101.95%,102.48%)+(VLOOKUP(IF($V$2=$P$4,$V6,IF($P$4=$W$2,$W6,$X6)),_xlfn.ANCHORARRAY($G$3),2,0)+(VLOOKUP(IF($V$2=$P$4,$V6,$W6),_xlfn.ANCHORARRAY($G$3),VALUE(RIGHT(AB$2,1)+3),0))+IF($V$2=$P$4,$Y6,IF($P$4=$W$2,$Z6,$AA6)))*IF($V$2=$P$4,$AG6,IF($P$4=$W$2,$AH6,$AI6))</f>
        <v>192706.46639999998</v>
      </c>
      <c r="AC6" s="36">
        <f ca="1">(VLOOKUP(IF($V$2=$P$4,$V6,IF($P$4=$W$2,$W6,$X6)),_xlfn.ANCHORARRAY($G$3),2,0)+(VLOOKUP(IF($V$2=$P$4,$V6,$W6),_xlfn.ANCHORARRAY($G$3),VALUE(RIGHT(AC$2,1)+3),0))+IF($V$2=$P$4,$Y6,IF($P$4=$W$2,$Z6,$AA6)))*IF(Løn!$C$6&lt;DATEVALUE("01/05/2024"),101.95%,102.48%)+(VLOOKUP(IF($V$2=$P$4,$V6,IF($P$4=$W$2,$W6,$X6)),_xlfn.ANCHORARRAY($G$3),2,0)+(VLOOKUP(IF($V$2=$P$4,$V6,$W6),_xlfn.ANCHORARRAY($G$3),VALUE(RIGHT(AC$2,1)+3),0))+IF($V$2=$P$4,$Y6,IF($P$4=$W$2,$Z6,$AA6)))*IF($V$2=$P$4,$AG6,IF($P$4=$W$2,$AH6,$AI6))</f>
        <v>195716.30399999997</v>
      </c>
      <c r="AD6" s="36">
        <f ca="1">(VLOOKUP(IF($V$2=$P$4,$V6,IF($P$4=$W$2,$W6,$X6)),_xlfn.ANCHORARRAY($G$3),2,0)+(VLOOKUP(IF($V$2=$P$4,$V6,$W6),_xlfn.ANCHORARRAY($G$3),VALUE(RIGHT(AD$2,1)+3),0))+IF($V$2=$P$4,$Y6,IF($P$4=$W$2,$Z6,$AA6)))*IF(Løn!$C$6&lt;DATEVALUE("01/05/2024"),101.95%,102.48%)+(VLOOKUP(IF($V$2=$P$4,$V6,IF($P$4=$W$2,$W6,$X6)),_xlfn.ANCHORARRAY($G$3),2,0)+(VLOOKUP(IF($V$2=$P$4,$V6,$W6),_xlfn.ANCHORARRAY($G$3),VALUE(RIGHT(AD$2,1)+3),0))+IF($V$2=$P$4,$Y6,IF($P$4=$W$2,$Z6,$AA6)))*IF($V$2=$P$4,$AG6,IF($P$4=$W$2,$AH6,$AI6))</f>
        <v>197801.772</v>
      </c>
      <c r="AE6" s="36">
        <f ca="1">(VLOOKUP(IF($V$2=$P$4,$V6,IF($P$4=$W$2,$W6,$X6)),_xlfn.ANCHORARRAY($G$3),2,0)+(VLOOKUP(IF($V$2=$P$4,$V6,$W6),_xlfn.ANCHORARRAY($G$3),VALUE(RIGHT(AE$2,1)+3),0))+IF($V$2=$P$4,$Y6,IF($P$4=$W$2,$Z6,$AA6)))*IF(Løn!$C$6&lt;DATEVALUE("01/05/2024"),101.95%,102.48%)+(VLOOKUP(IF($V$2=$P$4,$V6,IF($P$4=$W$2,$W6,$X6)),_xlfn.ANCHORARRAY($G$3),2,0)+(VLOOKUP(IF($V$2=$P$4,$V6,$W6),_xlfn.ANCHORARRAY($G$3),VALUE(RIGHT(AE$2,1)+3),0))+IF($V$2=$P$4,$Y6,IF($P$4=$W$2,$Z6,$AA6)))*IF($V$2=$P$4,$AG6,IF($P$4=$W$2,$AH6,$AI6))</f>
        <v>200810.58479999998</v>
      </c>
      <c r="AF6" s="36">
        <f ca="1">(VLOOKUP(IF($V$2=$P$4,$V6,IF($P$4=$W$2,$W6,$X6)),_xlfn.ANCHORARRAY($G$3),2,0)+(VLOOKUP(IF($V$2=$P$4,$V6,$W6),_xlfn.ANCHORARRAY($G$3),VALUE(RIGHT(AF$2,1)+3),0))+IF($V$2=$P$4,$Y6,IF($P$4=$W$2,$Z6,$AA6)))*IF(Løn!$C$6&lt;DATEVALUE("01/05/2024"),101.95%,102.48%)+(VLOOKUP(IF($V$2=$P$4,$V6,IF($P$4=$W$2,$W6,$X6)),_xlfn.ANCHORARRAY($G$3),2,0)+(VLOOKUP(IF($V$2=$P$4,$V6,$W6),_xlfn.ANCHORARRAY($G$3),VALUE(RIGHT(AF$2,1)+3),0))+IF($V$2=$P$4,$Y6,IF($P$4=$W$2,$Z6,$AA6)))*IF($V$2=$P$4,$AG6,IF($P$4=$W$2,$AH6,$AI6))</f>
        <v>202895.02799999999</v>
      </c>
      <c r="AG6" s="37">
        <v>0</v>
      </c>
      <c r="AH6" s="37">
        <v>0</v>
      </c>
      <c r="AI6" s="37">
        <v>0</v>
      </c>
      <c r="AK6" s="33">
        <v>43576</v>
      </c>
      <c r="AM6" t="s">
        <v>118</v>
      </c>
      <c r="AN6" t="s">
        <v>143</v>
      </c>
      <c r="AW6" t="s">
        <v>187</v>
      </c>
    </row>
    <row r="7" spans="1:69" ht="15" thickBot="1" x14ac:dyDescent="0.4">
      <c r="A7" s="79"/>
      <c r="B7" s="12">
        <v>44287</v>
      </c>
      <c r="C7" s="13">
        <v>1.442726</v>
      </c>
      <c r="D7" s="53">
        <v>1.2654559999999999</v>
      </c>
      <c r="E7" t="s">
        <v>198</v>
      </c>
      <c r="G7" s="5">
        <f ca="1"/>
        <v>5</v>
      </c>
      <c r="H7" s="18">
        <f ca="1"/>
        <v>156614</v>
      </c>
      <c r="I7" s="16">
        <f ca="1"/>
        <v>0</v>
      </c>
      <c r="J7" s="17">
        <f ca="1"/>
        <v>2293</v>
      </c>
      <c r="K7" s="17">
        <f ca="1"/>
        <v>3882</v>
      </c>
      <c r="L7" s="17">
        <f ca="1"/>
        <v>6175</v>
      </c>
      <c r="M7" s="15">
        <f ca="1"/>
        <v>7762</v>
      </c>
      <c r="N7" s="40"/>
      <c r="O7" s="24" t="s">
        <v>9</v>
      </c>
      <c r="P7" s="25" t="e">
        <f>VLOOKUP(Løn!C4,R3:S100,2,0)</f>
        <v>#N/A</v>
      </c>
      <c r="R7" t="s">
        <v>12</v>
      </c>
      <c r="S7" t="s">
        <v>3</v>
      </c>
      <c r="U7" t="s">
        <v>178</v>
      </c>
      <c r="V7" t="s">
        <v>178</v>
      </c>
      <c r="W7" t="s">
        <v>178</v>
      </c>
      <c r="X7" t="s">
        <v>178</v>
      </c>
      <c r="AB7" s="36">
        <f ca="1">(VLOOKUP(IF($V$2=$P$4,$V7,IF($P$4=$W$2,$W7,$X7)),_xlfn.ANCHORARRAY($G$3),2,0)+(VLOOKUP(IF($V$2=$P$4,$V7,$W7),_xlfn.ANCHORARRAY($G$3),VALUE(RIGHT(AB$2,1)+3),0))+IF($V$2=$P$4,$Y7,IF($P$4=$W$2,$Z7,$AA7)))*IF(Løn!$C$6&lt;DATEVALUE("01/05/2024"),101.95%,102.48%)+(VLOOKUP(IF($V$2=$P$4,$V7,IF($P$4=$W$2,$W7,$X7)),_xlfn.ANCHORARRAY($G$3),2,0)+(VLOOKUP(IF($V$2=$P$4,$V7,$W7),_xlfn.ANCHORARRAY($G$3),VALUE(RIGHT(AB$2,1)+3),0))+IF($V$2=$P$4,$Y7,IF($P$4=$W$2,$Z7,$AA7)))*IF($V$2=$P$4,$AG7,IF($P$4=$W$2,$AH7,$AI7))</f>
        <v>207616.28159999999</v>
      </c>
      <c r="AC7" s="36">
        <f ca="1">(VLOOKUP(IF($V$2=$P$4,$V7,IF($P$4=$W$2,$W7,$X7)),_xlfn.ANCHORARRAY($G$3),2,0)+(VLOOKUP(IF($V$2=$P$4,$V7,$W7),_xlfn.ANCHORARRAY($G$3),VALUE(RIGHT(AC$2,1)+3),0))+IF($V$2=$P$4,$Y7,IF($P$4=$W$2,$Z7,$AA7)))*IF(Løn!$C$6&lt;DATEVALUE("01/05/2024"),101.95%,102.48%)+(VLOOKUP(IF($V$2=$P$4,$V7,IF($P$4=$W$2,$W7,$X7)),_xlfn.ANCHORARRAY($G$3),2,0)+(VLOOKUP(IF($V$2=$P$4,$V7,$W7),_xlfn.ANCHORARRAY($G$3),VALUE(RIGHT(AC$2,1)+3),0))+IF($V$2=$P$4,$Y7,IF($P$4=$W$2,$Z7,$AA7)))*IF($V$2=$P$4,$AG7,IF($P$4=$W$2,$AH7,$AI7))</f>
        <v>207616.28159999999</v>
      </c>
      <c r="AD7" s="36">
        <f ca="1">(VLOOKUP(IF($V$2=$P$4,$V7,IF($P$4=$W$2,$W7,$X7)),_xlfn.ANCHORARRAY($G$3),2,0)+(VLOOKUP(IF($V$2=$P$4,$V7,$W7),_xlfn.ANCHORARRAY($G$3),VALUE(RIGHT(AD$2,1)+3),0))+IF($V$2=$P$4,$Y7,IF($P$4=$W$2,$Z7,$AA7)))*IF(Løn!$C$6&lt;DATEVALUE("01/05/2024"),101.95%,102.48%)+(VLOOKUP(IF($V$2=$P$4,$V7,IF($P$4=$W$2,$W7,$X7)),_xlfn.ANCHORARRAY($G$3),2,0)+(VLOOKUP(IF($V$2=$P$4,$V7,$W7),_xlfn.ANCHORARRAY($G$3),VALUE(RIGHT(AD$2,1)+3),0))+IF($V$2=$P$4,$Y7,IF($P$4=$W$2,$Z7,$AA7)))*IF($V$2=$P$4,$AG7,IF($P$4=$W$2,$AH7,$AI7))</f>
        <v>207616.28159999999</v>
      </c>
      <c r="AE7" s="36">
        <f ca="1">(VLOOKUP(IF($V$2=$P$4,$V7,IF($P$4=$W$2,$W7,$X7)),_xlfn.ANCHORARRAY($G$3),2,0)+(VLOOKUP(IF($V$2=$P$4,$V7,$W7),_xlfn.ANCHORARRAY($G$3),VALUE(RIGHT(AE$2,1)+3),0))+IF($V$2=$P$4,$Y7,IF($P$4=$W$2,$Z7,$AA7)))*IF(Løn!$C$6&lt;DATEVALUE("01/05/2024"),101.95%,102.48%)+(VLOOKUP(IF($V$2=$P$4,$V7,IF($P$4=$W$2,$W7,$X7)),_xlfn.ANCHORARRAY($G$3),2,0)+(VLOOKUP(IF($V$2=$P$4,$V7,$W7),_xlfn.ANCHORARRAY($G$3),VALUE(RIGHT(AE$2,1)+3),0))+IF($V$2=$P$4,$Y7,IF($P$4=$W$2,$Z7,$AA7)))*IF($V$2=$P$4,$AG7,IF($P$4=$W$2,$AH7,$AI7))</f>
        <v>207616.28159999999</v>
      </c>
      <c r="AF7" s="36">
        <f ca="1">(VLOOKUP(IF($V$2=$P$4,$V7,IF($P$4=$W$2,$W7,$X7)),_xlfn.ANCHORARRAY($G$3),2,0)+(VLOOKUP(IF($V$2=$P$4,$V7,$W7),_xlfn.ANCHORARRAY($G$3),VALUE(RIGHT(AF$2,1)+3),0))+IF($V$2=$P$4,$Y7,IF($P$4=$W$2,$Z7,$AA7)))*IF(Løn!$C$6&lt;DATEVALUE("01/05/2024"),101.95%,102.48%)+(VLOOKUP(IF($V$2=$P$4,$V7,IF($P$4=$W$2,$W7,$X7)),_xlfn.ANCHORARRAY($G$3),2,0)+(VLOOKUP(IF($V$2=$P$4,$V7,$W7),_xlfn.ANCHORARRAY($G$3),VALUE(RIGHT(AF$2,1)+3),0))+IF($V$2=$P$4,$Y7,IF($P$4=$W$2,$Z7,$AA7)))*IF($V$2=$P$4,$AG7,IF($P$4=$W$2,$AH7,$AI7))</f>
        <v>207616.28159999999</v>
      </c>
      <c r="AG7" s="37">
        <v>0</v>
      </c>
      <c r="AH7" s="37">
        <v>0</v>
      </c>
      <c r="AI7" s="37">
        <v>0</v>
      </c>
      <c r="AK7" s="33">
        <v>43577</v>
      </c>
      <c r="AM7" t="s">
        <v>119</v>
      </c>
      <c r="AN7" t="s">
        <v>144</v>
      </c>
      <c r="AW7" t="s">
        <v>188</v>
      </c>
    </row>
    <row r="8" spans="1:69" x14ac:dyDescent="0.35">
      <c r="A8" s="79"/>
      <c r="B8" s="8">
        <v>44470</v>
      </c>
      <c r="C8" s="9">
        <v>1.456933</v>
      </c>
      <c r="D8" s="53">
        <v>1.277855</v>
      </c>
      <c r="E8" t="s">
        <v>198</v>
      </c>
      <c r="G8" s="5">
        <f ca="1"/>
        <v>6</v>
      </c>
      <c r="H8" s="16">
        <f ca="1"/>
        <v>159135</v>
      </c>
      <c r="I8" s="16">
        <f ca="1"/>
        <v>0</v>
      </c>
      <c r="J8" s="17">
        <f ca="1"/>
        <v>2350</v>
      </c>
      <c r="K8" s="17">
        <f ca="1"/>
        <v>3977</v>
      </c>
      <c r="L8" s="17">
        <f ca="1"/>
        <v>6326</v>
      </c>
      <c r="M8" s="15">
        <f ca="1"/>
        <v>7953</v>
      </c>
      <c r="N8" s="40"/>
      <c r="O8" s="24" t="s">
        <v>2</v>
      </c>
      <c r="P8" s="26" t="e">
        <f ca="1">VLOOKUP(Løn!F4,G3:H58,2,0)</f>
        <v>#N/A</v>
      </c>
      <c r="R8" t="s">
        <v>13</v>
      </c>
      <c r="S8" t="s">
        <v>3</v>
      </c>
      <c r="U8" t="s">
        <v>181</v>
      </c>
      <c r="V8">
        <v>18</v>
      </c>
      <c r="W8">
        <v>18</v>
      </c>
      <c r="X8">
        <v>18</v>
      </c>
      <c r="Y8">
        <v>550</v>
      </c>
      <c r="Z8">
        <v>550</v>
      </c>
      <c r="AA8">
        <v>1500</v>
      </c>
      <c r="AB8" s="36">
        <f ca="1">(VLOOKUP(IF($V$2=$P$4,$V8,IF($P$4=$W$2,$W8,$X8)),_xlfn.ANCHORARRAY($G$3),2,0)+(VLOOKUP(IF($V$2=$P$4,$V8,$W8),_xlfn.ANCHORARRAY($G$3),VALUE(RIGHT(AB$2,1)+3),0))+IF($V$2=$P$4,$Y8,IF($P$4=$W$2,$Z8,$AA8)))*IF(Løn!$C$6&lt;DATEVALUE("01/05/2024"),101.95%,102.48%)+(VLOOKUP(IF($V$2=$P$4,$V8,IF($P$4=$W$2,$W8,$X8)),_xlfn.ANCHORARRAY($G$3),2,0)+(VLOOKUP(IF($V$2=$P$4,$V8,$W8),_xlfn.ANCHORARRAY($G$3),VALUE(RIGHT(AB$2,1)+3),0))+IF($V$2=$P$4,$Y8,IF($P$4=$W$2,$Z8,$AA8)))*IF($V$2=$P$4,$AG8,IF($P$4=$W$2,$AH8,$AI8))</f>
        <v>202039.31999999998</v>
      </c>
      <c r="AC8" s="36">
        <f ca="1">(VLOOKUP(IF($V$2=$P$4,$V8,IF($P$4=$W$2,$W8,$X8)),_xlfn.ANCHORARRAY($G$3),2,0)+(VLOOKUP(IF($V$2=$P$4,$V8,$W8),_xlfn.ANCHORARRAY($G$3),VALUE(RIGHT(AC$2,1)+3),0))+IF($V$2=$P$4,$Y8,IF($P$4=$W$2,$Z8,$AA8)))*IF(Løn!$C$6&lt;DATEVALUE("01/05/2024"),101.95%,102.48%)+(VLOOKUP(IF($V$2=$P$4,$V8,IF($P$4=$W$2,$W8,$X8)),_xlfn.ANCHORARRAY($G$3),2,0)+(VLOOKUP(IF($V$2=$P$4,$V8,$W8),_xlfn.ANCHORARRAY($G$3),VALUE(RIGHT(AC$2,1)+3),0))+IF($V$2=$P$4,$Y8,IF($P$4=$W$2,$Z8,$AA8)))*IF($V$2=$P$4,$AG8,IF($P$4=$W$2,$AH8,$AI8))</f>
        <v>205299.20879999999</v>
      </c>
      <c r="AD8" s="36">
        <f ca="1">(VLOOKUP(IF($V$2=$P$4,$V8,IF($P$4=$W$2,$W8,$X8)),_xlfn.ANCHORARRAY($G$3),2,0)+(VLOOKUP(IF($V$2=$P$4,$V8,$W8),_xlfn.ANCHORARRAY($G$3),VALUE(RIGHT(AD$2,1)+3),0))+IF($V$2=$P$4,$Y8,IF($P$4=$W$2,$Z8,$AA8)))*IF(Løn!$C$6&lt;DATEVALUE("01/05/2024"),101.95%,102.48%)+(VLOOKUP(IF($V$2=$P$4,$V8,IF($P$4=$W$2,$W8,$X8)),_xlfn.ANCHORARRAY($G$3),2,0)+(VLOOKUP(IF($V$2=$P$4,$V8,$W8),_xlfn.ANCHORARRAY($G$3),VALUE(RIGHT(AD$2,1)+3),0))+IF($V$2=$P$4,$Y8,IF($P$4=$W$2,$Z8,$AA8)))*IF($V$2=$P$4,$AG8,IF($P$4=$W$2,$AH8,$AI8))</f>
        <v>207555.81839999999</v>
      </c>
      <c r="AE8" s="36">
        <f ca="1">(VLOOKUP(IF($V$2=$P$4,$V8,IF($P$4=$W$2,$W8,$X8)),_xlfn.ANCHORARRAY($G$3),2,0)+(VLOOKUP(IF($V$2=$P$4,$V8,$W8),_xlfn.ANCHORARRAY($G$3),VALUE(RIGHT(AE$2,1)+3),0))+IF($V$2=$P$4,$Y8,IF($P$4=$W$2,$Z8,$AA8)))*IF(Løn!$C$6&lt;DATEVALUE("01/05/2024"),101.95%,102.48%)+(VLOOKUP(IF($V$2=$P$4,$V8,IF($P$4=$W$2,$W8,$X8)),_xlfn.ANCHORARRAY($G$3),2,0)+(VLOOKUP(IF($V$2=$P$4,$V8,$W8),_xlfn.ANCHORARRAY($G$3),VALUE(RIGHT(AE$2,1)+3),0))+IF($V$2=$P$4,$Y8,IF($P$4=$W$2,$Z8,$AA8)))*IF($V$2=$P$4,$AG8,IF($P$4=$W$2,$AH8,$AI8))</f>
        <v>210816.73199999999</v>
      </c>
      <c r="AF8" s="36">
        <f ca="1">(VLOOKUP(IF($V$2=$P$4,$V8,IF($P$4=$W$2,$W8,$X8)),_xlfn.ANCHORARRAY($G$3),2,0)+(VLOOKUP(IF($V$2=$P$4,$V8,$W8),_xlfn.ANCHORARRAY($G$3),VALUE(RIGHT(AF$2,1)+3),0))+IF($V$2=$P$4,$Y8,IF($P$4=$W$2,$Z8,$AA8)))*IF(Løn!$C$6&lt;DATEVALUE("01/05/2024"),101.95%,102.48%)+(VLOOKUP(IF($V$2=$P$4,$V8,IF($P$4=$W$2,$W8,$X8)),_xlfn.ANCHORARRAY($G$3),2,0)+(VLOOKUP(IF($V$2=$P$4,$V8,$W8),_xlfn.ANCHORARRAY($G$3),VALUE(RIGHT(AF$2,1)+3),0))+IF($V$2=$P$4,$Y8,IF($P$4=$W$2,$Z8,$AA8)))*IF($V$2=$P$4,$AG8,IF($P$4=$W$2,$AH8,$AI8))</f>
        <v>213073.34159999999</v>
      </c>
      <c r="AG8" s="37">
        <v>0</v>
      </c>
      <c r="AH8" s="37">
        <v>0</v>
      </c>
      <c r="AI8" s="37">
        <v>0</v>
      </c>
      <c r="AK8" s="33">
        <v>43602</v>
      </c>
      <c r="AM8" t="s">
        <v>120</v>
      </c>
      <c r="AN8" t="s">
        <v>145</v>
      </c>
      <c r="AW8" t="s">
        <v>186</v>
      </c>
    </row>
    <row r="9" spans="1:69" ht="15" thickBot="1" x14ac:dyDescent="0.4">
      <c r="A9" s="79"/>
      <c r="B9" s="8">
        <v>44652</v>
      </c>
      <c r="C9" s="9">
        <v>1.456933</v>
      </c>
      <c r="D9" s="53">
        <v>1.277855</v>
      </c>
      <c r="E9" t="s">
        <v>199</v>
      </c>
      <c r="G9" s="5">
        <f ca="1"/>
        <v>7</v>
      </c>
      <c r="H9" s="16">
        <f ca="1"/>
        <v>161721</v>
      </c>
      <c r="I9" s="16">
        <f ca="1"/>
        <v>0</v>
      </c>
      <c r="J9" s="17">
        <f ca="1"/>
        <v>2408</v>
      </c>
      <c r="K9" s="17">
        <f ca="1"/>
        <v>4076</v>
      </c>
      <c r="L9" s="17">
        <f ca="1"/>
        <v>6484</v>
      </c>
      <c r="M9" s="15">
        <f ca="1"/>
        <v>8150</v>
      </c>
      <c r="N9" s="40"/>
      <c r="O9" s="27" t="s">
        <v>1</v>
      </c>
      <c r="P9" s="28" t="e">
        <f ca="1">INDEX(I3:M58,MATCH(Løn!F4,G3:G58,0),MATCH(P7,I2:M2,0))</f>
        <v>#N/A</v>
      </c>
      <c r="R9" t="s">
        <v>88</v>
      </c>
      <c r="S9" t="s">
        <v>7</v>
      </c>
      <c r="U9" t="s">
        <v>139</v>
      </c>
      <c r="V9">
        <v>11</v>
      </c>
      <c r="W9">
        <v>11</v>
      </c>
      <c r="X9">
        <v>13</v>
      </c>
      <c r="Y9">
        <v>1124</v>
      </c>
      <c r="Z9">
        <v>1124</v>
      </c>
      <c r="AB9" s="36">
        <f ca="1">(VLOOKUP(IF($V$2=$P$4,$V9,IF($P$4=$W$2,$W9,$X9)),_xlfn.ANCHORARRAY($G$3),2,0)+(VLOOKUP(IF($V$2=$P$4,$V9,$W9),_xlfn.ANCHORARRAY($G$3),VALUE(RIGHT(AB$2,1)+3),0))+IF($V$2=$P$4,$Y9,IF($P$4=$W$2,$Z9,$AA9)))*IF(Løn!$C$6&lt;DATEVALUE("01/05/2024"),101.95%,102.48%)+(VLOOKUP(IF($V$2=$P$4,$V9,IF($P$4=$W$2,$W9,$X9)),_xlfn.ANCHORARRAY($G$3),2,0)+(VLOOKUP(IF($V$2=$P$4,$V9,$W9),_xlfn.ANCHORARRAY($G$3),VALUE(RIGHT(AB$2,1)+3),0))+IF($V$2=$P$4,$Y9,IF($P$4=$W$2,$Z9,$AA9)))*IF($V$2=$P$4,$AG9,IF($P$4=$W$2,$AH9,$AI9))</f>
        <v>185882.32319999998</v>
      </c>
      <c r="AC9" s="36">
        <f ca="1">(VLOOKUP(IF($V$2=$P$4,$V9,IF($P$4=$W$2,$W9,$X9)),_xlfn.ANCHORARRAY($G$3),2,0)+(VLOOKUP(IF($V$2=$P$4,$V9,$W9),_xlfn.ANCHORARRAY($G$3),VALUE(RIGHT(AC$2,1)+3),0))+IF($V$2=$P$4,$Y9,IF($P$4=$W$2,$Z9,$AA9)))*IF(Løn!$C$6&lt;DATEVALUE("01/05/2024"),101.95%,102.48%)+(VLOOKUP(IF($V$2=$P$4,$V9,IF($P$4=$W$2,$W9,$X9)),_xlfn.ANCHORARRAY($G$3),2,0)+(VLOOKUP(IF($V$2=$P$4,$V9,$W9),_xlfn.ANCHORARRAY($G$3),VALUE(RIGHT(AC$2,1)+3),0))+IF($V$2=$P$4,$Y9,IF($P$4=$W$2,$Z9,$AA9)))*IF($V$2=$P$4,$AG9,IF($P$4=$W$2,$AH9,$AI9))</f>
        <v>188607.26639999999</v>
      </c>
      <c r="AD9" s="36">
        <f ca="1">(VLOOKUP(IF($V$2=$P$4,$V9,IF($P$4=$W$2,$W9,$X9)),_xlfn.ANCHORARRAY($G$3),2,0)+(VLOOKUP(IF($V$2=$P$4,$V9,$W9),_xlfn.ANCHORARRAY($G$3),VALUE(RIGHT(AD$2,1)+3),0))+IF($V$2=$P$4,$Y9,IF($P$4=$W$2,$Z9,$AA9)))*IF(Løn!$C$6&lt;DATEVALUE("01/05/2024"),101.95%,102.48%)+(VLOOKUP(IF($V$2=$P$4,$V9,IF($P$4=$W$2,$W9,$X9)),_xlfn.ANCHORARRAY($G$3),2,0)+(VLOOKUP(IF($V$2=$P$4,$V9,$W9),_xlfn.ANCHORARRAY($G$3),VALUE(RIGHT(AD$2,1)+3),0))+IF($V$2=$P$4,$Y9,IF($P$4=$W$2,$Z9,$AA9)))*IF($V$2=$P$4,$AG9,IF($P$4=$W$2,$AH9,$AI9))</f>
        <v>190494.94799999997</v>
      </c>
      <c r="AE9" s="36">
        <f ca="1">(VLOOKUP(IF($V$2=$P$4,$V9,IF($P$4=$W$2,$W9,$X9)),_xlfn.ANCHORARRAY($G$3),2,0)+(VLOOKUP(IF($V$2=$P$4,$V9,$W9),_xlfn.ANCHORARRAY($G$3),VALUE(RIGHT(AE$2,1)+3),0))+IF($V$2=$P$4,$Y9,IF($P$4=$W$2,$Z9,$AA9)))*IF(Løn!$C$6&lt;DATEVALUE("01/05/2024"),101.95%,102.48%)+(VLOOKUP(IF($V$2=$P$4,$V9,IF($P$4=$W$2,$W9,$X9)),_xlfn.ANCHORARRAY($G$3),2,0)+(VLOOKUP(IF($V$2=$P$4,$V9,$W9),_xlfn.ANCHORARRAY($G$3),VALUE(RIGHT(AE$2,1)+3),0))+IF($V$2=$P$4,$Y9,IF($P$4=$W$2,$Z9,$AA9)))*IF($V$2=$P$4,$AG9,IF($P$4=$W$2,$AH9,$AI9))</f>
        <v>193219.89119999998</v>
      </c>
      <c r="AF9" s="36">
        <f ca="1">(VLOOKUP(IF($V$2=$P$4,$V9,IF($P$4=$W$2,$W9,$X9)),_xlfn.ANCHORARRAY($G$3),2,0)+(VLOOKUP(IF($V$2=$P$4,$V9,$W9),_xlfn.ANCHORARRAY($G$3),VALUE(RIGHT(AF$2,1)+3),0))+IF($V$2=$P$4,$Y9,IF($P$4=$W$2,$Z9,$AA9)))*IF(Løn!$C$6&lt;DATEVALUE("01/05/2024"),101.95%,102.48%)+(VLOOKUP(IF($V$2=$P$4,$V9,IF($P$4=$W$2,$W9,$X9)),_xlfn.ANCHORARRAY($G$3),2,0)+(VLOOKUP(IF($V$2=$P$4,$V9,$W9),_xlfn.ANCHORARRAY($G$3),VALUE(RIGHT(AF$2,1)+3),0))+IF($V$2=$P$4,$Y9,IF($P$4=$W$2,$Z9,$AA9)))*IF($V$2=$P$4,$AG9,IF($P$4=$W$2,$AH9,$AI9))</f>
        <v>195107.57279999999</v>
      </c>
      <c r="AG9" s="37">
        <v>0</v>
      </c>
      <c r="AH9" s="37">
        <v>0</v>
      </c>
      <c r="AI9" s="37">
        <v>0</v>
      </c>
      <c r="AK9" s="33">
        <v>43615</v>
      </c>
      <c r="AM9" t="s">
        <v>121</v>
      </c>
      <c r="AN9" t="s">
        <v>146</v>
      </c>
      <c r="AW9" t="s">
        <v>189</v>
      </c>
    </row>
    <row r="10" spans="1:69" ht="15" thickBot="1" x14ac:dyDescent="0.4">
      <c r="A10" s="79"/>
      <c r="B10" s="10">
        <v>44835</v>
      </c>
      <c r="C10" s="11">
        <v>1.4940180000000001</v>
      </c>
      <c r="D10" s="53">
        <v>1.3103819999999999</v>
      </c>
      <c r="E10" t="s">
        <v>199</v>
      </c>
      <c r="G10" s="5">
        <f ca="1"/>
        <v>8</v>
      </c>
      <c r="H10" s="16">
        <f ca="1"/>
        <v>164477</v>
      </c>
      <c r="I10" s="16">
        <f ca="1"/>
        <v>0</v>
      </c>
      <c r="J10" s="17">
        <f ca="1"/>
        <v>2470</v>
      </c>
      <c r="K10" s="17">
        <f ca="1"/>
        <v>4181</v>
      </c>
      <c r="L10" s="17">
        <f ca="1"/>
        <v>6650</v>
      </c>
      <c r="M10" s="15">
        <f ca="1"/>
        <v>8360</v>
      </c>
      <c r="N10" s="40"/>
      <c r="R10" t="s">
        <v>14</v>
      </c>
      <c r="S10" t="s">
        <v>3</v>
      </c>
      <c r="U10" t="s">
        <v>138</v>
      </c>
      <c r="V10">
        <v>18</v>
      </c>
      <c r="W10">
        <v>18</v>
      </c>
      <c r="X10">
        <v>18</v>
      </c>
      <c r="Y10">
        <v>2400</v>
      </c>
      <c r="Z10">
        <v>3545</v>
      </c>
      <c r="AA10">
        <v>3545</v>
      </c>
      <c r="AB10" s="36">
        <f ca="1">(VLOOKUP(IF($V$2=$P$4,$V10,IF($P$4=$W$2,$W10,$X10)),_xlfn.ANCHORARRAY($G$3),2,0)+(VLOOKUP(IF($V$2=$P$4,$V10,$W10),_xlfn.ANCHORARRAY($G$3),VALUE(RIGHT(AB$2,1)+3),0))+IF($V$2=$P$4,$Y10,IF($P$4=$W$2,$Z10,$AA10)))*IF(Løn!$C$6&lt;DATEVALUE("01/05/2024"),101.95%,102.48%)+(VLOOKUP(IF($V$2=$P$4,$V10,IF($P$4=$W$2,$W10,$X10)),_xlfn.ANCHORARRAY($G$3),2,0)+(VLOOKUP(IF($V$2=$P$4,$V10,$W10),_xlfn.ANCHORARRAY($G$3),VALUE(RIGHT(AB$2,1)+3),0))+IF($V$2=$P$4,$Y10,IF($P$4=$W$2,$Z10,$AA10)))*IF($V$2=$P$4,$AG10,IF($P$4=$W$2,$AH10,$AI10))</f>
        <v>204135.03599999999</v>
      </c>
      <c r="AC10" s="36">
        <f ca="1">(VLOOKUP(IF($V$2=$P$4,$V10,IF($P$4=$W$2,$W10,$X10)),_xlfn.ANCHORARRAY($G$3),2,0)+(VLOOKUP(IF($V$2=$P$4,$V10,$W10),_xlfn.ANCHORARRAY($G$3),VALUE(RIGHT(AC$2,1)+3),0))+IF($V$2=$P$4,$Y10,IF($P$4=$W$2,$Z10,$AA10)))*IF(Løn!$C$6&lt;DATEVALUE("01/05/2024"),101.95%,102.48%)+(VLOOKUP(IF($V$2=$P$4,$V10,IF($P$4=$W$2,$W10,$X10)),_xlfn.ANCHORARRAY($G$3),2,0)+(VLOOKUP(IF($V$2=$P$4,$V10,$W10),_xlfn.ANCHORARRAY($G$3),VALUE(RIGHT(AC$2,1)+3),0))+IF($V$2=$P$4,$Y10,IF($P$4=$W$2,$Z10,$AA10)))*IF($V$2=$P$4,$AG10,IF($P$4=$W$2,$AH10,$AI10))</f>
        <v>207394.92479999998</v>
      </c>
      <c r="AD10" s="36">
        <f ca="1">(VLOOKUP(IF($V$2=$P$4,$V10,IF($P$4=$W$2,$W10,$X10)),_xlfn.ANCHORARRAY($G$3),2,0)+(VLOOKUP(IF($V$2=$P$4,$V10,$W10),_xlfn.ANCHORARRAY($G$3),VALUE(RIGHT(AD$2,1)+3),0))+IF($V$2=$P$4,$Y10,IF($P$4=$W$2,$Z10,$AA10)))*IF(Løn!$C$6&lt;DATEVALUE("01/05/2024"),101.95%,102.48%)+(VLOOKUP(IF($V$2=$P$4,$V10,IF($P$4=$W$2,$W10,$X10)),_xlfn.ANCHORARRAY($G$3),2,0)+(VLOOKUP(IF($V$2=$P$4,$V10,$W10),_xlfn.ANCHORARRAY($G$3),VALUE(RIGHT(AD$2,1)+3),0))+IF($V$2=$P$4,$Y10,IF($P$4=$W$2,$Z10,$AA10)))*IF($V$2=$P$4,$AG10,IF($P$4=$W$2,$AH10,$AI10))</f>
        <v>209651.53439999997</v>
      </c>
      <c r="AE10" s="36">
        <f ca="1">(VLOOKUP(IF($V$2=$P$4,$V10,IF($P$4=$W$2,$W10,$X10)),_xlfn.ANCHORARRAY($G$3),2,0)+(VLOOKUP(IF($V$2=$P$4,$V10,$W10),_xlfn.ANCHORARRAY($G$3),VALUE(RIGHT(AE$2,1)+3),0))+IF($V$2=$P$4,$Y10,IF($P$4=$W$2,$Z10,$AA10)))*IF(Løn!$C$6&lt;DATEVALUE("01/05/2024"),101.95%,102.48%)+(VLOOKUP(IF($V$2=$P$4,$V10,IF($P$4=$W$2,$W10,$X10)),_xlfn.ANCHORARRAY($G$3),2,0)+(VLOOKUP(IF($V$2=$P$4,$V10,$W10),_xlfn.ANCHORARRAY($G$3),VALUE(RIGHT(AE$2,1)+3),0))+IF($V$2=$P$4,$Y10,IF($P$4=$W$2,$Z10,$AA10)))*IF($V$2=$P$4,$AG10,IF($P$4=$W$2,$AH10,$AI10))</f>
        <v>212912.44799999997</v>
      </c>
      <c r="AF10" s="36">
        <f ca="1">(VLOOKUP(IF($V$2=$P$4,$V10,IF($P$4=$W$2,$W10,$X10)),_xlfn.ANCHORARRAY($G$3),2,0)+(VLOOKUP(IF($V$2=$P$4,$V10,$W10),_xlfn.ANCHORARRAY($G$3),VALUE(RIGHT(AF$2,1)+3),0))+IF($V$2=$P$4,$Y10,IF($P$4=$W$2,$Z10,$AA10)))*IF(Løn!$C$6&lt;DATEVALUE("01/05/2024"),101.95%,102.48%)+(VLOOKUP(IF($V$2=$P$4,$V10,IF($P$4=$W$2,$W10,$X10)),_xlfn.ANCHORARRAY($G$3),2,0)+(VLOOKUP(IF($V$2=$P$4,$V10,$W10),_xlfn.ANCHORARRAY($G$3),VALUE(RIGHT(AF$2,1)+3),0))+IF($V$2=$P$4,$Y10,IF($P$4=$W$2,$Z10,$AA10)))*IF($V$2=$P$4,$AG10,IF($P$4=$W$2,$AH10,$AI10))</f>
        <v>215169.0576</v>
      </c>
      <c r="AG10" s="37">
        <v>0</v>
      </c>
      <c r="AH10" s="37">
        <v>0</v>
      </c>
      <c r="AI10" s="37">
        <v>0</v>
      </c>
      <c r="AK10" s="33">
        <v>43625</v>
      </c>
      <c r="AM10" t="s">
        <v>132</v>
      </c>
      <c r="AN10" t="s">
        <v>132</v>
      </c>
    </row>
    <row r="11" spans="1:69" ht="15" thickBot="1" x14ac:dyDescent="0.4">
      <c r="A11" s="79"/>
      <c r="B11" s="8">
        <v>45017</v>
      </c>
      <c r="C11" s="9">
        <v>1.4983040000000001</v>
      </c>
      <c r="D11" s="53">
        <v>1.314141</v>
      </c>
      <c r="E11" t="s">
        <v>199</v>
      </c>
      <c r="G11" s="5">
        <f ca="1"/>
        <v>9</v>
      </c>
      <c r="H11" s="16">
        <f ca="1"/>
        <v>169651</v>
      </c>
      <c r="I11" s="16">
        <f ca="1"/>
        <v>0</v>
      </c>
      <c r="J11" s="17">
        <f ca="1"/>
        <v>2532</v>
      </c>
      <c r="K11" s="17">
        <f ca="1"/>
        <v>4284</v>
      </c>
      <c r="L11" s="17">
        <f ca="1"/>
        <v>6815</v>
      </c>
      <c r="M11" s="15">
        <f ca="1"/>
        <v>8568</v>
      </c>
      <c r="N11" s="40"/>
      <c r="O11" s="22" t="s">
        <v>155</v>
      </c>
      <c r="P11" s="23"/>
      <c r="R11" t="s">
        <v>109</v>
      </c>
      <c r="S11" t="s">
        <v>7</v>
      </c>
      <c r="U11" t="s">
        <v>157</v>
      </c>
      <c r="V11">
        <v>13</v>
      </c>
      <c r="W11">
        <v>14</v>
      </c>
      <c r="X11">
        <v>14</v>
      </c>
      <c r="Y11">
        <v>3160</v>
      </c>
      <c r="Z11">
        <v>825</v>
      </c>
      <c r="AA11">
        <v>4365</v>
      </c>
      <c r="AB11" s="36">
        <f ca="1">(VLOOKUP(IF($V$2=$P$4,$V11,IF($P$4=$W$2,$W11,$X11)),_xlfn.ANCHORARRAY($G$3),2,0)+(VLOOKUP(IF($V$2=$P$4,$V11,$W11),_xlfn.ANCHORARRAY($G$3),VALUE(RIGHT(AB$2,1)+3),0))+IF($V$2=$P$4,$Y11,IF($P$4=$W$2,$Z11,$AA11)))*IF(Løn!$C$6&lt;DATEVALUE("01/05/2024"),101.95%,102.48%)+(VLOOKUP(IF($V$2=$P$4,$V11,IF($P$4=$W$2,$W11,$X11)),_xlfn.ANCHORARRAY($G$3),2,0)+(VLOOKUP(IF($V$2=$P$4,$V11,$W11),_xlfn.ANCHORARRAY($G$3),VALUE(RIGHT(AB$2,1)+3),0))+IF($V$2=$P$4,$Y11,IF($P$4=$W$2,$Z11,$AA11)))*IF($V$2=$P$4,$AG11,IF($P$4=$W$2,$AH11,$AI11))</f>
        <v>222314.114</v>
      </c>
      <c r="AC11" s="36">
        <f ca="1">(VLOOKUP(IF($V$2=$P$4,$V11,IF($P$4=$W$2,$W11,$X11)),_xlfn.ANCHORARRAY($G$3),2,0)+(VLOOKUP(IF($V$2=$P$4,$V11,$W11),_xlfn.ANCHORARRAY($G$3),VALUE(RIGHT(AC$2,1)+3),0))+IF($V$2=$P$4,$Y11,IF($P$4=$W$2,$Z11,$AA11)))*IF(Løn!$C$6&lt;DATEVALUE("01/05/2024"),101.95%,102.48%)+(VLOOKUP(IF($V$2=$P$4,$V11,IF($P$4=$W$2,$W11,$X11)),_xlfn.ANCHORARRAY($G$3),2,0)+(VLOOKUP(IF($V$2=$P$4,$V11,$W11),_xlfn.ANCHORARRAY($G$3),VALUE(RIGHT(AC$2,1)+3),0))+IF($V$2=$P$4,$Y11,IF($P$4=$W$2,$Z11,$AA11)))*IF($V$2=$P$4,$AG11,IF($P$4=$W$2,$AH11,$AI11))</f>
        <v>225686.21899999998</v>
      </c>
      <c r="AD11" s="36">
        <f ca="1">(VLOOKUP(IF($V$2=$P$4,$V11,IF($P$4=$W$2,$W11,$X11)),_xlfn.ANCHORARRAY($G$3),2,0)+(VLOOKUP(IF($V$2=$P$4,$V11,$W11),_xlfn.ANCHORARRAY($G$3),VALUE(RIGHT(AD$2,1)+3),0))+IF($V$2=$P$4,$Y11,IF($P$4=$W$2,$Z11,$AA11)))*IF(Løn!$C$6&lt;DATEVALUE("01/05/2024"),101.95%,102.48%)+(VLOOKUP(IF($V$2=$P$4,$V11,IF($P$4=$W$2,$W11,$X11)),_xlfn.ANCHORARRAY($G$3),2,0)+(VLOOKUP(IF($V$2=$P$4,$V11,$W11),_xlfn.ANCHORARRAY($G$3),VALUE(RIGHT(AD$2,1)+3),0))+IF($V$2=$P$4,$Y11,IF($P$4=$W$2,$Z11,$AA11)))*IF($V$2=$P$4,$AG11,IF($P$4=$W$2,$AH11,$AI11))</f>
        <v>228020.21</v>
      </c>
      <c r="AE11" s="36">
        <f ca="1">(VLOOKUP(IF($V$2=$P$4,$V11,IF($P$4=$W$2,$W11,$X11)),_xlfn.ANCHORARRAY($G$3),2,0)+(VLOOKUP(IF($V$2=$P$4,$V11,$W11),_xlfn.ANCHORARRAY($G$3),VALUE(RIGHT(AE$2,1)+3),0))+IF($V$2=$P$4,$Y11,IF($P$4=$W$2,$Z11,$AA11)))*IF(Løn!$C$6&lt;DATEVALUE("01/05/2024"),101.95%,102.48%)+(VLOOKUP(IF($V$2=$P$4,$V11,IF($P$4=$W$2,$W11,$X11)),_xlfn.ANCHORARRAY($G$3),2,0)+(VLOOKUP(IF($V$2=$P$4,$V11,$W11),_xlfn.ANCHORARRAY($G$3),VALUE(RIGHT(AE$2,1)+3),0))+IF($V$2=$P$4,$Y11,IF($P$4=$W$2,$Z11,$AA11)))*IF($V$2=$P$4,$AG11,IF($P$4=$W$2,$AH11,$AI11))</f>
        <v>231393.492</v>
      </c>
      <c r="AF11" s="36">
        <f ca="1">(VLOOKUP(IF($V$2=$P$4,$V11,IF($P$4=$W$2,$W11,$X11)),_xlfn.ANCHORARRAY($G$3),2,0)+(VLOOKUP(IF($V$2=$P$4,$V11,$W11),_xlfn.ANCHORARRAY($G$3),VALUE(RIGHT(AF$2,1)+3),0))+IF($V$2=$P$4,$Y11,IF($P$4=$W$2,$Z11,$AA11)))*IF(Løn!$C$6&lt;DATEVALUE("01/05/2024"),101.95%,102.48%)+(VLOOKUP(IF($V$2=$P$4,$V11,IF($P$4=$W$2,$W11,$X11)),_xlfn.ANCHORARRAY($G$3),2,0)+(VLOOKUP(IF($V$2=$P$4,$V11,$W11),_xlfn.ANCHORARRAY($G$3),VALUE(RIGHT(AF$2,1)+3),0))+IF($V$2=$P$4,$Y11,IF($P$4=$W$2,$Z11,$AA11)))*IF($V$2=$P$4,$AG11,IF($P$4=$W$2,$AH11,$AI11))</f>
        <v>233728.65999999997</v>
      </c>
      <c r="AG11" s="37">
        <v>0.14760000000000001</v>
      </c>
      <c r="AH11" s="37">
        <v>0.14860000000000001</v>
      </c>
      <c r="AI11" s="37">
        <v>0.1522</v>
      </c>
      <c r="AK11" s="33">
        <v>43626</v>
      </c>
      <c r="AM11" t="s">
        <v>115</v>
      </c>
      <c r="AN11" t="s">
        <v>115</v>
      </c>
    </row>
    <row r="12" spans="1:69" x14ac:dyDescent="0.35">
      <c r="A12" s="79"/>
      <c r="B12" s="8">
        <v>45200</v>
      </c>
      <c r="C12" s="67">
        <v>1.5169710000000001</v>
      </c>
      <c r="D12" s="53">
        <v>1.330514</v>
      </c>
      <c r="E12" t="s">
        <v>199</v>
      </c>
      <c r="G12" s="5">
        <f ca="1"/>
        <v>10</v>
      </c>
      <c r="H12" s="18">
        <f ca="1"/>
        <v>170849</v>
      </c>
      <c r="I12" s="16">
        <f ca="1"/>
        <v>0</v>
      </c>
      <c r="J12" s="17">
        <f ca="1"/>
        <v>2595</v>
      </c>
      <c r="K12" s="17">
        <f ca="1"/>
        <v>4391</v>
      </c>
      <c r="L12" s="17">
        <f ca="1"/>
        <v>6985</v>
      </c>
      <c r="M12" s="15">
        <f ca="1"/>
        <v>8782</v>
      </c>
      <c r="N12" s="40"/>
      <c r="O12" s="22" t="s">
        <v>162</v>
      </c>
      <c r="P12" s="76" t="e">
        <f>IF(Løn!C4="København",INDEX(AB21:AF33,MATCH(Løn!I6,U21:U33,0),MATCH(P7,AB20:AF20,0)),INDEX(AB3:AF15,MATCH(Løn!I6,U3:U15,0),MATCH(P7,AB2:AF2,0)))</f>
        <v>#N/A</v>
      </c>
      <c r="R12" t="s">
        <v>110</v>
      </c>
      <c r="S12" t="s">
        <v>7</v>
      </c>
      <c r="U12" t="s">
        <v>159</v>
      </c>
      <c r="V12">
        <v>13</v>
      </c>
      <c r="W12">
        <v>13</v>
      </c>
      <c r="X12">
        <v>13</v>
      </c>
      <c r="Y12">
        <v>2560</v>
      </c>
      <c r="Z12">
        <v>2560</v>
      </c>
      <c r="AA12">
        <v>2560</v>
      </c>
      <c r="AB12" s="36">
        <f ca="1">(VLOOKUP(IF($V$2=$P$4,$V12,IF($P$4=$W$2,$W12,$X12)),_xlfn.ANCHORARRAY($G$3),2,0)+(VLOOKUP(IF($V$2=$P$4,$V12,$W12),_xlfn.ANCHORARRAY($G$3),VALUE(RIGHT(AB$2,1)+3),0))+IF($V$2=$P$4,$Y12,IF($P$4=$W$2,$Z12,$AA12)))*IF(Løn!$C$6&lt;DATEVALUE("01/05/2024"),101.95%,102.48%)+(VLOOKUP(IF($V$2=$P$4,$V12,IF($P$4=$W$2,$W12,$X12)),_xlfn.ANCHORARRAY($G$3),2,0)+(VLOOKUP(IF($V$2=$P$4,$V12,$W12),_xlfn.ANCHORARRAY($G$3),VALUE(RIGHT(AB$2,1)+3),0))+IF($V$2=$P$4,$Y12,IF($P$4=$W$2,$Z12,$AA12)))*IF($V$2=$P$4,$AG12,IF($P$4=$W$2,$AH12,$AI12))</f>
        <v>225018.69519999999</v>
      </c>
      <c r="AC12" s="36">
        <f ca="1">(VLOOKUP(IF($V$2=$P$4,$V12,IF($P$4=$W$2,$W12,$X12)),_xlfn.ANCHORARRAY($G$3),2,0)+(VLOOKUP(IF($V$2=$P$4,$V12,$W12),_xlfn.ANCHORARRAY($G$3),VALUE(RIGHT(AC$2,1)+3),0))+IF($V$2=$P$4,$Y12,IF($P$4=$W$2,$Z12,$AA12)))*IF(Løn!$C$6&lt;DATEVALUE("01/05/2024"),101.95%,102.48%)+(VLOOKUP(IF($V$2=$P$4,$V12,IF($P$4=$W$2,$W12,$X12)),_xlfn.ANCHORARRAY($G$3),2,0)+(VLOOKUP(IF($V$2=$P$4,$V12,$W12),_xlfn.ANCHORARRAY($G$3),VALUE(RIGHT(AC$2,1)+3),0))+IF($V$2=$P$4,$Y12,IF($P$4=$W$2,$Z12,$AA12)))*IF($V$2=$P$4,$AG12,IF($P$4=$W$2,$AH12,$AI12))</f>
        <v>228437.8187</v>
      </c>
      <c r="AD12" s="36">
        <f ca="1">(VLOOKUP(IF($V$2=$P$4,$V12,IF($P$4=$W$2,$W12,$X12)),_xlfn.ANCHORARRAY($G$3),2,0)+(VLOOKUP(IF($V$2=$P$4,$V12,$W12),_xlfn.ANCHORARRAY($G$3),VALUE(RIGHT(AD$2,1)+3),0))+IF($V$2=$P$4,$Y12,IF($P$4=$W$2,$Z12,$AA12)))*IF(Løn!$C$6&lt;DATEVALUE("01/05/2024"),101.95%,102.48%)+(VLOOKUP(IF($V$2=$P$4,$V12,IF($P$4=$W$2,$W12,$X12)),_xlfn.ANCHORARRAY($G$3),2,0)+(VLOOKUP(IF($V$2=$P$4,$V12,$W12),_xlfn.ANCHORARRAY($G$3),VALUE(RIGHT(AD$2,1)+3),0))+IF($V$2=$P$4,$Y12,IF($P$4=$W$2,$Z12,$AA12)))*IF($V$2=$P$4,$AG12,IF($P$4=$W$2,$AH12,$AI12))</f>
        <v>230804.90419999999</v>
      </c>
      <c r="AE12" s="36">
        <f ca="1">(VLOOKUP(IF($V$2=$P$4,$V12,IF($P$4=$W$2,$W12,$X12)),_xlfn.ANCHORARRAY($G$3),2,0)+(VLOOKUP(IF($V$2=$P$4,$V12,$W12),_xlfn.ANCHORARRAY($G$3),VALUE(RIGHT(AE$2,1)+3),0))+IF($V$2=$P$4,$Y12,IF($P$4=$W$2,$Z12,$AA12)))*IF(Løn!$C$6&lt;DATEVALUE("01/05/2024"),101.95%,102.48%)+(VLOOKUP(IF($V$2=$P$4,$V12,IF($P$4=$W$2,$W12,$X12)),_xlfn.ANCHORARRAY($G$3),2,0)+(VLOOKUP(IF($V$2=$P$4,$V12,$W12),_xlfn.ANCHORARRAY($G$3),VALUE(RIGHT(AE$2,1)+3),0))+IF($V$2=$P$4,$Y12,IF($P$4=$W$2,$Z12,$AA12)))*IF($V$2=$P$4,$AG12,IF($P$4=$W$2,$AH12,$AI12))</f>
        <v>234224.02769999998</v>
      </c>
      <c r="AF12" s="36">
        <f ca="1">(VLOOKUP(IF($V$2=$P$4,$V12,IF($P$4=$W$2,$W12,$X12)),_xlfn.ANCHORARRAY($G$3),2,0)+(VLOOKUP(IF($V$2=$P$4,$V12,$W12),_xlfn.ANCHORARRAY($G$3),VALUE(RIGHT(AF$2,1)+3),0))+IF($V$2=$P$4,$Y12,IF($P$4=$W$2,$Z12,$AA12)))*IF(Løn!$C$6&lt;DATEVALUE("01/05/2024"),101.95%,102.48%)+(VLOOKUP(IF($V$2=$P$4,$V12,IF($P$4=$W$2,$W12,$X12)),_xlfn.ANCHORARRAY($G$3),2,0)+(VLOOKUP(IF($V$2=$P$4,$V12,$W12),_xlfn.ANCHORARRAY($G$3),VALUE(RIGHT(AF$2,1)+3),0))+IF($V$2=$P$4,$Y12,IF($P$4=$W$2,$Z12,$AA12)))*IF($V$2=$P$4,$AG12,IF($P$4=$W$2,$AH12,$AI12))</f>
        <v>236591.11319999996</v>
      </c>
      <c r="AG12" s="37">
        <v>0.17430000000000001</v>
      </c>
      <c r="AH12" s="37">
        <v>0.18099999999999999</v>
      </c>
      <c r="AI12" s="37">
        <v>0.19850000000000001</v>
      </c>
      <c r="AK12" s="33">
        <v>43824</v>
      </c>
      <c r="AM12" t="s">
        <v>122</v>
      </c>
      <c r="AN12" t="s">
        <v>122</v>
      </c>
    </row>
    <row r="13" spans="1:69" ht="15" thickBot="1" x14ac:dyDescent="0.4">
      <c r="A13" s="79"/>
      <c r="B13" s="8">
        <v>45383</v>
      </c>
      <c r="C13" s="9">
        <v>1.57765</v>
      </c>
      <c r="D13" s="53">
        <v>1.3837349999999999</v>
      </c>
      <c r="E13" t="s">
        <v>199</v>
      </c>
      <c r="G13" s="5">
        <f ca="1"/>
        <v>11</v>
      </c>
      <c r="H13" s="16">
        <f ca="1"/>
        <v>175370</v>
      </c>
      <c r="I13" s="16">
        <f ca="1"/>
        <v>0</v>
      </c>
      <c r="J13" s="17">
        <f ca="1"/>
        <v>2659</v>
      </c>
      <c r="K13" s="17">
        <f ca="1"/>
        <v>4501</v>
      </c>
      <c r="L13" s="17">
        <f ca="1"/>
        <v>7160</v>
      </c>
      <c r="M13" s="15">
        <f ca="1"/>
        <v>9002</v>
      </c>
      <c r="N13" s="40"/>
      <c r="O13" s="27" t="s">
        <v>208</v>
      </c>
      <c r="P13" s="75" t="str" cm="1">
        <f t="array" aca="1" ref="P13" ca="1">IF(_xlfn.XLOOKUP(Løn!I6,'Satser, mv'!U3:U15,OFFSET('Satser, mv'!AG3,0,MATCH('Satser, mv'!P4,'Satser, mv'!V2:X2,0)-1,13,1),0,0)&lt;&gt;0,"Ja","Nej")</f>
        <v>Nej</v>
      </c>
      <c r="R13" t="s">
        <v>89</v>
      </c>
      <c r="S13" t="s">
        <v>7</v>
      </c>
      <c r="U13" t="s">
        <v>158</v>
      </c>
      <c r="V13">
        <v>14</v>
      </c>
      <c r="W13">
        <v>14</v>
      </c>
      <c r="X13">
        <v>16</v>
      </c>
      <c r="Y13">
        <v>1800</v>
      </c>
      <c r="Z13">
        <v>2923</v>
      </c>
      <c r="AA13">
        <v>650</v>
      </c>
      <c r="AB13" s="36">
        <f ca="1">(VLOOKUP(IF($V$2=$P$4,$V13,IF($P$4=$W$2,$W13,$X13)),_xlfn.ANCHORARRAY($G$3),2,0)+(VLOOKUP(IF($V$2=$P$4,$V13,$W13),_xlfn.ANCHORARRAY($G$3),VALUE(RIGHT(AB$2,1)+3),0))+IF($V$2=$P$4,$Y13,IF($P$4=$W$2,$Z13,$AA13)))*IF(Løn!$C$6&lt;DATEVALUE("01/05/2024"),101.95%,102.48%)+(VLOOKUP(IF($V$2=$P$4,$V13,IF($P$4=$W$2,$W13,$X13)),_xlfn.ANCHORARRAY($G$3),2,0)+(VLOOKUP(IF($V$2=$P$4,$V13,$W13),_xlfn.ANCHORARRAY($G$3),VALUE(RIGHT(AB$2,1)+3),0))+IF($V$2=$P$4,$Y13,IF($P$4=$W$2,$Z13,$AA13)))*IF($V$2=$P$4,$AG13,IF($P$4=$W$2,$AH13,$AI13))</f>
        <v>194875.96799999999</v>
      </c>
      <c r="AC13" s="36">
        <f ca="1">(VLOOKUP(IF($V$2=$P$4,$V13,IF($P$4=$W$2,$W13,$X13)),_xlfn.ANCHORARRAY($G$3),2,0)+(VLOOKUP(IF($V$2=$P$4,$V13,$W13),_xlfn.ANCHORARRAY($G$3),VALUE(RIGHT(AC$2,1)+3),0))+IF($V$2=$P$4,$Y13,IF($P$4=$W$2,$Z13,$AA13)))*IF(Løn!$C$6&lt;DATEVALUE("01/05/2024"),101.95%,102.48%)+(VLOOKUP(IF($V$2=$P$4,$V13,IF($P$4=$W$2,$W13,$X13)),_xlfn.ANCHORARRAY($G$3),2,0)+(VLOOKUP(IF($V$2=$P$4,$V13,$W13),_xlfn.ANCHORARRAY($G$3),VALUE(RIGHT(AC$2,1)+3),0))+IF($V$2=$P$4,$Y13,IF($P$4=$W$2,$Z13,$AA13)))*IF($V$2=$P$4,$AG13,IF($P$4=$W$2,$AH13,$AI13))</f>
        <v>197812.02</v>
      </c>
      <c r="AD13" s="36">
        <f ca="1">(VLOOKUP(IF($V$2=$P$4,$V13,IF($P$4=$W$2,$W13,$X13)),_xlfn.ANCHORARRAY($G$3),2,0)+(VLOOKUP(IF($V$2=$P$4,$V13,$W13),_xlfn.ANCHORARRAY($G$3),VALUE(RIGHT(AD$2,1)+3),0))+IF($V$2=$P$4,$Y13,IF($P$4=$W$2,$Z13,$AA13)))*IF(Løn!$C$6&lt;DATEVALUE("01/05/2024"),101.95%,102.48%)+(VLOOKUP(IF($V$2=$P$4,$V13,IF($P$4=$W$2,$W13,$X13)),_xlfn.ANCHORARRAY($G$3),2,0)+(VLOOKUP(IF($V$2=$P$4,$V13,$W13),_xlfn.ANCHORARRAY($G$3),VALUE(RIGHT(AD$2,1)+3),0))+IF($V$2=$P$4,$Y13,IF($P$4=$W$2,$Z13,$AA13)))*IF($V$2=$P$4,$AG13,IF($P$4=$W$2,$AH13,$AI13))</f>
        <v>199844.19839999999</v>
      </c>
      <c r="AE13" s="36">
        <f ca="1">(VLOOKUP(IF($V$2=$P$4,$V13,IF($P$4=$W$2,$W13,$X13)),_xlfn.ANCHORARRAY($G$3),2,0)+(VLOOKUP(IF($V$2=$P$4,$V13,$W13),_xlfn.ANCHORARRAY($G$3),VALUE(RIGHT(AE$2,1)+3),0))+IF($V$2=$P$4,$Y13,IF($P$4=$W$2,$Z13,$AA13)))*IF(Løn!$C$6&lt;DATEVALUE("01/05/2024"),101.95%,102.48%)+(VLOOKUP(IF($V$2=$P$4,$V13,IF($P$4=$W$2,$W13,$X13)),_xlfn.ANCHORARRAY($G$3),2,0)+(VLOOKUP(IF($V$2=$P$4,$V13,$W13),_xlfn.ANCHORARRAY($G$3),VALUE(RIGHT(AE$2,1)+3),0))+IF($V$2=$P$4,$Y13,IF($P$4=$W$2,$Z13,$AA13)))*IF($V$2=$P$4,$AG13,IF($P$4=$W$2,$AH13,$AI13))</f>
        <v>202781.27519999997</v>
      </c>
      <c r="AF13" s="36">
        <f ca="1">(VLOOKUP(IF($V$2=$P$4,$V13,IF($P$4=$W$2,$W13,$X13)),_xlfn.ANCHORARRAY($G$3),2,0)+(VLOOKUP(IF($V$2=$P$4,$V13,$W13),_xlfn.ANCHORARRAY($G$3),VALUE(RIGHT(AF$2,1)+3),0))+IF($V$2=$P$4,$Y13,IF($P$4=$W$2,$Z13,$AA13)))*IF(Løn!$C$6&lt;DATEVALUE("01/05/2024"),101.95%,102.48%)+(VLOOKUP(IF($V$2=$P$4,$V13,IF($P$4=$W$2,$W13,$X13)),_xlfn.ANCHORARRAY($G$3),2,0)+(VLOOKUP(IF($V$2=$P$4,$V13,$W13),_xlfn.ANCHORARRAY($G$3),VALUE(RIGHT(AF$2,1)+3),0))+IF($V$2=$P$4,$Y13,IF($P$4=$W$2,$Z13,$AA13)))*IF($V$2=$P$4,$AG13,IF($P$4=$W$2,$AH13,$AI13))</f>
        <v>204814.47839999999</v>
      </c>
      <c r="AG13" s="37">
        <v>0</v>
      </c>
      <c r="AH13" s="37">
        <v>0</v>
      </c>
      <c r="AI13" s="37">
        <v>0</v>
      </c>
      <c r="AK13" s="33">
        <v>43825</v>
      </c>
      <c r="AM13" t="s">
        <v>123</v>
      </c>
      <c r="AN13" t="s">
        <v>123</v>
      </c>
    </row>
    <row r="14" spans="1:69" x14ac:dyDescent="0.35">
      <c r="A14" s="79"/>
      <c r="B14" s="8">
        <v>45566</v>
      </c>
      <c r="C14" s="9">
        <v>1.5981590000000001</v>
      </c>
      <c r="D14" s="53">
        <v>1.401724</v>
      </c>
      <c r="E14" t="s">
        <v>199</v>
      </c>
      <c r="G14" s="5">
        <f ca="1"/>
        <v>12</v>
      </c>
      <c r="H14" s="16">
        <f ca="1"/>
        <v>178335</v>
      </c>
      <c r="I14" s="16">
        <f ca="1"/>
        <v>0</v>
      </c>
      <c r="J14" s="17">
        <f ca="1"/>
        <v>2726</v>
      </c>
      <c r="K14" s="17">
        <f ca="1"/>
        <v>4613</v>
      </c>
      <c r="L14" s="17">
        <f ca="1"/>
        <v>7340</v>
      </c>
      <c r="M14" s="15">
        <f ca="1"/>
        <v>9227</v>
      </c>
      <c r="N14" s="40"/>
      <c r="O14" s="14"/>
      <c r="R14" t="s">
        <v>63</v>
      </c>
      <c r="S14" t="s">
        <v>4</v>
      </c>
      <c r="U14" t="s">
        <v>168</v>
      </c>
      <c r="V14">
        <v>14</v>
      </c>
      <c r="W14">
        <v>14</v>
      </c>
      <c r="X14">
        <v>14</v>
      </c>
      <c r="Y14">
        <v>0</v>
      </c>
      <c r="Z14">
        <v>1535</v>
      </c>
      <c r="AA14">
        <v>1700</v>
      </c>
      <c r="AB14" s="36">
        <f ca="1">(VLOOKUP(IF($V$2=$P$4,$V14,IF($P$4=$W$2,$W14,$X14)),_xlfn.ANCHORARRAY($G$3),2,0)+(VLOOKUP(IF($V$2=$P$4,$V14,$W14),_xlfn.ANCHORARRAY($G$3),VALUE(RIGHT(AB$2,1)+3),0))+IF($V$2=$P$4,$Y14,IF($P$4=$W$2,$Z14,$AA14)))*IF(Løn!$C$6&lt;DATEVALUE("01/05/2024"),101.95%,102.48%)+(VLOOKUP(IF($V$2=$P$4,$V14,IF($P$4=$W$2,$W14,$X14)),_xlfn.ANCHORARRAY($G$3),2,0)+(VLOOKUP(IF($V$2=$P$4,$V14,$W14),_xlfn.ANCHORARRAY($G$3),VALUE(RIGHT(AB$2,1)+3),0))+IF($V$2=$P$4,$Y14,IF($P$4=$W$2,$Z14,$AA14)))*IF($V$2=$P$4,$AG14,IF($P$4=$W$2,$AH14,$AI14))</f>
        <v>190835.18159999998</v>
      </c>
      <c r="AC14" s="36">
        <f ca="1">(VLOOKUP(IF($V$2=$P$4,$V14,IF($P$4=$W$2,$W14,$X14)),_xlfn.ANCHORARRAY($G$3),2,0)+(VLOOKUP(IF($V$2=$P$4,$V14,$W14),_xlfn.ANCHORARRAY($G$3),VALUE(RIGHT(AC$2,1)+3),0))+IF($V$2=$P$4,$Y14,IF($P$4=$W$2,$Z14,$AA14)))*IF(Løn!$C$6&lt;DATEVALUE("01/05/2024"),101.95%,102.48%)+(VLOOKUP(IF($V$2=$P$4,$V14,IF($P$4=$W$2,$W14,$X14)),_xlfn.ANCHORARRAY($G$3),2,0)+(VLOOKUP(IF($V$2=$P$4,$V14,$W14),_xlfn.ANCHORARRAY($G$3),VALUE(RIGHT(AC$2,1)+3),0))+IF($V$2=$P$4,$Y14,IF($P$4=$W$2,$Z14,$AA14)))*IF($V$2=$P$4,$AG14,IF($P$4=$W$2,$AH14,$AI14))</f>
        <v>193771.23359999998</v>
      </c>
      <c r="AD14" s="36">
        <f ca="1">(VLOOKUP(IF($V$2=$P$4,$V14,IF($P$4=$W$2,$W14,$X14)),_xlfn.ANCHORARRAY($G$3),2,0)+(VLOOKUP(IF($V$2=$P$4,$V14,$W14),_xlfn.ANCHORARRAY($G$3),VALUE(RIGHT(AD$2,1)+3),0))+IF($V$2=$P$4,$Y14,IF($P$4=$W$2,$Z14,$AA14)))*IF(Løn!$C$6&lt;DATEVALUE("01/05/2024"),101.95%,102.48%)+(VLOOKUP(IF($V$2=$P$4,$V14,IF($P$4=$W$2,$W14,$X14)),_xlfn.ANCHORARRAY($G$3),2,0)+(VLOOKUP(IF($V$2=$P$4,$V14,$W14),_xlfn.ANCHORARRAY($G$3),VALUE(RIGHT(AD$2,1)+3),0))+IF($V$2=$P$4,$Y14,IF($P$4=$W$2,$Z14,$AA14)))*IF($V$2=$P$4,$AG14,IF($P$4=$W$2,$AH14,$AI14))</f>
        <v>195803.41199999998</v>
      </c>
      <c r="AE14" s="36">
        <f ca="1">(VLOOKUP(IF($V$2=$P$4,$V14,IF($P$4=$W$2,$W14,$X14)),_xlfn.ANCHORARRAY($G$3),2,0)+(VLOOKUP(IF($V$2=$P$4,$V14,$W14),_xlfn.ANCHORARRAY($G$3),VALUE(RIGHT(AE$2,1)+3),0))+IF($V$2=$P$4,$Y14,IF($P$4=$W$2,$Z14,$AA14)))*IF(Løn!$C$6&lt;DATEVALUE("01/05/2024"),101.95%,102.48%)+(VLOOKUP(IF($V$2=$P$4,$V14,IF($P$4=$W$2,$W14,$X14)),_xlfn.ANCHORARRAY($G$3),2,0)+(VLOOKUP(IF($V$2=$P$4,$V14,$W14),_xlfn.ANCHORARRAY($G$3),VALUE(RIGHT(AE$2,1)+3),0))+IF($V$2=$P$4,$Y14,IF($P$4=$W$2,$Z14,$AA14)))*IF($V$2=$P$4,$AG14,IF($P$4=$W$2,$AH14,$AI14))</f>
        <v>198740.48879999999</v>
      </c>
      <c r="AF14" s="36">
        <f ca="1">(VLOOKUP(IF($V$2=$P$4,$V14,IF($P$4=$W$2,$W14,$X14)),_xlfn.ANCHORARRAY($G$3),2,0)+(VLOOKUP(IF($V$2=$P$4,$V14,$W14),_xlfn.ANCHORARRAY($G$3),VALUE(RIGHT(AF$2,1)+3),0))+IF($V$2=$P$4,$Y14,IF($P$4=$W$2,$Z14,$AA14)))*IF(Løn!$C$6&lt;DATEVALUE("01/05/2024"),101.95%,102.48%)+(VLOOKUP(IF($V$2=$P$4,$V14,IF($P$4=$W$2,$W14,$X14)),_xlfn.ANCHORARRAY($G$3),2,0)+(VLOOKUP(IF($V$2=$P$4,$V14,$W14),_xlfn.ANCHORARRAY($G$3),VALUE(RIGHT(AF$2,1)+3),0))+IF($V$2=$P$4,$Y14,IF($P$4=$W$2,$Z14,$AA14)))*IF($V$2=$P$4,$AG14,IF($P$4=$W$2,$AH14,$AI14))</f>
        <v>200773.69199999998</v>
      </c>
      <c r="AG14" s="37">
        <v>0</v>
      </c>
      <c r="AH14" s="37">
        <v>0</v>
      </c>
      <c r="AI14" s="37">
        <v>0</v>
      </c>
      <c r="AK14" s="33">
        <v>43831</v>
      </c>
      <c r="AM14" t="s">
        <v>124</v>
      </c>
      <c r="AN14" t="s">
        <v>124</v>
      </c>
    </row>
    <row r="15" spans="1:69" x14ac:dyDescent="0.35">
      <c r="A15" s="79"/>
      <c r="B15" s="10">
        <v>45748</v>
      </c>
      <c r="C15" s="11">
        <v>1.5981590000000001</v>
      </c>
      <c r="D15" s="53">
        <v>1.401724</v>
      </c>
      <c r="E15" t="s">
        <v>200</v>
      </c>
      <c r="G15" s="5">
        <f ca="1"/>
        <v>13</v>
      </c>
      <c r="H15" s="16">
        <f ca="1"/>
        <v>181384</v>
      </c>
      <c r="I15" s="16">
        <f ca="1"/>
        <v>0</v>
      </c>
      <c r="J15" s="70">
        <f ca="1"/>
        <v>2795</v>
      </c>
      <c r="K15" s="17">
        <f ca="1"/>
        <v>4730</v>
      </c>
      <c r="L15" s="17">
        <f ca="1"/>
        <v>7525</v>
      </c>
      <c r="M15" s="15">
        <f ca="1"/>
        <v>9460</v>
      </c>
      <c r="O15" s="77"/>
      <c r="R15" t="s">
        <v>15</v>
      </c>
      <c r="S15" t="s">
        <v>3</v>
      </c>
      <c r="U15" t="s">
        <v>180</v>
      </c>
      <c r="V15" t="s">
        <v>115</v>
      </c>
      <c r="W15" t="s">
        <v>115</v>
      </c>
      <c r="X15" t="s">
        <v>115</v>
      </c>
      <c r="AB15" s="36">
        <f ca="1">(VLOOKUP(IF($V$2=$P$4,$V15,IF($P$4=$W$2,$W15,$X15)),_xlfn.ANCHORARRAY($G$3),2,0)+(VLOOKUP(IF($V$2=$P$4,$V15,$W15),_xlfn.ANCHORARRAY($G$3),VALUE(RIGHT(AB$2,1)+3),0))+IF($V$2=$P$4,$Y15,IF($P$4=$W$2,$Z15,$AA15)))*IF(Løn!$C$6&lt;DATEVALUE("01/05/2024"),101.95%,102.48%)+(VLOOKUP(IF($V$2=$P$4,$V15,IF($P$4=$W$2,$W15,$X15)),_xlfn.ANCHORARRAY($G$3),2,0)+(VLOOKUP(IF($V$2=$P$4,$V15,$W15),_xlfn.ANCHORARRAY($G$3),VALUE(RIGHT(AB$2,1)+3),0))+IF($V$2=$P$4,$Y15,IF($P$4=$W$2,$Z15,$AA15)))*IF($V$2=$P$4,$AG15,IF($P$4=$W$2,$AH15,$AI15))</f>
        <v>236013.40959999998</v>
      </c>
      <c r="AC15" s="36">
        <f ca="1">(VLOOKUP(IF($V$2=$P$4,$V15,IF($P$4=$W$2,$W15,$X15)),_xlfn.ANCHORARRAY($G$3),2,0)+(VLOOKUP(IF($V$2=$P$4,$V15,$W15),_xlfn.ANCHORARRAY($G$3),VALUE(RIGHT(AC$2,1)+3),0))+IF($V$2=$P$4,$Y15,IF($P$4=$W$2,$Z15,$AA15)))*IF(Løn!$C$6&lt;DATEVALUE("01/05/2024"),101.95%,102.48%)+(VLOOKUP(IF($V$2=$P$4,$V15,IF($P$4=$W$2,$W15,$X15)),_xlfn.ANCHORARRAY($G$3),2,0)+(VLOOKUP(IF($V$2=$P$4,$V15,$W15),_xlfn.ANCHORARRAY($G$3),VALUE(RIGHT(AC$2,1)+3),0))+IF($V$2=$P$4,$Y15,IF($P$4=$W$2,$Z15,$AA15)))*IF($V$2=$P$4,$AG15,IF($P$4=$W$2,$AH15,$AI15))</f>
        <v>239352.94079999998</v>
      </c>
      <c r="AD15" s="36">
        <f ca="1">(VLOOKUP(IF($V$2=$P$4,$V15,IF($P$4=$W$2,$W15,$X15)),_xlfn.ANCHORARRAY($G$3),2,0)+(VLOOKUP(IF($V$2=$P$4,$V15,$W15),_xlfn.ANCHORARRAY($G$3),VALUE(RIGHT(AD$2,1)+3),0))+IF($V$2=$P$4,$Y15,IF($P$4=$W$2,$Z15,$AA15)))*IF(Løn!$C$6&lt;DATEVALUE("01/05/2024"),101.95%,102.48%)+(VLOOKUP(IF($V$2=$P$4,$V15,IF($P$4=$W$2,$W15,$X15)),_xlfn.ANCHORARRAY($G$3),2,0)+(VLOOKUP(IF($V$2=$P$4,$V15,$W15),_xlfn.ANCHORARRAY($G$3),VALUE(RIGHT(AD$2,1)+3),0))+IF($V$2=$P$4,$Y15,IF($P$4=$W$2,$Z15,$AA15)))*IF($V$2=$P$4,$AG15,IF($P$4=$W$2,$AH15,$AI15))</f>
        <v>241665.52960000001</v>
      </c>
      <c r="AE15" s="36">
        <f ca="1">(VLOOKUP(IF($V$2=$P$4,$V15,IF($P$4=$W$2,$W15,$X15)),_xlfn.ANCHORARRAY($G$3),2,0)+(VLOOKUP(IF($V$2=$P$4,$V15,$W15),_xlfn.ANCHORARRAY($G$3),VALUE(RIGHT(AE$2,1)+3),0))+IF($V$2=$P$4,$Y15,IF($P$4=$W$2,$Z15,$AA15)))*IF(Løn!$C$6&lt;DATEVALUE("01/05/2024"),101.95%,102.48%)+(VLOOKUP(IF($V$2=$P$4,$V15,IF($P$4=$W$2,$W15,$X15)),_xlfn.ANCHORARRAY($G$3),2,0)+(VLOOKUP(IF($V$2=$P$4,$V15,$W15),_xlfn.ANCHORARRAY($G$3),VALUE(RIGHT(AE$2,1)+3),0))+IF($V$2=$P$4,$Y15,IF($P$4=$W$2,$Z15,$AA15)))*IF($V$2=$P$4,$AG15,IF($P$4=$W$2,$AH15,$AI15))</f>
        <v>245006.1856</v>
      </c>
      <c r="AF15" s="36">
        <f ca="1">(VLOOKUP(IF($V$2=$P$4,$V15,IF($P$4=$W$2,$W15,$X15)),_xlfn.ANCHORARRAY($G$3),2,0)+(VLOOKUP(IF($V$2=$P$4,$V15,$W15),_xlfn.ANCHORARRAY($G$3),VALUE(RIGHT(AF$2,1)+3),0))+IF($V$2=$P$4,$Y15,IF($P$4=$W$2,$Z15,$AA15)))*IF(Løn!$C$6&lt;DATEVALUE("01/05/2024"),101.95%,102.48%)+(VLOOKUP(IF($V$2=$P$4,$V15,IF($P$4=$W$2,$W15,$X15)),_xlfn.ANCHORARRAY($G$3),2,0)+(VLOOKUP(IF($V$2=$P$4,$V15,$W15),_xlfn.ANCHORARRAY($G$3),VALUE(RIGHT(AF$2,1)+3),0))+IF($V$2=$P$4,$Y15,IF($P$4=$W$2,$Z15,$AA15)))*IF($V$2=$P$4,$AG15,IF($P$4=$W$2,$AH15,$AI15))</f>
        <v>247318.77439999999</v>
      </c>
      <c r="AG15" s="37">
        <v>0</v>
      </c>
      <c r="AH15" s="37">
        <v>0</v>
      </c>
      <c r="AI15" s="37">
        <v>0.1</v>
      </c>
      <c r="AK15" s="33">
        <v>43930</v>
      </c>
      <c r="AM15" t="s">
        <v>125</v>
      </c>
      <c r="AN15" t="s">
        <v>125</v>
      </c>
    </row>
    <row r="16" spans="1:69" x14ac:dyDescent="0.35">
      <c r="A16" s="79"/>
      <c r="B16" s="8">
        <v>45931</v>
      </c>
      <c r="C16" s="9">
        <v>1.602921</v>
      </c>
      <c r="D16" s="78">
        <v>1.4058999999999999</v>
      </c>
      <c r="E16" t="s">
        <v>200</v>
      </c>
      <c r="G16" s="5">
        <f ca="1"/>
        <v>14</v>
      </c>
      <c r="H16" s="16">
        <f ca="1"/>
        <v>184517</v>
      </c>
      <c r="I16" s="16">
        <f ca="1"/>
        <v>0</v>
      </c>
      <c r="J16" s="17">
        <f ca="1"/>
        <v>2865</v>
      </c>
      <c r="K16" s="17">
        <f ca="1"/>
        <v>4848</v>
      </c>
      <c r="L16" s="17">
        <f ca="1"/>
        <v>7714</v>
      </c>
      <c r="M16" s="15">
        <f ca="1"/>
        <v>9698</v>
      </c>
      <c r="N16" s="40"/>
      <c r="R16" t="s">
        <v>16</v>
      </c>
      <c r="S16" t="s">
        <v>3</v>
      </c>
      <c r="AK16" s="33">
        <v>43931</v>
      </c>
      <c r="AM16" t="s">
        <v>133</v>
      </c>
      <c r="AN16" t="s">
        <v>133</v>
      </c>
    </row>
    <row r="17" spans="1:40" ht="15" thickBot="1" x14ac:dyDescent="0.4">
      <c r="A17" s="79"/>
      <c r="B17" s="12">
        <v>45962</v>
      </c>
      <c r="C17" s="13">
        <v>1.614627</v>
      </c>
      <c r="D17" s="53">
        <v>1.416167</v>
      </c>
      <c r="E17" t="s">
        <v>200</v>
      </c>
      <c r="F17" s="35"/>
      <c r="G17" s="5">
        <f ca="1"/>
        <v>15</v>
      </c>
      <c r="H17" s="18">
        <f ca="1"/>
        <v>186343</v>
      </c>
      <c r="I17" s="16">
        <f ca="1"/>
        <v>0</v>
      </c>
      <c r="J17" s="17">
        <f ca="1"/>
        <v>2937</v>
      </c>
      <c r="K17" s="17">
        <f ca="1"/>
        <v>4972</v>
      </c>
      <c r="L17" s="17">
        <f ca="1"/>
        <v>7908</v>
      </c>
      <c r="M17" s="15">
        <f ca="1"/>
        <v>9942</v>
      </c>
      <c r="N17" s="40"/>
      <c r="R17" t="s">
        <v>17</v>
      </c>
      <c r="S17" t="s">
        <v>3</v>
      </c>
      <c r="AK17" s="33">
        <v>43933</v>
      </c>
      <c r="AM17" t="s">
        <v>126</v>
      </c>
      <c r="AN17" t="s">
        <v>147</v>
      </c>
    </row>
    <row r="18" spans="1:40" ht="15" thickBot="1" x14ac:dyDescent="0.4">
      <c r="A18" s="79"/>
      <c r="B18" s="12">
        <v>46113</v>
      </c>
      <c r="C18" s="13">
        <v>1.653378</v>
      </c>
      <c r="D18" s="53">
        <v>1.4501550000000001</v>
      </c>
      <c r="E18" t="s">
        <v>200</v>
      </c>
      <c r="G18" s="5">
        <f ca="1"/>
        <v>16</v>
      </c>
      <c r="H18" s="16">
        <f ca="1"/>
        <v>189510</v>
      </c>
      <c r="I18" s="16">
        <f ca="1"/>
        <v>0</v>
      </c>
      <c r="J18" s="17">
        <f ca="1"/>
        <v>3011</v>
      </c>
      <c r="K18" s="17">
        <f ca="1"/>
        <v>5096</v>
      </c>
      <c r="L18" s="17">
        <f ca="1"/>
        <v>8107</v>
      </c>
      <c r="M18" s="15">
        <f ca="1"/>
        <v>10194</v>
      </c>
      <c r="N18" s="40"/>
      <c r="R18" t="s">
        <v>79</v>
      </c>
      <c r="S18" t="s">
        <v>6</v>
      </c>
      <c r="AK18" s="33">
        <v>43934</v>
      </c>
      <c r="AM18" t="s">
        <v>127</v>
      </c>
      <c r="AN18" t="s">
        <v>127</v>
      </c>
    </row>
    <row r="19" spans="1:40" ht="15" thickBot="1" x14ac:dyDescent="0.4">
      <c r="B19" s="12">
        <v>46296</v>
      </c>
      <c r="C19" s="13">
        <v>1.6620170000000001</v>
      </c>
      <c r="D19" s="53">
        <v>1.457732</v>
      </c>
      <c r="E19" t="s">
        <v>200</v>
      </c>
      <c r="G19" s="5">
        <f ca="1"/>
        <v>17</v>
      </c>
      <c r="H19" s="16">
        <f ca="1"/>
        <v>192141</v>
      </c>
      <c r="I19" s="16">
        <f ca="1"/>
        <v>0</v>
      </c>
      <c r="J19" s="17">
        <f ca="1"/>
        <v>3102</v>
      </c>
      <c r="K19" s="17">
        <f ca="1"/>
        <v>5250</v>
      </c>
      <c r="L19" s="17">
        <f ca="1"/>
        <v>8353</v>
      </c>
      <c r="M19" s="15">
        <f ca="1"/>
        <v>10500</v>
      </c>
      <c r="N19" s="40"/>
      <c r="P19" s="14"/>
      <c r="R19" t="s">
        <v>18</v>
      </c>
      <c r="S19" t="s">
        <v>3</v>
      </c>
      <c r="AK19" s="33">
        <v>43959</v>
      </c>
      <c r="AM19" t="s">
        <v>128</v>
      </c>
      <c r="AN19" t="s">
        <v>128</v>
      </c>
    </row>
    <row r="20" spans="1:40" ht="29.5" thickBot="1" x14ac:dyDescent="0.4">
      <c r="G20" s="5">
        <f ca="1"/>
        <v>18</v>
      </c>
      <c r="H20" s="16">
        <f ca="1"/>
        <v>195650</v>
      </c>
      <c r="I20" s="16">
        <f ca="1"/>
        <v>0</v>
      </c>
      <c r="J20" s="17">
        <f ca="1"/>
        <v>3181</v>
      </c>
      <c r="K20" s="17">
        <f ca="1"/>
        <v>5383</v>
      </c>
      <c r="L20" s="17">
        <f ca="1"/>
        <v>8565</v>
      </c>
      <c r="M20" s="15">
        <f ca="1"/>
        <v>10767</v>
      </c>
      <c r="N20" s="40"/>
      <c r="R20" t="s">
        <v>90</v>
      </c>
      <c r="S20" t="s">
        <v>7</v>
      </c>
      <c r="U20" s="2" t="s">
        <v>166</v>
      </c>
      <c r="V20" s="43" t="s">
        <v>198</v>
      </c>
      <c r="W20" s="43" t="s">
        <v>199</v>
      </c>
      <c r="X20" s="43" t="s">
        <v>200</v>
      </c>
      <c r="Y20" s="43" t="s">
        <v>203</v>
      </c>
      <c r="Z20" s="43" t="s">
        <v>204</v>
      </c>
      <c r="AA20" s="43" t="s">
        <v>201</v>
      </c>
      <c r="AB20" s="2" t="s">
        <v>3</v>
      </c>
      <c r="AC20" s="3" t="s">
        <v>4</v>
      </c>
      <c r="AD20" s="3" t="s">
        <v>5</v>
      </c>
      <c r="AE20" s="3" t="s">
        <v>6</v>
      </c>
      <c r="AF20" s="4" t="s">
        <v>7</v>
      </c>
      <c r="AG20" s="42" t="s">
        <v>160</v>
      </c>
      <c r="AH20" s="42" t="s">
        <v>161</v>
      </c>
      <c r="AI20" s="42" t="s">
        <v>202</v>
      </c>
      <c r="AK20" s="33">
        <v>43972</v>
      </c>
      <c r="AM20" t="s">
        <v>134</v>
      </c>
      <c r="AN20" t="s">
        <v>134</v>
      </c>
    </row>
    <row r="21" spans="1:40" x14ac:dyDescent="0.35">
      <c r="G21" s="5">
        <f ca="1"/>
        <v>19</v>
      </c>
      <c r="H21" s="16">
        <f ca="1"/>
        <v>198277</v>
      </c>
      <c r="I21" s="16">
        <f ca="1"/>
        <v>0</v>
      </c>
      <c r="J21" s="17">
        <f ca="1"/>
        <v>3262</v>
      </c>
      <c r="K21" s="17">
        <f ca="1"/>
        <v>5521</v>
      </c>
      <c r="L21" s="17">
        <f ca="1"/>
        <v>8783</v>
      </c>
      <c r="M21" s="15">
        <f ca="1"/>
        <v>11042</v>
      </c>
      <c r="N21" s="40"/>
      <c r="R21" t="s">
        <v>64</v>
      </c>
      <c r="S21" t="s">
        <v>4</v>
      </c>
      <c r="U21" t="s">
        <v>186</v>
      </c>
      <c r="V21" t="s">
        <v>186</v>
      </c>
      <c r="W21" t="s">
        <v>186</v>
      </c>
      <c r="X21" t="s">
        <v>186</v>
      </c>
      <c r="AB21" s="36">
        <f ca="1">(VLOOKUP(IF($V$2=$P$4,$V21,IF($P$4=$W$2,$W21,$X21)),_xlfn.ANCHORARRAY($G$3),2,0)+(VLOOKUP(IF($V$2=$P$4,$V21,$W21),_xlfn.ANCHORARRAY($G$3),VALUE(RIGHT(AB$2,1)+3),0))+IF($V$2=$P$4,$Y21,IF($P$4=$W$2,$Z21,$AA21)))*IF(Løn!$C$6&lt;DATEVALUE("01/05/2024"),101.95%,102.48%)+(VLOOKUP(IF($V$2=$P$4,$V21,IF($P$4=$W$2,$W21,$X21)),_xlfn.ANCHORARRAY($G$3),2,0)+(VLOOKUP(IF($V$2=$P$4,$V21,$W21),_xlfn.ANCHORARRAY($G$3),VALUE(RIGHT(AB$2,1)+3),0))+IF($V$2=$P$4,$Y21,IF($P$4=$W$2,$Z21,$AA21)))*IF($V$2=$P$4,$AG21,IF($P$4=$W$2,$AH21,$AI21))</f>
        <v>202340.61119999998</v>
      </c>
      <c r="AC21" s="36">
        <f ca="1">(VLOOKUP(IF($V$2=$P$4,$V21,IF($P$4=$W$2,$W21,$X21)),_xlfn.ANCHORARRAY($G$3),2,0)+(VLOOKUP(IF($V$2=$P$4,$V21,$W21),_xlfn.ANCHORARRAY($G$3),VALUE(RIGHT(AC$2,1)+3),0))+IF($V$2=$P$4,$Y21,IF($P$4=$W$2,$Z21,$AA21)))*IF(Løn!$C$6&lt;DATEVALUE("01/05/2024"),101.95%,102.48%)+(VLOOKUP(IF($V$2=$P$4,$V21,IF($P$4=$W$2,$W21,$X21)),_xlfn.ANCHORARRAY($G$3),2,0)+(VLOOKUP(IF($V$2=$P$4,$V21,$W21),_xlfn.ANCHORARRAY($G$3),VALUE(RIGHT(AC$2,1)+3),0))+IF($V$2=$P$4,$Y21,IF($P$4=$W$2,$Z21,$AA21)))*IF($V$2=$P$4,$AG21,IF($P$4=$W$2,$AH21,$AI21))</f>
        <v>205751.14559999999</v>
      </c>
      <c r="AD21" s="36">
        <f ca="1">(VLOOKUP(IF($V$2=$P$4,$V21,IF($P$4=$W$2,$W21,$X21)),_xlfn.ANCHORARRAY($G$3),2,0)+(VLOOKUP(IF($V$2=$P$4,$V21,$W21),_xlfn.ANCHORARRAY($G$3),VALUE(RIGHT(AD$2,1)+3),0))+IF($V$2=$P$4,$Y21,IF($P$4=$W$2,$Z21,$AA21)))*IF(Løn!$C$6&lt;DATEVALUE("01/05/2024"),101.95%,102.48%)+(VLOOKUP(IF($V$2=$P$4,$V21,IF($P$4=$W$2,$W21,$X21)),_xlfn.ANCHORARRAY($G$3),2,0)+(VLOOKUP(IF($V$2=$P$4,$V21,$W21),_xlfn.ANCHORARRAY($G$3),VALUE(RIGHT(AD$2,1)+3),0))+IF($V$2=$P$4,$Y21,IF($P$4=$W$2,$Z21,$AA21)))*IF($V$2=$P$4,$AG21,IF($P$4=$W$2,$AH21,$AI21))</f>
        <v>208522.20479999998</v>
      </c>
      <c r="AE21" s="36">
        <f ca="1">(VLOOKUP(IF($V$2=$P$4,$V21,IF($P$4=$W$2,$W21,$X21)),_xlfn.ANCHORARRAY($G$3),2,0)+(VLOOKUP(IF($V$2=$P$4,$V21,$W21),_xlfn.ANCHORARRAY($G$3),VALUE(RIGHT(AE$2,1)+3),0))+IF($V$2=$P$4,$Y21,IF($P$4=$W$2,$Z21,$AA21)))*IF(Løn!$C$6&lt;DATEVALUE("01/05/2024"),101.95%,102.48%)+(VLOOKUP(IF($V$2=$P$4,$V21,IF($P$4=$W$2,$W21,$X21)),_xlfn.ANCHORARRAY($G$3),2,0)+(VLOOKUP(IF($V$2=$P$4,$V21,$W21),_xlfn.ANCHORARRAY($G$3),VALUE(RIGHT(AE$2,1)+3),0))+IF($V$2=$P$4,$Y21,IF($P$4=$W$2,$Z21,$AA21)))*IF($V$2=$P$4,$AG21,IF($P$4=$W$2,$AH21,$AI21))</f>
        <v>212838.66239999997</v>
      </c>
      <c r="AF21" s="36">
        <f ca="1">(VLOOKUP(IF($V$2=$P$4,$V21,IF($P$4=$W$2,$W21,$X21)),_xlfn.ANCHORARRAY($G$3),2,0)+(VLOOKUP(IF($V$2=$P$4,$V21,$W21),_xlfn.ANCHORARRAY($G$3),VALUE(RIGHT(AF$2,1)+3),0))+IF($V$2=$P$4,$Y21,IF($P$4=$W$2,$Z21,$AA21)))*IF(Løn!$C$6&lt;DATEVALUE("01/05/2024"),101.95%,102.48%)+(VLOOKUP(IF($V$2=$P$4,$V21,IF($P$4=$W$2,$W21,$X21)),_xlfn.ANCHORARRAY($G$3),2,0)+(VLOOKUP(IF($V$2=$P$4,$V21,$W21),_xlfn.ANCHORARRAY($G$3),VALUE(RIGHT(AF$2,1)+3),0))+IF($V$2=$P$4,$Y21,IF($P$4=$W$2,$Z21,$AA21)))*IF($V$2=$P$4,$AG21,IF($P$4=$W$2,$AH21,$AI21))</f>
        <v>215716.3008</v>
      </c>
      <c r="AG21" s="37">
        <v>0</v>
      </c>
      <c r="AH21" s="37">
        <v>0</v>
      </c>
      <c r="AI21" s="37">
        <v>0</v>
      </c>
      <c r="AK21" s="33">
        <v>43982</v>
      </c>
      <c r="AM21" t="s">
        <v>209</v>
      </c>
      <c r="AN21" t="s">
        <v>209</v>
      </c>
    </row>
    <row r="22" spans="1:40" x14ac:dyDescent="0.35">
      <c r="G22" s="5">
        <f ca="1"/>
        <v>20</v>
      </c>
      <c r="H22" s="18">
        <f ca="1"/>
        <v>200622</v>
      </c>
      <c r="I22" s="16">
        <f ca="1"/>
        <v>0</v>
      </c>
      <c r="J22" s="17">
        <f ca="1"/>
        <v>3345</v>
      </c>
      <c r="K22" s="17">
        <f ca="1"/>
        <v>5661</v>
      </c>
      <c r="L22" s="17">
        <f ca="1"/>
        <v>9007</v>
      </c>
      <c r="M22" s="15">
        <f ca="1"/>
        <v>11322</v>
      </c>
      <c r="N22" s="40"/>
      <c r="R22" t="s">
        <v>80</v>
      </c>
      <c r="S22" t="s">
        <v>6</v>
      </c>
      <c r="U22" t="s">
        <v>189</v>
      </c>
      <c r="V22">
        <v>13</v>
      </c>
      <c r="W22">
        <v>13</v>
      </c>
      <c r="X22">
        <v>13</v>
      </c>
      <c r="Y22">
        <v>1052</v>
      </c>
      <c r="Z22">
        <v>1052</v>
      </c>
      <c r="AA22">
        <v>2772</v>
      </c>
      <c r="AB22" s="36">
        <f ca="1">(VLOOKUP(IF($V$2=$P$4,$V22,IF($P$4=$W$2,$W22,$X22)),_xlfn.ANCHORARRAY($G$3),2,0)+(VLOOKUP(IF($V$2=$P$4,$V22,$W22),_xlfn.ANCHORARRAY($G$3),VALUE(RIGHT(AB$2,1)+3),0))+IF($V$2=$P$4,$Y22,IF($P$4=$W$2,$Z22,$AA22)))*IF(Løn!$C$6&lt;DATEVALUE("01/05/2024"),101.95%,102.48%)+(VLOOKUP(IF($V$2=$P$4,$V22,IF($P$4=$W$2,$W22,$X22)),_xlfn.ANCHORARRAY($G$3),2,0)+(VLOOKUP(IF($V$2=$P$4,$V22,$W22),_xlfn.ANCHORARRAY($G$3),VALUE(RIGHT(AB$2,1)+3),0))+IF($V$2=$P$4,$Y22,IF($P$4=$W$2,$Z22,$AA22)))*IF($V$2=$P$4,$AG22,IF($P$4=$W$2,$AH22,$AI22))</f>
        <v>188723.06879999998</v>
      </c>
      <c r="AC22" s="36">
        <f ca="1">(VLOOKUP(IF($V$2=$P$4,$V22,IF($P$4=$W$2,$W22,$X22)),_xlfn.ANCHORARRAY($G$3),2,0)+(VLOOKUP(IF($V$2=$P$4,$V22,$W22),_xlfn.ANCHORARRAY($G$3),VALUE(RIGHT(AC$2,1)+3),0))+IF($V$2=$P$4,$Y22,IF($P$4=$W$2,$Z22,$AA22)))*IF(Løn!$C$6&lt;DATEVALUE("01/05/2024"),101.95%,102.48%)+(VLOOKUP(IF($V$2=$P$4,$V22,IF($P$4=$W$2,$W22,$X22)),_xlfn.ANCHORARRAY($G$3),2,0)+(VLOOKUP(IF($V$2=$P$4,$V22,$W22),_xlfn.ANCHORARRAY($G$3),VALUE(RIGHT(AC$2,1)+3),0))+IF($V$2=$P$4,$Y22,IF($P$4=$W$2,$Z22,$AA22)))*IF($V$2=$P$4,$AG22,IF($P$4=$W$2,$AH22,$AI22))</f>
        <v>191587.3848</v>
      </c>
      <c r="AD22" s="36">
        <f ca="1">(VLOOKUP(IF($V$2=$P$4,$V22,IF($P$4=$W$2,$W22,$X22)),_xlfn.ANCHORARRAY($G$3),2,0)+(VLOOKUP(IF($V$2=$P$4,$V22,$W22),_xlfn.ANCHORARRAY($G$3),VALUE(RIGHT(AD$2,1)+3),0))+IF($V$2=$P$4,$Y22,IF($P$4=$W$2,$Z22,$AA22)))*IF(Løn!$C$6&lt;DATEVALUE("01/05/2024"),101.95%,102.48%)+(VLOOKUP(IF($V$2=$P$4,$V22,IF($P$4=$W$2,$W22,$X22)),_xlfn.ANCHORARRAY($G$3),2,0)+(VLOOKUP(IF($V$2=$P$4,$V22,$W22),_xlfn.ANCHORARRAY($G$3),VALUE(RIGHT(AD$2,1)+3),0))+IF($V$2=$P$4,$Y22,IF($P$4=$W$2,$Z22,$AA22)))*IF($V$2=$P$4,$AG22,IF($P$4=$W$2,$AH22,$AI22))</f>
        <v>193570.37279999998</v>
      </c>
      <c r="AE22" s="36">
        <f ca="1">(VLOOKUP(IF($V$2=$P$4,$V22,IF($P$4=$W$2,$W22,$X22)),_xlfn.ANCHORARRAY($G$3),2,0)+(VLOOKUP(IF($V$2=$P$4,$V22,$W22),_xlfn.ANCHORARRAY($G$3),VALUE(RIGHT(AE$2,1)+3),0))+IF($V$2=$P$4,$Y22,IF($P$4=$W$2,$Z22,$AA22)))*IF(Løn!$C$6&lt;DATEVALUE("01/05/2024"),101.95%,102.48%)+(VLOOKUP(IF($V$2=$P$4,$V22,IF($P$4=$W$2,$W22,$X22)),_xlfn.ANCHORARRAY($G$3),2,0)+(VLOOKUP(IF($V$2=$P$4,$V22,$W22),_xlfn.ANCHORARRAY($G$3),VALUE(RIGHT(AE$2,1)+3),0))+IF($V$2=$P$4,$Y22,IF($P$4=$W$2,$Z22,$AA22)))*IF($V$2=$P$4,$AG22,IF($P$4=$W$2,$AH22,$AI22))</f>
        <v>196434.68879999997</v>
      </c>
      <c r="AF22" s="36">
        <f ca="1">(VLOOKUP(IF($V$2=$P$4,$V22,IF($P$4=$W$2,$W22,$X22)),_xlfn.ANCHORARRAY($G$3),2,0)+(VLOOKUP(IF($V$2=$P$4,$V22,$W22),_xlfn.ANCHORARRAY($G$3),VALUE(RIGHT(AF$2,1)+3),0))+IF($V$2=$P$4,$Y22,IF($P$4=$W$2,$Z22,$AA22)))*IF(Løn!$C$6&lt;DATEVALUE("01/05/2024"),101.95%,102.48%)+(VLOOKUP(IF($V$2=$P$4,$V22,IF($P$4=$W$2,$W22,$X22)),_xlfn.ANCHORARRAY($G$3),2,0)+(VLOOKUP(IF($V$2=$P$4,$V22,$W22),_xlfn.ANCHORARRAY($G$3),VALUE(RIGHT(AF$2,1)+3),0))+IF($V$2=$P$4,$Y22,IF($P$4=$W$2,$Z22,$AA22)))*IF($V$2=$P$4,$AG22,IF($P$4=$W$2,$AH22,$AI22))</f>
        <v>198417.67679999999</v>
      </c>
      <c r="AG22" s="37">
        <v>0</v>
      </c>
      <c r="AH22" s="37">
        <v>0</v>
      </c>
      <c r="AI22" s="37">
        <v>0</v>
      </c>
      <c r="AK22" s="33">
        <v>43983</v>
      </c>
      <c r="AM22" t="s">
        <v>135</v>
      </c>
      <c r="AN22" t="s">
        <v>135</v>
      </c>
    </row>
    <row r="23" spans="1:40" x14ac:dyDescent="0.35">
      <c r="G23" s="5">
        <f ca="1"/>
        <v>21</v>
      </c>
      <c r="H23" s="16">
        <f ca="1"/>
        <v>203939</v>
      </c>
      <c r="I23" s="16">
        <f ca="1"/>
        <v>0</v>
      </c>
      <c r="J23" s="17">
        <f ca="1"/>
        <v>3431</v>
      </c>
      <c r="K23" s="17">
        <f ca="1"/>
        <v>5806</v>
      </c>
      <c r="L23" s="17">
        <f ca="1"/>
        <v>9237</v>
      </c>
      <c r="M23" s="15">
        <f ca="1"/>
        <v>11612</v>
      </c>
      <c r="N23" s="40"/>
      <c r="O23" t="s">
        <v>107</v>
      </c>
      <c r="P23" s="14">
        <v>44197</v>
      </c>
      <c r="R23" t="s">
        <v>91</v>
      </c>
      <c r="S23" t="s">
        <v>7</v>
      </c>
      <c r="U23" t="s">
        <v>187</v>
      </c>
      <c r="V23" t="s">
        <v>187</v>
      </c>
      <c r="W23" t="s">
        <v>187</v>
      </c>
      <c r="X23" t="s">
        <v>187</v>
      </c>
      <c r="AB23" s="36">
        <f ca="1">(VLOOKUP(IF($V$2=$P$4,$V23,IF($P$4=$W$2,$W23,$X23)),_xlfn.ANCHORARRAY($G$3),2,0)+(VLOOKUP(IF($V$2=$P$4,$V23,$W23),_xlfn.ANCHORARRAY($G$3),VALUE(RIGHT(AB$2,1)+3),0))+IF($V$2=$P$4,$Y23,IF($P$4=$W$2,$Z23,$AA23)))*IF(Løn!$C$6&lt;DATEVALUE("01/05/2024"),101.95%,102.48%)+(VLOOKUP(IF($V$2=$P$4,$V23,IF($P$4=$W$2,$W23,$X23)),_xlfn.ANCHORARRAY($G$3),2,0)+(VLOOKUP(IF($V$2=$P$4,$V23,$W23),_xlfn.ANCHORARRAY($G$3),VALUE(RIGHT(AB$2,1)+3),0))+IF($V$2=$P$4,$Y23,IF($P$4=$W$2,$Z23,$AA23)))*IF($V$2=$P$4,$AG23,IF($P$4=$W$2,$AH23,$AI23))</f>
        <v>202340.61119999998</v>
      </c>
      <c r="AC23" s="36">
        <f ca="1">(VLOOKUP(IF($V$2=$P$4,$V23,IF($P$4=$W$2,$W23,$X23)),_xlfn.ANCHORARRAY($G$3),2,0)+(VLOOKUP(IF($V$2=$P$4,$V23,$W23),_xlfn.ANCHORARRAY($G$3),VALUE(RIGHT(AC$2,1)+3),0))+IF($V$2=$P$4,$Y23,IF($P$4=$W$2,$Z23,$AA23)))*IF(Løn!$C$6&lt;DATEVALUE("01/05/2024"),101.95%,102.48%)+(VLOOKUP(IF($V$2=$P$4,$V23,IF($P$4=$W$2,$W23,$X23)),_xlfn.ANCHORARRAY($G$3),2,0)+(VLOOKUP(IF($V$2=$P$4,$V23,$W23),_xlfn.ANCHORARRAY($G$3),VALUE(RIGHT(AC$2,1)+3),0))+IF($V$2=$P$4,$Y23,IF($P$4=$W$2,$Z23,$AA23)))*IF($V$2=$P$4,$AG23,IF($P$4=$W$2,$AH23,$AI23))</f>
        <v>205751.14559999999</v>
      </c>
      <c r="AD23" s="36">
        <f ca="1">(VLOOKUP(IF($V$2=$P$4,$V23,IF($P$4=$W$2,$W23,$X23)),_xlfn.ANCHORARRAY($G$3),2,0)+(VLOOKUP(IF($V$2=$P$4,$V23,$W23),_xlfn.ANCHORARRAY($G$3),VALUE(RIGHT(AD$2,1)+3),0))+IF($V$2=$P$4,$Y23,IF($P$4=$W$2,$Z23,$AA23)))*IF(Løn!$C$6&lt;DATEVALUE("01/05/2024"),101.95%,102.48%)+(VLOOKUP(IF($V$2=$P$4,$V23,IF($P$4=$W$2,$W23,$X23)),_xlfn.ANCHORARRAY($G$3),2,0)+(VLOOKUP(IF($V$2=$P$4,$V23,$W23),_xlfn.ANCHORARRAY($G$3),VALUE(RIGHT(AD$2,1)+3),0))+IF($V$2=$P$4,$Y23,IF($P$4=$W$2,$Z23,$AA23)))*IF($V$2=$P$4,$AG23,IF($P$4=$W$2,$AH23,$AI23))</f>
        <v>208522.20479999998</v>
      </c>
      <c r="AE23" s="36">
        <f ca="1">(VLOOKUP(IF($V$2=$P$4,$V23,IF($P$4=$W$2,$W23,$X23)),_xlfn.ANCHORARRAY($G$3),2,0)+(VLOOKUP(IF($V$2=$P$4,$V23,$W23),_xlfn.ANCHORARRAY($G$3),VALUE(RIGHT(AE$2,1)+3),0))+IF($V$2=$P$4,$Y23,IF($P$4=$W$2,$Z23,$AA23)))*IF(Løn!$C$6&lt;DATEVALUE("01/05/2024"),101.95%,102.48%)+(VLOOKUP(IF($V$2=$P$4,$V23,IF($P$4=$W$2,$W23,$X23)),_xlfn.ANCHORARRAY($G$3),2,0)+(VLOOKUP(IF($V$2=$P$4,$V23,$W23),_xlfn.ANCHORARRAY($G$3),VALUE(RIGHT(AE$2,1)+3),0))+IF($V$2=$P$4,$Y23,IF($P$4=$W$2,$Z23,$AA23)))*IF($V$2=$P$4,$AG23,IF($P$4=$W$2,$AH23,$AI23))</f>
        <v>212838.66239999997</v>
      </c>
      <c r="AF23" s="36">
        <f ca="1">(VLOOKUP(IF($V$2=$P$4,$V23,IF($P$4=$W$2,$W23,$X23)),_xlfn.ANCHORARRAY($G$3),2,0)+(VLOOKUP(IF($V$2=$P$4,$V23,$W23),_xlfn.ANCHORARRAY($G$3),VALUE(RIGHT(AF$2,1)+3),0))+IF($V$2=$P$4,$Y23,IF($P$4=$W$2,$Z23,$AA23)))*IF(Løn!$C$6&lt;DATEVALUE("01/05/2024"),101.95%,102.48%)+(VLOOKUP(IF($V$2=$P$4,$V23,IF($P$4=$W$2,$W23,$X23)),_xlfn.ANCHORARRAY($G$3),2,0)+(VLOOKUP(IF($V$2=$P$4,$V23,$W23),_xlfn.ANCHORARRAY($G$3),VALUE(RIGHT(AF$2,1)+3),0))+IF($V$2=$P$4,$Y23,IF($P$4=$W$2,$Z23,$AA23)))*IF($V$2=$P$4,$AG23,IF($P$4=$W$2,$AH23,$AI23))</f>
        <v>215716.3008</v>
      </c>
      <c r="AG23" s="37">
        <v>0</v>
      </c>
      <c r="AH23" s="37">
        <v>0</v>
      </c>
      <c r="AI23" s="37">
        <v>0</v>
      </c>
      <c r="AK23" s="33">
        <v>44190</v>
      </c>
      <c r="AM23" t="s">
        <v>129</v>
      </c>
      <c r="AN23" t="s">
        <v>129</v>
      </c>
    </row>
    <row r="24" spans="1:40" x14ac:dyDescent="0.35">
      <c r="G24" s="5">
        <f ca="1"/>
        <v>22</v>
      </c>
      <c r="H24" s="16">
        <f ca="1"/>
        <v>206362</v>
      </c>
      <c r="I24" s="16">
        <f ca="1"/>
        <v>0</v>
      </c>
      <c r="J24" s="17">
        <f ca="1"/>
        <v>3431</v>
      </c>
      <c r="K24" s="17">
        <f ca="1"/>
        <v>5806</v>
      </c>
      <c r="L24" s="17">
        <f ca="1"/>
        <v>9237</v>
      </c>
      <c r="M24" s="15">
        <f ca="1"/>
        <v>11612</v>
      </c>
      <c r="N24" s="40"/>
      <c r="O24" t="s">
        <v>108</v>
      </c>
      <c r="P24" s="14">
        <v>47848</v>
      </c>
      <c r="R24" t="s">
        <v>65</v>
      </c>
      <c r="S24" t="s">
        <v>4</v>
      </c>
      <c r="U24" t="s">
        <v>188</v>
      </c>
      <c r="V24">
        <v>15</v>
      </c>
      <c r="W24">
        <v>15</v>
      </c>
      <c r="X24">
        <v>15</v>
      </c>
      <c r="Y24">
        <v>1160</v>
      </c>
      <c r="Z24">
        <v>1700</v>
      </c>
      <c r="AA24">
        <v>1700</v>
      </c>
      <c r="AB24" s="36">
        <f ca="1">(VLOOKUP(IF($V$2=$P$4,$V24,IF($P$4=$W$2,$W24,$X24)),_xlfn.ANCHORARRAY($G$3),2,0)+(VLOOKUP(IF($V$2=$P$4,$V24,$W24),_xlfn.ANCHORARRAY($G$3),VALUE(RIGHT(AB$2,1)+3),0))+IF($V$2=$P$4,$Y24,IF($P$4=$W$2,$Z24,$AA24)))*IF(Løn!$C$6&lt;DATEVALUE("01/05/2024"),101.95%,102.48%)+(VLOOKUP(IF($V$2=$P$4,$V24,IF($P$4=$W$2,$W24,$X24)),_xlfn.ANCHORARRAY($G$3),2,0)+(VLOOKUP(IF($V$2=$P$4,$V24,$W24),_xlfn.ANCHORARRAY($G$3),VALUE(RIGHT(AB$2,1)+3),0))+IF($V$2=$P$4,$Y24,IF($P$4=$W$2,$Z24,$AA24)))*IF($V$2=$P$4,$AG24,IF($P$4=$W$2,$AH24,$AI24))</f>
        <v>192706.46639999998</v>
      </c>
      <c r="AC24" s="36">
        <f ca="1">(VLOOKUP(IF($V$2=$P$4,$V24,IF($P$4=$W$2,$W24,$X24)),_xlfn.ANCHORARRAY($G$3),2,0)+(VLOOKUP(IF($V$2=$P$4,$V24,$W24),_xlfn.ANCHORARRAY($G$3),VALUE(RIGHT(AC$2,1)+3),0))+IF($V$2=$P$4,$Y24,IF($P$4=$W$2,$Z24,$AA24)))*IF(Løn!$C$6&lt;DATEVALUE("01/05/2024"),101.95%,102.48%)+(VLOOKUP(IF($V$2=$P$4,$V24,IF($P$4=$W$2,$W24,$X24)),_xlfn.ANCHORARRAY($G$3),2,0)+(VLOOKUP(IF($V$2=$P$4,$V24,$W24),_xlfn.ANCHORARRAY($G$3),VALUE(RIGHT(AC$2,1)+3),0))+IF($V$2=$P$4,$Y24,IF($P$4=$W$2,$Z24,$AA24)))*IF($V$2=$P$4,$AG24,IF($P$4=$W$2,$AH24,$AI24))</f>
        <v>195716.30399999997</v>
      </c>
      <c r="AD24" s="36">
        <f ca="1">(VLOOKUP(IF($V$2=$P$4,$V24,IF($P$4=$W$2,$W24,$X24)),_xlfn.ANCHORARRAY($G$3),2,0)+(VLOOKUP(IF($V$2=$P$4,$V24,$W24),_xlfn.ANCHORARRAY($G$3),VALUE(RIGHT(AD$2,1)+3),0))+IF($V$2=$P$4,$Y24,IF($P$4=$W$2,$Z24,$AA24)))*IF(Løn!$C$6&lt;DATEVALUE("01/05/2024"),101.95%,102.48%)+(VLOOKUP(IF($V$2=$P$4,$V24,IF($P$4=$W$2,$W24,$X24)),_xlfn.ANCHORARRAY($G$3),2,0)+(VLOOKUP(IF($V$2=$P$4,$V24,$W24),_xlfn.ANCHORARRAY($G$3),VALUE(RIGHT(AD$2,1)+3),0))+IF($V$2=$P$4,$Y24,IF($P$4=$W$2,$Z24,$AA24)))*IF($V$2=$P$4,$AG24,IF($P$4=$W$2,$AH24,$AI24))</f>
        <v>197801.772</v>
      </c>
      <c r="AE24" s="36">
        <f ca="1">(VLOOKUP(IF($V$2=$P$4,$V24,IF($P$4=$W$2,$W24,$X24)),_xlfn.ANCHORARRAY($G$3),2,0)+(VLOOKUP(IF($V$2=$P$4,$V24,$W24),_xlfn.ANCHORARRAY($G$3),VALUE(RIGHT(AE$2,1)+3),0))+IF($V$2=$P$4,$Y24,IF($P$4=$W$2,$Z24,$AA24)))*IF(Løn!$C$6&lt;DATEVALUE("01/05/2024"),101.95%,102.48%)+(VLOOKUP(IF($V$2=$P$4,$V24,IF($P$4=$W$2,$W24,$X24)),_xlfn.ANCHORARRAY($G$3),2,0)+(VLOOKUP(IF($V$2=$P$4,$V24,$W24),_xlfn.ANCHORARRAY($G$3),VALUE(RIGHT(AE$2,1)+3),0))+IF($V$2=$P$4,$Y24,IF($P$4=$W$2,$Z24,$AA24)))*IF($V$2=$P$4,$AG24,IF($P$4=$W$2,$AH24,$AI24))</f>
        <v>200810.58479999998</v>
      </c>
      <c r="AF24" s="36">
        <f ca="1">(VLOOKUP(IF($V$2=$P$4,$V24,IF($P$4=$W$2,$W24,$X24)),_xlfn.ANCHORARRAY($G$3),2,0)+(VLOOKUP(IF($V$2=$P$4,$V24,$W24),_xlfn.ANCHORARRAY($G$3),VALUE(RIGHT(AF$2,1)+3),0))+IF($V$2=$P$4,$Y24,IF($P$4=$W$2,$Z24,$AA24)))*IF(Løn!$C$6&lt;DATEVALUE("01/05/2024"),101.95%,102.48%)+(VLOOKUP(IF($V$2=$P$4,$V24,IF($P$4=$W$2,$W24,$X24)),_xlfn.ANCHORARRAY($G$3),2,0)+(VLOOKUP(IF($V$2=$P$4,$V24,$W24),_xlfn.ANCHORARRAY($G$3),VALUE(RIGHT(AF$2,1)+3),0))+IF($V$2=$P$4,$Y24,IF($P$4=$W$2,$Z24,$AA24)))*IF($V$2=$P$4,$AG24,IF($P$4=$W$2,$AH24,$AI24))</f>
        <v>202895.02799999999</v>
      </c>
      <c r="AG24" s="37">
        <v>0</v>
      </c>
      <c r="AH24" s="37">
        <v>0</v>
      </c>
      <c r="AI24" s="37">
        <v>0</v>
      </c>
      <c r="AK24" s="33">
        <v>44191</v>
      </c>
      <c r="AM24" t="s">
        <v>130</v>
      </c>
      <c r="AN24" t="s">
        <v>148</v>
      </c>
    </row>
    <row r="25" spans="1:40" x14ac:dyDescent="0.35">
      <c r="G25" s="5">
        <f ca="1"/>
        <v>23</v>
      </c>
      <c r="H25" s="16">
        <f ca="1"/>
        <v>209653</v>
      </c>
      <c r="I25" s="16">
        <f ca="1"/>
        <v>0</v>
      </c>
      <c r="J25" s="17">
        <f ca="1"/>
        <v>3338</v>
      </c>
      <c r="K25" s="17">
        <f ca="1"/>
        <v>5647</v>
      </c>
      <c r="L25" s="17">
        <f ca="1"/>
        <v>8984</v>
      </c>
      <c r="M25" s="15">
        <f ca="1"/>
        <v>11294</v>
      </c>
      <c r="N25" s="40"/>
      <c r="R25" t="s">
        <v>92</v>
      </c>
      <c r="S25" t="s">
        <v>7</v>
      </c>
      <c r="U25" t="s">
        <v>178</v>
      </c>
      <c r="V25" t="s">
        <v>178</v>
      </c>
      <c r="W25" t="s">
        <v>178</v>
      </c>
      <c r="X25" t="s">
        <v>178</v>
      </c>
      <c r="AB25" s="36">
        <f ca="1">(VLOOKUP(IF($V$2=$P$4,$V25,IF($P$4=$W$2,$W25,$X25)),_xlfn.ANCHORARRAY($G$3),2,0)+(VLOOKUP(IF($V$2=$P$4,$V25,$W25),_xlfn.ANCHORARRAY($G$3),VALUE(RIGHT(AB$2,1)+3),0))+IF($V$2=$P$4,$Y25,IF($P$4=$W$2,$Z25,$AA25)))*IF(Løn!$C$6&lt;DATEVALUE("01/05/2024"),101.95%,102.48%)+(VLOOKUP(IF($V$2=$P$4,$V25,IF($P$4=$W$2,$W25,$X25)),_xlfn.ANCHORARRAY($G$3),2,0)+(VLOOKUP(IF($V$2=$P$4,$V25,$W25),_xlfn.ANCHORARRAY($G$3),VALUE(RIGHT(AB$2,1)+3),0))+IF($V$2=$P$4,$Y25,IF($P$4=$W$2,$Z25,$AA25)))*IF($V$2=$P$4,$AG25,IF($P$4=$W$2,$AH25,$AI25))</f>
        <v>207616.28159999999</v>
      </c>
      <c r="AC25" s="36">
        <f ca="1">(VLOOKUP(IF($V$2=$P$4,$V25,IF($P$4=$W$2,$W25,$X25)),_xlfn.ANCHORARRAY($G$3),2,0)+(VLOOKUP(IF($V$2=$P$4,$V25,$W25),_xlfn.ANCHORARRAY($G$3),VALUE(RIGHT(AC$2,1)+3),0))+IF($V$2=$P$4,$Y25,IF($P$4=$W$2,$Z25,$AA25)))*IF(Løn!$C$6&lt;DATEVALUE("01/05/2024"),101.95%,102.48%)+(VLOOKUP(IF($V$2=$P$4,$V25,IF($P$4=$W$2,$W25,$X25)),_xlfn.ANCHORARRAY($G$3),2,0)+(VLOOKUP(IF($V$2=$P$4,$V25,$W25),_xlfn.ANCHORARRAY($G$3),VALUE(RIGHT(AC$2,1)+3),0))+IF($V$2=$P$4,$Y25,IF($P$4=$W$2,$Z25,$AA25)))*IF($V$2=$P$4,$AG25,IF($P$4=$W$2,$AH25,$AI25))</f>
        <v>207616.28159999999</v>
      </c>
      <c r="AD25" s="36">
        <f ca="1">(VLOOKUP(IF($V$2=$P$4,$V25,IF($P$4=$W$2,$W25,$X25)),_xlfn.ANCHORARRAY($G$3),2,0)+(VLOOKUP(IF($V$2=$P$4,$V25,$W25),_xlfn.ANCHORARRAY($G$3),VALUE(RIGHT(AD$2,1)+3),0))+IF($V$2=$P$4,$Y25,IF($P$4=$W$2,$Z25,$AA25)))*IF(Løn!$C$6&lt;DATEVALUE("01/05/2024"),101.95%,102.48%)+(VLOOKUP(IF($V$2=$P$4,$V25,IF($P$4=$W$2,$W25,$X25)),_xlfn.ANCHORARRAY($G$3),2,0)+(VLOOKUP(IF($V$2=$P$4,$V25,$W25),_xlfn.ANCHORARRAY($G$3),VALUE(RIGHT(AD$2,1)+3),0))+IF($V$2=$P$4,$Y25,IF($P$4=$W$2,$Z25,$AA25)))*IF($V$2=$P$4,$AG25,IF($P$4=$W$2,$AH25,$AI25))</f>
        <v>207616.28159999999</v>
      </c>
      <c r="AE25" s="36">
        <f ca="1">(VLOOKUP(IF($V$2=$P$4,$V25,IF($P$4=$W$2,$W25,$X25)),_xlfn.ANCHORARRAY($G$3),2,0)+(VLOOKUP(IF($V$2=$P$4,$V25,$W25),_xlfn.ANCHORARRAY($G$3),VALUE(RIGHT(AE$2,1)+3),0))+IF($V$2=$P$4,$Y25,IF($P$4=$W$2,$Z25,$AA25)))*IF(Løn!$C$6&lt;DATEVALUE("01/05/2024"),101.95%,102.48%)+(VLOOKUP(IF($V$2=$P$4,$V25,IF($P$4=$W$2,$W25,$X25)),_xlfn.ANCHORARRAY($G$3),2,0)+(VLOOKUP(IF($V$2=$P$4,$V25,$W25),_xlfn.ANCHORARRAY($G$3),VALUE(RIGHT(AE$2,1)+3),0))+IF($V$2=$P$4,$Y25,IF($P$4=$W$2,$Z25,$AA25)))*IF($V$2=$P$4,$AG25,IF($P$4=$W$2,$AH25,$AI25))</f>
        <v>207616.28159999999</v>
      </c>
      <c r="AF25" s="36">
        <f ca="1">(VLOOKUP(IF($V$2=$P$4,$V25,IF($P$4=$W$2,$W25,$X25)),_xlfn.ANCHORARRAY($G$3),2,0)+(VLOOKUP(IF($V$2=$P$4,$V25,$W25),_xlfn.ANCHORARRAY($G$3),VALUE(RIGHT(AF$2,1)+3),0))+IF($V$2=$P$4,$Y25,IF($P$4=$W$2,$Z25,$AA25)))*IF(Løn!$C$6&lt;DATEVALUE("01/05/2024"),101.95%,102.48%)+(VLOOKUP(IF($V$2=$P$4,$V25,IF($P$4=$W$2,$W25,$X25)),_xlfn.ANCHORARRAY($G$3),2,0)+(VLOOKUP(IF($V$2=$P$4,$V25,$W25),_xlfn.ANCHORARRAY($G$3),VALUE(RIGHT(AF$2,1)+3),0))+IF($V$2=$P$4,$Y25,IF($P$4=$W$2,$Z25,$AA25)))*IF($V$2=$P$4,$AG25,IF($P$4=$W$2,$AH25,$AI25))</f>
        <v>207616.28159999999</v>
      </c>
      <c r="AG25" s="37">
        <v>0</v>
      </c>
      <c r="AH25" s="37">
        <v>0</v>
      </c>
      <c r="AI25" s="37">
        <v>0</v>
      </c>
      <c r="AK25" s="33">
        <v>44197</v>
      </c>
      <c r="AM25" t="s">
        <v>192</v>
      </c>
      <c r="AN25" t="s">
        <v>193</v>
      </c>
    </row>
    <row r="26" spans="1:40" x14ac:dyDescent="0.35">
      <c r="G26" s="5">
        <f ca="1"/>
        <v>24</v>
      </c>
      <c r="H26" s="16">
        <f ca="1"/>
        <v>213049</v>
      </c>
      <c r="I26" s="16">
        <f ca="1"/>
        <v>0</v>
      </c>
      <c r="J26" s="17">
        <f ca="1"/>
        <v>3242</v>
      </c>
      <c r="K26" s="17">
        <f ca="1"/>
        <v>5487</v>
      </c>
      <c r="L26" s="17">
        <f ca="1"/>
        <v>8729</v>
      </c>
      <c r="M26" s="15">
        <f ca="1"/>
        <v>10973</v>
      </c>
      <c r="N26" s="40"/>
      <c r="R26" t="s">
        <v>93</v>
      </c>
      <c r="S26" t="s">
        <v>7</v>
      </c>
      <c r="U26" t="s">
        <v>181</v>
      </c>
      <c r="V26">
        <v>18</v>
      </c>
      <c r="W26">
        <v>18</v>
      </c>
      <c r="X26">
        <v>18</v>
      </c>
      <c r="Y26">
        <v>550</v>
      </c>
      <c r="Z26">
        <v>550</v>
      </c>
      <c r="AA26">
        <v>1500</v>
      </c>
      <c r="AB26" s="36">
        <f ca="1">(VLOOKUP(IF($V$2=$P$4,$V26,IF($P$4=$W$2,$W26,$X26)),_xlfn.ANCHORARRAY($G$3),2,0)+(VLOOKUP(IF($V$2=$P$4,$V26,$W26),_xlfn.ANCHORARRAY($G$3),VALUE(RIGHT(AB$2,1)+3),0))+IF($V$2=$P$4,$Y26,IF($P$4=$W$2,$Z26,$AA26)))*IF(Løn!$C$6&lt;DATEVALUE("01/05/2024"),101.95%,102.48%)+(VLOOKUP(IF($V$2=$P$4,$V26,IF($P$4=$W$2,$W26,$X26)),_xlfn.ANCHORARRAY($G$3),2,0)+(VLOOKUP(IF($V$2=$P$4,$V26,$W26),_xlfn.ANCHORARRAY($G$3),VALUE(RIGHT(AB$2,1)+3),0))+IF($V$2=$P$4,$Y26,IF($P$4=$W$2,$Z26,$AA26)))*IF($V$2=$P$4,$AG26,IF($P$4=$W$2,$AH26,$AI26))</f>
        <v>202039.31999999998</v>
      </c>
      <c r="AC26" s="36">
        <f ca="1">(VLOOKUP(IF($V$2=$P$4,$V26,IF($P$4=$W$2,$W26,$X26)),_xlfn.ANCHORARRAY($G$3),2,0)+(VLOOKUP(IF($V$2=$P$4,$V26,$W26),_xlfn.ANCHORARRAY($G$3),VALUE(RIGHT(AC$2,1)+3),0))+IF($V$2=$P$4,$Y26,IF($P$4=$W$2,$Z26,$AA26)))*IF(Løn!$C$6&lt;DATEVALUE("01/05/2024"),101.95%,102.48%)+(VLOOKUP(IF($V$2=$P$4,$V26,IF($P$4=$W$2,$W26,$X26)),_xlfn.ANCHORARRAY($G$3),2,0)+(VLOOKUP(IF($V$2=$P$4,$V26,$W26),_xlfn.ANCHORARRAY($G$3),VALUE(RIGHT(AC$2,1)+3),0))+IF($V$2=$P$4,$Y26,IF($P$4=$W$2,$Z26,$AA26)))*IF($V$2=$P$4,$AG26,IF($P$4=$W$2,$AH26,$AI26))</f>
        <v>205299.20879999999</v>
      </c>
      <c r="AD26" s="36">
        <f ca="1">(VLOOKUP(IF($V$2=$P$4,$V26,IF($P$4=$W$2,$W26,$X26)),_xlfn.ANCHORARRAY($G$3),2,0)+(VLOOKUP(IF($V$2=$P$4,$V26,$W26),_xlfn.ANCHORARRAY($G$3),VALUE(RIGHT(AD$2,1)+3),0))+IF($V$2=$P$4,$Y26,IF($P$4=$W$2,$Z26,$AA26)))*IF(Løn!$C$6&lt;DATEVALUE("01/05/2024"),101.95%,102.48%)+(VLOOKUP(IF($V$2=$P$4,$V26,IF($P$4=$W$2,$W26,$X26)),_xlfn.ANCHORARRAY($G$3),2,0)+(VLOOKUP(IF($V$2=$P$4,$V26,$W26),_xlfn.ANCHORARRAY($G$3),VALUE(RIGHT(AD$2,1)+3),0))+IF($V$2=$P$4,$Y26,IF($P$4=$W$2,$Z26,$AA26)))*IF($V$2=$P$4,$AG26,IF($P$4=$W$2,$AH26,$AI26))</f>
        <v>207555.81839999999</v>
      </c>
      <c r="AE26" s="36">
        <f ca="1">(VLOOKUP(IF($V$2=$P$4,$V26,IF($P$4=$W$2,$W26,$X26)),_xlfn.ANCHORARRAY($G$3),2,0)+(VLOOKUP(IF($V$2=$P$4,$V26,$W26),_xlfn.ANCHORARRAY($G$3),VALUE(RIGHT(AE$2,1)+3),0))+IF($V$2=$P$4,$Y26,IF($P$4=$W$2,$Z26,$AA26)))*IF(Løn!$C$6&lt;DATEVALUE("01/05/2024"),101.95%,102.48%)+(VLOOKUP(IF($V$2=$P$4,$V26,IF($P$4=$W$2,$W26,$X26)),_xlfn.ANCHORARRAY($G$3),2,0)+(VLOOKUP(IF($V$2=$P$4,$V26,$W26),_xlfn.ANCHORARRAY($G$3),VALUE(RIGHT(AE$2,1)+3),0))+IF($V$2=$P$4,$Y26,IF($P$4=$W$2,$Z26,$AA26)))*IF($V$2=$P$4,$AG26,IF($P$4=$W$2,$AH26,$AI26))</f>
        <v>210816.73199999999</v>
      </c>
      <c r="AF26" s="36">
        <f ca="1">(VLOOKUP(IF($V$2=$P$4,$V26,IF($P$4=$W$2,$W26,$X26)),_xlfn.ANCHORARRAY($G$3),2,0)+(VLOOKUP(IF($V$2=$P$4,$V26,$W26),_xlfn.ANCHORARRAY($G$3),VALUE(RIGHT(AF$2,1)+3),0))+IF($V$2=$P$4,$Y26,IF($P$4=$W$2,$Z26,$AA26)))*IF(Løn!$C$6&lt;DATEVALUE("01/05/2024"),101.95%,102.48%)+(VLOOKUP(IF($V$2=$P$4,$V26,IF($P$4=$W$2,$W26,$X26)),_xlfn.ANCHORARRAY($G$3),2,0)+(VLOOKUP(IF($V$2=$P$4,$V26,$W26),_xlfn.ANCHORARRAY($G$3),VALUE(RIGHT(AF$2,1)+3),0))+IF($V$2=$P$4,$Y26,IF($P$4=$W$2,$Z26,$AA26)))*IF($V$2=$P$4,$AG26,IF($P$4=$W$2,$AH26,$AI26))</f>
        <v>213073.34159999999</v>
      </c>
      <c r="AG26" s="37">
        <v>0</v>
      </c>
      <c r="AH26" s="37">
        <v>0</v>
      </c>
      <c r="AI26" s="37">
        <v>0</v>
      </c>
      <c r="AK26" s="33">
        <v>44287</v>
      </c>
      <c r="AM26" t="s">
        <v>114</v>
      </c>
      <c r="AN26" t="s">
        <v>149</v>
      </c>
    </row>
    <row r="27" spans="1:40" x14ac:dyDescent="0.35">
      <c r="G27" s="5">
        <f ca="1"/>
        <v>25</v>
      </c>
      <c r="H27" s="18">
        <f ca="1"/>
        <v>216516</v>
      </c>
      <c r="I27" s="16">
        <f ca="1"/>
        <v>0</v>
      </c>
      <c r="J27" s="17">
        <f ca="1"/>
        <v>3141</v>
      </c>
      <c r="K27" s="17">
        <f ca="1"/>
        <v>5315</v>
      </c>
      <c r="L27" s="17">
        <f ca="1"/>
        <v>8457</v>
      </c>
      <c r="M27" s="15">
        <f ca="1"/>
        <v>10631</v>
      </c>
      <c r="N27" s="40"/>
      <c r="R27" t="s">
        <v>94</v>
      </c>
      <c r="S27" t="s">
        <v>7</v>
      </c>
      <c r="U27" t="s">
        <v>139</v>
      </c>
      <c r="V27">
        <v>11</v>
      </c>
      <c r="W27">
        <v>11</v>
      </c>
      <c r="X27">
        <v>13</v>
      </c>
      <c r="Y27">
        <v>1124</v>
      </c>
      <c r="Z27">
        <v>1124</v>
      </c>
      <c r="AB27" s="36">
        <f ca="1">(VLOOKUP(IF($V$2=$P$4,$V27,IF($P$4=$W$2,$W27,$X27)),_xlfn.ANCHORARRAY($G$3),2,0)+(VLOOKUP(IF($V$2=$P$4,$V27,$W27),_xlfn.ANCHORARRAY($G$3),VALUE(RIGHT(AB$2,1)+3),0))+IF($V$2=$P$4,$Y27,IF($P$4=$W$2,$Z27,$AA27)))*IF(Løn!$C$6&lt;DATEVALUE("01/05/2024"),101.95%,102.48%)+(VLOOKUP(IF($V$2=$P$4,$V27,IF($P$4=$W$2,$W27,$X27)),_xlfn.ANCHORARRAY($G$3),2,0)+(VLOOKUP(IF($V$2=$P$4,$V27,$W27),_xlfn.ANCHORARRAY($G$3),VALUE(RIGHT(AB$2,1)+3),0))+IF($V$2=$P$4,$Y27,IF($P$4=$W$2,$Z27,$AA27)))*IF($V$2=$P$4,$AG27,IF($P$4=$W$2,$AH27,$AI27))</f>
        <v>185882.32319999998</v>
      </c>
      <c r="AC27" s="36">
        <f ca="1">(VLOOKUP(IF($V$2=$P$4,$V27,IF($P$4=$W$2,$W27,$X27)),_xlfn.ANCHORARRAY($G$3),2,0)+(VLOOKUP(IF($V$2=$P$4,$V27,$W27),_xlfn.ANCHORARRAY($G$3),VALUE(RIGHT(AC$2,1)+3),0))+IF($V$2=$P$4,$Y27,IF($P$4=$W$2,$Z27,$AA27)))*IF(Løn!$C$6&lt;DATEVALUE("01/05/2024"),101.95%,102.48%)+(VLOOKUP(IF($V$2=$P$4,$V27,IF($P$4=$W$2,$W27,$X27)),_xlfn.ANCHORARRAY($G$3),2,0)+(VLOOKUP(IF($V$2=$P$4,$V27,$W27),_xlfn.ANCHORARRAY($G$3),VALUE(RIGHT(AC$2,1)+3),0))+IF($V$2=$P$4,$Y27,IF($P$4=$W$2,$Z27,$AA27)))*IF($V$2=$P$4,$AG27,IF($P$4=$W$2,$AH27,$AI27))</f>
        <v>188607.26639999999</v>
      </c>
      <c r="AD27" s="36">
        <f ca="1">(VLOOKUP(IF($V$2=$P$4,$V27,IF($P$4=$W$2,$W27,$X27)),_xlfn.ANCHORARRAY($G$3),2,0)+(VLOOKUP(IF($V$2=$P$4,$V27,$W27),_xlfn.ANCHORARRAY($G$3),VALUE(RIGHT(AD$2,1)+3),0))+IF($V$2=$P$4,$Y27,IF($P$4=$W$2,$Z27,$AA27)))*IF(Løn!$C$6&lt;DATEVALUE("01/05/2024"),101.95%,102.48%)+(VLOOKUP(IF($V$2=$P$4,$V27,IF($P$4=$W$2,$W27,$X27)),_xlfn.ANCHORARRAY($G$3),2,0)+(VLOOKUP(IF($V$2=$P$4,$V27,$W27),_xlfn.ANCHORARRAY($G$3),VALUE(RIGHT(AD$2,1)+3),0))+IF($V$2=$P$4,$Y27,IF($P$4=$W$2,$Z27,$AA27)))*IF($V$2=$P$4,$AG27,IF($P$4=$W$2,$AH27,$AI27))</f>
        <v>190494.94799999997</v>
      </c>
      <c r="AE27" s="36">
        <f ca="1">(VLOOKUP(IF($V$2=$P$4,$V27,IF($P$4=$W$2,$W27,$X27)),_xlfn.ANCHORARRAY($G$3),2,0)+(VLOOKUP(IF($V$2=$P$4,$V27,$W27),_xlfn.ANCHORARRAY($G$3),VALUE(RIGHT(AE$2,1)+3),0))+IF($V$2=$P$4,$Y27,IF($P$4=$W$2,$Z27,$AA27)))*IF(Løn!$C$6&lt;DATEVALUE("01/05/2024"),101.95%,102.48%)+(VLOOKUP(IF($V$2=$P$4,$V27,IF($P$4=$W$2,$W27,$X27)),_xlfn.ANCHORARRAY($G$3),2,0)+(VLOOKUP(IF($V$2=$P$4,$V27,$W27),_xlfn.ANCHORARRAY($G$3),VALUE(RIGHT(AE$2,1)+3),0))+IF($V$2=$P$4,$Y27,IF($P$4=$W$2,$Z27,$AA27)))*IF($V$2=$P$4,$AG27,IF($P$4=$W$2,$AH27,$AI27))</f>
        <v>193219.89119999998</v>
      </c>
      <c r="AF27" s="36">
        <f ca="1">(VLOOKUP(IF($V$2=$P$4,$V27,IF($P$4=$W$2,$W27,$X27)),_xlfn.ANCHORARRAY($G$3),2,0)+(VLOOKUP(IF($V$2=$P$4,$V27,$W27),_xlfn.ANCHORARRAY($G$3),VALUE(RIGHT(AF$2,1)+3),0))+IF($V$2=$P$4,$Y27,IF($P$4=$W$2,$Z27,$AA27)))*IF(Løn!$C$6&lt;DATEVALUE("01/05/2024"),101.95%,102.48%)+(VLOOKUP(IF($V$2=$P$4,$V27,IF($P$4=$W$2,$W27,$X27)),_xlfn.ANCHORARRAY($G$3),2,0)+(VLOOKUP(IF($V$2=$P$4,$V27,$W27),_xlfn.ANCHORARRAY($G$3),VALUE(RIGHT(AF$2,1)+3),0))+IF($V$2=$P$4,$Y27,IF($P$4=$W$2,$Z27,$AA27)))*IF($V$2=$P$4,$AG27,IF($P$4=$W$2,$AH27,$AI27))</f>
        <v>195107.57279999999</v>
      </c>
      <c r="AG27" s="37">
        <v>0</v>
      </c>
      <c r="AH27" s="37">
        <v>0</v>
      </c>
      <c r="AI27" s="37">
        <v>0</v>
      </c>
      <c r="AK27" s="33">
        <v>44288</v>
      </c>
      <c r="AM27" t="s">
        <v>131</v>
      </c>
      <c r="AN27" t="s">
        <v>150</v>
      </c>
    </row>
    <row r="28" spans="1:40" x14ac:dyDescent="0.35">
      <c r="G28" s="5">
        <f ca="1"/>
        <v>26</v>
      </c>
      <c r="H28" s="16">
        <f ca="1"/>
        <v>220063</v>
      </c>
      <c r="I28" s="16">
        <f ca="1"/>
        <v>0</v>
      </c>
      <c r="J28" s="17">
        <f ca="1"/>
        <v>3034</v>
      </c>
      <c r="K28" s="17">
        <f ca="1"/>
        <v>5133</v>
      </c>
      <c r="L28" s="17">
        <f ca="1"/>
        <v>8165</v>
      </c>
      <c r="M28" s="15">
        <f ca="1"/>
        <v>10265</v>
      </c>
      <c r="N28" s="40"/>
      <c r="R28" t="s">
        <v>95</v>
      </c>
      <c r="S28" t="s">
        <v>7</v>
      </c>
      <c r="U28" t="s">
        <v>138</v>
      </c>
      <c r="V28">
        <v>18</v>
      </c>
      <c r="W28">
        <v>18</v>
      </c>
      <c r="X28">
        <v>18</v>
      </c>
      <c r="Y28">
        <v>2400</v>
      </c>
      <c r="Z28">
        <v>3545</v>
      </c>
      <c r="AA28">
        <v>3545</v>
      </c>
      <c r="AB28" s="36">
        <f ca="1">(VLOOKUP(IF($V$2=$P$4,$V28,IF($P$4=$W$2,$W28,$X28)),_xlfn.ANCHORARRAY($G$3),2,0)+(VLOOKUP(IF($V$2=$P$4,$V28,$W28),_xlfn.ANCHORARRAY($G$3),VALUE(RIGHT(AB$2,1)+3),0))+IF($V$2=$P$4,$Y28,IF($P$4=$W$2,$Z28,$AA28)))*IF(Løn!$C$6&lt;DATEVALUE("01/05/2024"),101.95%,102.48%)+(VLOOKUP(IF($V$2=$P$4,$V28,IF($P$4=$W$2,$W28,$X28)),_xlfn.ANCHORARRAY($G$3),2,0)+(VLOOKUP(IF($V$2=$P$4,$V28,$W28),_xlfn.ANCHORARRAY($G$3),VALUE(RIGHT(AB$2,1)+3),0))+IF($V$2=$P$4,$Y28,IF($P$4=$W$2,$Z28,$AA28)))*IF($V$2=$P$4,$AG28,IF($P$4=$W$2,$AH28,$AI28))</f>
        <v>204135.03599999999</v>
      </c>
      <c r="AC28" s="36">
        <f ca="1">(VLOOKUP(IF($V$2=$P$4,$V28,IF($P$4=$W$2,$W28,$X28)),_xlfn.ANCHORARRAY($G$3),2,0)+(VLOOKUP(IF($V$2=$P$4,$V28,$W28),_xlfn.ANCHORARRAY($G$3),VALUE(RIGHT(AC$2,1)+3),0))+IF($V$2=$P$4,$Y28,IF($P$4=$W$2,$Z28,$AA28)))*IF(Løn!$C$6&lt;DATEVALUE("01/05/2024"),101.95%,102.48%)+(VLOOKUP(IF($V$2=$P$4,$V28,IF($P$4=$W$2,$W28,$X28)),_xlfn.ANCHORARRAY($G$3),2,0)+(VLOOKUP(IF($V$2=$P$4,$V28,$W28),_xlfn.ANCHORARRAY($G$3),VALUE(RIGHT(AC$2,1)+3),0))+IF($V$2=$P$4,$Y28,IF($P$4=$W$2,$Z28,$AA28)))*IF($V$2=$P$4,$AG28,IF($P$4=$W$2,$AH28,$AI28))</f>
        <v>207394.92479999998</v>
      </c>
      <c r="AD28" s="36">
        <f ca="1">(VLOOKUP(IF($V$2=$P$4,$V28,IF($P$4=$W$2,$W28,$X28)),_xlfn.ANCHORARRAY($G$3),2,0)+(VLOOKUP(IF($V$2=$P$4,$V28,$W28),_xlfn.ANCHORARRAY($G$3),VALUE(RIGHT(AD$2,1)+3),0))+IF($V$2=$P$4,$Y28,IF($P$4=$W$2,$Z28,$AA28)))*IF(Løn!$C$6&lt;DATEVALUE("01/05/2024"),101.95%,102.48%)+(VLOOKUP(IF($V$2=$P$4,$V28,IF($P$4=$W$2,$W28,$X28)),_xlfn.ANCHORARRAY($G$3),2,0)+(VLOOKUP(IF($V$2=$P$4,$V28,$W28),_xlfn.ANCHORARRAY($G$3),VALUE(RIGHT(AD$2,1)+3),0))+IF($V$2=$P$4,$Y28,IF($P$4=$W$2,$Z28,$AA28)))*IF($V$2=$P$4,$AG28,IF($P$4=$W$2,$AH28,$AI28))</f>
        <v>209651.53439999997</v>
      </c>
      <c r="AE28" s="36">
        <f ca="1">(VLOOKUP(IF($V$2=$P$4,$V28,IF($P$4=$W$2,$W28,$X28)),_xlfn.ANCHORARRAY($G$3),2,0)+(VLOOKUP(IF($V$2=$P$4,$V28,$W28),_xlfn.ANCHORARRAY($G$3),VALUE(RIGHT(AE$2,1)+3),0))+IF($V$2=$P$4,$Y28,IF($P$4=$W$2,$Z28,$AA28)))*IF(Løn!$C$6&lt;DATEVALUE("01/05/2024"),101.95%,102.48%)+(VLOOKUP(IF($V$2=$P$4,$V28,IF($P$4=$W$2,$W28,$X28)),_xlfn.ANCHORARRAY($G$3),2,0)+(VLOOKUP(IF($V$2=$P$4,$V28,$W28),_xlfn.ANCHORARRAY($G$3),VALUE(RIGHT(AE$2,1)+3),0))+IF($V$2=$P$4,$Y28,IF($P$4=$W$2,$Z28,$AA28)))*IF($V$2=$P$4,$AG28,IF($P$4=$W$2,$AH28,$AI28))</f>
        <v>212912.44799999997</v>
      </c>
      <c r="AF28" s="36">
        <f ca="1">(VLOOKUP(IF($V$2=$P$4,$V28,IF($P$4=$W$2,$W28,$X28)),_xlfn.ANCHORARRAY($G$3),2,0)+(VLOOKUP(IF($V$2=$P$4,$V28,$W28),_xlfn.ANCHORARRAY($G$3),VALUE(RIGHT(AF$2,1)+3),0))+IF($V$2=$P$4,$Y28,IF($P$4=$W$2,$Z28,$AA28)))*IF(Løn!$C$6&lt;DATEVALUE("01/05/2024"),101.95%,102.48%)+(VLOOKUP(IF($V$2=$P$4,$V28,IF($P$4=$W$2,$W28,$X28)),_xlfn.ANCHORARRAY($G$3),2,0)+(VLOOKUP(IF($V$2=$P$4,$V28,$W28),_xlfn.ANCHORARRAY($G$3),VALUE(RIGHT(AF$2,1)+3),0))+IF($V$2=$P$4,$Y28,IF($P$4=$W$2,$Z28,$AA28)))*IF($V$2=$P$4,$AG28,IF($P$4=$W$2,$AH28,$AI28))</f>
        <v>215169.0576</v>
      </c>
      <c r="AG28" s="37">
        <v>0</v>
      </c>
      <c r="AH28" s="37">
        <v>0</v>
      </c>
      <c r="AI28" s="37">
        <v>0</v>
      </c>
      <c r="AK28" s="33">
        <v>44290</v>
      </c>
      <c r="AM28" t="s">
        <v>136</v>
      </c>
      <c r="AN28" t="s">
        <v>136</v>
      </c>
    </row>
    <row r="29" spans="1:40" x14ac:dyDescent="0.35">
      <c r="G29" s="5">
        <f ca="1"/>
        <v>27</v>
      </c>
      <c r="H29" s="16">
        <f ca="1"/>
        <v>223691</v>
      </c>
      <c r="I29" s="16">
        <f ca="1"/>
        <v>0</v>
      </c>
      <c r="J29" s="17">
        <f ca="1"/>
        <v>2917</v>
      </c>
      <c r="K29" s="17">
        <f ca="1"/>
        <v>4935</v>
      </c>
      <c r="L29" s="17">
        <f ca="1"/>
        <v>7852</v>
      </c>
      <c r="M29" s="15">
        <f ca="1"/>
        <v>9871</v>
      </c>
      <c r="N29" s="40"/>
      <c r="R29" t="s">
        <v>81</v>
      </c>
      <c r="S29" t="s">
        <v>6</v>
      </c>
      <c r="U29" t="s">
        <v>157</v>
      </c>
      <c r="V29">
        <v>13</v>
      </c>
      <c r="W29">
        <v>14</v>
      </c>
      <c r="X29">
        <v>14</v>
      </c>
      <c r="Y29">
        <v>3160</v>
      </c>
      <c r="Z29">
        <v>825</v>
      </c>
      <c r="AA29">
        <v>4365</v>
      </c>
      <c r="AB29" s="36">
        <f ca="1">(VLOOKUP(IF($V$2=$P$4,$V29,IF($P$4=$W$2,$W29,$X29)),_xlfn.ANCHORARRAY($G$3),2,0)+(VLOOKUP(IF($V$2=$P$4,$V29,$W29),_xlfn.ANCHORARRAY($G$3),VALUE(RIGHT(AB$2,1)+3),0))+IF($V$2=$P$4,$Y29,IF($P$4=$W$2,$Z29,$AA29)))*IF(Løn!$C$6&lt;DATEVALUE("01/05/2024"),101.95%,102.48%)+(VLOOKUP(IF($V$2=$P$4,$V29,IF($P$4=$W$2,$W29,$X29)),_xlfn.ANCHORARRAY($G$3),2,0)+(VLOOKUP(IF($V$2=$P$4,$V29,$W29),_xlfn.ANCHORARRAY($G$3),VALUE(RIGHT(AB$2,1)+3),0))+IF($V$2=$P$4,$Y29,IF($P$4=$W$2,$Z29,$AA29)))*IF($V$2=$P$4,$AG29,IF($P$4=$W$2,$AH29,$AI29))</f>
        <v>222314.114</v>
      </c>
      <c r="AC29" s="36">
        <f ca="1">(VLOOKUP(IF($V$2=$P$4,$V29,IF($P$4=$W$2,$W29,$X29)),_xlfn.ANCHORARRAY($G$3),2,0)+(VLOOKUP(IF($V$2=$P$4,$V29,$W29),_xlfn.ANCHORARRAY($G$3),VALUE(RIGHT(AC$2,1)+3),0))+IF($V$2=$P$4,$Y29,IF($P$4=$W$2,$Z29,$AA29)))*IF(Løn!$C$6&lt;DATEVALUE("01/05/2024"),101.95%,102.48%)+(VLOOKUP(IF($V$2=$P$4,$V29,IF($P$4=$W$2,$W29,$X29)),_xlfn.ANCHORARRAY($G$3),2,0)+(VLOOKUP(IF($V$2=$P$4,$V29,$W29),_xlfn.ANCHORARRAY($G$3),VALUE(RIGHT(AC$2,1)+3),0))+IF($V$2=$P$4,$Y29,IF($P$4=$W$2,$Z29,$AA29)))*IF($V$2=$P$4,$AG29,IF($P$4=$W$2,$AH29,$AI29))</f>
        <v>225686.21899999998</v>
      </c>
      <c r="AD29" s="36">
        <f ca="1">(VLOOKUP(IF($V$2=$P$4,$V29,IF($P$4=$W$2,$W29,$X29)),_xlfn.ANCHORARRAY($G$3),2,0)+(VLOOKUP(IF($V$2=$P$4,$V29,$W29),_xlfn.ANCHORARRAY($G$3),VALUE(RIGHT(AD$2,1)+3),0))+IF($V$2=$P$4,$Y29,IF($P$4=$W$2,$Z29,$AA29)))*IF(Løn!$C$6&lt;DATEVALUE("01/05/2024"),101.95%,102.48%)+(VLOOKUP(IF($V$2=$P$4,$V29,IF($P$4=$W$2,$W29,$X29)),_xlfn.ANCHORARRAY($G$3),2,0)+(VLOOKUP(IF($V$2=$P$4,$V29,$W29),_xlfn.ANCHORARRAY($G$3),VALUE(RIGHT(AD$2,1)+3),0))+IF($V$2=$P$4,$Y29,IF($P$4=$W$2,$Z29,$AA29)))*IF($V$2=$P$4,$AG29,IF($P$4=$W$2,$AH29,$AI29))</f>
        <v>228020.21</v>
      </c>
      <c r="AE29" s="36">
        <f ca="1">(VLOOKUP(IF($V$2=$P$4,$V29,IF($P$4=$W$2,$W29,$X29)),_xlfn.ANCHORARRAY($G$3),2,0)+(VLOOKUP(IF($V$2=$P$4,$V29,$W29),_xlfn.ANCHORARRAY($G$3),VALUE(RIGHT(AE$2,1)+3),0))+IF($V$2=$P$4,$Y29,IF($P$4=$W$2,$Z29,$AA29)))*IF(Løn!$C$6&lt;DATEVALUE("01/05/2024"),101.95%,102.48%)+(VLOOKUP(IF($V$2=$P$4,$V29,IF($P$4=$W$2,$W29,$X29)),_xlfn.ANCHORARRAY($G$3),2,0)+(VLOOKUP(IF($V$2=$P$4,$V29,$W29),_xlfn.ANCHORARRAY($G$3),VALUE(RIGHT(AE$2,1)+3),0))+IF($V$2=$P$4,$Y29,IF($P$4=$W$2,$Z29,$AA29)))*IF($V$2=$P$4,$AG29,IF($P$4=$W$2,$AH29,$AI29))</f>
        <v>231393.492</v>
      </c>
      <c r="AF29" s="36">
        <f ca="1">(VLOOKUP(IF($V$2=$P$4,$V29,IF($P$4=$W$2,$W29,$X29)),_xlfn.ANCHORARRAY($G$3),2,0)+(VLOOKUP(IF($V$2=$P$4,$V29,$W29),_xlfn.ANCHORARRAY($G$3),VALUE(RIGHT(AF$2,1)+3),0))+IF($V$2=$P$4,$Y29,IF($P$4=$W$2,$Z29,$AA29)))*IF(Løn!$C$6&lt;DATEVALUE("01/05/2024"),101.95%,102.48%)+(VLOOKUP(IF($V$2=$P$4,$V29,IF($P$4=$W$2,$W29,$X29)),_xlfn.ANCHORARRAY($G$3),2,0)+(VLOOKUP(IF($V$2=$P$4,$V29,$W29),_xlfn.ANCHORARRAY($G$3),VALUE(RIGHT(AF$2,1)+3),0))+IF($V$2=$P$4,$Y29,IF($P$4=$W$2,$Z29,$AA29)))*IF($V$2=$P$4,$AG29,IF($P$4=$W$2,$AH29,$AI29))</f>
        <v>233728.65999999997</v>
      </c>
      <c r="AG29" s="37">
        <v>0.14760000000000001</v>
      </c>
      <c r="AH29" s="37">
        <v>0.14860000000000001</v>
      </c>
      <c r="AI29" s="37">
        <v>0.1522</v>
      </c>
      <c r="AK29" s="33">
        <v>44291</v>
      </c>
      <c r="AM29" t="s">
        <v>137</v>
      </c>
      <c r="AN29" t="s">
        <v>137</v>
      </c>
    </row>
    <row r="30" spans="1:40" x14ac:dyDescent="0.35">
      <c r="G30" s="5">
        <f ca="1"/>
        <v>28</v>
      </c>
      <c r="H30" s="16">
        <f ca="1"/>
        <v>227399</v>
      </c>
      <c r="I30" s="16">
        <f ca="1"/>
        <v>0</v>
      </c>
      <c r="J30" s="17">
        <f ca="1"/>
        <v>2793</v>
      </c>
      <c r="K30" s="17">
        <f ca="1"/>
        <v>4726</v>
      </c>
      <c r="L30" s="17">
        <f ca="1"/>
        <v>7519</v>
      </c>
      <c r="M30" s="15">
        <f ca="1"/>
        <v>9451</v>
      </c>
      <c r="N30" s="40"/>
      <c r="R30" t="s">
        <v>19</v>
      </c>
      <c r="S30" t="s">
        <v>3</v>
      </c>
      <c r="U30" t="s">
        <v>159</v>
      </c>
      <c r="V30">
        <v>13</v>
      </c>
      <c r="W30">
        <v>13</v>
      </c>
      <c r="X30">
        <v>13</v>
      </c>
      <c r="Y30">
        <v>2560</v>
      </c>
      <c r="Z30">
        <v>2560</v>
      </c>
      <c r="AA30">
        <v>2560</v>
      </c>
      <c r="AB30" s="36">
        <f ca="1">(VLOOKUP(IF($V$2=$P$4,$V30,IF($P$4=$W$2,$W30,$X30)),_xlfn.ANCHORARRAY($G$3),2,0)+(VLOOKUP(IF($V$2=$P$4,$V30,$W30),_xlfn.ANCHORARRAY($G$3),VALUE(RIGHT(AB$2,1)+3),0))+IF($V$2=$P$4,$Y30,IF($P$4=$W$2,$Z30,$AA30)))*IF(Løn!$C$6&lt;DATEVALUE("01/05/2024"),101.95%,102.48%)+(VLOOKUP(IF($V$2=$P$4,$V30,IF($P$4=$W$2,$W30,$X30)),_xlfn.ANCHORARRAY($G$3),2,0)+(VLOOKUP(IF($V$2=$P$4,$V30,$W30),_xlfn.ANCHORARRAY($G$3),VALUE(RIGHT(AB$2,1)+3),0))+IF($V$2=$P$4,$Y30,IF($P$4=$W$2,$Z30,$AA30)))*IF($V$2=$P$4,$AG30,IF($P$4=$W$2,$AH30,$AI30))</f>
        <v>225018.69519999999</v>
      </c>
      <c r="AC30" s="36">
        <f ca="1">(VLOOKUP(IF($V$2=$P$4,$V30,IF($P$4=$W$2,$W30,$X30)),_xlfn.ANCHORARRAY($G$3),2,0)+(VLOOKUP(IF($V$2=$P$4,$V30,$W30),_xlfn.ANCHORARRAY($G$3),VALUE(RIGHT(AC$2,1)+3),0))+IF($V$2=$P$4,$Y30,IF($P$4=$W$2,$Z30,$AA30)))*IF(Løn!$C$6&lt;DATEVALUE("01/05/2024"),101.95%,102.48%)+(VLOOKUP(IF($V$2=$P$4,$V30,IF($P$4=$W$2,$W30,$X30)),_xlfn.ANCHORARRAY($G$3),2,0)+(VLOOKUP(IF($V$2=$P$4,$V30,$W30),_xlfn.ANCHORARRAY($G$3),VALUE(RIGHT(AC$2,1)+3),0))+IF($V$2=$P$4,$Y30,IF($P$4=$W$2,$Z30,$AA30)))*IF($V$2=$P$4,$AG30,IF($P$4=$W$2,$AH30,$AI30))</f>
        <v>228437.8187</v>
      </c>
      <c r="AD30" s="36">
        <f ca="1">(VLOOKUP(IF($V$2=$P$4,$V30,IF($P$4=$W$2,$W30,$X30)),_xlfn.ANCHORARRAY($G$3),2,0)+(VLOOKUP(IF($V$2=$P$4,$V30,$W30),_xlfn.ANCHORARRAY($G$3),VALUE(RIGHT(AD$2,1)+3),0))+IF($V$2=$P$4,$Y30,IF($P$4=$W$2,$Z30,$AA30)))*IF(Løn!$C$6&lt;DATEVALUE("01/05/2024"),101.95%,102.48%)+(VLOOKUP(IF($V$2=$P$4,$V30,IF($P$4=$W$2,$W30,$X30)),_xlfn.ANCHORARRAY($G$3),2,0)+(VLOOKUP(IF($V$2=$P$4,$V30,$W30),_xlfn.ANCHORARRAY($G$3),VALUE(RIGHT(AD$2,1)+3),0))+IF($V$2=$P$4,$Y30,IF($P$4=$W$2,$Z30,$AA30)))*IF($V$2=$P$4,$AG30,IF($P$4=$W$2,$AH30,$AI30))</f>
        <v>230804.90419999999</v>
      </c>
      <c r="AE30" s="36">
        <f ca="1">(VLOOKUP(IF($V$2=$P$4,$V30,IF($P$4=$W$2,$W30,$X30)),_xlfn.ANCHORARRAY($G$3),2,0)+(VLOOKUP(IF($V$2=$P$4,$V30,$W30),_xlfn.ANCHORARRAY($G$3),VALUE(RIGHT(AE$2,1)+3),0))+IF($V$2=$P$4,$Y30,IF($P$4=$W$2,$Z30,$AA30)))*IF(Løn!$C$6&lt;DATEVALUE("01/05/2024"),101.95%,102.48%)+(VLOOKUP(IF($V$2=$P$4,$V30,IF($P$4=$W$2,$W30,$X30)),_xlfn.ANCHORARRAY($G$3),2,0)+(VLOOKUP(IF($V$2=$P$4,$V30,$W30),_xlfn.ANCHORARRAY($G$3),VALUE(RIGHT(AE$2,1)+3),0))+IF($V$2=$P$4,$Y30,IF($P$4=$W$2,$Z30,$AA30)))*IF($V$2=$P$4,$AG30,IF($P$4=$W$2,$AH30,$AI30))</f>
        <v>234224.02769999998</v>
      </c>
      <c r="AF30" s="36">
        <f ca="1">(VLOOKUP(IF($V$2=$P$4,$V30,IF($P$4=$W$2,$W30,$X30)),_xlfn.ANCHORARRAY($G$3),2,0)+(VLOOKUP(IF($V$2=$P$4,$V30,$W30),_xlfn.ANCHORARRAY($G$3),VALUE(RIGHT(AF$2,1)+3),0))+IF($V$2=$P$4,$Y30,IF($P$4=$W$2,$Z30,$AA30)))*IF(Løn!$C$6&lt;DATEVALUE("01/05/2024"),101.95%,102.48%)+(VLOOKUP(IF($V$2=$P$4,$V30,IF($P$4=$W$2,$W30,$X30)),_xlfn.ANCHORARRAY($G$3),2,0)+(VLOOKUP(IF($V$2=$P$4,$V30,$W30),_xlfn.ANCHORARRAY($G$3),VALUE(RIGHT(AF$2,1)+3),0))+IF($V$2=$P$4,$Y30,IF($P$4=$W$2,$Z30,$AA30)))*IF($V$2=$P$4,$AG30,IF($P$4=$W$2,$AH30,$AI30))</f>
        <v>236591.11319999996</v>
      </c>
      <c r="AG30" s="37">
        <v>0.17430000000000001</v>
      </c>
      <c r="AH30" s="37">
        <v>0.18099999999999999</v>
      </c>
      <c r="AI30" s="37">
        <v>0.19850000000000001</v>
      </c>
      <c r="AK30" s="33">
        <v>44316</v>
      </c>
    </row>
    <row r="31" spans="1:40" x14ac:dyDescent="0.35">
      <c r="G31" s="5">
        <f ca="1"/>
        <v>29</v>
      </c>
      <c r="H31" s="16">
        <f ca="1"/>
        <v>231191</v>
      </c>
      <c r="I31" s="16">
        <f ca="1"/>
        <v>0</v>
      </c>
      <c r="J31" s="17">
        <f ca="1"/>
        <v>2661</v>
      </c>
      <c r="K31" s="17">
        <f ca="1"/>
        <v>4502</v>
      </c>
      <c r="L31" s="17">
        <f ca="1"/>
        <v>7162</v>
      </c>
      <c r="M31" s="15">
        <f ca="1"/>
        <v>9004</v>
      </c>
      <c r="N31" s="40"/>
      <c r="R31" t="s">
        <v>20</v>
      </c>
      <c r="S31" t="s">
        <v>3</v>
      </c>
      <c r="U31" t="s">
        <v>158</v>
      </c>
      <c r="V31">
        <v>14</v>
      </c>
      <c r="W31">
        <v>14</v>
      </c>
      <c r="X31">
        <v>16</v>
      </c>
      <c r="Y31">
        <v>1800</v>
      </c>
      <c r="Z31">
        <v>2923</v>
      </c>
      <c r="AA31">
        <v>650</v>
      </c>
      <c r="AB31" s="36">
        <f ca="1">(VLOOKUP(IF($V$2=$P$4,$V31,IF($P$4=$W$2,$W31,$X31)),_xlfn.ANCHORARRAY($G$3),2,0)+(VLOOKUP(IF($V$2=$P$4,$V31,$W31),_xlfn.ANCHORARRAY($G$3),VALUE(RIGHT(AB$2,1)+3),0))+IF($V$2=$P$4,$Y31,IF($P$4=$W$2,$Z31,$AA31)))*IF(Løn!$C$6&lt;DATEVALUE("01/05/2024"),101.95%,102.48%)+(VLOOKUP(IF($V$2=$P$4,$V31,IF($P$4=$W$2,$W31,$X31)),_xlfn.ANCHORARRAY($G$3),2,0)+(VLOOKUP(IF($V$2=$P$4,$V31,$W31),_xlfn.ANCHORARRAY($G$3),VALUE(RIGHT(AB$2,1)+3),0))+IF($V$2=$P$4,$Y31,IF($P$4=$W$2,$Z31,$AA31)))*IF($V$2=$P$4,$AG31,IF($P$4=$W$2,$AH31,$AI31))</f>
        <v>194875.96799999999</v>
      </c>
      <c r="AC31" s="36">
        <f ca="1">(VLOOKUP(IF($V$2=$P$4,$V31,IF($P$4=$W$2,$W31,$X31)),_xlfn.ANCHORARRAY($G$3),2,0)+(VLOOKUP(IF($V$2=$P$4,$V31,$W31),_xlfn.ANCHORARRAY($G$3),VALUE(RIGHT(AC$2,1)+3),0))+IF($V$2=$P$4,$Y31,IF($P$4=$W$2,$Z31,$AA31)))*IF(Løn!$C$6&lt;DATEVALUE("01/05/2024"),101.95%,102.48%)+(VLOOKUP(IF($V$2=$P$4,$V31,IF($P$4=$W$2,$W31,$X31)),_xlfn.ANCHORARRAY($G$3),2,0)+(VLOOKUP(IF($V$2=$P$4,$V31,$W31),_xlfn.ANCHORARRAY($G$3),VALUE(RIGHT(AC$2,1)+3),0))+IF($V$2=$P$4,$Y31,IF($P$4=$W$2,$Z31,$AA31)))*IF($V$2=$P$4,$AG31,IF($P$4=$W$2,$AH31,$AI31))</f>
        <v>197812.02</v>
      </c>
      <c r="AD31" s="36">
        <f ca="1">(VLOOKUP(IF($V$2=$P$4,$V31,IF($P$4=$W$2,$W31,$X31)),_xlfn.ANCHORARRAY($G$3),2,0)+(VLOOKUP(IF($V$2=$P$4,$V31,$W31),_xlfn.ANCHORARRAY($G$3),VALUE(RIGHT(AD$2,1)+3),0))+IF($V$2=$P$4,$Y31,IF($P$4=$W$2,$Z31,$AA31)))*IF(Løn!$C$6&lt;DATEVALUE("01/05/2024"),101.95%,102.48%)+(VLOOKUP(IF($V$2=$P$4,$V31,IF($P$4=$W$2,$W31,$X31)),_xlfn.ANCHORARRAY($G$3),2,0)+(VLOOKUP(IF($V$2=$P$4,$V31,$W31),_xlfn.ANCHORARRAY($G$3),VALUE(RIGHT(AD$2,1)+3),0))+IF($V$2=$P$4,$Y31,IF($P$4=$W$2,$Z31,$AA31)))*IF($V$2=$P$4,$AG31,IF($P$4=$W$2,$AH31,$AI31))</f>
        <v>199844.19839999999</v>
      </c>
      <c r="AE31" s="36">
        <f ca="1">(VLOOKUP(IF($V$2=$P$4,$V31,IF($P$4=$W$2,$W31,$X31)),_xlfn.ANCHORARRAY($G$3),2,0)+(VLOOKUP(IF($V$2=$P$4,$V31,$W31),_xlfn.ANCHORARRAY($G$3),VALUE(RIGHT(AE$2,1)+3),0))+IF($V$2=$P$4,$Y31,IF($P$4=$W$2,$Z31,$AA31)))*IF(Løn!$C$6&lt;DATEVALUE("01/05/2024"),101.95%,102.48%)+(VLOOKUP(IF($V$2=$P$4,$V31,IF($P$4=$W$2,$W31,$X31)),_xlfn.ANCHORARRAY($G$3),2,0)+(VLOOKUP(IF($V$2=$P$4,$V31,$W31),_xlfn.ANCHORARRAY($G$3),VALUE(RIGHT(AE$2,1)+3),0))+IF($V$2=$P$4,$Y31,IF($P$4=$W$2,$Z31,$AA31)))*IF($V$2=$P$4,$AG31,IF($P$4=$W$2,$AH31,$AI31))</f>
        <v>202781.27519999997</v>
      </c>
      <c r="AF31" s="36">
        <f ca="1">(VLOOKUP(IF($V$2=$P$4,$V31,IF($P$4=$W$2,$W31,$X31)),_xlfn.ANCHORARRAY($G$3),2,0)+(VLOOKUP(IF($V$2=$P$4,$V31,$W31),_xlfn.ANCHORARRAY($G$3),VALUE(RIGHT(AF$2,1)+3),0))+IF($V$2=$P$4,$Y31,IF($P$4=$W$2,$Z31,$AA31)))*IF(Løn!$C$6&lt;DATEVALUE("01/05/2024"),101.95%,102.48%)+(VLOOKUP(IF($V$2=$P$4,$V31,IF($P$4=$W$2,$W31,$X31)),_xlfn.ANCHORARRAY($G$3),2,0)+(VLOOKUP(IF($V$2=$P$4,$V31,$W31),_xlfn.ANCHORARRAY($G$3),VALUE(RIGHT(AF$2,1)+3),0))+IF($V$2=$P$4,$Y31,IF($P$4=$W$2,$Z31,$AA31)))*IF($V$2=$P$4,$AG31,IF($P$4=$W$2,$AH31,$AI31))</f>
        <v>204814.47839999999</v>
      </c>
      <c r="AG31" s="37">
        <v>0</v>
      </c>
      <c r="AH31" s="37">
        <v>0</v>
      </c>
      <c r="AI31" s="37">
        <v>0</v>
      </c>
      <c r="AK31" s="33">
        <v>44329</v>
      </c>
    </row>
    <row r="32" spans="1:40" x14ac:dyDescent="0.35">
      <c r="G32" s="5">
        <f ca="1"/>
        <v>30</v>
      </c>
      <c r="H32" s="18">
        <f ca="1"/>
        <v>235065</v>
      </c>
      <c r="I32" s="16">
        <f ca="1"/>
        <v>0</v>
      </c>
      <c r="J32" s="17">
        <f ca="1"/>
        <v>2519</v>
      </c>
      <c r="K32" s="17">
        <f ca="1"/>
        <v>4264</v>
      </c>
      <c r="L32" s="17">
        <f ca="1"/>
        <v>6782</v>
      </c>
      <c r="M32" s="15">
        <f ca="1"/>
        <v>8526</v>
      </c>
      <c r="N32" s="40"/>
      <c r="R32" t="s">
        <v>82</v>
      </c>
      <c r="S32" t="s">
        <v>6</v>
      </c>
      <c r="U32" t="s">
        <v>168</v>
      </c>
      <c r="V32">
        <v>14</v>
      </c>
      <c r="W32">
        <v>14</v>
      </c>
      <c r="X32">
        <v>14</v>
      </c>
      <c r="Y32">
        <v>0</v>
      </c>
      <c r="Z32">
        <v>1535</v>
      </c>
      <c r="AA32">
        <v>1700</v>
      </c>
      <c r="AB32" s="36">
        <f ca="1">(VLOOKUP(IF($V$2=$P$4,$V32,IF($P$4=$W$2,$W32,$X32)),_xlfn.ANCHORARRAY($G$3),2,0)+(VLOOKUP(IF($V$2=$P$4,$V32,$W32),_xlfn.ANCHORARRAY($G$3),VALUE(RIGHT(AB$2,1)+3),0))+IF($V$2=$P$4,$Y32,IF($P$4=$W$2,$Z32,$AA32)))*IF(Løn!$C$6&lt;DATEVALUE("01/05/2024"),101.95%,102.48%)+(VLOOKUP(IF($V$2=$P$4,$V32,IF($P$4=$W$2,$W32,$X32)),_xlfn.ANCHORARRAY($G$3),2,0)+(VLOOKUP(IF($V$2=$P$4,$V32,$W32),_xlfn.ANCHORARRAY($G$3),VALUE(RIGHT(AB$2,1)+3),0))+IF($V$2=$P$4,$Y32,IF($P$4=$W$2,$Z32,$AA32)))*IF($V$2=$P$4,$AG32,IF($P$4=$W$2,$AH32,$AI32))</f>
        <v>190835.18159999998</v>
      </c>
      <c r="AC32" s="36">
        <f ca="1">(VLOOKUP(IF($V$2=$P$4,$V32,IF($P$4=$W$2,$W32,$X32)),_xlfn.ANCHORARRAY($G$3),2,0)+(VLOOKUP(IF($V$2=$P$4,$V32,$W32),_xlfn.ANCHORARRAY($G$3),VALUE(RIGHT(AC$2,1)+3),0))+IF($V$2=$P$4,$Y32,IF($P$4=$W$2,$Z32,$AA32)))*IF(Løn!$C$6&lt;DATEVALUE("01/05/2024"),101.95%,102.48%)+(VLOOKUP(IF($V$2=$P$4,$V32,IF($P$4=$W$2,$W32,$X32)),_xlfn.ANCHORARRAY($G$3),2,0)+(VLOOKUP(IF($V$2=$P$4,$V32,$W32),_xlfn.ANCHORARRAY($G$3),VALUE(RIGHT(AC$2,1)+3),0))+IF($V$2=$P$4,$Y32,IF($P$4=$W$2,$Z32,$AA32)))*IF($V$2=$P$4,$AG32,IF($P$4=$W$2,$AH32,$AI32))</f>
        <v>193771.23359999998</v>
      </c>
      <c r="AD32" s="36">
        <f ca="1">(VLOOKUP(IF($V$2=$P$4,$V32,IF($P$4=$W$2,$W32,$X32)),_xlfn.ANCHORARRAY($G$3),2,0)+(VLOOKUP(IF($V$2=$P$4,$V32,$W32),_xlfn.ANCHORARRAY($G$3),VALUE(RIGHT(AD$2,1)+3),0))+IF($V$2=$P$4,$Y32,IF($P$4=$W$2,$Z32,$AA32)))*IF(Løn!$C$6&lt;DATEVALUE("01/05/2024"),101.95%,102.48%)+(VLOOKUP(IF($V$2=$P$4,$V32,IF($P$4=$W$2,$W32,$X32)),_xlfn.ANCHORARRAY($G$3),2,0)+(VLOOKUP(IF($V$2=$P$4,$V32,$W32),_xlfn.ANCHORARRAY($G$3),VALUE(RIGHT(AD$2,1)+3),0))+IF($V$2=$P$4,$Y32,IF($P$4=$W$2,$Z32,$AA32)))*IF($V$2=$P$4,$AG32,IF($P$4=$W$2,$AH32,$AI32))</f>
        <v>195803.41199999998</v>
      </c>
      <c r="AE32" s="36">
        <f ca="1">(VLOOKUP(IF($V$2=$P$4,$V32,IF($P$4=$W$2,$W32,$X32)),_xlfn.ANCHORARRAY($G$3),2,0)+(VLOOKUP(IF($V$2=$P$4,$V32,$W32),_xlfn.ANCHORARRAY($G$3),VALUE(RIGHT(AE$2,1)+3),0))+IF($V$2=$P$4,$Y32,IF($P$4=$W$2,$Z32,$AA32)))*IF(Løn!$C$6&lt;DATEVALUE("01/05/2024"),101.95%,102.48%)+(VLOOKUP(IF($V$2=$P$4,$V32,IF($P$4=$W$2,$W32,$X32)),_xlfn.ANCHORARRAY($G$3),2,0)+(VLOOKUP(IF($V$2=$P$4,$V32,$W32),_xlfn.ANCHORARRAY($G$3),VALUE(RIGHT(AE$2,1)+3),0))+IF($V$2=$P$4,$Y32,IF($P$4=$W$2,$Z32,$AA32)))*IF($V$2=$P$4,$AG32,IF($P$4=$W$2,$AH32,$AI32))</f>
        <v>198740.48879999999</v>
      </c>
      <c r="AF32" s="36">
        <f ca="1">(VLOOKUP(IF($V$2=$P$4,$V32,IF($P$4=$W$2,$W32,$X32)),_xlfn.ANCHORARRAY($G$3),2,0)+(VLOOKUP(IF($V$2=$P$4,$V32,$W32),_xlfn.ANCHORARRAY($G$3),VALUE(RIGHT(AF$2,1)+3),0))+IF($V$2=$P$4,$Y32,IF($P$4=$W$2,$Z32,$AA32)))*IF(Løn!$C$6&lt;DATEVALUE("01/05/2024"),101.95%,102.48%)+(VLOOKUP(IF($V$2=$P$4,$V32,IF($P$4=$W$2,$W32,$X32)),_xlfn.ANCHORARRAY($G$3),2,0)+(VLOOKUP(IF($V$2=$P$4,$V32,$W32),_xlfn.ANCHORARRAY($G$3),VALUE(RIGHT(AF$2,1)+3),0))+IF($V$2=$P$4,$Y32,IF($P$4=$W$2,$Z32,$AA32)))*IF($V$2=$P$4,$AG32,IF($P$4=$W$2,$AH32,$AI32))</f>
        <v>200773.69199999998</v>
      </c>
      <c r="AG32" s="37">
        <v>0</v>
      </c>
      <c r="AH32" s="37">
        <v>0</v>
      </c>
      <c r="AI32" s="37">
        <v>0</v>
      </c>
      <c r="AK32" s="33">
        <v>44339</v>
      </c>
    </row>
    <row r="33" spans="7:37" x14ac:dyDescent="0.35">
      <c r="G33" s="5">
        <f ca="1"/>
        <v>31</v>
      </c>
      <c r="H33" s="16">
        <f ca="1"/>
        <v>239027</v>
      </c>
      <c r="I33" s="16">
        <f ca="1"/>
        <v>0</v>
      </c>
      <c r="J33" s="17">
        <f ca="1"/>
        <v>2370</v>
      </c>
      <c r="K33" s="17">
        <f ca="1"/>
        <v>4010</v>
      </c>
      <c r="L33" s="17">
        <f ca="1"/>
        <v>6380</v>
      </c>
      <c r="M33" s="15">
        <f ca="1"/>
        <v>8020</v>
      </c>
      <c r="N33" s="40"/>
      <c r="R33" t="s">
        <v>21</v>
      </c>
      <c r="S33" t="s">
        <v>3</v>
      </c>
      <c r="U33" t="s">
        <v>180</v>
      </c>
      <c r="V33" t="s">
        <v>115</v>
      </c>
      <c r="W33" t="s">
        <v>115</v>
      </c>
      <c r="X33" t="s">
        <v>115</v>
      </c>
      <c r="AB33" s="36">
        <f ca="1">(VLOOKUP(IF($V$2=$P$4,$V33,IF($P$4=$W$2,$W33,$X33)),_xlfn.ANCHORARRAY($G$3),2,0)+(VLOOKUP(IF($V$2=$P$4,$V33,$W33),_xlfn.ANCHORARRAY($G$3),VALUE(RIGHT(AB$2,1)+3),0))+IF($V$2=$P$4,$Y33,IF($P$4=$W$2,$Z33,$AA33)))*IF(Løn!$C$6&lt;DATEVALUE("01/05/2024"),101.95%,102.48%)+(VLOOKUP(IF($V$2=$P$4,$V33,IF($P$4=$W$2,$W33,$X33)),_xlfn.ANCHORARRAY($G$3),2,0)+(VLOOKUP(IF($V$2=$P$4,$V33,$W33),_xlfn.ANCHORARRAY($G$3),VALUE(RIGHT(AB$2,1)+3),0))+IF($V$2=$P$4,$Y33,IF($P$4=$W$2,$Z33,$AA33)))*IF($V$2=$P$4,$AG33,IF($P$4=$W$2,$AH33,$AI33))</f>
        <v>236013.40959999998</v>
      </c>
      <c r="AC33" s="36">
        <f ca="1">(VLOOKUP(IF($V$2=$P$4,$V33,IF($P$4=$W$2,$W33,$X33)),_xlfn.ANCHORARRAY($G$3),2,0)+(VLOOKUP(IF($V$2=$P$4,$V33,$W33),_xlfn.ANCHORARRAY($G$3),VALUE(RIGHT(AC$2,1)+3),0))+IF($V$2=$P$4,$Y33,IF($P$4=$W$2,$Z33,$AA33)))*IF(Løn!$C$6&lt;DATEVALUE("01/05/2024"),101.95%,102.48%)+(VLOOKUP(IF($V$2=$P$4,$V33,IF($P$4=$W$2,$W33,$X33)),_xlfn.ANCHORARRAY($G$3),2,0)+(VLOOKUP(IF($V$2=$P$4,$V33,$W33),_xlfn.ANCHORARRAY($G$3),VALUE(RIGHT(AC$2,1)+3),0))+IF($V$2=$P$4,$Y33,IF($P$4=$W$2,$Z33,$AA33)))*IF($V$2=$P$4,$AG33,IF($P$4=$W$2,$AH33,$AI33))</f>
        <v>239352.94079999998</v>
      </c>
      <c r="AD33" s="36">
        <f ca="1">(VLOOKUP(IF($V$2=$P$4,$V33,IF($P$4=$W$2,$W33,$X33)),_xlfn.ANCHORARRAY($G$3),2,0)+(VLOOKUP(IF($V$2=$P$4,$V33,$W33),_xlfn.ANCHORARRAY($G$3),VALUE(RIGHT(AD$2,1)+3),0))+IF($V$2=$P$4,$Y33,IF($P$4=$W$2,$Z33,$AA33)))*IF(Løn!$C$6&lt;DATEVALUE("01/05/2024"),101.95%,102.48%)+(VLOOKUP(IF($V$2=$P$4,$V33,IF($P$4=$W$2,$W33,$X33)),_xlfn.ANCHORARRAY($G$3),2,0)+(VLOOKUP(IF($V$2=$P$4,$V33,$W33),_xlfn.ANCHORARRAY($G$3),VALUE(RIGHT(AD$2,1)+3),0))+IF($V$2=$P$4,$Y33,IF($P$4=$W$2,$Z33,$AA33)))*IF($V$2=$P$4,$AG33,IF($P$4=$W$2,$AH33,$AI33))</f>
        <v>241665.52960000001</v>
      </c>
      <c r="AE33" s="36">
        <f ca="1">(VLOOKUP(IF($V$2=$P$4,$V33,IF($P$4=$W$2,$W33,$X33)),_xlfn.ANCHORARRAY($G$3),2,0)+(VLOOKUP(IF($V$2=$P$4,$V33,$W33),_xlfn.ANCHORARRAY($G$3),VALUE(RIGHT(AE$2,1)+3),0))+IF($V$2=$P$4,$Y33,IF($P$4=$W$2,$Z33,$AA33)))*IF(Løn!$C$6&lt;DATEVALUE("01/05/2024"),101.95%,102.48%)+(VLOOKUP(IF($V$2=$P$4,$V33,IF($P$4=$W$2,$W33,$X33)),_xlfn.ANCHORARRAY($G$3),2,0)+(VLOOKUP(IF($V$2=$P$4,$V33,$W33),_xlfn.ANCHORARRAY($G$3),VALUE(RIGHT(AE$2,1)+3),0))+IF($V$2=$P$4,$Y33,IF($P$4=$W$2,$Z33,$AA33)))*IF($V$2=$P$4,$AG33,IF($P$4=$W$2,$AH33,$AI33))</f>
        <v>245006.1856</v>
      </c>
      <c r="AF33" s="36">
        <f ca="1">(VLOOKUP(IF($V$2=$P$4,$V33,IF($P$4=$W$2,$W33,$X33)),_xlfn.ANCHORARRAY($G$3),2,0)+(VLOOKUP(IF($V$2=$P$4,$V33,$W33),_xlfn.ANCHORARRAY($G$3),VALUE(RIGHT(AF$2,1)+3),0))+IF($V$2=$P$4,$Y33,IF($P$4=$W$2,$Z33,$AA33)))*IF(Løn!$C$6&lt;DATEVALUE("01/05/2024"),101.95%,102.48%)+(VLOOKUP(IF($V$2=$P$4,$V33,IF($P$4=$W$2,$W33,$X33)),_xlfn.ANCHORARRAY($G$3),2,0)+(VLOOKUP(IF($V$2=$P$4,$V33,$W33),_xlfn.ANCHORARRAY($G$3),VALUE(RIGHT(AF$2,1)+3),0))+IF($V$2=$P$4,$Y33,IF($P$4=$W$2,$Z33,$AA33)))*IF($V$2=$P$4,$AG33,IF($P$4=$W$2,$AH33,$AI33))</f>
        <v>247318.77439999999</v>
      </c>
      <c r="AG33" s="37">
        <v>0</v>
      </c>
      <c r="AH33" s="37">
        <v>0</v>
      </c>
      <c r="AI33" s="37">
        <v>0.1</v>
      </c>
      <c r="AK33" s="33">
        <v>44340</v>
      </c>
    </row>
    <row r="34" spans="7:37" x14ac:dyDescent="0.35">
      <c r="G34" s="5">
        <f ca="1"/>
        <v>32</v>
      </c>
      <c r="H34" s="16">
        <f ca="1"/>
        <v>243077</v>
      </c>
      <c r="I34" s="16">
        <f ca="1"/>
        <v>0</v>
      </c>
      <c r="J34" s="17">
        <f ca="1"/>
        <v>2210</v>
      </c>
      <c r="K34" s="17">
        <f ca="1"/>
        <v>3739</v>
      </c>
      <c r="L34" s="17">
        <f ca="1"/>
        <v>5950</v>
      </c>
      <c r="M34" s="15">
        <f ca="1"/>
        <v>7480</v>
      </c>
      <c r="N34" s="40"/>
      <c r="R34" t="s">
        <v>83</v>
      </c>
      <c r="S34" t="s">
        <v>6</v>
      </c>
      <c r="AK34" s="33">
        <v>44555</v>
      </c>
    </row>
    <row r="35" spans="7:37" x14ac:dyDescent="0.35">
      <c r="G35" s="5">
        <f ca="1"/>
        <v>33</v>
      </c>
      <c r="H35" s="16">
        <f ca="1"/>
        <v>247215</v>
      </c>
      <c r="I35" s="16">
        <f ca="1"/>
        <v>0</v>
      </c>
      <c r="J35" s="17">
        <f ca="1"/>
        <v>2041</v>
      </c>
      <c r="K35" s="17">
        <f ca="1"/>
        <v>3454</v>
      </c>
      <c r="L35" s="17">
        <f ca="1"/>
        <v>5495</v>
      </c>
      <c r="M35" s="15">
        <f ca="1"/>
        <v>6907</v>
      </c>
      <c r="N35" s="40"/>
      <c r="R35" t="s">
        <v>96</v>
      </c>
      <c r="S35" t="s">
        <v>7</v>
      </c>
      <c r="AK35" s="33">
        <v>44556</v>
      </c>
    </row>
    <row r="36" spans="7:37" x14ac:dyDescent="0.35">
      <c r="G36" s="5">
        <f ca="1"/>
        <v>34</v>
      </c>
      <c r="H36" s="16">
        <f ca="1"/>
        <v>251449</v>
      </c>
      <c r="I36" s="16">
        <f ca="1"/>
        <v>0</v>
      </c>
      <c r="J36" s="17">
        <f ca="1"/>
        <v>1862</v>
      </c>
      <c r="K36" s="17">
        <f ca="1"/>
        <v>3150</v>
      </c>
      <c r="L36" s="17">
        <f ca="1"/>
        <v>5012</v>
      </c>
      <c r="M36" s="15">
        <f ca="1"/>
        <v>6301</v>
      </c>
      <c r="N36" s="40"/>
      <c r="R36" t="s">
        <v>22</v>
      </c>
      <c r="S36" t="s">
        <v>3</v>
      </c>
      <c r="AK36" s="33">
        <v>44562</v>
      </c>
    </row>
    <row r="37" spans="7:37" x14ac:dyDescent="0.35">
      <c r="G37" s="5">
        <f ca="1"/>
        <v>35</v>
      </c>
      <c r="H37" s="18">
        <f ca="1"/>
        <v>255772</v>
      </c>
      <c r="I37" s="16">
        <f ca="1"/>
        <v>0</v>
      </c>
      <c r="J37" s="17">
        <f ca="1"/>
        <v>1672</v>
      </c>
      <c r="K37" s="17">
        <f ca="1"/>
        <v>2829</v>
      </c>
      <c r="L37" s="17">
        <f ca="1"/>
        <v>4500</v>
      </c>
      <c r="M37" s="15">
        <f ca="1"/>
        <v>5658</v>
      </c>
      <c r="N37" s="40"/>
      <c r="R37" t="s">
        <v>84</v>
      </c>
      <c r="S37" t="s">
        <v>6</v>
      </c>
      <c r="AK37" s="33">
        <v>44665</v>
      </c>
    </row>
    <row r="38" spans="7:37" x14ac:dyDescent="0.35">
      <c r="G38" s="5">
        <f ca="1"/>
        <v>36</v>
      </c>
      <c r="H38" s="16">
        <f ca="1"/>
        <v>260194</v>
      </c>
      <c r="I38" s="16">
        <f ca="1"/>
        <v>0</v>
      </c>
      <c r="J38" s="17">
        <f ca="1"/>
        <v>1471</v>
      </c>
      <c r="K38" s="17">
        <f ca="1"/>
        <v>2488</v>
      </c>
      <c r="L38" s="17">
        <f ca="1"/>
        <v>3958</v>
      </c>
      <c r="M38" s="15">
        <f ca="1"/>
        <v>4976</v>
      </c>
      <c r="N38" s="40"/>
      <c r="R38" t="s">
        <v>23</v>
      </c>
      <c r="S38" t="s">
        <v>3</v>
      </c>
      <c r="AK38" s="33">
        <v>44666</v>
      </c>
    </row>
    <row r="39" spans="7:37" x14ac:dyDescent="0.35">
      <c r="G39" s="5">
        <f ca="1"/>
        <v>37</v>
      </c>
      <c r="H39" s="16">
        <f ca="1"/>
        <v>264712</v>
      </c>
      <c r="I39" s="16">
        <f ca="1"/>
        <v>0</v>
      </c>
      <c r="J39" s="17">
        <f ca="1"/>
        <v>1257</v>
      </c>
      <c r="K39" s="17">
        <f ca="1"/>
        <v>2128</v>
      </c>
      <c r="L39" s="17">
        <f ca="1"/>
        <v>3385</v>
      </c>
      <c r="M39" s="15">
        <f ca="1"/>
        <v>4255</v>
      </c>
      <c r="N39" s="40"/>
      <c r="R39" t="s">
        <v>24</v>
      </c>
      <c r="S39" t="s">
        <v>3</v>
      </c>
      <c r="AK39" s="33">
        <v>44668</v>
      </c>
    </row>
    <row r="40" spans="7:37" x14ac:dyDescent="0.35">
      <c r="G40" s="5">
        <f ca="1"/>
        <v>38</v>
      </c>
      <c r="H40" s="16">
        <f ca="1"/>
        <v>269508</v>
      </c>
      <c r="I40" s="16">
        <f ca="1"/>
        <v>0</v>
      </c>
      <c r="J40" s="17">
        <f ca="1"/>
        <v>1052</v>
      </c>
      <c r="K40" s="17">
        <f ca="1"/>
        <v>1781</v>
      </c>
      <c r="L40" s="17">
        <f ca="1"/>
        <v>2833</v>
      </c>
      <c r="M40" s="15">
        <f ca="1"/>
        <v>3563</v>
      </c>
      <c r="N40" s="40"/>
      <c r="R40" t="s">
        <v>25</v>
      </c>
      <c r="S40" t="s">
        <v>3</v>
      </c>
      <c r="AK40" s="33">
        <v>44669</v>
      </c>
    </row>
    <row r="41" spans="7:37" x14ac:dyDescent="0.35">
      <c r="G41" s="5">
        <f ca="1"/>
        <v>39</v>
      </c>
      <c r="H41" s="16">
        <f ca="1"/>
        <v>274323</v>
      </c>
      <c r="I41" s="16">
        <f ca="1"/>
        <v>0</v>
      </c>
      <c r="J41" s="17">
        <f ca="1"/>
        <v>810</v>
      </c>
      <c r="K41" s="17">
        <f ca="1"/>
        <v>1371</v>
      </c>
      <c r="L41" s="17">
        <f ca="1"/>
        <v>2181</v>
      </c>
      <c r="M41" s="15">
        <f ca="1"/>
        <v>2743</v>
      </c>
      <c r="N41" s="40"/>
      <c r="R41" t="s">
        <v>26</v>
      </c>
      <c r="S41" t="s">
        <v>3</v>
      </c>
      <c r="AK41" s="33">
        <v>44694</v>
      </c>
    </row>
    <row r="42" spans="7:37" x14ac:dyDescent="0.35">
      <c r="G42" s="5">
        <f ca="1"/>
        <v>40</v>
      </c>
      <c r="H42" s="18">
        <f ca="1"/>
        <v>279247</v>
      </c>
      <c r="I42" s="16">
        <f ca="1"/>
        <v>0</v>
      </c>
      <c r="J42" s="17">
        <f ca="1"/>
        <v>554</v>
      </c>
      <c r="K42" s="17">
        <f ca="1"/>
        <v>938</v>
      </c>
      <c r="L42" s="17">
        <f ca="1"/>
        <v>1493</v>
      </c>
      <c r="M42" s="15">
        <f ca="1"/>
        <v>1877</v>
      </c>
      <c r="N42" s="40"/>
      <c r="R42" t="s">
        <v>97</v>
      </c>
      <c r="S42" t="s">
        <v>7</v>
      </c>
      <c r="AK42" s="33">
        <v>44707</v>
      </c>
    </row>
    <row r="43" spans="7:37" x14ac:dyDescent="0.35">
      <c r="G43" s="5">
        <f ca="1"/>
        <v>41</v>
      </c>
      <c r="H43" s="16">
        <f ca="1"/>
        <v>284278</v>
      </c>
      <c r="I43" s="16">
        <f ca="1"/>
        <v>0</v>
      </c>
      <c r="J43" s="17">
        <f ca="1"/>
        <v>284</v>
      </c>
      <c r="K43" s="17">
        <f ca="1"/>
        <v>482</v>
      </c>
      <c r="L43" s="17">
        <f ca="1"/>
        <v>765</v>
      </c>
      <c r="M43" s="15">
        <f ca="1"/>
        <v>963</v>
      </c>
      <c r="N43" s="40"/>
      <c r="R43" t="s">
        <v>98</v>
      </c>
      <c r="S43" t="s">
        <v>7</v>
      </c>
      <c r="AK43" s="33">
        <v>44717</v>
      </c>
    </row>
    <row r="44" spans="7:37" x14ac:dyDescent="0.35">
      <c r="G44" s="5">
        <f ca="1"/>
        <v>42</v>
      </c>
      <c r="H44" s="16">
        <f ca="1"/>
        <v>289418</v>
      </c>
      <c r="I44" s="16">
        <f ca="1"/>
        <v>0</v>
      </c>
      <c r="J44" s="17">
        <f ca="1"/>
        <v>0</v>
      </c>
      <c r="K44" s="17">
        <f ca="1"/>
        <v>0</v>
      </c>
      <c r="L44" s="17">
        <f ca="1"/>
        <v>0</v>
      </c>
      <c r="M44" s="15">
        <f ca="1"/>
        <v>0</v>
      </c>
      <c r="N44" s="40"/>
      <c r="R44" t="s">
        <v>85</v>
      </c>
      <c r="S44" t="s">
        <v>6</v>
      </c>
      <c r="AK44" s="33">
        <v>44718</v>
      </c>
    </row>
    <row r="45" spans="7:37" x14ac:dyDescent="0.35">
      <c r="G45" s="5">
        <f ca="1"/>
        <v>43</v>
      </c>
      <c r="H45" s="16">
        <f ca="1"/>
        <v>295850</v>
      </c>
      <c r="I45" s="16">
        <f ca="1"/>
        <v>0</v>
      </c>
      <c r="J45" s="17">
        <f ca="1"/>
        <v>0</v>
      </c>
      <c r="K45" s="17">
        <f ca="1"/>
        <v>0</v>
      </c>
      <c r="L45" s="17">
        <f ca="1"/>
        <v>0</v>
      </c>
      <c r="M45" s="15">
        <f ca="1"/>
        <v>0</v>
      </c>
      <c r="N45" s="40"/>
      <c r="R45" t="s">
        <v>27</v>
      </c>
      <c r="S45" t="s">
        <v>3</v>
      </c>
      <c r="AK45" s="33">
        <v>44920</v>
      </c>
    </row>
    <row r="46" spans="7:37" x14ac:dyDescent="0.35">
      <c r="G46" s="5">
        <f ca="1"/>
        <v>44</v>
      </c>
      <c r="H46" s="16">
        <f ca="1"/>
        <v>302460</v>
      </c>
      <c r="I46" s="16">
        <f ca="1"/>
        <v>0</v>
      </c>
      <c r="J46" s="17">
        <f ca="1"/>
        <v>0</v>
      </c>
      <c r="K46" s="17">
        <f ca="1"/>
        <v>0</v>
      </c>
      <c r="L46" s="17">
        <f ca="1"/>
        <v>0</v>
      </c>
      <c r="M46" s="15">
        <f ca="1"/>
        <v>0</v>
      </c>
      <c r="N46" s="40"/>
      <c r="R46" t="s">
        <v>99</v>
      </c>
      <c r="S46" t="s">
        <v>7</v>
      </c>
      <c r="AK46" s="33">
        <v>44921</v>
      </c>
    </row>
    <row r="47" spans="7:37" x14ac:dyDescent="0.35">
      <c r="G47" s="5">
        <f ca="1"/>
        <v>45</v>
      </c>
      <c r="H47" s="18">
        <f ca="1"/>
        <v>309251</v>
      </c>
      <c r="I47" s="16">
        <f ca="1"/>
        <v>0</v>
      </c>
      <c r="J47" s="17">
        <f ca="1"/>
        <v>0</v>
      </c>
      <c r="K47" s="17">
        <f ca="1"/>
        <v>0</v>
      </c>
      <c r="L47" s="17">
        <f ca="1"/>
        <v>0</v>
      </c>
      <c r="M47" s="15">
        <f ca="1"/>
        <v>0</v>
      </c>
      <c r="N47" s="40"/>
      <c r="R47" t="s">
        <v>28</v>
      </c>
      <c r="S47" t="s">
        <v>3</v>
      </c>
      <c r="AK47" s="33">
        <v>44927</v>
      </c>
    </row>
    <row r="48" spans="7:37" x14ac:dyDescent="0.35">
      <c r="G48" s="5">
        <f ca="1"/>
        <v>46</v>
      </c>
      <c r="H48" s="16">
        <f ca="1"/>
        <v>316229</v>
      </c>
      <c r="I48" s="16">
        <f ca="1"/>
        <v>0</v>
      </c>
      <c r="J48" s="17">
        <f ca="1"/>
        <v>0</v>
      </c>
      <c r="K48" s="17">
        <f ca="1"/>
        <v>0</v>
      </c>
      <c r="L48" s="17">
        <f ca="1"/>
        <v>0</v>
      </c>
      <c r="M48" s="15">
        <f ca="1"/>
        <v>0</v>
      </c>
      <c r="N48" s="40"/>
      <c r="R48" t="s">
        <v>66</v>
      </c>
      <c r="S48" t="s">
        <v>4</v>
      </c>
      <c r="AK48" s="33">
        <v>45022</v>
      </c>
    </row>
    <row r="49" spans="7:37" x14ac:dyDescent="0.35">
      <c r="G49" s="5">
        <f ca="1"/>
        <v>47</v>
      </c>
      <c r="H49" s="16">
        <f ca="1"/>
        <v>321858</v>
      </c>
      <c r="I49" s="16">
        <f ca="1"/>
        <v>0</v>
      </c>
      <c r="J49" s="17">
        <f ca="1"/>
        <v>0</v>
      </c>
      <c r="K49" s="17">
        <f ca="1"/>
        <v>0</v>
      </c>
      <c r="L49" s="17">
        <f ca="1"/>
        <v>0</v>
      </c>
      <c r="M49" s="15">
        <f ca="1"/>
        <v>0</v>
      </c>
      <c r="N49" s="40"/>
      <c r="R49" t="s">
        <v>67</v>
      </c>
      <c r="S49" t="s">
        <v>4</v>
      </c>
      <c r="AK49" s="33">
        <v>45023</v>
      </c>
    </row>
    <row r="50" spans="7:37" x14ac:dyDescent="0.35">
      <c r="G50" s="5">
        <f ca="1"/>
        <v>48</v>
      </c>
      <c r="H50" s="16">
        <f ca="1"/>
        <v>336653</v>
      </c>
      <c r="I50" s="16">
        <f ca="1"/>
        <v>0</v>
      </c>
      <c r="J50" s="17">
        <f ca="1"/>
        <v>0</v>
      </c>
      <c r="K50" s="17">
        <f ca="1"/>
        <v>0</v>
      </c>
      <c r="L50" s="17">
        <f ca="1"/>
        <v>0</v>
      </c>
      <c r="M50" s="15">
        <f ca="1"/>
        <v>0</v>
      </c>
      <c r="N50" s="40"/>
      <c r="R50" t="s">
        <v>29</v>
      </c>
      <c r="S50" t="s">
        <v>3</v>
      </c>
      <c r="AK50" s="33">
        <v>45025</v>
      </c>
    </row>
    <row r="51" spans="7:37" x14ac:dyDescent="0.35">
      <c r="G51" s="5">
        <f ca="1"/>
        <v>49</v>
      </c>
      <c r="H51" s="16">
        <f ca="1"/>
        <v>359246</v>
      </c>
      <c r="I51" s="16">
        <f ca="1"/>
        <v>0</v>
      </c>
      <c r="J51" s="17">
        <f ca="1"/>
        <v>0</v>
      </c>
      <c r="K51" s="17">
        <f ca="1"/>
        <v>0</v>
      </c>
      <c r="L51" s="17">
        <f ca="1"/>
        <v>0</v>
      </c>
      <c r="M51" s="15">
        <f ca="1"/>
        <v>0</v>
      </c>
      <c r="N51" s="40"/>
      <c r="R51" t="s">
        <v>100</v>
      </c>
      <c r="S51" t="s">
        <v>7</v>
      </c>
      <c r="AK51" s="33">
        <v>45026</v>
      </c>
    </row>
    <row r="52" spans="7:37" x14ac:dyDescent="0.35">
      <c r="G52" s="5">
        <f ca="1"/>
        <v>50</v>
      </c>
      <c r="H52" s="18">
        <f ca="1"/>
        <v>384324</v>
      </c>
      <c r="I52" s="16">
        <f ca="1"/>
        <v>0</v>
      </c>
      <c r="J52" s="17">
        <f ca="1"/>
        <v>0</v>
      </c>
      <c r="K52" s="17">
        <f ca="1"/>
        <v>0</v>
      </c>
      <c r="L52" s="17">
        <f ca="1"/>
        <v>0</v>
      </c>
      <c r="M52" s="15">
        <f ca="1"/>
        <v>0</v>
      </c>
      <c r="N52" s="40"/>
      <c r="R52" t="s">
        <v>73</v>
      </c>
      <c r="S52" t="s">
        <v>5</v>
      </c>
      <c r="AK52" s="33">
        <v>45051</v>
      </c>
    </row>
    <row r="53" spans="7:37" x14ac:dyDescent="0.35">
      <c r="G53" s="5">
        <f ca="1"/>
        <v>51</v>
      </c>
      <c r="H53" s="16">
        <f ca="1"/>
        <v>424514</v>
      </c>
      <c r="I53" s="16">
        <f ca="1"/>
        <v>0</v>
      </c>
      <c r="J53" s="17">
        <f ca="1"/>
        <v>0</v>
      </c>
      <c r="K53" s="17">
        <f ca="1"/>
        <v>0</v>
      </c>
      <c r="L53" s="17">
        <f ca="1"/>
        <v>0</v>
      </c>
      <c r="M53" s="15">
        <f ca="1"/>
        <v>0</v>
      </c>
      <c r="N53" s="40"/>
      <c r="R53" t="s">
        <v>30</v>
      </c>
      <c r="S53" t="s">
        <v>3</v>
      </c>
      <c r="AK53" s="33">
        <v>45064</v>
      </c>
    </row>
    <row r="54" spans="7:37" x14ac:dyDescent="0.35">
      <c r="G54" s="5">
        <f ca="1"/>
        <v>52</v>
      </c>
      <c r="H54" s="16">
        <f ca="1"/>
        <v>483044</v>
      </c>
      <c r="I54" s="16">
        <f ca="1"/>
        <v>0</v>
      </c>
      <c r="J54" s="17">
        <f ca="1"/>
        <v>0</v>
      </c>
      <c r="K54" s="17">
        <f ca="1"/>
        <v>0</v>
      </c>
      <c r="L54" s="17">
        <f ca="1"/>
        <v>0</v>
      </c>
      <c r="M54" s="15">
        <f ca="1"/>
        <v>0</v>
      </c>
      <c r="N54" s="40"/>
      <c r="R54" t="s">
        <v>74</v>
      </c>
      <c r="S54" t="s">
        <v>5</v>
      </c>
      <c r="AK54" s="33">
        <v>45074</v>
      </c>
    </row>
    <row r="55" spans="7:37" x14ac:dyDescent="0.35">
      <c r="G55" s="5">
        <f ca="1"/>
        <v>53</v>
      </c>
      <c r="H55" s="16">
        <f ca="1"/>
        <v>530364</v>
      </c>
      <c r="I55" s="16">
        <f ca="1"/>
        <v>0</v>
      </c>
      <c r="J55" s="17">
        <f ca="1"/>
        <v>0</v>
      </c>
      <c r="K55" s="17">
        <f ca="1"/>
        <v>0</v>
      </c>
      <c r="L55" s="17">
        <f ca="1"/>
        <v>0</v>
      </c>
      <c r="M55" s="15">
        <f ca="1"/>
        <v>0</v>
      </c>
      <c r="N55" s="40"/>
      <c r="R55" t="s">
        <v>31</v>
      </c>
      <c r="S55" t="s">
        <v>3</v>
      </c>
      <c r="AK55" s="33">
        <v>45075</v>
      </c>
    </row>
    <row r="56" spans="7:37" x14ac:dyDescent="0.35">
      <c r="G56" s="5">
        <f ca="1"/>
        <v>54</v>
      </c>
      <c r="H56" s="16">
        <f ca="1"/>
        <v>593449</v>
      </c>
      <c r="I56" s="16">
        <f ca="1"/>
        <v>0</v>
      </c>
      <c r="J56" s="17">
        <f ca="1"/>
        <v>0</v>
      </c>
      <c r="K56" s="17">
        <f ca="1"/>
        <v>0</v>
      </c>
      <c r="L56" s="17">
        <f ca="1"/>
        <v>0</v>
      </c>
      <c r="M56" s="15">
        <f ca="1"/>
        <v>0</v>
      </c>
      <c r="N56" s="40"/>
      <c r="R56" t="s">
        <v>32</v>
      </c>
      <c r="S56" t="s">
        <v>3</v>
      </c>
      <c r="AK56" s="33">
        <v>45285</v>
      </c>
    </row>
    <row r="57" spans="7:37" x14ac:dyDescent="0.35">
      <c r="G57" s="5">
        <f ca="1"/>
        <v>55</v>
      </c>
      <c r="H57" s="16">
        <f ca="1"/>
        <v>669278</v>
      </c>
      <c r="I57" s="16">
        <f ca="1"/>
        <v>0</v>
      </c>
      <c r="J57" s="17">
        <f ca="1"/>
        <v>0</v>
      </c>
      <c r="K57" s="17">
        <f ca="1"/>
        <v>0</v>
      </c>
      <c r="L57" s="17">
        <f ca="1"/>
        <v>0</v>
      </c>
      <c r="M57" s="15">
        <f ca="1"/>
        <v>0</v>
      </c>
      <c r="N57" s="40"/>
      <c r="R57" t="s">
        <v>101</v>
      </c>
      <c r="S57" t="s">
        <v>7</v>
      </c>
      <c r="AK57" s="33">
        <v>45286</v>
      </c>
    </row>
    <row r="58" spans="7:37" ht="15" thickBot="1" x14ac:dyDescent="0.4">
      <c r="G58" s="5">
        <f ca="1"/>
        <v>56</v>
      </c>
      <c r="H58" s="19">
        <f ca="1"/>
        <v>754309</v>
      </c>
      <c r="I58" s="19">
        <f ca="1"/>
        <v>0</v>
      </c>
      <c r="J58" s="20">
        <f ca="1"/>
        <v>0</v>
      </c>
      <c r="K58" s="20">
        <f ca="1"/>
        <v>0</v>
      </c>
      <c r="L58" s="20">
        <f ca="1"/>
        <v>0</v>
      </c>
      <c r="M58" s="21">
        <f ca="1"/>
        <v>0</v>
      </c>
      <c r="N58" s="40"/>
      <c r="R58" t="s">
        <v>33</v>
      </c>
      <c r="S58" t="s">
        <v>3</v>
      </c>
      <c r="AK58" s="33">
        <v>45292</v>
      </c>
    </row>
    <row r="59" spans="7:37" x14ac:dyDescent="0.35">
      <c r="G59" t="str">
        <f ca="1"/>
        <v>Dagplejer - EUV1</v>
      </c>
      <c r="H59" s="44">
        <f ca="1"/>
        <v>202592</v>
      </c>
      <c r="I59">
        <f ca="1"/>
        <v>0</v>
      </c>
      <c r="J59">
        <f ca="1"/>
        <v>0</v>
      </c>
      <c r="K59">
        <f ca="1"/>
        <v>0</v>
      </c>
      <c r="L59">
        <f ca="1"/>
        <v>0</v>
      </c>
      <c r="M59">
        <f ca="1"/>
        <v>0</v>
      </c>
      <c r="R59" t="s">
        <v>34</v>
      </c>
      <c r="S59" t="s">
        <v>3</v>
      </c>
      <c r="AK59" s="33">
        <v>45379</v>
      </c>
    </row>
    <row r="60" spans="7:37" x14ac:dyDescent="0.35">
      <c r="G60" t="str">
        <f ca="1"/>
        <v>Pædagogmedhjælpere og pædagogiske assistenter - EUV1</v>
      </c>
      <c r="H60" s="44">
        <f ca="1"/>
        <v>197444</v>
      </c>
      <c r="I60" s="44">
        <f ca="1"/>
        <v>0</v>
      </c>
      <c r="J60" s="44">
        <f ca="1"/>
        <v>3328</v>
      </c>
      <c r="K60" s="44">
        <f ca="1"/>
        <v>6032</v>
      </c>
      <c r="L60" s="44">
        <f ca="1"/>
        <v>10244</v>
      </c>
      <c r="M60" s="44">
        <f ca="1"/>
        <v>13052</v>
      </c>
      <c r="R60" t="s">
        <v>35</v>
      </c>
      <c r="S60" t="s">
        <v>3</v>
      </c>
      <c r="AK60" s="33">
        <v>45380</v>
      </c>
    </row>
    <row r="61" spans="7:37" x14ac:dyDescent="0.35">
      <c r="G61" t="str">
        <f ca="1"/>
        <v>Omsorgs- og pædagogmedhjælpere samt pædagogiske assistenter - EUV1</v>
      </c>
      <c r="H61">
        <f ca="1"/>
        <v>197444</v>
      </c>
      <c r="I61">
        <f ca="1"/>
        <v>0</v>
      </c>
      <c r="J61">
        <f ca="1"/>
        <v>3328</v>
      </c>
      <c r="K61">
        <f ca="1"/>
        <v>6032</v>
      </c>
      <c r="L61">
        <f ca="1"/>
        <v>10244</v>
      </c>
      <c r="M61">
        <f ca="1"/>
        <v>13052</v>
      </c>
      <c r="R61" t="s">
        <v>36</v>
      </c>
      <c r="S61" t="s">
        <v>3</v>
      </c>
      <c r="AK61" s="33">
        <v>45382</v>
      </c>
    </row>
    <row r="62" spans="7:37" x14ac:dyDescent="0.35">
      <c r="G62" t="str">
        <f ca="1"/>
        <v>Ernæringsassistent</v>
      </c>
      <c r="H62">
        <f ca="1"/>
        <v>209827</v>
      </c>
      <c r="I62">
        <f ca="1"/>
        <v>0</v>
      </c>
      <c r="J62">
        <f ca="1"/>
        <v>2969</v>
      </c>
      <c r="K62">
        <f ca="1"/>
        <v>5025</v>
      </c>
      <c r="L62">
        <f ca="1"/>
        <v>7995</v>
      </c>
      <c r="M62">
        <f ca="1"/>
        <v>10051</v>
      </c>
      <c r="R62" t="s">
        <v>37</v>
      </c>
      <c r="S62" t="s">
        <v>3</v>
      </c>
      <c r="AK62" s="33">
        <v>45383</v>
      </c>
    </row>
    <row r="63" spans="7:37" x14ac:dyDescent="0.35">
      <c r="R63" t="s">
        <v>38</v>
      </c>
      <c r="S63" t="s">
        <v>3</v>
      </c>
      <c r="AK63" s="33">
        <v>45408</v>
      </c>
    </row>
    <row r="64" spans="7:37" x14ac:dyDescent="0.35">
      <c r="R64" t="s">
        <v>68</v>
      </c>
      <c r="S64" t="s">
        <v>4</v>
      </c>
      <c r="AK64" s="33">
        <v>45421</v>
      </c>
    </row>
    <row r="65" spans="18:37" x14ac:dyDescent="0.35">
      <c r="R65" t="s">
        <v>69</v>
      </c>
      <c r="S65" t="s">
        <v>4</v>
      </c>
      <c r="AK65" s="33">
        <v>45431</v>
      </c>
    </row>
    <row r="66" spans="18:37" x14ac:dyDescent="0.35">
      <c r="R66" t="s">
        <v>39</v>
      </c>
      <c r="S66" t="s">
        <v>3</v>
      </c>
      <c r="AK66" s="33">
        <v>45432</v>
      </c>
    </row>
    <row r="67" spans="18:37" x14ac:dyDescent="0.35">
      <c r="R67" t="s">
        <v>105</v>
      </c>
      <c r="S67" t="s">
        <v>4</v>
      </c>
      <c r="AK67" s="33">
        <v>45651</v>
      </c>
    </row>
    <row r="68" spans="18:37" x14ac:dyDescent="0.35">
      <c r="R68" t="s">
        <v>40</v>
      </c>
      <c r="S68" t="s">
        <v>3</v>
      </c>
      <c r="AK68" s="33">
        <v>45652</v>
      </c>
    </row>
    <row r="69" spans="18:37" x14ac:dyDescent="0.35">
      <c r="R69" t="s">
        <v>41</v>
      </c>
      <c r="S69" t="s">
        <v>3</v>
      </c>
      <c r="AK69" s="33">
        <v>45658</v>
      </c>
    </row>
    <row r="70" spans="18:37" x14ac:dyDescent="0.35">
      <c r="R70" t="s">
        <v>42</v>
      </c>
      <c r="S70" t="s">
        <v>3</v>
      </c>
      <c r="AK70" s="33">
        <v>45764</v>
      </c>
    </row>
    <row r="71" spans="18:37" x14ac:dyDescent="0.35">
      <c r="R71" t="s">
        <v>43</v>
      </c>
      <c r="S71" t="s">
        <v>3</v>
      </c>
      <c r="AK71" s="33">
        <v>45765</v>
      </c>
    </row>
    <row r="72" spans="18:37" x14ac:dyDescent="0.35">
      <c r="R72" t="s">
        <v>44</v>
      </c>
      <c r="S72" t="s">
        <v>3</v>
      </c>
      <c r="AK72" s="33">
        <v>45767</v>
      </c>
    </row>
    <row r="73" spans="18:37" x14ac:dyDescent="0.35">
      <c r="R73" t="s">
        <v>75</v>
      </c>
      <c r="S73" t="s">
        <v>5</v>
      </c>
      <c r="AK73" s="33">
        <v>45768</v>
      </c>
    </row>
    <row r="74" spans="18:37" x14ac:dyDescent="0.35">
      <c r="R74" t="s">
        <v>102</v>
      </c>
      <c r="S74" t="s">
        <v>7</v>
      </c>
      <c r="AK74" s="33">
        <v>45793</v>
      </c>
    </row>
    <row r="75" spans="18:37" x14ac:dyDescent="0.35">
      <c r="R75" t="s">
        <v>45</v>
      </c>
      <c r="S75" t="s">
        <v>3</v>
      </c>
      <c r="AK75" s="33">
        <v>45806</v>
      </c>
    </row>
    <row r="76" spans="18:37" x14ac:dyDescent="0.35">
      <c r="R76" t="s">
        <v>46</v>
      </c>
      <c r="S76" t="s">
        <v>3</v>
      </c>
      <c r="AK76" s="33">
        <v>45816</v>
      </c>
    </row>
    <row r="77" spans="18:37" x14ac:dyDescent="0.35">
      <c r="R77" t="s">
        <v>106</v>
      </c>
      <c r="S77" t="s">
        <v>4</v>
      </c>
      <c r="AK77" s="33">
        <v>45817</v>
      </c>
    </row>
    <row r="78" spans="18:37" x14ac:dyDescent="0.35">
      <c r="R78" t="s">
        <v>47</v>
      </c>
      <c r="S78" t="s">
        <v>3</v>
      </c>
      <c r="AK78" s="33">
        <v>46016</v>
      </c>
    </row>
    <row r="79" spans="18:37" x14ac:dyDescent="0.35">
      <c r="R79" t="s">
        <v>70</v>
      </c>
      <c r="S79" t="s">
        <v>4</v>
      </c>
      <c r="AK79" s="33">
        <v>46017</v>
      </c>
    </row>
    <row r="80" spans="18:37" x14ac:dyDescent="0.35">
      <c r="R80" t="s">
        <v>76</v>
      </c>
      <c r="S80" t="s">
        <v>5</v>
      </c>
      <c r="AK80" s="31"/>
    </row>
    <row r="81" spans="18:37" x14ac:dyDescent="0.35">
      <c r="R81" t="s">
        <v>48</v>
      </c>
      <c r="S81" t="s">
        <v>3</v>
      </c>
      <c r="AK81" s="31"/>
    </row>
    <row r="82" spans="18:37" x14ac:dyDescent="0.35">
      <c r="R82" t="s">
        <v>49</v>
      </c>
      <c r="S82" t="s">
        <v>3</v>
      </c>
      <c r="AK82" s="31"/>
    </row>
    <row r="83" spans="18:37" x14ac:dyDescent="0.35">
      <c r="R83" t="s">
        <v>50</v>
      </c>
      <c r="S83" t="s">
        <v>3</v>
      </c>
      <c r="AK83" s="31"/>
    </row>
    <row r="84" spans="18:37" x14ac:dyDescent="0.35">
      <c r="R84" t="s">
        <v>51</v>
      </c>
      <c r="S84" t="s">
        <v>3</v>
      </c>
      <c r="AK84" s="31"/>
    </row>
    <row r="85" spans="18:37" x14ac:dyDescent="0.35">
      <c r="R85" t="s">
        <v>52</v>
      </c>
      <c r="S85" t="s">
        <v>3</v>
      </c>
      <c r="AK85" s="31"/>
    </row>
    <row r="86" spans="18:37" x14ac:dyDescent="0.35">
      <c r="R86" t="s">
        <v>71</v>
      </c>
      <c r="S86" t="s">
        <v>4</v>
      </c>
      <c r="AK86" s="31"/>
    </row>
    <row r="87" spans="18:37" x14ac:dyDescent="0.35">
      <c r="R87" t="s">
        <v>53</v>
      </c>
      <c r="S87" t="s">
        <v>3</v>
      </c>
      <c r="AK87" s="31"/>
    </row>
    <row r="88" spans="18:37" x14ac:dyDescent="0.35">
      <c r="R88" t="s">
        <v>54</v>
      </c>
      <c r="S88" t="s">
        <v>3</v>
      </c>
      <c r="AK88" s="31"/>
    </row>
    <row r="89" spans="18:37" x14ac:dyDescent="0.35">
      <c r="R89" t="s">
        <v>103</v>
      </c>
      <c r="S89" t="s">
        <v>7</v>
      </c>
      <c r="AK89" s="31"/>
    </row>
    <row r="90" spans="18:37" x14ac:dyDescent="0.35">
      <c r="R90" t="s">
        <v>104</v>
      </c>
      <c r="S90" t="s">
        <v>7</v>
      </c>
      <c r="AK90" s="31"/>
    </row>
    <row r="91" spans="18:37" x14ac:dyDescent="0.35">
      <c r="R91" t="s">
        <v>55</v>
      </c>
      <c r="S91" t="s">
        <v>3</v>
      </c>
      <c r="AK91" s="31"/>
    </row>
    <row r="92" spans="18:37" x14ac:dyDescent="0.35">
      <c r="R92" t="s">
        <v>56</v>
      </c>
      <c r="S92" t="s">
        <v>3</v>
      </c>
      <c r="AK92" s="31"/>
    </row>
    <row r="93" spans="18:37" x14ac:dyDescent="0.35">
      <c r="R93" t="s">
        <v>57</v>
      </c>
      <c r="S93" t="s">
        <v>3</v>
      </c>
      <c r="AK93" s="31"/>
    </row>
    <row r="94" spans="18:37" x14ac:dyDescent="0.35">
      <c r="R94" t="s">
        <v>58</v>
      </c>
      <c r="S94" t="s">
        <v>3</v>
      </c>
      <c r="AK94" s="31"/>
    </row>
    <row r="95" spans="18:37" x14ac:dyDescent="0.35">
      <c r="R95" t="s">
        <v>59</v>
      </c>
      <c r="S95" t="s">
        <v>3</v>
      </c>
      <c r="AK95" s="31"/>
    </row>
    <row r="96" spans="18:37" x14ac:dyDescent="0.35">
      <c r="R96" t="s">
        <v>60</v>
      </c>
      <c r="S96" t="s">
        <v>3</v>
      </c>
      <c r="AK96" s="31"/>
    </row>
    <row r="97" spans="18:37" x14ac:dyDescent="0.35">
      <c r="R97" t="s">
        <v>61</v>
      </c>
      <c r="S97" t="s">
        <v>3</v>
      </c>
      <c r="AK97" s="31"/>
    </row>
    <row r="98" spans="18:37" x14ac:dyDescent="0.35">
      <c r="R98" t="s">
        <v>62</v>
      </c>
      <c r="S98" t="s">
        <v>3</v>
      </c>
      <c r="AK98" s="31"/>
    </row>
    <row r="99" spans="18:37" x14ac:dyDescent="0.35">
      <c r="R99" t="s">
        <v>72</v>
      </c>
      <c r="S99" t="s">
        <v>4</v>
      </c>
      <c r="AK99" s="31"/>
    </row>
    <row r="100" spans="18:37" x14ac:dyDescent="0.35">
      <c r="R100" t="s">
        <v>77</v>
      </c>
      <c r="S100" t="s">
        <v>5</v>
      </c>
      <c r="AK100" s="31"/>
    </row>
    <row r="101" spans="18:37" ht="15" thickBot="1" x14ac:dyDescent="0.4">
      <c r="AK101" s="32"/>
    </row>
  </sheetData>
  <mergeCells count="3">
    <mergeCell ref="G1:M1"/>
    <mergeCell ref="U1:AF1"/>
    <mergeCell ref="A1:B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3053-4751-4558-ACFD-7ECC4B0E66DA}">
  <sheetPr codeName="Ark6"/>
  <dimension ref="A1:AB62"/>
  <sheetViews>
    <sheetView topLeftCell="S1" workbookViewId="0">
      <selection activeCell="AE10" sqref="AE10"/>
    </sheetView>
  </sheetViews>
  <sheetFormatPr defaultRowHeight="14.5" x14ac:dyDescent="0.35"/>
  <cols>
    <col min="2" max="2" width="16.453125" customWidth="1"/>
    <col min="6" max="6" width="11.26953125" bestFit="1" customWidth="1"/>
    <col min="10" max="10" width="10.26953125" bestFit="1" customWidth="1"/>
    <col min="23" max="23" width="9.81640625" bestFit="1" customWidth="1"/>
  </cols>
  <sheetData>
    <row r="1" spans="1:28" ht="33" customHeight="1" thickBot="1" x14ac:dyDescent="0.55000000000000004">
      <c r="A1" s="90" t="s">
        <v>170</v>
      </c>
      <c r="B1" s="90"/>
      <c r="D1" s="89" t="s">
        <v>174</v>
      </c>
      <c r="E1" s="89"/>
      <c r="F1" s="89"/>
      <c r="G1" s="89"/>
      <c r="H1" s="89"/>
      <c r="I1" s="89"/>
      <c r="J1" s="89"/>
      <c r="M1" s="89" t="s">
        <v>175</v>
      </c>
      <c r="N1" s="89"/>
      <c r="O1" s="89"/>
      <c r="P1" s="89"/>
      <c r="Q1" s="89"/>
      <c r="R1" s="89"/>
      <c r="S1" s="89"/>
      <c r="V1" s="89" t="s">
        <v>197</v>
      </c>
      <c r="W1" s="89"/>
      <c r="X1" s="89"/>
      <c r="Y1" s="89"/>
      <c r="Z1" s="89"/>
      <c r="AA1" s="89"/>
      <c r="AB1" s="89"/>
    </row>
    <row r="2" spans="1:28" ht="46.5" customHeight="1" thickBot="1" x14ac:dyDescent="0.4">
      <c r="A2" s="90" t="s">
        <v>172</v>
      </c>
      <c r="B2" s="90"/>
      <c r="D2" s="1" t="s">
        <v>0</v>
      </c>
      <c r="E2" s="2" t="s">
        <v>2</v>
      </c>
      <c r="F2" s="2" t="s">
        <v>3</v>
      </c>
      <c r="G2" s="3" t="s">
        <v>4</v>
      </c>
      <c r="H2" s="3" t="s">
        <v>5</v>
      </c>
      <c r="I2" s="3" t="s">
        <v>6</v>
      </c>
      <c r="J2" s="4" t="s">
        <v>7</v>
      </c>
      <c r="M2" s="1" t="s">
        <v>0</v>
      </c>
      <c r="N2" s="2" t="s">
        <v>2</v>
      </c>
      <c r="O2" s="2" t="s">
        <v>3</v>
      </c>
      <c r="P2" s="3" t="s">
        <v>4</v>
      </c>
      <c r="Q2" s="3" t="s">
        <v>5</v>
      </c>
      <c r="R2" s="3" t="s">
        <v>6</v>
      </c>
      <c r="S2" s="4" t="s">
        <v>7</v>
      </c>
      <c r="V2" s="1" t="s">
        <v>0</v>
      </c>
      <c r="W2" s="2" t="s">
        <v>2</v>
      </c>
      <c r="X2" s="2" t="s">
        <v>3</v>
      </c>
      <c r="Y2" s="3" t="s">
        <v>4</v>
      </c>
      <c r="Z2" s="3" t="s">
        <v>5</v>
      </c>
      <c r="AA2" s="3" t="s">
        <v>6</v>
      </c>
      <c r="AB2" s="4" t="s">
        <v>7</v>
      </c>
    </row>
    <row r="3" spans="1:28" x14ac:dyDescent="0.35">
      <c r="A3" s="90"/>
      <c r="B3" s="90"/>
      <c r="D3" s="5">
        <v>1</v>
      </c>
      <c r="E3" s="16">
        <v>147194</v>
      </c>
      <c r="F3" s="16">
        <v>0</v>
      </c>
      <c r="G3" s="17">
        <v>2082</v>
      </c>
      <c r="H3" s="17">
        <v>3523</v>
      </c>
      <c r="I3" s="17">
        <v>5606</v>
      </c>
      <c r="J3" s="15">
        <v>7047</v>
      </c>
      <c r="M3" s="5">
        <v>1</v>
      </c>
      <c r="N3" s="16">
        <v>147194</v>
      </c>
      <c r="O3" s="16">
        <v>0</v>
      </c>
      <c r="P3" s="17">
        <v>2082</v>
      </c>
      <c r="Q3" s="17">
        <v>3523</v>
      </c>
      <c r="R3" s="17">
        <v>5606</v>
      </c>
      <c r="S3" s="15">
        <v>7047</v>
      </c>
      <c r="V3" s="5">
        <v>1</v>
      </c>
      <c r="W3" s="16">
        <v>147194</v>
      </c>
      <c r="X3" s="16">
        <v>0</v>
      </c>
      <c r="Y3" s="17">
        <v>2082</v>
      </c>
      <c r="Z3" s="17">
        <v>3523</v>
      </c>
      <c r="AA3" s="17">
        <v>5606</v>
      </c>
      <c r="AB3" s="15">
        <v>7047</v>
      </c>
    </row>
    <row r="4" spans="1:28" x14ac:dyDescent="0.35">
      <c r="D4" s="5">
        <v>2</v>
      </c>
      <c r="E4" s="16">
        <v>149455</v>
      </c>
      <c r="F4" s="16">
        <v>0</v>
      </c>
      <c r="G4" s="17">
        <v>2133</v>
      </c>
      <c r="H4" s="17">
        <v>3609</v>
      </c>
      <c r="I4" s="17">
        <v>5742</v>
      </c>
      <c r="J4" s="15">
        <v>7218</v>
      </c>
      <c r="M4" s="5">
        <v>2</v>
      </c>
      <c r="N4" s="16">
        <v>149455</v>
      </c>
      <c r="O4" s="16">
        <v>0</v>
      </c>
      <c r="P4" s="17">
        <v>2133</v>
      </c>
      <c r="Q4" s="17">
        <v>3609</v>
      </c>
      <c r="R4" s="17">
        <v>5742</v>
      </c>
      <c r="S4" s="15">
        <v>7218</v>
      </c>
      <c r="V4" s="5">
        <v>2</v>
      </c>
      <c r="W4" s="16">
        <v>149455</v>
      </c>
      <c r="X4" s="16">
        <v>0</v>
      </c>
      <c r="Y4" s="17">
        <v>2133</v>
      </c>
      <c r="Z4" s="17">
        <v>3609</v>
      </c>
      <c r="AA4" s="17">
        <v>5742</v>
      </c>
      <c r="AB4" s="15">
        <v>7218</v>
      </c>
    </row>
    <row r="5" spans="1:28" x14ac:dyDescent="0.35">
      <c r="D5" s="5">
        <v>3</v>
      </c>
      <c r="E5" s="16">
        <v>151777</v>
      </c>
      <c r="F5" s="16">
        <v>0</v>
      </c>
      <c r="G5" s="17">
        <v>2184</v>
      </c>
      <c r="H5" s="17">
        <v>3697</v>
      </c>
      <c r="I5" s="17">
        <v>5881</v>
      </c>
      <c r="J5" s="15">
        <v>7395</v>
      </c>
      <c r="M5" s="5">
        <v>3</v>
      </c>
      <c r="N5" s="16">
        <v>151777</v>
      </c>
      <c r="O5" s="16">
        <v>0</v>
      </c>
      <c r="P5" s="17">
        <v>2184</v>
      </c>
      <c r="Q5" s="17">
        <v>3697</v>
      </c>
      <c r="R5" s="17">
        <v>5881</v>
      </c>
      <c r="S5" s="15">
        <v>7395</v>
      </c>
      <c r="V5" s="5">
        <v>3</v>
      </c>
      <c r="W5" s="16">
        <v>151777</v>
      </c>
      <c r="X5" s="16">
        <v>0</v>
      </c>
      <c r="Y5" s="17">
        <v>2184</v>
      </c>
      <c r="Z5" s="17">
        <v>3697</v>
      </c>
      <c r="AA5" s="17">
        <v>5881</v>
      </c>
      <c r="AB5" s="15">
        <v>7395</v>
      </c>
    </row>
    <row r="6" spans="1:28" x14ac:dyDescent="0.35">
      <c r="D6" s="5">
        <v>4</v>
      </c>
      <c r="E6" s="16">
        <v>154163</v>
      </c>
      <c r="F6" s="16">
        <v>0</v>
      </c>
      <c r="G6" s="17">
        <v>2239</v>
      </c>
      <c r="H6" s="17">
        <v>3788</v>
      </c>
      <c r="I6" s="17">
        <v>6027</v>
      </c>
      <c r="J6" s="15">
        <v>7576</v>
      </c>
      <c r="M6" s="5">
        <v>4</v>
      </c>
      <c r="N6" s="16">
        <v>154163</v>
      </c>
      <c r="O6" s="16">
        <v>0</v>
      </c>
      <c r="P6" s="17">
        <v>2239</v>
      </c>
      <c r="Q6" s="17">
        <v>3788</v>
      </c>
      <c r="R6" s="17">
        <v>6027</v>
      </c>
      <c r="S6" s="15">
        <v>7576</v>
      </c>
      <c r="V6" s="5">
        <v>4</v>
      </c>
      <c r="W6" s="16">
        <v>154163</v>
      </c>
      <c r="X6" s="16">
        <v>0</v>
      </c>
      <c r="Y6" s="17">
        <v>2239</v>
      </c>
      <c r="Z6" s="17">
        <v>3788</v>
      </c>
      <c r="AA6" s="17">
        <v>6027</v>
      </c>
      <c r="AB6" s="15">
        <v>7576</v>
      </c>
    </row>
    <row r="7" spans="1:28" x14ac:dyDescent="0.35">
      <c r="D7" s="5">
        <v>5</v>
      </c>
      <c r="E7" s="18">
        <v>156614</v>
      </c>
      <c r="F7" s="16">
        <v>0</v>
      </c>
      <c r="G7" s="17">
        <v>2293</v>
      </c>
      <c r="H7" s="17">
        <v>3882</v>
      </c>
      <c r="I7" s="17">
        <v>6175</v>
      </c>
      <c r="J7" s="15">
        <v>7762</v>
      </c>
      <c r="M7" s="5">
        <v>5</v>
      </c>
      <c r="N7" s="18">
        <v>156614</v>
      </c>
      <c r="O7" s="16">
        <v>0</v>
      </c>
      <c r="P7" s="17">
        <v>2293</v>
      </c>
      <c r="Q7" s="17">
        <v>3882</v>
      </c>
      <c r="R7" s="17">
        <v>6175</v>
      </c>
      <c r="S7" s="15">
        <v>7762</v>
      </c>
      <c r="V7" s="5">
        <v>5</v>
      </c>
      <c r="W7" s="18">
        <v>156614</v>
      </c>
      <c r="X7" s="16">
        <v>0</v>
      </c>
      <c r="Y7" s="17">
        <v>2293</v>
      </c>
      <c r="Z7" s="17">
        <v>3882</v>
      </c>
      <c r="AA7" s="17">
        <v>6175</v>
      </c>
      <c r="AB7" s="15">
        <v>7762</v>
      </c>
    </row>
    <row r="8" spans="1:28" x14ac:dyDescent="0.35">
      <c r="D8" s="5">
        <v>6</v>
      </c>
      <c r="E8" s="16">
        <v>159135</v>
      </c>
      <c r="F8" s="16">
        <v>0</v>
      </c>
      <c r="G8" s="17">
        <v>2350</v>
      </c>
      <c r="H8" s="17">
        <v>3977</v>
      </c>
      <c r="I8" s="17">
        <v>6326</v>
      </c>
      <c r="J8" s="15">
        <v>7953</v>
      </c>
      <c r="M8" s="5">
        <v>6</v>
      </c>
      <c r="N8" s="16">
        <v>159135</v>
      </c>
      <c r="O8" s="16">
        <v>0</v>
      </c>
      <c r="P8" s="17">
        <v>2350</v>
      </c>
      <c r="Q8" s="17">
        <v>3977</v>
      </c>
      <c r="R8" s="17">
        <v>6326</v>
      </c>
      <c r="S8" s="15">
        <v>7953</v>
      </c>
      <c r="V8" s="5">
        <v>6</v>
      </c>
      <c r="W8" s="16">
        <v>159135</v>
      </c>
      <c r="X8" s="16">
        <v>0</v>
      </c>
      <c r="Y8" s="17">
        <v>2350</v>
      </c>
      <c r="Z8" s="17">
        <v>3977</v>
      </c>
      <c r="AA8" s="17">
        <v>6326</v>
      </c>
      <c r="AB8" s="15">
        <v>7953</v>
      </c>
    </row>
    <row r="9" spans="1:28" x14ac:dyDescent="0.35">
      <c r="D9" s="5">
        <v>7</v>
      </c>
      <c r="E9" s="16">
        <v>161721</v>
      </c>
      <c r="F9" s="16">
        <v>0</v>
      </c>
      <c r="G9" s="17">
        <v>2408</v>
      </c>
      <c r="H9" s="17">
        <v>4076</v>
      </c>
      <c r="I9" s="17">
        <v>6484</v>
      </c>
      <c r="J9" s="15">
        <v>8150</v>
      </c>
      <c r="M9" s="5">
        <v>7</v>
      </c>
      <c r="N9" s="16">
        <v>161721</v>
      </c>
      <c r="O9" s="16">
        <v>0</v>
      </c>
      <c r="P9" s="17">
        <v>2408</v>
      </c>
      <c r="Q9" s="17">
        <v>4076</v>
      </c>
      <c r="R9" s="17">
        <v>6484</v>
      </c>
      <c r="S9" s="15">
        <v>8150</v>
      </c>
      <c r="V9" s="5">
        <v>7</v>
      </c>
      <c r="W9" s="16">
        <v>161721</v>
      </c>
      <c r="X9" s="16">
        <v>0</v>
      </c>
      <c r="Y9" s="17">
        <v>2408</v>
      </c>
      <c r="Z9" s="17">
        <v>4076</v>
      </c>
      <c r="AA9" s="17">
        <v>6484</v>
      </c>
      <c r="AB9" s="15">
        <v>8150</v>
      </c>
    </row>
    <row r="10" spans="1:28" x14ac:dyDescent="0.35">
      <c r="D10" s="5">
        <v>8</v>
      </c>
      <c r="E10" s="16">
        <v>164477</v>
      </c>
      <c r="F10" s="16">
        <v>0</v>
      </c>
      <c r="G10" s="17">
        <v>2470</v>
      </c>
      <c r="H10" s="17">
        <v>4181</v>
      </c>
      <c r="I10" s="17">
        <v>6650</v>
      </c>
      <c r="J10" s="15">
        <v>8360</v>
      </c>
      <c r="M10" s="5">
        <v>8</v>
      </c>
      <c r="N10" s="16">
        <v>164477</v>
      </c>
      <c r="O10" s="16">
        <v>0</v>
      </c>
      <c r="P10" s="17">
        <v>2470</v>
      </c>
      <c r="Q10" s="17">
        <v>4181</v>
      </c>
      <c r="R10" s="17">
        <v>6650</v>
      </c>
      <c r="S10" s="15">
        <v>8360</v>
      </c>
      <c r="V10" s="5">
        <v>8</v>
      </c>
      <c r="W10" s="16">
        <v>164477</v>
      </c>
      <c r="X10" s="16">
        <v>0</v>
      </c>
      <c r="Y10" s="17">
        <v>2470</v>
      </c>
      <c r="Z10" s="17">
        <v>4181</v>
      </c>
      <c r="AA10" s="17">
        <v>6650</v>
      </c>
      <c r="AB10" s="15">
        <v>8360</v>
      </c>
    </row>
    <row r="11" spans="1:28" x14ac:dyDescent="0.35">
      <c r="D11" s="5">
        <v>9</v>
      </c>
      <c r="E11" s="16">
        <v>169651</v>
      </c>
      <c r="F11" s="16">
        <v>0</v>
      </c>
      <c r="G11" s="17">
        <v>2532</v>
      </c>
      <c r="H11" s="17">
        <v>4284</v>
      </c>
      <c r="I11" s="17">
        <v>6815</v>
      </c>
      <c r="J11" s="15">
        <v>8568</v>
      </c>
      <c r="M11" s="5">
        <v>9</v>
      </c>
      <c r="N11" s="16">
        <v>169651</v>
      </c>
      <c r="O11" s="16">
        <v>0</v>
      </c>
      <c r="P11" s="17">
        <v>2532</v>
      </c>
      <c r="Q11" s="17">
        <v>4284</v>
      </c>
      <c r="R11" s="17">
        <v>6815</v>
      </c>
      <c r="S11" s="15">
        <v>8568</v>
      </c>
      <c r="V11" s="5">
        <v>9</v>
      </c>
      <c r="W11" s="16">
        <v>169651</v>
      </c>
      <c r="X11" s="16">
        <v>0</v>
      </c>
      <c r="Y11" s="17">
        <v>2532</v>
      </c>
      <c r="Z11" s="17">
        <v>4284</v>
      </c>
      <c r="AA11" s="17">
        <v>6815</v>
      </c>
      <c r="AB11" s="15">
        <v>8568</v>
      </c>
    </row>
    <row r="12" spans="1:28" x14ac:dyDescent="0.35">
      <c r="D12" s="5">
        <v>10</v>
      </c>
      <c r="E12" s="18">
        <v>170849</v>
      </c>
      <c r="F12" s="16">
        <v>0</v>
      </c>
      <c r="G12" s="17">
        <v>2595</v>
      </c>
      <c r="H12" s="17">
        <v>4391</v>
      </c>
      <c r="I12" s="17">
        <v>6985</v>
      </c>
      <c r="J12" s="15">
        <v>8782</v>
      </c>
      <c r="M12" s="5">
        <v>10</v>
      </c>
      <c r="N12" s="18">
        <v>170849</v>
      </c>
      <c r="O12" s="16">
        <v>0</v>
      </c>
      <c r="P12" s="17">
        <v>2595</v>
      </c>
      <c r="Q12" s="17">
        <v>4391</v>
      </c>
      <c r="R12" s="17">
        <v>6985</v>
      </c>
      <c r="S12" s="15">
        <v>8782</v>
      </c>
      <c r="V12" s="5">
        <v>10</v>
      </c>
      <c r="W12" s="18">
        <v>170849</v>
      </c>
      <c r="X12" s="16">
        <v>0</v>
      </c>
      <c r="Y12" s="17">
        <v>2595</v>
      </c>
      <c r="Z12" s="17">
        <v>4391</v>
      </c>
      <c r="AA12" s="17">
        <v>6985</v>
      </c>
      <c r="AB12" s="15">
        <v>8782</v>
      </c>
    </row>
    <row r="13" spans="1:28" x14ac:dyDescent="0.35">
      <c r="D13" s="5">
        <v>11</v>
      </c>
      <c r="E13" s="16">
        <v>173449</v>
      </c>
      <c r="F13" s="16">
        <v>0</v>
      </c>
      <c r="G13" s="17">
        <v>2659</v>
      </c>
      <c r="H13" s="17">
        <v>4501</v>
      </c>
      <c r="I13" s="17">
        <v>7160</v>
      </c>
      <c r="J13" s="15">
        <v>9002</v>
      </c>
      <c r="M13" s="5">
        <v>11</v>
      </c>
      <c r="N13" s="16">
        <v>174102</v>
      </c>
      <c r="O13" s="16">
        <v>0</v>
      </c>
      <c r="P13" s="17">
        <v>2659</v>
      </c>
      <c r="Q13" s="17">
        <v>4501</v>
      </c>
      <c r="R13" s="17">
        <v>7160</v>
      </c>
      <c r="S13" s="15">
        <v>9002</v>
      </c>
      <c r="V13" s="5">
        <v>11</v>
      </c>
      <c r="W13" s="16">
        <v>175370</v>
      </c>
      <c r="X13" s="16">
        <v>0</v>
      </c>
      <c r="Y13" s="17">
        <v>2659</v>
      </c>
      <c r="Z13" s="17">
        <v>4501</v>
      </c>
      <c r="AA13" s="17">
        <v>7160</v>
      </c>
      <c r="AB13" s="15">
        <v>9002</v>
      </c>
    </row>
    <row r="14" spans="1:28" x14ac:dyDescent="0.35">
      <c r="D14" s="5">
        <v>12</v>
      </c>
      <c r="E14" s="16">
        <v>176414</v>
      </c>
      <c r="F14" s="16">
        <v>0</v>
      </c>
      <c r="G14" s="17">
        <v>2726</v>
      </c>
      <c r="H14" s="17">
        <v>4613</v>
      </c>
      <c r="I14" s="17">
        <v>7340</v>
      </c>
      <c r="J14" s="15">
        <v>9227</v>
      </c>
      <c r="M14" s="5">
        <v>12</v>
      </c>
      <c r="N14" s="16">
        <v>177067</v>
      </c>
      <c r="O14" s="16">
        <v>0</v>
      </c>
      <c r="P14" s="17">
        <v>2726</v>
      </c>
      <c r="Q14" s="17">
        <v>4613</v>
      </c>
      <c r="R14" s="17">
        <v>7340</v>
      </c>
      <c r="S14" s="15">
        <v>9227</v>
      </c>
      <c r="V14" s="5">
        <v>12</v>
      </c>
      <c r="W14" s="16">
        <v>178335</v>
      </c>
      <c r="X14" s="16">
        <v>0</v>
      </c>
      <c r="Y14" s="17">
        <v>2726</v>
      </c>
      <c r="Z14" s="17">
        <v>4613</v>
      </c>
      <c r="AA14" s="17">
        <v>7340</v>
      </c>
      <c r="AB14" s="15">
        <v>9227</v>
      </c>
    </row>
    <row r="15" spans="1:28" x14ac:dyDescent="0.35">
      <c r="D15" s="5">
        <v>13</v>
      </c>
      <c r="E15" s="16">
        <v>179463</v>
      </c>
      <c r="F15" s="16">
        <v>0</v>
      </c>
      <c r="G15" s="17">
        <v>2795</v>
      </c>
      <c r="H15" s="17">
        <v>4730</v>
      </c>
      <c r="I15" s="17">
        <v>7525</v>
      </c>
      <c r="J15" s="15">
        <v>9460</v>
      </c>
      <c r="M15" s="5">
        <v>13</v>
      </c>
      <c r="N15" s="16">
        <v>180116</v>
      </c>
      <c r="O15" s="16">
        <v>0</v>
      </c>
      <c r="P15" s="17">
        <v>2795</v>
      </c>
      <c r="Q15" s="17">
        <v>4730</v>
      </c>
      <c r="R15" s="17">
        <v>7525</v>
      </c>
      <c r="S15" s="15">
        <v>9460</v>
      </c>
      <c r="V15" s="5">
        <v>13</v>
      </c>
      <c r="W15" s="16">
        <v>181384</v>
      </c>
      <c r="X15" s="16">
        <v>0</v>
      </c>
      <c r="Y15" s="17">
        <v>2795</v>
      </c>
      <c r="Z15" s="17">
        <v>4730</v>
      </c>
      <c r="AA15" s="17">
        <v>7525</v>
      </c>
      <c r="AB15" s="15">
        <v>9460</v>
      </c>
    </row>
    <row r="16" spans="1:28" x14ac:dyDescent="0.35">
      <c r="D16" s="5">
        <v>14</v>
      </c>
      <c r="E16" s="16">
        <v>182596</v>
      </c>
      <c r="F16" s="16">
        <v>0</v>
      </c>
      <c r="G16" s="17">
        <v>2865</v>
      </c>
      <c r="H16" s="17">
        <v>4848</v>
      </c>
      <c r="I16" s="17">
        <v>7714</v>
      </c>
      <c r="J16" s="15">
        <v>9698</v>
      </c>
      <c r="M16" s="5">
        <v>14</v>
      </c>
      <c r="N16" s="16">
        <v>183249</v>
      </c>
      <c r="O16" s="16">
        <v>0</v>
      </c>
      <c r="P16" s="17">
        <v>2865</v>
      </c>
      <c r="Q16" s="17">
        <v>4848</v>
      </c>
      <c r="R16" s="17">
        <v>7714</v>
      </c>
      <c r="S16" s="15">
        <v>9698</v>
      </c>
      <c r="V16" s="5">
        <v>14</v>
      </c>
      <c r="W16" s="16">
        <v>184517</v>
      </c>
      <c r="X16" s="16">
        <v>0</v>
      </c>
      <c r="Y16" s="17">
        <v>2865</v>
      </c>
      <c r="Z16" s="17">
        <v>4848</v>
      </c>
      <c r="AA16" s="17">
        <v>7714</v>
      </c>
      <c r="AB16" s="15">
        <v>9698</v>
      </c>
    </row>
    <row r="17" spans="4:28" x14ac:dyDescent="0.35">
      <c r="D17" s="5">
        <v>15</v>
      </c>
      <c r="E17" s="18">
        <v>185690</v>
      </c>
      <c r="F17" s="16">
        <v>0</v>
      </c>
      <c r="G17" s="17">
        <v>2937</v>
      </c>
      <c r="H17" s="17">
        <v>4972</v>
      </c>
      <c r="I17" s="17">
        <v>7908</v>
      </c>
      <c r="J17" s="15">
        <v>9942</v>
      </c>
      <c r="M17" s="5">
        <v>15</v>
      </c>
      <c r="N17" s="18">
        <v>186343</v>
      </c>
      <c r="O17" s="16">
        <v>0</v>
      </c>
      <c r="P17" s="17">
        <v>2937</v>
      </c>
      <c r="Q17" s="17">
        <v>4972</v>
      </c>
      <c r="R17" s="17">
        <v>7908</v>
      </c>
      <c r="S17" s="15">
        <v>9942</v>
      </c>
      <c r="V17" s="5">
        <v>15</v>
      </c>
      <c r="W17" s="18">
        <v>186343</v>
      </c>
      <c r="X17" s="16">
        <v>0</v>
      </c>
      <c r="Y17" s="17">
        <v>2937</v>
      </c>
      <c r="Z17" s="17">
        <v>4972</v>
      </c>
      <c r="AA17" s="17">
        <v>7908</v>
      </c>
      <c r="AB17" s="15">
        <v>9942</v>
      </c>
    </row>
    <row r="18" spans="4:28" x14ac:dyDescent="0.35">
      <c r="D18" s="5">
        <v>16</v>
      </c>
      <c r="E18" s="16">
        <v>188857</v>
      </c>
      <c r="F18" s="16">
        <v>0</v>
      </c>
      <c r="G18" s="17">
        <v>3011</v>
      </c>
      <c r="H18" s="17">
        <v>5096</v>
      </c>
      <c r="I18" s="17">
        <v>8107</v>
      </c>
      <c r="J18" s="15">
        <v>10194</v>
      </c>
      <c r="M18" s="5">
        <v>16</v>
      </c>
      <c r="N18" s="16">
        <v>189510</v>
      </c>
      <c r="O18" s="16">
        <v>0</v>
      </c>
      <c r="P18" s="17">
        <v>3011</v>
      </c>
      <c r="Q18" s="17">
        <v>5096</v>
      </c>
      <c r="R18" s="17">
        <v>8107</v>
      </c>
      <c r="S18" s="15">
        <v>10194</v>
      </c>
      <c r="V18" s="5">
        <v>16</v>
      </c>
      <c r="W18" s="16">
        <v>189510</v>
      </c>
      <c r="X18" s="16">
        <v>0</v>
      </c>
      <c r="Y18" s="17">
        <v>3011</v>
      </c>
      <c r="Z18" s="17">
        <v>5096</v>
      </c>
      <c r="AA18" s="17">
        <v>8107</v>
      </c>
      <c r="AB18" s="15">
        <v>10194</v>
      </c>
    </row>
    <row r="19" spans="4:28" x14ac:dyDescent="0.35">
      <c r="D19" s="5">
        <v>17</v>
      </c>
      <c r="E19" s="16">
        <v>191488</v>
      </c>
      <c r="F19" s="16">
        <v>0</v>
      </c>
      <c r="G19" s="17">
        <v>3102</v>
      </c>
      <c r="H19" s="17">
        <v>5250</v>
      </c>
      <c r="I19" s="17">
        <v>8353</v>
      </c>
      <c r="J19" s="15">
        <v>10500</v>
      </c>
      <c r="M19" s="5">
        <v>17</v>
      </c>
      <c r="N19" s="16">
        <v>192141</v>
      </c>
      <c r="O19" s="16">
        <v>0</v>
      </c>
      <c r="P19" s="17">
        <v>3102</v>
      </c>
      <c r="Q19" s="17">
        <v>5250</v>
      </c>
      <c r="R19" s="17">
        <v>8353</v>
      </c>
      <c r="S19" s="15">
        <v>10500</v>
      </c>
      <c r="V19" s="5">
        <v>17</v>
      </c>
      <c r="W19" s="16">
        <v>192141</v>
      </c>
      <c r="X19" s="16">
        <v>0</v>
      </c>
      <c r="Y19" s="17">
        <v>3102</v>
      </c>
      <c r="Z19" s="17">
        <v>5250</v>
      </c>
      <c r="AA19" s="17">
        <v>8353</v>
      </c>
      <c r="AB19" s="15">
        <v>10500</v>
      </c>
    </row>
    <row r="20" spans="4:28" x14ac:dyDescent="0.35">
      <c r="D20" s="5">
        <v>18</v>
      </c>
      <c r="E20" s="16">
        <v>194997</v>
      </c>
      <c r="F20" s="16">
        <v>0</v>
      </c>
      <c r="G20" s="17">
        <v>3181</v>
      </c>
      <c r="H20" s="17">
        <v>5383</v>
      </c>
      <c r="I20" s="17">
        <v>8565</v>
      </c>
      <c r="J20" s="15">
        <v>10767</v>
      </c>
      <c r="M20" s="5">
        <v>18</v>
      </c>
      <c r="N20" s="16">
        <v>195650</v>
      </c>
      <c r="O20" s="16">
        <v>0</v>
      </c>
      <c r="P20" s="17">
        <v>3181</v>
      </c>
      <c r="Q20" s="17">
        <v>5383</v>
      </c>
      <c r="R20" s="17">
        <v>8565</v>
      </c>
      <c r="S20" s="15">
        <v>10767</v>
      </c>
      <c r="V20" s="5">
        <v>18</v>
      </c>
      <c r="W20" s="16">
        <v>195650</v>
      </c>
      <c r="X20" s="16">
        <v>0</v>
      </c>
      <c r="Y20" s="17">
        <v>3181</v>
      </c>
      <c r="Z20" s="17">
        <v>5383</v>
      </c>
      <c r="AA20" s="17">
        <v>8565</v>
      </c>
      <c r="AB20" s="15">
        <v>10767</v>
      </c>
    </row>
    <row r="21" spans="4:28" x14ac:dyDescent="0.35">
      <c r="D21" s="5">
        <v>19</v>
      </c>
      <c r="E21" s="16">
        <v>197624</v>
      </c>
      <c r="F21" s="16">
        <v>0</v>
      </c>
      <c r="G21" s="17">
        <v>3262</v>
      </c>
      <c r="H21" s="17">
        <v>5521</v>
      </c>
      <c r="I21" s="17">
        <v>8783</v>
      </c>
      <c r="J21" s="15">
        <v>11042</v>
      </c>
      <c r="M21" s="5">
        <v>19</v>
      </c>
      <c r="N21" s="16">
        <v>198277</v>
      </c>
      <c r="O21" s="16">
        <v>0</v>
      </c>
      <c r="P21" s="17">
        <v>3262</v>
      </c>
      <c r="Q21" s="17">
        <v>5521</v>
      </c>
      <c r="R21" s="17">
        <v>8783</v>
      </c>
      <c r="S21" s="15">
        <v>11042</v>
      </c>
      <c r="V21" s="5">
        <v>19</v>
      </c>
      <c r="W21" s="16">
        <v>198277</v>
      </c>
      <c r="X21" s="16">
        <v>0</v>
      </c>
      <c r="Y21" s="17">
        <v>3262</v>
      </c>
      <c r="Z21" s="17">
        <v>5521</v>
      </c>
      <c r="AA21" s="17">
        <v>8783</v>
      </c>
      <c r="AB21" s="15">
        <v>11042</v>
      </c>
    </row>
    <row r="22" spans="4:28" x14ac:dyDescent="0.35">
      <c r="D22" s="5">
        <v>20</v>
      </c>
      <c r="E22" s="18">
        <v>199969</v>
      </c>
      <c r="F22" s="16">
        <v>0</v>
      </c>
      <c r="G22" s="17">
        <v>3345</v>
      </c>
      <c r="H22" s="17">
        <v>5661</v>
      </c>
      <c r="I22" s="17">
        <v>9007</v>
      </c>
      <c r="J22" s="15">
        <v>11322</v>
      </c>
      <c r="M22" s="5">
        <v>20</v>
      </c>
      <c r="N22" s="18">
        <v>200622</v>
      </c>
      <c r="O22" s="16">
        <v>0</v>
      </c>
      <c r="P22" s="17">
        <v>3345</v>
      </c>
      <c r="Q22" s="17">
        <v>5661</v>
      </c>
      <c r="R22" s="17">
        <v>9007</v>
      </c>
      <c r="S22" s="15">
        <v>11322</v>
      </c>
      <c r="V22" s="5">
        <v>20</v>
      </c>
      <c r="W22" s="18">
        <v>200622</v>
      </c>
      <c r="X22" s="16">
        <v>0</v>
      </c>
      <c r="Y22" s="17">
        <v>3345</v>
      </c>
      <c r="Z22" s="17">
        <v>5661</v>
      </c>
      <c r="AA22" s="17">
        <v>9007</v>
      </c>
      <c r="AB22" s="15">
        <v>11322</v>
      </c>
    </row>
    <row r="23" spans="4:28" x14ac:dyDescent="0.35">
      <c r="D23" s="5">
        <v>21</v>
      </c>
      <c r="E23" s="16">
        <v>203286</v>
      </c>
      <c r="F23" s="16">
        <v>0</v>
      </c>
      <c r="G23" s="17">
        <v>3431</v>
      </c>
      <c r="H23" s="17">
        <v>5806</v>
      </c>
      <c r="I23" s="17">
        <v>9237</v>
      </c>
      <c r="J23" s="15">
        <v>11612</v>
      </c>
      <c r="M23" s="5">
        <v>21</v>
      </c>
      <c r="N23" s="16">
        <v>203939</v>
      </c>
      <c r="O23" s="16">
        <v>0</v>
      </c>
      <c r="P23" s="17">
        <v>3431</v>
      </c>
      <c r="Q23" s="17">
        <v>5806</v>
      </c>
      <c r="R23" s="17">
        <v>9237</v>
      </c>
      <c r="S23" s="15">
        <v>11612</v>
      </c>
      <c r="V23" s="5">
        <v>21</v>
      </c>
      <c r="W23" s="16">
        <v>203939</v>
      </c>
      <c r="X23" s="16">
        <v>0</v>
      </c>
      <c r="Y23" s="17">
        <v>3431</v>
      </c>
      <c r="Z23" s="17">
        <v>5806</v>
      </c>
      <c r="AA23" s="17">
        <v>9237</v>
      </c>
      <c r="AB23" s="15">
        <v>11612</v>
      </c>
    </row>
    <row r="24" spans="4:28" x14ac:dyDescent="0.35">
      <c r="D24" s="5">
        <v>22</v>
      </c>
      <c r="E24" s="16">
        <v>206362</v>
      </c>
      <c r="F24" s="16">
        <v>0</v>
      </c>
      <c r="G24" s="17">
        <v>3431</v>
      </c>
      <c r="H24" s="17">
        <v>5806</v>
      </c>
      <c r="I24" s="17">
        <v>9237</v>
      </c>
      <c r="J24" s="15">
        <v>11612</v>
      </c>
      <c r="M24" s="5">
        <v>22</v>
      </c>
      <c r="N24" s="16">
        <v>206362</v>
      </c>
      <c r="O24" s="16">
        <v>0</v>
      </c>
      <c r="P24" s="17">
        <v>3431</v>
      </c>
      <c r="Q24" s="17">
        <v>5806</v>
      </c>
      <c r="R24" s="17">
        <v>9237</v>
      </c>
      <c r="S24" s="15">
        <v>11612</v>
      </c>
      <c r="V24" s="5">
        <v>22</v>
      </c>
      <c r="W24" s="16">
        <v>206362</v>
      </c>
      <c r="X24" s="16">
        <v>0</v>
      </c>
      <c r="Y24" s="17">
        <v>3431</v>
      </c>
      <c r="Z24" s="17">
        <v>5806</v>
      </c>
      <c r="AA24" s="17">
        <v>9237</v>
      </c>
      <c r="AB24" s="15">
        <v>11612</v>
      </c>
    </row>
    <row r="25" spans="4:28" x14ac:dyDescent="0.35">
      <c r="D25" s="5">
        <v>23</v>
      </c>
      <c r="E25" s="16">
        <v>209653</v>
      </c>
      <c r="F25" s="16">
        <v>0</v>
      </c>
      <c r="G25" s="17">
        <v>3338</v>
      </c>
      <c r="H25" s="17">
        <v>5647</v>
      </c>
      <c r="I25" s="17">
        <v>8984</v>
      </c>
      <c r="J25" s="15">
        <v>11294</v>
      </c>
      <c r="M25" s="5">
        <v>23</v>
      </c>
      <c r="N25" s="16">
        <v>209653</v>
      </c>
      <c r="O25" s="16">
        <v>0</v>
      </c>
      <c r="P25" s="17">
        <v>3338</v>
      </c>
      <c r="Q25" s="17">
        <v>5647</v>
      </c>
      <c r="R25" s="17">
        <v>8984</v>
      </c>
      <c r="S25" s="15">
        <v>11294</v>
      </c>
      <c r="V25" s="5">
        <v>23</v>
      </c>
      <c r="W25" s="16">
        <v>209653</v>
      </c>
      <c r="X25" s="16">
        <v>0</v>
      </c>
      <c r="Y25" s="17">
        <v>3338</v>
      </c>
      <c r="Z25" s="17">
        <v>5647</v>
      </c>
      <c r="AA25" s="17">
        <v>8984</v>
      </c>
      <c r="AB25" s="15">
        <v>11294</v>
      </c>
    </row>
    <row r="26" spans="4:28" x14ac:dyDescent="0.35">
      <c r="D26" s="5">
        <v>24</v>
      </c>
      <c r="E26" s="16">
        <v>213049</v>
      </c>
      <c r="F26" s="16">
        <v>0</v>
      </c>
      <c r="G26" s="17">
        <v>3242</v>
      </c>
      <c r="H26" s="17">
        <v>5487</v>
      </c>
      <c r="I26" s="17">
        <v>8729</v>
      </c>
      <c r="J26" s="15">
        <v>10973</v>
      </c>
      <c r="M26" s="5">
        <v>24</v>
      </c>
      <c r="N26" s="16">
        <v>213049</v>
      </c>
      <c r="O26" s="16">
        <v>0</v>
      </c>
      <c r="P26" s="17">
        <v>3242</v>
      </c>
      <c r="Q26" s="17">
        <v>5487</v>
      </c>
      <c r="R26" s="17">
        <v>8729</v>
      </c>
      <c r="S26" s="15">
        <v>10973</v>
      </c>
      <c r="V26" s="5">
        <v>24</v>
      </c>
      <c r="W26" s="16">
        <v>213049</v>
      </c>
      <c r="X26" s="16">
        <v>0</v>
      </c>
      <c r="Y26" s="17">
        <v>3242</v>
      </c>
      <c r="Z26" s="17">
        <v>5487</v>
      </c>
      <c r="AA26" s="17">
        <v>8729</v>
      </c>
      <c r="AB26" s="15">
        <v>10973</v>
      </c>
    </row>
    <row r="27" spans="4:28" x14ac:dyDescent="0.35">
      <c r="D27" s="5">
        <v>25</v>
      </c>
      <c r="E27" s="18">
        <v>216516</v>
      </c>
      <c r="F27" s="16">
        <v>0</v>
      </c>
      <c r="G27" s="17">
        <v>3141</v>
      </c>
      <c r="H27" s="17">
        <v>5315</v>
      </c>
      <c r="I27" s="17">
        <v>8457</v>
      </c>
      <c r="J27" s="15">
        <v>10631</v>
      </c>
      <c r="M27" s="5">
        <v>25</v>
      </c>
      <c r="N27" s="18">
        <v>216516</v>
      </c>
      <c r="O27" s="16">
        <v>0</v>
      </c>
      <c r="P27" s="17">
        <v>3141</v>
      </c>
      <c r="Q27" s="17">
        <v>5315</v>
      </c>
      <c r="R27" s="17">
        <v>8457</v>
      </c>
      <c r="S27" s="15">
        <v>10631</v>
      </c>
      <c r="V27" s="5">
        <v>25</v>
      </c>
      <c r="W27" s="18">
        <v>216516</v>
      </c>
      <c r="X27" s="16">
        <v>0</v>
      </c>
      <c r="Y27" s="17">
        <v>3141</v>
      </c>
      <c r="Z27" s="17">
        <v>5315</v>
      </c>
      <c r="AA27" s="17">
        <v>8457</v>
      </c>
      <c r="AB27" s="15">
        <v>10631</v>
      </c>
    </row>
    <row r="28" spans="4:28" x14ac:dyDescent="0.35">
      <c r="D28" s="5">
        <v>26</v>
      </c>
      <c r="E28" s="16">
        <v>220063</v>
      </c>
      <c r="F28" s="16">
        <v>0</v>
      </c>
      <c r="G28" s="17">
        <v>3034</v>
      </c>
      <c r="H28" s="17">
        <v>5133</v>
      </c>
      <c r="I28" s="17">
        <v>8165</v>
      </c>
      <c r="J28" s="15">
        <v>10265</v>
      </c>
      <c r="M28" s="5">
        <v>26</v>
      </c>
      <c r="N28" s="16">
        <v>220063</v>
      </c>
      <c r="O28" s="16">
        <v>0</v>
      </c>
      <c r="P28" s="17">
        <v>3034</v>
      </c>
      <c r="Q28" s="17">
        <v>5133</v>
      </c>
      <c r="R28" s="17">
        <v>8165</v>
      </c>
      <c r="S28" s="15">
        <v>10265</v>
      </c>
      <c r="V28" s="5">
        <v>26</v>
      </c>
      <c r="W28" s="16">
        <v>220063</v>
      </c>
      <c r="X28" s="16">
        <v>0</v>
      </c>
      <c r="Y28" s="17">
        <v>3034</v>
      </c>
      <c r="Z28" s="17">
        <v>5133</v>
      </c>
      <c r="AA28" s="17">
        <v>8165</v>
      </c>
      <c r="AB28" s="15">
        <v>10265</v>
      </c>
    </row>
    <row r="29" spans="4:28" x14ac:dyDescent="0.35">
      <c r="D29" s="5">
        <v>27</v>
      </c>
      <c r="E29" s="16">
        <v>223691</v>
      </c>
      <c r="F29" s="16">
        <v>0</v>
      </c>
      <c r="G29" s="17">
        <v>2917</v>
      </c>
      <c r="H29" s="17">
        <v>4935</v>
      </c>
      <c r="I29" s="17">
        <v>7852</v>
      </c>
      <c r="J29" s="15">
        <v>9871</v>
      </c>
      <c r="M29" s="5">
        <v>27</v>
      </c>
      <c r="N29" s="16">
        <v>223691</v>
      </c>
      <c r="O29" s="16">
        <v>0</v>
      </c>
      <c r="P29" s="17">
        <v>2917</v>
      </c>
      <c r="Q29" s="17">
        <v>4935</v>
      </c>
      <c r="R29" s="17">
        <v>7852</v>
      </c>
      <c r="S29" s="15">
        <v>9871</v>
      </c>
      <c r="V29" s="5">
        <v>27</v>
      </c>
      <c r="W29" s="16">
        <v>223691</v>
      </c>
      <c r="X29" s="16">
        <v>0</v>
      </c>
      <c r="Y29" s="17">
        <v>2917</v>
      </c>
      <c r="Z29" s="17">
        <v>4935</v>
      </c>
      <c r="AA29" s="17">
        <v>7852</v>
      </c>
      <c r="AB29" s="15">
        <v>9871</v>
      </c>
    </row>
    <row r="30" spans="4:28" x14ac:dyDescent="0.35">
      <c r="D30" s="5">
        <v>28</v>
      </c>
      <c r="E30" s="16">
        <v>227399</v>
      </c>
      <c r="F30" s="16">
        <v>0</v>
      </c>
      <c r="G30" s="17">
        <v>2793</v>
      </c>
      <c r="H30" s="17">
        <v>4726</v>
      </c>
      <c r="I30" s="17">
        <v>7519</v>
      </c>
      <c r="J30" s="15">
        <v>9451</v>
      </c>
      <c r="M30" s="5">
        <v>28</v>
      </c>
      <c r="N30" s="16">
        <v>227399</v>
      </c>
      <c r="O30" s="16">
        <v>0</v>
      </c>
      <c r="P30" s="17">
        <v>2793</v>
      </c>
      <c r="Q30" s="17">
        <v>4726</v>
      </c>
      <c r="R30" s="17">
        <v>7519</v>
      </c>
      <c r="S30" s="15">
        <v>9451</v>
      </c>
      <c r="V30" s="5">
        <v>28</v>
      </c>
      <c r="W30" s="16">
        <v>227399</v>
      </c>
      <c r="X30" s="16">
        <v>0</v>
      </c>
      <c r="Y30" s="17">
        <v>2793</v>
      </c>
      <c r="Z30" s="17">
        <v>4726</v>
      </c>
      <c r="AA30" s="17">
        <v>7519</v>
      </c>
      <c r="AB30" s="15">
        <v>9451</v>
      </c>
    </row>
    <row r="31" spans="4:28" x14ac:dyDescent="0.35">
      <c r="D31" s="5">
        <v>29</v>
      </c>
      <c r="E31" s="16">
        <v>231191</v>
      </c>
      <c r="F31" s="16">
        <v>0</v>
      </c>
      <c r="G31" s="17">
        <v>2661</v>
      </c>
      <c r="H31" s="17">
        <v>4502</v>
      </c>
      <c r="I31" s="17">
        <v>7162</v>
      </c>
      <c r="J31" s="15">
        <v>9004</v>
      </c>
      <c r="M31" s="5">
        <v>29</v>
      </c>
      <c r="N31" s="16">
        <v>231191</v>
      </c>
      <c r="O31" s="16">
        <v>0</v>
      </c>
      <c r="P31" s="17">
        <v>2661</v>
      </c>
      <c r="Q31" s="17">
        <v>4502</v>
      </c>
      <c r="R31" s="17">
        <v>7162</v>
      </c>
      <c r="S31" s="15">
        <v>9004</v>
      </c>
      <c r="V31" s="5">
        <v>29</v>
      </c>
      <c r="W31" s="16">
        <v>231191</v>
      </c>
      <c r="X31" s="16">
        <v>0</v>
      </c>
      <c r="Y31" s="17">
        <v>2661</v>
      </c>
      <c r="Z31" s="17">
        <v>4502</v>
      </c>
      <c r="AA31" s="17">
        <v>7162</v>
      </c>
      <c r="AB31" s="15">
        <v>9004</v>
      </c>
    </row>
    <row r="32" spans="4:28" x14ac:dyDescent="0.35">
      <c r="D32" s="5">
        <v>30</v>
      </c>
      <c r="E32" s="18">
        <v>235065</v>
      </c>
      <c r="F32" s="16">
        <v>0</v>
      </c>
      <c r="G32" s="17">
        <v>2519</v>
      </c>
      <c r="H32" s="17">
        <v>4264</v>
      </c>
      <c r="I32" s="17">
        <v>6782</v>
      </c>
      <c r="J32" s="15">
        <v>8526</v>
      </c>
      <c r="M32" s="5">
        <v>30</v>
      </c>
      <c r="N32" s="18">
        <v>235065</v>
      </c>
      <c r="O32" s="16">
        <v>0</v>
      </c>
      <c r="P32" s="17">
        <v>2519</v>
      </c>
      <c r="Q32" s="17">
        <v>4264</v>
      </c>
      <c r="R32" s="17">
        <v>6782</v>
      </c>
      <c r="S32" s="15">
        <v>8526</v>
      </c>
      <c r="V32" s="5">
        <v>30</v>
      </c>
      <c r="W32" s="18">
        <v>235065</v>
      </c>
      <c r="X32" s="16">
        <v>0</v>
      </c>
      <c r="Y32" s="17">
        <v>2519</v>
      </c>
      <c r="Z32" s="17">
        <v>4264</v>
      </c>
      <c r="AA32" s="17">
        <v>6782</v>
      </c>
      <c r="AB32" s="15">
        <v>8526</v>
      </c>
    </row>
    <row r="33" spans="4:28" x14ac:dyDescent="0.35">
      <c r="D33" s="5">
        <v>31</v>
      </c>
      <c r="E33" s="16">
        <v>239027</v>
      </c>
      <c r="F33" s="16">
        <v>0</v>
      </c>
      <c r="G33" s="17">
        <v>2370</v>
      </c>
      <c r="H33" s="17">
        <v>4010</v>
      </c>
      <c r="I33" s="17">
        <v>6380</v>
      </c>
      <c r="J33" s="15">
        <v>8020</v>
      </c>
      <c r="M33" s="5">
        <v>31</v>
      </c>
      <c r="N33" s="16">
        <v>239027</v>
      </c>
      <c r="O33" s="16">
        <v>0</v>
      </c>
      <c r="P33" s="17">
        <v>2370</v>
      </c>
      <c r="Q33" s="17">
        <v>4010</v>
      </c>
      <c r="R33" s="17">
        <v>6380</v>
      </c>
      <c r="S33" s="15">
        <v>8020</v>
      </c>
      <c r="V33" s="5">
        <v>31</v>
      </c>
      <c r="W33" s="16">
        <v>239027</v>
      </c>
      <c r="X33" s="16">
        <v>0</v>
      </c>
      <c r="Y33" s="17">
        <v>2370</v>
      </c>
      <c r="Z33" s="17">
        <v>4010</v>
      </c>
      <c r="AA33" s="17">
        <v>6380</v>
      </c>
      <c r="AB33" s="15">
        <v>8020</v>
      </c>
    </row>
    <row r="34" spans="4:28" x14ac:dyDescent="0.35">
      <c r="D34" s="5">
        <v>32</v>
      </c>
      <c r="E34" s="16">
        <v>243077</v>
      </c>
      <c r="F34" s="16">
        <v>0</v>
      </c>
      <c r="G34" s="17">
        <v>2210</v>
      </c>
      <c r="H34" s="17">
        <v>3739</v>
      </c>
      <c r="I34" s="17">
        <v>5950</v>
      </c>
      <c r="J34" s="15">
        <v>7480</v>
      </c>
      <c r="M34" s="5">
        <v>32</v>
      </c>
      <c r="N34" s="16">
        <v>243077</v>
      </c>
      <c r="O34" s="16">
        <v>0</v>
      </c>
      <c r="P34" s="17">
        <v>2210</v>
      </c>
      <c r="Q34" s="17">
        <v>3739</v>
      </c>
      <c r="R34" s="17">
        <v>5950</v>
      </c>
      <c r="S34" s="15">
        <v>7480</v>
      </c>
      <c r="V34" s="5">
        <v>32</v>
      </c>
      <c r="W34" s="16">
        <v>243077</v>
      </c>
      <c r="X34" s="16">
        <v>0</v>
      </c>
      <c r="Y34" s="17">
        <v>2210</v>
      </c>
      <c r="Z34" s="17">
        <v>3739</v>
      </c>
      <c r="AA34" s="17">
        <v>5950</v>
      </c>
      <c r="AB34" s="15">
        <v>7480</v>
      </c>
    </row>
    <row r="35" spans="4:28" x14ac:dyDescent="0.35">
      <c r="D35" s="5">
        <v>33</v>
      </c>
      <c r="E35" s="16">
        <v>247215</v>
      </c>
      <c r="F35" s="16">
        <v>0</v>
      </c>
      <c r="G35" s="17">
        <v>2041</v>
      </c>
      <c r="H35" s="17">
        <v>3454</v>
      </c>
      <c r="I35" s="17">
        <v>5495</v>
      </c>
      <c r="J35" s="15">
        <v>6907</v>
      </c>
      <c r="M35" s="5">
        <v>33</v>
      </c>
      <c r="N35" s="16">
        <v>247215</v>
      </c>
      <c r="O35" s="16">
        <v>0</v>
      </c>
      <c r="P35" s="17">
        <v>2041</v>
      </c>
      <c r="Q35" s="17">
        <v>3454</v>
      </c>
      <c r="R35" s="17">
        <v>5495</v>
      </c>
      <c r="S35" s="15">
        <v>6907</v>
      </c>
      <c r="V35" s="5">
        <v>33</v>
      </c>
      <c r="W35" s="16">
        <v>247215</v>
      </c>
      <c r="X35" s="16">
        <v>0</v>
      </c>
      <c r="Y35" s="17">
        <v>2041</v>
      </c>
      <c r="Z35" s="17">
        <v>3454</v>
      </c>
      <c r="AA35" s="17">
        <v>5495</v>
      </c>
      <c r="AB35" s="15">
        <v>6907</v>
      </c>
    </row>
    <row r="36" spans="4:28" x14ac:dyDescent="0.35">
      <c r="D36" s="5">
        <v>34</v>
      </c>
      <c r="E36" s="16">
        <v>251449</v>
      </c>
      <c r="F36" s="16">
        <v>0</v>
      </c>
      <c r="G36" s="17">
        <v>1862</v>
      </c>
      <c r="H36" s="17">
        <v>3150</v>
      </c>
      <c r="I36" s="17">
        <v>5012</v>
      </c>
      <c r="J36" s="15">
        <v>6301</v>
      </c>
      <c r="M36" s="5">
        <v>34</v>
      </c>
      <c r="N36" s="16">
        <v>251449</v>
      </c>
      <c r="O36" s="16">
        <v>0</v>
      </c>
      <c r="P36" s="17">
        <v>1862</v>
      </c>
      <c r="Q36" s="17">
        <v>3150</v>
      </c>
      <c r="R36" s="17">
        <v>5012</v>
      </c>
      <c r="S36" s="15">
        <v>6301</v>
      </c>
      <c r="V36" s="5">
        <v>34</v>
      </c>
      <c r="W36" s="16">
        <v>251449</v>
      </c>
      <c r="X36" s="16">
        <v>0</v>
      </c>
      <c r="Y36" s="17">
        <v>1862</v>
      </c>
      <c r="Z36" s="17">
        <v>3150</v>
      </c>
      <c r="AA36" s="17">
        <v>5012</v>
      </c>
      <c r="AB36" s="15">
        <v>6301</v>
      </c>
    </row>
    <row r="37" spans="4:28" x14ac:dyDescent="0.35">
      <c r="D37" s="5">
        <v>35</v>
      </c>
      <c r="E37" s="18">
        <v>255772</v>
      </c>
      <c r="F37" s="16">
        <v>0</v>
      </c>
      <c r="G37" s="17">
        <v>1672</v>
      </c>
      <c r="H37" s="17">
        <v>2829</v>
      </c>
      <c r="I37" s="17">
        <v>4500</v>
      </c>
      <c r="J37" s="15">
        <v>5658</v>
      </c>
      <c r="M37" s="5">
        <v>35</v>
      </c>
      <c r="N37" s="18">
        <v>255772</v>
      </c>
      <c r="O37" s="16">
        <v>0</v>
      </c>
      <c r="P37" s="17">
        <v>1672</v>
      </c>
      <c r="Q37" s="17">
        <v>2829</v>
      </c>
      <c r="R37" s="17">
        <v>4500</v>
      </c>
      <c r="S37" s="15">
        <v>5658</v>
      </c>
      <c r="V37" s="5">
        <v>35</v>
      </c>
      <c r="W37" s="18">
        <v>255772</v>
      </c>
      <c r="X37" s="16">
        <v>0</v>
      </c>
      <c r="Y37" s="17">
        <v>1672</v>
      </c>
      <c r="Z37" s="17">
        <v>2829</v>
      </c>
      <c r="AA37" s="17">
        <v>4500</v>
      </c>
      <c r="AB37" s="15">
        <v>5658</v>
      </c>
    </row>
    <row r="38" spans="4:28" x14ac:dyDescent="0.35">
      <c r="D38" s="5">
        <v>36</v>
      </c>
      <c r="E38" s="16">
        <v>260194</v>
      </c>
      <c r="F38" s="16">
        <v>0</v>
      </c>
      <c r="G38" s="17">
        <v>1471</v>
      </c>
      <c r="H38" s="17">
        <v>2488</v>
      </c>
      <c r="I38" s="17">
        <v>3958</v>
      </c>
      <c r="J38" s="15">
        <v>4976</v>
      </c>
      <c r="M38" s="5">
        <v>36</v>
      </c>
      <c r="N38" s="16">
        <v>260194</v>
      </c>
      <c r="O38" s="16">
        <v>0</v>
      </c>
      <c r="P38" s="17">
        <v>1471</v>
      </c>
      <c r="Q38" s="17">
        <v>2488</v>
      </c>
      <c r="R38" s="17">
        <v>3958</v>
      </c>
      <c r="S38" s="15">
        <v>4976</v>
      </c>
      <c r="V38" s="5">
        <v>36</v>
      </c>
      <c r="W38" s="16">
        <v>260194</v>
      </c>
      <c r="X38" s="16">
        <v>0</v>
      </c>
      <c r="Y38" s="17">
        <v>1471</v>
      </c>
      <c r="Z38" s="17">
        <v>2488</v>
      </c>
      <c r="AA38" s="17">
        <v>3958</v>
      </c>
      <c r="AB38" s="15">
        <v>4976</v>
      </c>
    </row>
    <row r="39" spans="4:28" x14ac:dyDescent="0.35">
      <c r="D39" s="5">
        <v>37</v>
      </c>
      <c r="E39" s="16">
        <v>264712</v>
      </c>
      <c r="F39" s="16">
        <v>0</v>
      </c>
      <c r="G39" s="17">
        <v>1257</v>
      </c>
      <c r="H39" s="17">
        <v>2128</v>
      </c>
      <c r="I39" s="17">
        <v>3385</v>
      </c>
      <c r="J39" s="15">
        <v>4255</v>
      </c>
      <c r="M39" s="5">
        <v>37</v>
      </c>
      <c r="N39" s="16">
        <v>264712</v>
      </c>
      <c r="O39" s="16">
        <v>0</v>
      </c>
      <c r="P39" s="17">
        <v>1257</v>
      </c>
      <c r="Q39" s="17">
        <v>2128</v>
      </c>
      <c r="R39" s="17">
        <v>3385</v>
      </c>
      <c r="S39" s="15">
        <v>4255</v>
      </c>
      <c r="V39" s="5">
        <v>37</v>
      </c>
      <c r="W39" s="16">
        <v>264712</v>
      </c>
      <c r="X39" s="16">
        <v>0</v>
      </c>
      <c r="Y39" s="17">
        <v>1257</v>
      </c>
      <c r="Z39" s="17">
        <v>2128</v>
      </c>
      <c r="AA39" s="17">
        <v>3385</v>
      </c>
      <c r="AB39" s="15">
        <v>4255</v>
      </c>
    </row>
    <row r="40" spans="4:28" x14ac:dyDescent="0.35">
      <c r="D40" s="5">
        <v>38</v>
      </c>
      <c r="E40" s="16">
        <v>269508</v>
      </c>
      <c r="F40" s="16">
        <v>0</v>
      </c>
      <c r="G40" s="17">
        <v>1052</v>
      </c>
      <c r="H40" s="17">
        <v>1781</v>
      </c>
      <c r="I40" s="17">
        <v>2833</v>
      </c>
      <c r="J40" s="15">
        <v>3563</v>
      </c>
      <c r="M40" s="5">
        <v>38</v>
      </c>
      <c r="N40" s="16">
        <v>269508</v>
      </c>
      <c r="O40" s="16">
        <v>0</v>
      </c>
      <c r="P40" s="17">
        <v>1052</v>
      </c>
      <c r="Q40" s="17">
        <v>1781</v>
      </c>
      <c r="R40" s="17">
        <v>2833</v>
      </c>
      <c r="S40" s="15">
        <v>3563</v>
      </c>
      <c r="V40" s="5">
        <v>38</v>
      </c>
      <c r="W40" s="16">
        <v>269508</v>
      </c>
      <c r="X40" s="16">
        <v>0</v>
      </c>
      <c r="Y40" s="17">
        <v>1052</v>
      </c>
      <c r="Z40" s="17">
        <v>1781</v>
      </c>
      <c r="AA40" s="17">
        <v>2833</v>
      </c>
      <c r="AB40" s="15">
        <v>3563</v>
      </c>
    </row>
    <row r="41" spans="4:28" x14ac:dyDescent="0.35">
      <c r="D41" s="5">
        <v>39</v>
      </c>
      <c r="E41" s="16">
        <v>274323</v>
      </c>
      <c r="F41" s="16">
        <v>0</v>
      </c>
      <c r="G41" s="17">
        <v>810</v>
      </c>
      <c r="H41" s="17">
        <v>1371</v>
      </c>
      <c r="I41" s="17">
        <v>2181</v>
      </c>
      <c r="J41" s="15">
        <v>2743</v>
      </c>
      <c r="M41" s="5">
        <v>39</v>
      </c>
      <c r="N41" s="16">
        <v>274323</v>
      </c>
      <c r="O41" s="16">
        <v>0</v>
      </c>
      <c r="P41" s="17">
        <v>810</v>
      </c>
      <c r="Q41" s="17">
        <v>1371</v>
      </c>
      <c r="R41" s="17">
        <v>2181</v>
      </c>
      <c r="S41" s="15">
        <v>2743</v>
      </c>
      <c r="V41" s="5">
        <v>39</v>
      </c>
      <c r="W41" s="16">
        <v>274323</v>
      </c>
      <c r="X41" s="16">
        <v>0</v>
      </c>
      <c r="Y41" s="17">
        <v>810</v>
      </c>
      <c r="Z41" s="17">
        <v>1371</v>
      </c>
      <c r="AA41" s="17">
        <v>2181</v>
      </c>
      <c r="AB41" s="15">
        <v>2743</v>
      </c>
    </row>
    <row r="42" spans="4:28" x14ac:dyDescent="0.35">
      <c r="D42" s="5">
        <v>40</v>
      </c>
      <c r="E42" s="18">
        <v>279247</v>
      </c>
      <c r="F42" s="16">
        <v>0</v>
      </c>
      <c r="G42" s="17">
        <v>554</v>
      </c>
      <c r="H42" s="17">
        <v>938</v>
      </c>
      <c r="I42" s="17">
        <v>1493</v>
      </c>
      <c r="J42" s="15">
        <v>1877</v>
      </c>
      <c r="M42" s="5">
        <v>40</v>
      </c>
      <c r="N42" s="18">
        <v>279247</v>
      </c>
      <c r="O42" s="16">
        <v>0</v>
      </c>
      <c r="P42" s="17">
        <v>554</v>
      </c>
      <c r="Q42" s="17">
        <v>938</v>
      </c>
      <c r="R42" s="17">
        <v>1493</v>
      </c>
      <c r="S42" s="15">
        <v>1877</v>
      </c>
      <c r="V42" s="5">
        <v>40</v>
      </c>
      <c r="W42" s="18">
        <v>279247</v>
      </c>
      <c r="X42" s="16">
        <v>0</v>
      </c>
      <c r="Y42" s="17">
        <v>554</v>
      </c>
      <c r="Z42" s="17">
        <v>938</v>
      </c>
      <c r="AA42" s="17">
        <v>1493</v>
      </c>
      <c r="AB42" s="15">
        <v>1877</v>
      </c>
    </row>
    <row r="43" spans="4:28" x14ac:dyDescent="0.35">
      <c r="D43" s="5">
        <v>41</v>
      </c>
      <c r="E43" s="16">
        <v>284278</v>
      </c>
      <c r="F43" s="16">
        <v>0</v>
      </c>
      <c r="G43" s="17">
        <v>284</v>
      </c>
      <c r="H43" s="17">
        <v>482</v>
      </c>
      <c r="I43" s="17">
        <v>765</v>
      </c>
      <c r="J43" s="15">
        <v>963</v>
      </c>
      <c r="M43" s="5">
        <v>41</v>
      </c>
      <c r="N43" s="16">
        <v>284278</v>
      </c>
      <c r="O43" s="16">
        <v>0</v>
      </c>
      <c r="P43" s="17">
        <v>284</v>
      </c>
      <c r="Q43" s="17">
        <v>482</v>
      </c>
      <c r="R43" s="17">
        <v>765</v>
      </c>
      <c r="S43" s="15">
        <v>963</v>
      </c>
      <c r="T43" s="35"/>
      <c r="U43" s="35"/>
      <c r="V43" s="5">
        <v>41</v>
      </c>
      <c r="W43" s="16">
        <v>284278</v>
      </c>
      <c r="X43" s="16">
        <v>0</v>
      </c>
      <c r="Y43" s="17">
        <v>284</v>
      </c>
      <c r="Z43" s="17">
        <v>482</v>
      </c>
      <c r="AA43" s="17">
        <v>765</v>
      </c>
      <c r="AB43" s="15">
        <v>963</v>
      </c>
    </row>
    <row r="44" spans="4:28" x14ac:dyDescent="0.35">
      <c r="D44" s="5">
        <v>42</v>
      </c>
      <c r="E44" s="16">
        <v>289418</v>
      </c>
      <c r="F44" s="16">
        <v>0</v>
      </c>
      <c r="G44" s="17">
        <v>0</v>
      </c>
      <c r="H44" s="17">
        <v>0</v>
      </c>
      <c r="I44" s="17">
        <v>0</v>
      </c>
      <c r="J44" s="15">
        <v>0</v>
      </c>
      <c r="M44" s="5">
        <v>42</v>
      </c>
      <c r="N44" s="16">
        <v>289418</v>
      </c>
      <c r="O44" s="16">
        <v>0</v>
      </c>
      <c r="P44" s="17">
        <v>0</v>
      </c>
      <c r="Q44" s="17">
        <v>0</v>
      </c>
      <c r="R44" s="17">
        <v>0</v>
      </c>
      <c r="S44" s="15">
        <v>0</v>
      </c>
      <c r="V44" s="5">
        <v>42</v>
      </c>
      <c r="W44" s="16">
        <v>289418</v>
      </c>
      <c r="X44" s="16">
        <v>0</v>
      </c>
      <c r="Y44" s="17">
        <v>0</v>
      </c>
      <c r="Z44" s="17">
        <v>0</v>
      </c>
      <c r="AA44" s="17">
        <v>0</v>
      </c>
      <c r="AB44" s="15">
        <v>0</v>
      </c>
    </row>
    <row r="45" spans="4:28" x14ac:dyDescent="0.35">
      <c r="D45" s="5">
        <v>43</v>
      </c>
      <c r="E45" s="16">
        <v>295850</v>
      </c>
      <c r="F45" s="16">
        <v>0</v>
      </c>
      <c r="G45" s="17">
        <v>0</v>
      </c>
      <c r="H45" s="17">
        <v>0</v>
      </c>
      <c r="I45" s="17">
        <v>0</v>
      </c>
      <c r="J45" s="15">
        <v>0</v>
      </c>
      <c r="M45" s="5">
        <v>43</v>
      </c>
      <c r="N45" s="16">
        <v>295850</v>
      </c>
      <c r="O45" s="16">
        <v>0</v>
      </c>
      <c r="P45" s="17">
        <v>0</v>
      </c>
      <c r="Q45" s="17">
        <v>0</v>
      </c>
      <c r="R45" s="17">
        <v>0</v>
      </c>
      <c r="S45" s="15">
        <v>0</v>
      </c>
      <c r="V45" s="5">
        <v>43</v>
      </c>
      <c r="W45" s="16">
        <v>295850</v>
      </c>
      <c r="X45" s="16">
        <v>0</v>
      </c>
      <c r="Y45" s="17">
        <v>0</v>
      </c>
      <c r="Z45" s="17">
        <v>0</v>
      </c>
      <c r="AA45" s="17">
        <v>0</v>
      </c>
      <c r="AB45" s="15">
        <v>0</v>
      </c>
    </row>
    <row r="46" spans="4:28" x14ac:dyDescent="0.35">
      <c r="D46" s="5">
        <v>44</v>
      </c>
      <c r="E46" s="16">
        <v>302460</v>
      </c>
      <c r="F46" s="16">
        <v>0</v>
      </c>
      <c r="G46" s="17">
        <v>0</v>
      </c>
      <c r="H46" s="17">
        <v>0</v>
      </c>
      <c r="I46" s="17">
        <v>0</v>
      </c>
      <c r="J46" s="15">
        <v>0</v>
      </c>
      <c r="M46" s="5">
        <v>44</v>
      </c>
      <c r="N46" s="16">
        <v>302460</v>
      </c>
      <c r="O46" s="16">
        <v>0</v>
      </c>
      <c r="P46" s="17">
        <v>0</v>
      </c>
      <c r="Q46" s="17">
        <v>0</v>
      </c>
      <c r="R46" s="17">
        <v>0</v>
      </c>
      <c r="S46" s="15">
        <v>0</v>
      </c>
      <c r="V46" s="5">
        <v>44</v>
      </c>
      <c r="W46" s="16">
        <v>302460</v>
      </c>
      <c r="X46" s="16">
        <v>0</v>
      </c>
      <c r="Y46" s="17">
        <v>0</v>
      </c>
      <c r="Z46" s="17">
        <v>0</v>
      </c>
      <c r="AA46" s="17">
        <v>0</v>
      </c>
      <c r="AB46" s="15">
        <v>0</v>
      </c>
    </row>
    <row r="47" spans="4:28" x14ac:dyDescent="0.35">
      <c r="D47" s="5">
        <v>45</v>
      </c>
      <c r="E47" s="18">
        <v>309251</v>
      </c>
      <c r="F47" s="16">
        <v>0</v>
      </c>
      <c r="G47" s="17">
        <v>0</v>
      </c>
      <c r="H47" s="17">
        <v>0</v>
      </c>
      <c r="I47" s="17">
        <v>0</v>
      </c>
      <c r="J47" s="15">
        <v>0</v>
      </c>
      <c r="M47" s="5">
        <v>45</v>
      </c>
      <c r="N47" s="18">
        <v>309251</v>
      </c>
      <c r="O47" s="16">
        <v>0</v>
      </c>
      <c r="P47" s="17">
        <v>0</v>
      </c>
      <c r="Q47" s="17">
        <v>0</v>
      </c>
      <c r="R47" s="17">
        <v>0</v>
      </c>
      <c r="S47" s="15">
        <v>0</v>
      </c>
      <c r="V47" s="5">
        <v>45</v>
      </c>
      <c r="W47" s="18">
        <v>309251</v>
      </c>
      <c r="X47" s="16">
        <v>0</v>
      </c>
      <c r="Y47" s="17">
        <v>0</v>
      </c>
      <c r="Z47" s="17">
        <v>0</v>
      </c>
      <c r="AA47" s="17">
        <v>0</v>
      </c>
      <c r="AB47" s="15">
        <v>0</v>
      </c>
    </row>
    <row r="48" spans="4:28" x14ac:dyDescent="0.35">
      <c r="D48" s="5">
        <v>46</v>
      </c>
      <c r="E48" s="16">
        <v>316229</v>
      </c>
      <c r="F48" s="16">
        <v>0</v>
      </c>
      <c r="G48" s="17">
        <v>0</v>
      </c>
      <c r="H48" s="17">
        <v>0</v>
      </c>
      <c r="I48" s="17">
        <v>0</v>
      </c>
      <c r="J48" s="15">
        <v>0</v>
      </c>
      <c r="M48" s="5">
        <v>46</v>
      </c>
      <c r="N48" s="16">
        <v>316229</v>
      </c>
      <c r="O48" s="16">
        <v>0</v>
      </c>
      <c r="P48" s="17">
        <v>0</v>
      </c>
      <c r="Q48" s="17">
        <v>0</v>
      </c>
      <c r="R48" s="17">
        <v>0</v>
      </c>
      <c r="S48" s="15">
        <v>0</v>
      </c>
      <c r="V48" s="5">
        <v>46</v>
      </c>
      <c r="W48" s="16">
        <v>316229</v>
      </c>
      <c r="X48" s="16">
        <v>0</v>
      </c>
      <c r="Y48" s="17">
        <v>0</v>
      </c>
      <c r="Z48" s="17">
        <v>0</v>
      </c>
      <c r="AA48" s="17">
        <v>0</v>
      </c>
      <c r="AB48" s="15">
        <v>0</v>
      </c>
    </row>
    <row r="49" spans="4:28" x14ac:dyDescent="0.35">
      <c r="D49" s="5">
        <v>47</v>
      </c>
      <c r="E49" s="16">
        <v>321858</v>
      </c>
      <c r="F49" s="16">
        <v>0</v>
      </c>
      <c r="G49" s="17">
        <v>0</v>
      </c>
      <c r="H49" s="17">
        <v>0</v>
      </c>
      <c r="I49" s="17">
        <v>0</v>
      </c>
      <c r="J49" s="15">
        <v>0</v>
      </c>
      <c r="M49" s="5">
        <v>47</v>
      </c>
      <c r="N49" s="16">
        <v>321858</v>
      </c>
      <c r="O49" s="16">
        <v>0</v>
      </c>
      <c r="P49" s="17">
        <v>0</v>
      </c>
      <c r="Q49" s="17">
        <v>0</v>
      </c>
      <c r="R49" s="17">
        <v>0</v>
      </c>
      <c r="S49" s="15">
        <v>0</v>
      </c>
      <c r="V49" s="5">
        <v>47</v>
      </c>
      <c r="W49" s="16">
        <v>321858</v>
      </c>
      <c r="X49" s="16">
        <v>0</v>
      </c>
      <c r="Y49" s="17">
        <v>0</v>
      </c>
      <c r="Z49" s="17">
        <v>0</v>
      </c>
      <c r="AA49" s="17">
        <v>0</v>
      </c>
      <c r="AB49" s="15">
        <v>0</v>
      </c>
    </row>
    <row r="50" spans="4:28" x14ac:dyDescent="0.35">
      <c r="D50" s="5">
        <v>48</v>
      </c>
      <c r="E50" s="16">
        <v>336653</v>
      </c>
      <c r="F50" s="16">
        <v>0</v>
      </c>
      <c r="G50" s="17">
        <v>0</v>
      </c>
      <c r="H50" s="17">
        <v>0</v>
      </c>
      <c r="I50" s="17">
        <v>0</v>
      </c>
      <c r="J50" s="15">
        <v>0</v>
      </c>
      <c r="M50" s="5">
        <v>48</v>
      </c>
      <c r="N50" s="16">
        <v>336653</v>
      </c>
      <c r="O50" s="16">
        <v>0</v>
      </c>
      <c r="P50" s="17">
        <v>0</v>
      </c>
      <c r="Q50" s="17">
        <v>0</v>
      </c>
      <c r="R50" s="17">
        <v>0</v>
      </c>
      <c r="S50" s="15">
        <v>0</v>
      </c>
      <c r="V50" s="5">
        <v>48</v>
      </c>
      <c r="W50" s="16">
        <v>336653</v>
      </c>
      <c r="X50" s="16">
        <v>0</v>
      </c>
      <c r="Y50" s="17">
        <v>0</v>
      </c>
      <c r="Z50" s="17">
        <v>0</v>
      </c>
      <c r="AA50" s="17">
        <v>0</v>
      </c>
      <c r="AB50" s="15">
        <v>0</v>
      </c>
    </row>
    <row r="51" spans="4:28" x14ac:dyDescent="0.35">
      <c r="D51" s="5">
        <v>49</v>
      </c>
      <c r="E51" s="16">
        <v>359246</v>
      </c>
      <c r="F51" s="16">
        <v>0</v>
      </c>
      <c r="G51" s="17">
        <v>0</v>
      </c>
      <c r="H51" s="17">
        <v>0</v>
      </c>
      <c r="I51" s="17">
        <v>0</v>
      </c>
      <c r="J51" s="15">
        <v>0</v>
      </c>
      <c r="M51" s="5">
        <v>49</v>
      </c>
      <c r="N51" s="16">
        <v>359246</v>
      </c>
      <c r="O51" s="16">
        <v>0</v>
      </c>
      <c r="P51" s="17">
        <v>0</v>
      </c>
      <c r="Q51" s="17">
        <v>0</v>
      </c>
      <c r="R51" s="17">
        <v>0</v>
      </c>
      <c r="S51" s="15">
        <v>0</v>
      </c>
      <c r="V51" s="5">
        <v>49</v>
      </c>
      <c r="W51" s="16">
        <v>359246</v>
      </c>
      <c r="X51" s="16">
        <v>0</v>
      </c>
      <c r="Y51" s="17">
        <v>0</v>
      </c>
      <c r="Z51" s="17">
        <v>0</v>
      </c>
      <c r="AA51" s="17">
        <v>0</v>
      </c>
      <c r="AB51" s="15">
        <v>0</v>
      </c>
    </row>
    <row r="52" spans="4:28" x14ac:dyDescent="0.35">
      <c r="D52" s="5">
        <v>50</v>
      </c>
      <c r="E52" s="18">
        <v>384324</v>
      </c>
      <c r="F52" s="16">
        <v>0</v>
      </c>
      <c r="G52" s="17">
        <v>0</v>
      </c>
      <c r="H52" s="17">
        <v>0</v>
      </c>
      <c r="I52" s="17">
        <v>0</v>
      </c>
      <c r="J52" s="15">
        <v>0</v>
      </c>
      <c r="M52" s="5">
        <v>50</v>
      </c>
      <c r="N52" s="18">
        <v>384324</v>
      </c>
      <c r="O52" s="16">
        <v>0</v>
      </c>
      <c r="P52" s="17">
        <v>0</v>
      </c>
      <c r="Q52" s="17">
        <v>0</v>
      </c>
      <c r="R52" s="17">
        <v>0</v>
      </c>
      <c r="S52" s="15">
        <v>0</v>
      </c>
      <c r="V52" s="5">
        <v>50</v>
      </c>
      <c r="W52" s="18">
        <v>384324</v>
      </c>
      <c r="X52" s="16">
        <v>0</v>
      </c>
      <c r="Y52" s="17">
        <v>0</v>
      </c>
      <c r="Z52" s="17">
        <v>0</v>
      </c>
      <c r="AA52" s="17">
        <v>0</v>
      </c>
      <c r="AB52" s="15">
        <v>0</v>
      </c>
    </row>
    <row r="53" spans="4:28" x14ac:dyDescent="0.35">
      <c r="D53" s="5">
        <v>51</v>
      </c>
      <c r="E53" s="16">
        <v>424514</v>
      </c>
      <c r="F53" s="16">
        <v>0</v>
      </c>
      <c r="G53" s="17">
        <v>0</v>
      </c>
      <c r="H53" s="17">
        <v>0</v>
      </c>
      <c r="I53" s="17">
        <v>0</v>
      </c>
      <c r="J53" s="15">
        <v>0</v>
      </c>
      <c r="M53" s="5">
        <v>51</v>
      </c>
      <c r="N53" s="16">
        <v>424514</v>
      </c>
      <c r="O53" s="16">
        <v>0</v>
      </c>
      <c r="P53" s="17">
        <v>0</v>
      </c>
      <c r="Q53" s="17">
        <v>0</v>
      </c>
      <c r="R53" s="17">
        <v>0</v>
      </c>
      <c r="S53" s="15">
        <v>0</v>
      </c>
      <c r="V53" s="5">
        <v>51</v>
      </c>
      <c r="W53" s="16">
        <v>424514</v>
      </c>
      <c r="X53" s="16">
        <v>0</v>
      </c>
      <c r="Y53" s="17">
        <v>0</v>
      </c>
      <c r="Z53" s="17">
        <v>0</v>
      </c>
      <c r="AA53" s="17">
        <v>0</v>
      </c>
      <c r="AB53" s="15">
        <v>0</v>
      </c>
    </row>
    <row r="54" spans="4:28" x14ac:dyDescent="0.35">
      <c r="D54" s="5">
        <v>52</v>
      </c>
      <c r="E54" s="16">
        <v>483044</v>
      </c>
      <c r="F54" s="16">
        <v>0</v>
      </c>
      <c r="G54" s="17">
        <v>0</v>
      </c>
      <c r="H54" s="17">
        <v>0</v>
      </c>
      <c r="I54" s="17">
        <v>0</v>
      </c>
      <c r="J54" s="15">
        <v>0</v>
      </c>
      <c r="M54" s="5">
        <v>52</v>
      </c>
      <c r="N54" s="16">
        <v>483044</v>
      </c>
      <c r="O54" s="16">
        <v>0</v>
      </c>
      <c r="P54" s="17">
        <v>0</v>
      </c>
      <c r="Q54" s="17">
        <v>0</v>
      </c>
      <c r="R54" s="17">
        <v>0</v>
      </c>
      <c r="S54" s="15">
        <v>0</v>
      </c>
      <c r="V54" s="5">
        <v>52</v>
      </c>
      <c r="W54" s="16">
        <v>483044</v>
      </c>
      <c r="X54" s="16">
        <v>0</v>
      </c>
      <c r="Y54" s="17">
        <v>0</v>
      </c>
      <c r="Z54" s="17">
        <v>0</v>
      </c>
      <c r="AA54" s="17">
        <v>0</v>
      </c>
      <c r="AB54" s="15">
        <v>0</v>
      </c>
    </row>
    <row r="55" spans="4:28" x14ac:dyDescent="0.35">
      <c r="D55" s="5">
        <v>53</v>
      </c>
      <c r="E55" s="16">
        <v>530364</v>
      </c>
      <c r="F55" s="16">
        <v>0</v>
      </c>
      <c r="G55" s="17">
        <v>0</v>
      </c>
      <c r="H55" s="17">
        <v>0</v>
      </c>
      <c r="I55" s="17">
        <v>0</v>
      </c>
      <c r="J55" s="15">
        <v>0</v>
      </c>
      <c r="M55" s="5">
        <v>53</v>
      </c>
      <c r="N55" s="16">
        <v>530364</v>
      </c>
      <c r="O55" s="16">
        <v>0</v>
      </c>
      <c r="P55" s="17">
        <v>0</v>
      </c>
      <c r="Q55" s="17">
        <v>0</v>
      </c>
      <c r="R55" s="17">
        <v>0</v>
      </c>
      <c r="S55" s="15">
        <v>0</v>
      </c>
      <c r="V55" s="5">
        <v>53</v>
      </c>
      <c r="W55" s="16">
        <v>530364</v>
      </c>
      <c r="X55" s="16">
        <v>0</v>
      </c>
      <c r="Y55" s="17">
        <v>0</v>
      </c>
      <c r="Z55" s="17">
        <v>0</v>
      </c>
      <c r="AA55" s="17">
        <v>0</v>
      </c>
      <c r="AB55" s="15">
        <v>0</v>
      </c>
    </row>
    <row r="56" spans="4:28" x14ac:dyDescent="0.35">
      <c r="D56" s="5">
        <v>54</v>
      </c>
      <c r="E56" s="16">
        <v>593449</v>
      </c>
      <c r="F56" s="16">
        <v>0</v>
      </c>
      <c r="G56" s="17">
        <v>0</v>
      </c>
      <c r="H56" s="17">
        <v>0</v>
      </c>
      <c r="I56" s="17">
        <v>0</v>
      </c>
      <c r="J56" s="15">
        <v>0</v>
      </c>
      <c r="M56" s="5">
        <v>54</v>
      </c>
      <c r="N56" s="16">
        <v>593449</v>
      </c>
      <c r="O56" s="16">
        <v>0</v>
      </c>
      <c r="P56" s="17">
        <v>0</v>
      </c>
      <c r="Q56" s="17">
        <v>0</v>
      </c>
      <c r="R56" s="17">
        <v>0</v>
      </c>
      <c r="S56" s="15">
        <v>0</v>
      </c>
      <c r="V56" s="5">
        <v>54</v>
      </c>
      <c r="W56" s="16">
        <v>593449</v>
      </c>
      <c r="X56" s="16">
        <v>0</v>
      </c>
      <c r="Y56" s="17">
        <v>0</v>
      </c>
      <c r="Z56" s="17">
        <v>0</v>
      </c>
      <c r="AA56" s="17">
        <v>0</v>
      </c>
      <c r="AB56" s="15">
        <v>0</v>
      </c>
    </row>
    <row r="57" spans="4:28" x14ac:dyDescent="0.35">
      <c r="D57" s="5">
        <v>55</v>
      </c>
      <c r="E57" s="16">
        <v>669278</v>
      </c>
      <c r="F57" s="16">
        <v>0</v>
      </c>
      <c r="G57" s="17">
        <v>0</v>
      </c>
      <c r="H57" s="17">
        <v>0</v>
      </c>
      <c r="I57" s="17">
        <v>0</v>
      </c>
      <c r="J57" s="15">
        <v>0</v>
      </c>
      <c r="M57" s="5">
        <v>55</v>
      </c>
      <c r="N57" s="16">
        <v>669278</v>
      </c>
      <c r="O57" s="16">
        <v>0</v>
      </c>
      <c r="P57" s="17">
        <v>0</v>
      </c>
      <c r="Q57" s="17">
        <v>0</v>
      </c>
      <c r="R57" s="17">
        <v>0</v>
      </c>
      <c r="S57" s="15">
        <v>0</v>
      </c>
      <c r="V57" s="5">
        <v>55</v>
      </c>
      <c r="W57" s="16">
        <v>669278</v>
      </c>
      <c r="X57" s="16">
        <v>0</v>
      </c>
      <c r="Y57" s="17">
        <v>0</v>
      </c>
      <c r="Z57" s="17">
        <v>0</v>
      </c>
      <c r="AA57" s="17">
        <v>0</v>
      </c>
      <c r="AB57" s="15">
        <v>0</v>
      </c>
    </row>
    <row r="58" spans="4:28" ht="15" thickBot="1" x14ac:dyDescent="0.4">
      <c r="D58" s="5">
        <v>56</v>
      </c>
      <c r="E58" s="19">
        <v>754309</v>
      </c>
      <c r="F58" s="19">
        <v>0</v>
      </c>
      <c r="G58" s="20">
        <v>0</v>
      </c>
      <c r="H58" s="20">
        <v>0</v>
      </c>
      <c r="I58" s="20">
        <v>0</v>
      </c>
      <c r="J58" s="21">
        <v>0</v>
      </c>
      <c r="M58" s="5">
        <v>56</v>
      </c>
      <c r="N58" s="19">
        <v>754309</v>
      </c>
      <c r="O58" s="19">
        <v>0</v>
      </c>
      <c r="P58" s="20">
        <v>0</v>
      </c>
      <c r="Q58" s="20">
        <v>0</v>
      </c>
      <c r="R58" s="20">
        <v>0</v>
      </c>
      <c r="S58" s="21">
        <v>0</v>
      </c>
      <c r="V58" s="5">
        <v>56</v>
      </c>
      <c r="W58" s="19">
        <v>754309</v>
      </c>
      <c r="X58" s="19">
        <v>0</v>
      </c>
      <c r="Y58" s="20">
        <v>0</v>
      </c>
      <c r="Z58" s="20">
        <v>0</v>
      </c>
      <c r="AA58" s="20">
        <v>0</v>
      </c>
      <c r="AB58" s="21">
        <v>0</v>
      </c>
    </row>
    <row r="59" spans="4:28" x14ac:dyDescent="0.35">
      <c r="D59" s="56" t="s">
        <v>178</v>
      </c>
      <c r="E59" s="57">
        <f>3896*52</f>
        <v>202592</v>
      </c>
      <c r="F59" s="57"/>
      <c r="G59" s="57"/>
      <c r="H59" s="57"/>
      <c r="I59" s="57"/>
      <c r="J59" s="57"/>
      <c r="M59" s="56" t="s">
        <v>178</v>
      </c>
      <c r="N59" s="57">
        <f>3896*52</f>
        <v>202592</v>
      </c>
      <c r="O59" s="57"/>
      <c r="P59" s="57"/>
      <c r="Q59" s="57"/>
      <c r="R59" s="57"/>
      <c r="S59" s="57"/>
      <c r="V59" s="56" t="s">
        <v>178</v>
      </c>
      <c r="W59" s="57">
        <f>3896*52</f>
        <v>202592</v>
      </c>
    </row>
    <row r="60" spans="4:28" x14ac:dyDescent="0.35">
      <c r="D60" t="s">
        <v>186</v>
      </c>
      <c r="E60" s="44">
        <f>3797*52</f>
        <v>197444</v>
      </c>
      <c r="G60" s="44">
        <f>3861*52-E60</f>
        <v>3328</v>
      </c>
      <c r="H60" s="44">
        <f>3913*52-E60</f>
        <v>6032</v>
      </c>
      <c r="I60" s="44">
        <f>3994*52-E60</f>
        <v>10244</v>
      </c>
      <c r="J60" s="44">
        <f>4048*52-E60</f>
        <v>13052</v>
      </c>
      <c r="M60" t="s">
        <v>186</v>
      </c>
      <c r="N60" s="44">
        <f>3797*52</f>
        <v>197444</v>
      </c>
      <c r="P60" s="44">
        <f>3861*52-N60</f>
        <v>3328</v>
      </c>
      <c r="Q60" s="44">
        <f>3913*52-N60</f>
        <v>6032</v>
      </c>
      <c r="R60" s="44">
        <f>3994*52-N60</f>
        <v>10244</v>
      </c>
      <c r="S60" s="44">
        <f>4048*52-N60</f>
        <v>13052</v>
      </c>
      <c r="V60" t="s">
        <v>186</v>
      </c>
      <c r="W60" s="44">
        <f>3797*52</f>
        <v>197444</v>
      </c>
      <c r="Y60" s="44">
        <f>3861*52-W60</f>
        <v>3328</v>
      </c>
      <c r="Z60" s="44">
        <f>3913*52-W60</f>
        <v>6032</v>
      </c>
      <c r="AA60" s="44">
        <f>3994*52-W60</f>
        <v>10244</v>
      </c>
      <c r="AB60" s="44">
        <f>4048*52-W60</f>
        <v>13052</v>
      </c>
    </row>
    <row r="61" spans="4:28" x14ac:dyDescent="0.35">
      <c r="D61" t="s">
        <v>187</v>
      </c>
      <c r="E61" s="44">
        <f>3797*52</f>
        <v>197444</v>
      </c>
      <c r="G61" s="44">
        <f>3861*52-E61</f>
        <v>3328</v>
      </c>
      <c r="H61" s="44">
        <f>3913*52-E61</f>
        <v>6032</v>
      </c>
      <c r="I61" s="44">
        <f>3994*52-E61</f>
        <v>10244</v>
      </c>
      <c r="J61" s="44">
        <f>4048*52-E61</f>
        <v>13052</v>
      </c>
      <c r="M61" t="s">
        <v>187</v>
      </c>
      <c r="N61" s="44">
        <f>3797*52</f>
        <v>197444</v>
      </c>
      <c r="P61" s="44">
        <f>3861*52-N61</f>
        <v>3328</v>
      </c>
      <c r="Q61" s="44">
        <f>3913*52-N61</f>
        <v>6032</v>
      </c>
      <c r="R61" s="44">
        <f>3994*52-N61</f>
        <v>10244</v>
      </c>
      <c r="S61" s="44">
        <f>4048*52-N61</f>
        <v>13052</v>
      </c>
      <c r="V61" t="s">
        <v>187</v>
      </c>
      <c r="W61" s="44">
        <f>3797*52</f>
        <v>197444</v>
      </c>
      <c r="Y61" s="44">
        <f>3861*52-W61</f>
        <v>3328</v>
      </c>
      <c r="Z61" s="44">
        <f>3913*52-W61</f>
        <v>6032</v>
      </c>
      <c r="AA61" s="44">
        <f>3994*52-W61</f>
        <v>10244</v>
      </c>
      <c r="AB61" s="44">
        <f>4048*52-W61</f>
        <v>13052</v>
      </c>
    </row>
    <row r="62" spans="4:28" x14ac:dyDescent="0.35">
      <c r="D62" s="56" t="s">
        <v>115</v>
      </c>
      <c r="E62" s="58">
        <v>207749</v>
      </c>
      <c r="F62" s="58">
        <v>0</v>
      </c>
      <c r="G62" s="58">
        <v>2969</v>
      </c>
      <c r="H62" s="58">
        <v>5025</v>
      </c>
      <c r="I62" s="58">
        <v>7995</v>
      </c>
      <c r="J62" s="58">
        <v>10051</v>
      </c>
      <c r="M62" s="56" t="s">
        <v>115</v>
      </c>
      <c r="N62" s="58">
        <v>209827</v>
      </c>
      <c r="O62" s="58">
        <v>0</v>
      </c>
      <c r="P62" s="58">
        <v>2969</v>
      </c>
      <c r="Q62" s="58">
        <v>5025</v>
      </c>
      <c r="R62" s="58">
        <v>7995</v>
      </c>
      <c r="S62" s="58">
        <v>10051</v>
      </c>
      <c r="V62" s="56" t="s">
        <v>115</v>
      </c>
      <c r="W62" s="58">
        <v>209827</v>
      </c>
      <c r="X62" s="58">
        <v>0</v>
      </c>
      <c r="Y62" s="58">
        <v>2969</v>
      </c>
      <c r="Z62" s="58">
        <v>5025</v>
      </c>
      <c r="AA62" s="58">
        <v>7995</v>
      </c>
      <c r="AB62" s="58">
        <v>10051</v>
      </c>
    </row>
  </sheetData>
  <mergeCells count="5">
    <mergeCell ref="V1:AB1"/>
    <mergeCell ref="D1:J1"/>
    <mergeCell ref="M1:S1"/>
    <mergeCell ref="A1:B1"/>
    <mergeCell ref="A2: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9826613C97F2CC4CA9DCFE8764D27B49" ma:contentTypeVersion="7" ma:contentTypeDescription="GetOrganized dokument" ma:contentTypeScope="" ma:versionID="293808fcac5292fdacff053c3a96cf57">
  <xsd:schema xmlns:xsd="http://www.w3.org/2001/XMLSchema" xmlns:xs="http://www.w3.org/2001/XMLSchema" xmlns:p="http://schemas.microsoft.com/office/2006/metadata/properties" xmlns:ns1="http://schemas.microsoft.com/sharepoint/v3" xmlns:ns2="df305437-05a1-4b70-90cc-dd2d63fbc6d7" targetNamespace="http://schemas.microsoft.com/office/2006/metadata/properties" ma:root="true" ma:fieldsID="eb48421ff1b841d5bd2be482ee39e439" ns1:_="" ns2:_="">
    <xsd:import namespace="http://schemas.microsoft.com/sharepoint/v3"/>
    <xsd:import namespace="df305437-05a1-4b70-90cc-dd2d63fbc6d7"/>
    <xsd:element name="properties">
      <xsd:complexType>
        <xsd:sequence>
          <xsd:element name="documentManagement">
            <xsd:complexType>
              <xsd:all>
                <xsd:element ref="ns2:Dokumenttype" minOccurs="0"/>
                <xsd:element ref="ns2:DocumentDescription" minOccurs="0"/>
                <xsd:element ref="ns2:CCMAgendaDocumentStatus" minOccurs="0"/>
                <xsd:element ref="ns2:CCMAgendaStatus" minOccurs="0"/>
                <xsd:element ref="ns2:CCMMeetingCaseLink" minOccurs="0"/>
                <xsd:element ref="ns2:AgendaStatusIc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2:CCMMeetingCaseId" minOccurs="0"/>
                <xsd:element ref="ns2:CCMMeetingCaseInstanceId" minOccurs="0"/>
                <xsd:element ref="ns2:CCMAgendaItemId" minOccurs="0"/>
                <xsd:element ref="ns1:CCMTemplateID" minOccurs="0"/>
                <xsd:element ref="ns1:CCMVisualId" minOccurs="0"/>
                <xsd:element ref="ns1:CCMConversation" minOccurs="0"/>
                <xsd:element ref="ns1:CCMCognitiveType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OnlineStatus" minOccurs="0"/>
                <xsd:element ref="ns1:CCMDocumentReadIndicator" minOccurs="0"/>
                <xsd:element ref="ns2:Classification" minOccurs="0"/>
                <xsd:element ref="ns2:Recipient" minOccurs="0"/>
                <xsd:element ref="ns2:Sender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14" nillable="true" ma:displayName="Sags ID" ma:default="Tildeler" ma:internalName="CaseID" ma:readOnly="true">
      <xsd:simpleType>
        <xsd:restriction base="dms:Text"/>
      </xsd:simpleType>
    </xsd:element>
    <xsd:element name="DocID" ma:index="15" nillable="true" ma:displayName="Dok ID" ma:default="Tildeler" ma:internalName="DocID" ma:readOnly="true">
      <xsd:simpleType>
        <xsd:restriction base="dms:Text"/>
      </xsd:simpleType>
    </xsd:element>
    <xsd:element name="Finalized" ma:index="16" nillable="true" ma:displayName="Endeligt" ma:default="False" ma:internalName="Finalized" ma:readOnly="true">
      <xsd:simpleType>
        <xsd:restriction base="dms:Boolean"/>
      </xsd:simpleType>
    </xsd:element>
    <xsd:element name="Related" ma:index="1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0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1" nillable="true" ma:displayName="Skabelon navn" ma:internalName="CCMTemplateName" ma:readOnly="true">
      <xsd:simpleType>
        <xsd:restriction base="dms:Text"/>
      </xsd:simpleType>
    </xsd:element>
    <xsd:element name="CCMTemplateVersion" ma:index="22" nillable="true" ma:displayName="Skabelon version" ma:internalName="CCMTemplateVersion" ma:readOnly="true">
      <xsd:simpleType>
        <xsd:restriction base="dms:Text"/>
      </xsd:simpleType>
    </xsd:element>
    <xsd:element name="CCMSystemID" ma:index="23" nillable="true" ma:displayName="CCMSystemID" ma:hidden="true" ma:internalName="CCMSystemID" ma:readOnly="true">
      <xsd:simpleType>
        <xsd:restriction base="dms:Text"/>
      </xsd:simpleType>
    </xsd:element>
    <xsd:element name="WasEncrypted" ma:index="24" nillable="true" ma:displayName="Krypteret" ma:default="False" ma:internalName="WasEncrypted" ma:readOnly="true">
      <xsd:simpleType>
        <xsd:restriction base="dms:Boolean"/>
      </xsd:simpleType>
    </xsd:element>
    <xsd:element name="WasSigned" ma:index="25" nillable="true" ma:displayName="Signeret" ma:default="False" ma:internalName="WasSigned" ma:readOnly="true">
      <xsd:simpleType>
        <xsd:restriction base="dms:Boolean"/>
      </xsd:simpleType>
    </xsd:element>
    <xsd:element name="MailHasAttachments" ma:index="26" nillable="true" ma:displayName="E-mail har vedhæftede filer" ma:default="False" ma:internalName="MailHasAttachments" ma:readOnly="true">
      <xsd:simpleType>
        <xsd:restriction base="dms:Boolean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VisualId" ma:index="32" nillable="true" ma:displayName="Sags ID" ma:default="Tildeler" ma:internalName="CCMVisualId" ma:readOnly="true">
      <xsd:simpleType>
        <xsd:restriction base="dms:Text"/>
      </xsd:simpleType>
    </xsd:element>
    <xsd:element name="CCMConversation" ma:index="33" nillable="true" ma:displayName="Samtale" ma:description="" ma:internalName="CCMConversation" ma:readOnly="true">
      <xsd:simpleType>
        <xsd:restriction base="dms:Text"/>
      </xsd:simpleType>
    </xsd:element>
    <xsd:element name="CCMCognitiveType" ma:index="35" nillable="true" ma:displayName="CognitiveType" ma:decimals="0" ma:internalName="CCMCognitiveType" ma:readOnly="false">
      <xsd:simpleType>
        <xsd:restriction base="dms:Number"/>
      </xsd:simpleType>
    </xsd:element>
    <xsd:element name="CCMMetadataExtractionStatus" ma:index="36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7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8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39" nillable="true" ma:displayName="Opgaver" ma:decimals="0" ma:description="" ma:internalName="CCMPreviewAnnotationsTasks" ma:readOnly="true">
      <xsd:simpleType>
        <xsd:restriction base="dms:Number"/>
      </xsd:simpleType>
    </xsd:element>
    <xsd:element name="CCMOnlineStatus" ma:index="40" nillable="true" ma:displayName="Online status" ma:description="" ma:format="Dropdown" ma:internalName="CCMOnlineStatus" ma:readOnly="true">
      <xsd:simpleType>
        <xsd:restriction base="dms:Choice">
          <xsd:enumeration value="OneDrive"/>
          <xsd:enumeration value="SharePointOnline"/>
          <xsd:enumeration value="Teams"/>
          <xsd:enumeration value="SharePointOnlineSync"/>
        </xsd:restriction>
      </xsd:simpleType>
    </xsd:element>
    <xsd:element name="CCMDocumentReadIndicator" ma:index="41" nillable="true" ma:displayName="Indikator for læst dokument" ma:internalName="CCMDocumentReadIndica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05437-05a1-4b70-90cc-dd2d63fbc6d7" elementFormDefault="qualified">
    <xsd:import namespace="http://schemas.microsoft.com/office/2006/documentManagement/types"/>
    <xsd:import namespace="http://schemas.microsoft.com/office/infopath/2007/PartnerControls"/>
    <xsd:element name="Dokumenttype" ma:index="2" nillable="true" ma:displayName="Dokumenttype" ma:default="Notat" ma:format="Dropdown" ma:internalName="Dokumenttype">
      <xsd:simpleType>
        <xsd:restriction base="dms:Choice">
          <xsd:enumeration value="Administrativ information"/>
          <xsd:enumeration value="Almindeligt brev"/>
          <xsd:enumeration value="Andet dokument"/>
          <xsd:enumeration value="Borgmesterbrev"/>
          <xsd:enumeration value="Budgetvejledning"/>
          <xsd:enumeration value="Centralt modtaget post"/>
          <xsd:enumeration value="Dagsorden"/>
          <xsd:enumeration value="Fremstilling"/>
          <xsd:enumeration value="Høringssvar"/>
          <xsd:enumeration value="Kontrakt"/>
          <xsd:enumeration value="Notat"/>
          <xsd:enumeration value="Nyhedsbrev"/>
          <xsd:enumeration value="Presseberedskab"/>
          <xsd:enumeration value="Pressemeddelelse"/>
          <xsd:enumeration value="Referat"/>
          <xsd:enumeration value="Tale"/>
          <xsd:enumeration value="Temadrøftelse"/>
        </xsd:restriction>
      </xsd:simpleType>
    </xsd:element>
    <xsd:element name="DocumentDescription" ma:index="3" nillable="true" ma:displayName="Beskrivelse" ma:internalName="DocumentDescription">
      <xsd:simpleType>
        <xsd:restriction base="dms:Note">
          <xsd:maxLength value="255"/>
        </xsd:restriction>
      </xsd:simpleType>
    </xsd:element>
    <xsd:element name="CCMAgendaDocumentStatus" ma:index="4" nillable="true" ma:displayName="Status  for manchet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5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6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7" nillable="true" ma:displayName="." ma:internalName="AgendaStatusIcon">
      <xsd:simpleType>
        <xsd:restriction base="dms:Unknown"/>
      </xsd:simpleType>
    </xsd:element>
    <xsd:element name="CCMMeetingCaseId" ma:index="27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28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29" nillable="true" ma:displayName="CCMAgendaItemId" ma:decimals="0" ma:hidden="true" ma:internalName="CCMAgendaItemId">
      <xsd:simpleType>
        <xsd:restriction base="dms:Number"/>
      </xsd:simpleType>
    </xsd:element>
    <xsd:element name="Classification" ma:index="42" nillable="true" ma:displayName="Klassifikation" ma:format="Dropdown" ma:internalName="Classification">
      <xsd:simpleType>
        <xsd:restriction base="dms:Choice">
          <xsd:enumeration value="Åben"/>
          <xsd:enumeration value="Lukket"/>
        </xsd:restriction>
      </xsd:simpleType>
    </xsd:element>
    <xsd:element name="Recipient" ma:index="43" nillable="true" ma:displayName="Modtager" ma:list="{8ebb04e1-84db-464c-90d8-d33dc9f76a21}" ma:internalName="Recipient" ma:showField="Emai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der" ma:index="44" nillable="true" ma:displayName="Afsender" ma:list="{8ebb04e1-84db-464c-90d8-d33dc9f76a21}" ma:internalName="Sender" ma:showField="Email">
      <xsd:simpleType>
        <xsd:restriction base="dms:Lookup"/>
      </xsd:simpleType>
    </xsd:element>
    <xsd:element name="Date" ma:index="45" nillable="true" ma:displayName="Modtaget dato" ma:format="DateTime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MeetingCaseInstanceId xmlns="df305437-05a1-4b70-90cc-dd2d63fbc6d7" xsi:nil="true"/>
    <CCMAgendaStatus xmlns="df305437-05a1-4b70-90cc-dd2d63fbc6d7" xsi:nil="true"/>
    <AgendaStatusIcon xmlns="df305437-05a1-4b70-90cc-dd2d63fbc6d7" xsi:nil="true"/>
    <CCMCognitiveType xmlns="http://schemas.microsoft.com/sharepoint/v3" xsi:nil="true"/>
    <CCMMeetingCaseId xmlns="df305437-05a1-4b70-90cc-dd2d63fbc6d7" xsi:nil="true"/>
    <CCMAgendaDocumentStatus xmlns="df305437-05a1-4b70-90cc-dd2d63fbc6d7" xsi:nil="true"/>
    <CCMMeetingCaseLink xmlns="df305437-05a1-4b70-90cc-dd2d63fbc6d7">
      <Url xsi:nil="true"/>
      <Description xsi:nil="true"/>
    </CCMMeetingCaseLink>
    <Dokumenttype xmlns="df305437-05a1-4b70-90cc-dd2d63fbc6d7">Notat</Dokumenttype>
    <DocumentDescription xmlns="df305437-05a1-4b70-90cc-dd2d63fbc6d7" xsi:nil="true"/>
    <CCMAgendaItemId xmlns="df305437-05a1-4b70-90cc-dd2d63fbc6d7" xsi:nil="true"/>
    <CCMMetadataExtractionStatus xmlns="http://schemas.microsoft.com/sharepoint/v3">CCMPageCount:NotSupported;CCMCommentCount:InProgress</CCMMetadataExtractionStatus>
    <LocalAttachment xmlns="http://schemas.microsoft.com/sharepoint/v3">false</LocalAttachment>
    <Finalized xmlns="http://schemas.microsoft.com/sharepoint/v3">false</Finalized>
    <CCMPageCount xmlns="http://schemas.microsoft.com/sharepoint/v3">0</CCMPageCount>
    <MailHasAttachments xmlns="http://schemas.microsoft.com/sharepoint/v3">false</MailHasAttachments>
    <DocID xmlns="http://schemas.microsoft.com/sharepoint/v3">3412479</DocID>
    <CCMCommentCount xmlns="http://schemas.microsoft.com/sharepoint/v3">0</CCMCommentCount>
    <CCMTemplateID xmlns="http://schemas.microsoft.com/sharepoint/v3">0</CCMTemplateID>
    <CaseRecordNumber xmlns="http://schemas.microsoft.com/sharepoint/v3">0</CaseRecordNumber>
    <CaseID xmlns="http://schemas.microsoft.com/sharepoint/v3">SAG-2013-04993</CaseID>
    <RegistrationDate xmlns="http://schemas.microsoft.com/sharepoint/v3" xsi:nil="true"/>
    <CCMPreviewAnnotationsTasks xmlns="http://schemas.microsoft.com/sharepoint/v3">0</CCMPreviewAnnotationsTasks>
    <Related xmlns="http://schemas.microsoft.com/sharepoint/v3">false</Related>
    <CCMSystemID xmlns="http://schemas.microsoft.com/sharepoint/v3">ca7dc1c5-fc98-48bd-8345-b1ffede9fa82</CCMSystemID>
    <CCMVisualId xmlns="http://schemas.microsoft.com/sharepoint/v3">SAG-2013-04993</CCMVisualId>
    <WasSigned xmlns="http://schemas.microsoft.com/sharepoint/v3">false</WasSigned>
    <WasEncrypted xmlns="http://schemas.microsoft.com/sharepoint/v3">false</WasEncrypted>
    <CCMConversation xmlns="http://schemas.microsoft.com/sharepoint/v3" xsi:nil="true"/>
    <CCMDocumentReadIndicator xmlns="http://schemas.microsoft.com/sharepoint/v3" xsi:nil="true"/>
    <Recipient xmlns="df305437-05a1-4b70-90cc-dd2d63fbc6d7"/>
    <Classification xmlns="df305437-05a1-4b70-90cc-dd2d63fbc6d7" xsi:nil="true"/>
    <Sender xmlns="df305437-05a1-4b70-90cc-dd2d63fbc6d7" xsi:nil="true"/>
    <Date xmlns="df305437-05a1-4b70-90cc-dd2d63fbc6d7" xsi:nil="true"/>
  </documentManagement>
</p:properties>
</file>

<file path=customXml/itemProps1.xml><?xml version="1.0" encoding="utf-8"?>
<ds:datastoreItem xmlns:ds="http://schemas.openxmlformats.org/officeDocument/2006/customXml" ds:itemID="{7FDD7CAC-7597-4696-B206-CC00BE9DB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305437-05a1-4b70-90cc-dd2d63fbc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2BFD67-F72F-4DDD-9760-DD7BBF857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7CC7F-604C-417B-A869-7164C13F808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305437-05a1-4b70-90cc-dd2d63fbc6d7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26</vt:i4>
      </vt:variant>
    </vt:vector>
  </HeadingPairs>
  <TitlesOfParts>
    <vt:vector size="29" baseType="lpstr">
      <vt:lpstr>Løn</vt:lpstr>
      <vt:lpstr>Satser, mv</vt:lpstr>
      <vt:lpstr>Satstabeller</vt:lpstr>
      <vt:lpstr>Anlæg</vt:lpstr>
      <vt:lpstr>Asfaltør</vt:lpstr>
      <vt:lpstr>Chauffør</vt:lpstr>
      <vt:lpstr>Dyrepasser</vt:lpstr>
      <vt:lpstr>Ejendomsservicetekniker</vt:lpstr>
      <vt:lpstr>Ernæringsassistent</vt:lpstr>
      <vt:lpstr>Forsyningsoperatør</vt:lpstr>
      <vt:lpstr>Gartner</vt:lpstr>
      <vt:lpstr>Industrioperatør</vt:lpstr>
      <vt:lpstr>Kloakmester</vt:lpstr>
      <vt:lpstr>Kranfører</vt:lpstr>
      <vt:lpstr>Lager_terminal</vt:lpstr>
      <vt:lpstr>Landbrugsuddannelsen</vt:lpstr>
      <vt:lpstr>Murer</vt:lpstr>
      <vt:lpstr>OK18_sats</vt:lpstr>
      <vt:lpstr>OK21_sats</vt:lpstr>
      <vt:lpstr>OK24_sats</vt:lpstr>
      <vt:lpstr>PAU</vt:lpstr>
      <vt:lpstr>Redderuddannelsen</vt:lpstr>
      <vt:lpstr>Rengøringstekniker</vt:lpstr>
      <vt:lpstr>Serviceassistent</vt:lpstr>
      <vt:lpstr>Skov_natur</vt:lpstr>
      <vt:lpstr>SSA</vt:lpstr>
      <vt:lpstr>SSH</vt:lpstr>
      <vt:lpstr>Svømmebadsassistent</vt:lpstr>
      <vt:lpstr>Vælg_uddannelse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UFTF-beregner - til upload</dc:title>
  <dc:creator>Christian Larsen</dc:creator>
  <cp:lastModifiedBy>Malene Aahøj</cp:lastModifiedBy>
  <dcterms:created xsi:type="dcterms:W3CDTF">2021-11-26T09:10:55Z</dcterms:created>
  <dcterms:modified xsi:type="dcterms:W3CDTF">2026-08-07T05:20:20Z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0x010100AC085CFC53BC46CEA2EADE194AD9D482009826613C97F2CC4CA9DCFE8764D27B49</vt:lpwstr>
  </property>
  <property fmtid="{D5CDD505-2E9C-101B-9397-08002B2CF9AE}" pid="3" name="CCMSystem">
    <vt:lpwstr> </vt:lpwstr>
  </property>
  <property fmtid="{D5CDD505-2E9C-101B-9397-08002B2CF9AE}" pid="4" name="CCMEventContext">
    <vt:lpwstr>159f5ed2-072f-4336-942b-a216dab7035d</vt:lpwstr>
  </property>
  <property fmtid="{D5CDD505-2E9C-101B-9397-08002B2CF9AE}" pid="5" name="xd_Signature">
    <vt:bool>false</vt:bool>
  </property>
  <property fmtid="{D5CDD505-2E9C-101B-9397-08002B2CF9AE}" pid="6" name="CCMPostListPublishStatus">
    <vt:lpwstr>Afvist</vt:lpwstr>
  </property>
  <property fmtid="{D5CDD505-2E9C-101B-9397-08002B2CF9AE}" pid="7" name="CCMMustBeOnPostList">
    <vt:bool>true</vt:bool>
  </property>
  <property fmtid="{D5CDD505-2E9C-101B-9397-08002B2CF9AE}" pid="8" name="CCMOneDriveID">
    <vt:lpwstr/>
  </property>
  <property fmtid="{D5CDD505-2E9C-101B-9397-08002B2CF9AE}" pid="9" name="CCMOneDriveOwnerID">
    <vt:lpwstr/>
  </property>
  <property fmtid="{D5CDD505-2E9C-101B-9397-08002B2CF9AE}" pid="10" name="CCMOneDriveItemID">
    <vt:lpwstr/>
  </property>
  <property fmtid="{D5CDD505-2E9C-101B-9397-08002B2CF9AE}" pid="11" name="CCMIsSharedOnOneDrive">
    <vt:bool>false</vt:bool>
  </property>
  <property fmtid="{D5CDD505-2E9C-101B-9397-08002B2CF9AE}" pid="12" name="CCMCommunication">
    <vt:lpwstr/>
  </property>
  <property fmtid="{D5CDD505-2E9C-101B-9397-08002B2CF9AE}" pid="13" name="CCMEventContext_DocumentTimelineUpdatingEvent">
    <vt:lpwstr>9e64abce-4720-4f10-996d-23d21fa921d3</vt:lpwstr>
  </property>
</Properties>
</file>