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ortcut-targets-by-id\0B5TX9ywfXJurTzdHRkdlRnBPRzg\Zenbooks Drive\Business Development\Marketing\Website 2024\Examples\Sanitized\"/>
    </mc:Choice>
  </mc:AlternateContent>
  <xr:revisionPtr revIDLastSave="0" documentId="11_F67FEA25D37E8FBD265B14C992DAE006CF7EB3B4" xr6:coauthVersionLast="47" xr6:coauthVersionMax="47" xr10:uidLastSave="{00000000-0000-0000-0000-000000000000}"/>
  <bookViews>
    <workbookView xWindow="-25320" yWindow="7065" windowWidth="25440" windowHeight="15270" tabRatio="500" xr2:uid="{00000000-000D-0000-FFFF-FFFF00000000}"/>
  </bookViews>
  <sheets>
    <sheet name="Summary" sheetId="1" r:id="rId1"/>
    <sheet name="Scenario 1 - Bonus in 2026 Only" sheetId="2" r:id="rId2"/>
    <sheet name="Scenario 2 - Client Split" sheetId="3" r:id="rId3"/>
    <sheet name="Scenario 3 - Optimized Split" sheetId="4" r:id="rId4"/>
    <sheet name="Scenario 4 - Bonus in 2025 Only" sheetId="5" r:id="rId5"/>
    <sheet name="Tax Brackets (ON)" sheetId="6" r:id="rId6"/>
    <sheet name="Sample Expenses (Inputs)" sheetId="7"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54" i="7" l="1"/>
  <c r="C47" i="7"/>
  <c r="C48" i="7" s="1"/>
  <c r="C51" i="7" s="1"/>
  <c r="C32" i="7"/>
  <c r="C18" i="7"/>
  <c r="C16" i="7"/>
  <c r="H8" i="7"/>
  <c r="B16" i="6"/>
  <c r="B15" i="6"/>
  <c r="B14" i="6"/>
  <c r="B13" i="6"/>
  <c r="B12" i="6"/>
  <c r="B11" i="6"/>
  <c r="B10" i="6"/>
  <c r="B9" i="6"/>
  <c r="H10" i="6" s="1"/>
  <c r="I10" i="6" s="1"/>
  <c r="J8" i="6"/>
  <c r="K8" i="6" s="1"/>
  <c r="B8" i="6"/>
  <c r="H9" i="6" s="1"/>
  <c r="I9" i="6" s="1"/>
  <c r="F128" i="5"/>
  <c r="F129" i="5" s="1"/>
  <c r="B128" i="5"/>
  <c r="B129" i="5" s="1"/>
  <c r="J126" i="5"/>
  <c r="C126" i="5"/>
  <c r="G126" i="5" s="1"/>
  <c r="C127" i="5" s="1"/>
  <c r="F121" i="5"/>
  <c r="F122" i="5" s="1"/>
  <c r="B120" i="5"/>
  <c r="B121" i="5" s="1"/>
  <c r="B122" i="5" s="1"/>
  <c r="G119" i="5"/>
  <c r="C120" i="5" s="1"/>
  <c r="C119" i="5"/>
  <c r="J119" i="5" s="1"/>
  <c r="C115" i="5"/>
  <c r="G114" i="5"/>
  <c r="D114" i="5"/>
  <c r="F114" i="5" s="1"/>
  <c r="C114" i="5"/>
  <c r="B114" i="5"/>
  <c r="B115" i="5" s="1"/>
  <c r="G113" i="5"/>
  <c r="F113" i="5"/>
  <c r="D113" i="5"/>
  <c r="B113" i="5"/>
  <c r="G112" i="5"/>
  <c r="F112" i="5"/>
  <c r="D112" i="5"/>
  <c r="B112" i="5"/>
  <c r="G111" i="5"/>
  <c r="F111" i="5"/>
  <c r="I111" i="5" s="1"/>
  <c r="D111" i="5"/>
  <c r="C111" i="5"/>
  <c r="G66" i="5"/>
  <c r="G67" i="5" s="1"/>
  <c r="G34" i="5" s="1"/>
  <c r="G41" i="5" s="1"/>
  <c r="G43" i="5" s="1"/>
  <c r="I51" i="5"/>
  <c r="G51" i="5"/>
  <c r="F51" i="5"/>
  <c r="G22" i="5" s="1"/>
  <c r="D51" i="5"/>
  <c r="C51" i="5"/>
  <c r="I48" i="5"/>
  <c r="F48" i="5"/>
  <c r="F50" i="5" s="1"/>
  <c r="F47" i="5"/>
  <c r="C47" i="5"/>
  <c r="C41" i="5"/>
  <c r="C43" i="5" s="1"/>
  <c r="L37" i="5"/>
  <c r="I37" i="5"/>
  <c r="F37" i="5"/>
  <c r="C37" i="5"/>
  <c r="J35" i="5"/>
  <c r="J47" i="5" s="1"/>
  <c r="I35" i="5"/>
  <c r="G35" i="5"/>
  <c r="G47" i="5" s="1"/>
  <c r="D35" i="5"/>
  <c r="D47" i="5" s="1"/>
  <c r="C35" i="5"/>
  <c r="D34" i="5"/>
  <c r="L33" i="5"/>
  <c r="M33" i="5" s="1"/>
  <c r="M51" i="5" s="1"/>
  <c r="J33" i="5"/>
  <c r="J51" i="5" s="1"/>
  <c r="I33" i="5"/>
  <c r="M32" i="5"/>
  <c r="J32" i="5"/>
  <c r="J41" i="5" s="1"/>
  <c r="J43" i="5" s="1"/>
  <c r="J49" i="5" s="1"/>
  <c r="F32" i="5"/>
  <c r="I32" i="5" s="1"/>
  <c r="C32" i="5"/>
  <c r="M27" i="5"/>
  <c r="J27" i="5"/>
  <c r="G27" i="5"/>
  <c r="F27" i="5"/>
  <c r="I27" i="5" s="1"/>
  <c r="L27" i="5" s="1"/>
  <c r="C23" i="5"/>
  <c r="C22" i="5"/>
  <c r="L21" i="5"/>
  <c r="I21" i="5"/>
  <c r="F21" i="5"/>
  <c r="C21" i="5"/>
  <c r="F18" i="5"/>
  <c r="C18" i="5"/>
  <c r="C16" i="5" s="1"/>
  <c r="L17" i="5"/>
  <c r="L18" i="5" s="1"/>
  <c r="I17" i="5"/>
  <c r="F16" i="5"/>
  <c r="C14" i="5"/>
  <c r="L13" i="5"/>
  <c r="F13" i="5"/>
  <c r="I13" i="5" s="1"/>
  <c r="C13" i="5"/>
  <c r="F8" i="5"/>
  <c r="F14" i="5" s="1"/>
  <c r="C8" i="5"/>
  <c r="L6" i="5"/>
  <c r="L8" i="5" s="1"/>
  <c r="F6" i="5"/>
  <c r="I6" i="5" s="1"/>
  <c r="I8" i="5" s="1"/>
  <c r="F125" i="4"/>
  <c r="B125" i="4"/>
  <c r="F124" i="4"/>
  <c r="B124" i="4"/>
  <c r="J122" i="4"/>
  <c r="C122" i="4"/>
  <c r="G122" i="4" s="1"/>
  <c r="C123" i="4" s="1"/>
  <c r="F118" i="4"/>
  <c r="F117" i="4"/>
  <c r="C116" i="4"/>
  <c r="J116" i="4" s="1"/>
  <c r="B116" i="4"/>
  <c r="B117" i="4" s="1"/>
  <c r="B118" i="4" s="1"/>
  <c r="G115" i="4"/>
  <c r="C115" i="4"/>
  <c r="J115" i="4" s="1"/>
  <c r="G110" i="4"/>
  <c r="D110" i="4"/>
  <c r="D111" i="4" s="1"/>
  <c r="C110" i="4"/>
  <c r="F110" i="4" s="1"/>
  <c r="B110" i="4"/>
  <c r="B111" i="4" s="1"/>
  <c r="G109" i="4"/>
  <c r="D109" i="4"/>
  <c r="F109" i="4" s="1"/>
  <c r="B109" i="4"/>
  <c r="G108" i="4"/>
  <c r="F108" i="4"/>
  <c r="D108" i="4"/>
  <c r="B108" i="4"/>
  <c r="G107" i="4"/>
  <c r="F107" i="4"/>
  <c r="I107" i="4" s="1"/>
  <c r="D107" i="4"/>
  <c r="C107" i="4"/>
  <c r="G66" i="4"/>
  <c r="G67" i="4" s="1"/>
  <c r="G34" i="4" s="1"/>
  <c r="G41" i="4" s="1"/>
  <c r="G43" i="4" s="1"/>
  <c r="G51" i="4"/>
  <c r="F51" i="4"/>
  <c r="D51" i="4"/>
  <c r="C51" i="4"/>
  <c r="I48" i="4"/>
  <c r="F48" i="4"/>
  <c r="F50" i="4" s="1"/>
  <c r="F47" i="4"/>
  <c r="C47" i="4"/>
  <c r="F41" i="4"/>
  <c r="F43" i="4" s="1"/>
  <c r="F49" i="4" s="1"/>
  <c r="C41" i="4"/>
  <c r="C43" i="4" s="1"/>
  <c r="L37" i="4"/>
  <c r="I37" i="4"/>
  <c r="F37" i="4"/>
  <c r="C37" i="4"/>
  <c r="I35" i="4"/>
  <c r="G35" i="4"/>
  <c r="D35" i="4"/>
  <c r="C35" i="4"/>
  <c r="I33" i="4"/>
  <c r="M32" i="4"/>
  <c r="L32" i="4"/>
  <c r="J32" i="4"/>
  <c r="I32" i="4"/>
  <c r="F32" i="4"/>
  <c r="C32" i="4"/>
  <c r="L27" i="4"/>
  <c r="J27" i="4"/>
  <c r="M27" i="4" s="1"/>
  <c r="I27" i="4"/>
  <c r="G27" i="4"/>
  <c r="F27" i="4"/>
  <c r="C23" i="4"/>
  <c r="G22" i="4"/>
  <c r="C22" i="4"/>
  <c r="L21" i="4"/>
  <c r="I21" i="4"/>
  <c r="F21" i="4"/>
  <c r="F20" i="4"/>
  <c r="F57" i="4" s="1"/>
  <c r="F18" i="4"/>
  <c r="F16" i="4" s="1"/>
  <c r="F24" i="4" s="1"/>
  <c r="C18" i="4"/>
  <c r="L17" i="4"/>
  <c r="L18" i="4" s="1"/>
  <c r="I17" i="4"/>
  <c r="I18" i="4" s="1"/>
  <c r="L16" i="4"/>
  <c r="I16" i="4"/>
  <c r="C16" i="4"/>
  <c r="F14" i="4"/>
  <c r="C14" i="4"/>
  <c r="C13" i="4"/>
  <c r="F13" i="4" s="1"/>
  <c r="I13" i="4" s="1"/>
  <c r="L13" i="4" s="1"/>
  <c r="F8" i="4"/>
  <c r="C8" i="4"/>
  <c r="L6" i="4"/>
  <c r="L8" i="4" s="1"/>
  <c r="I6" i="4"/>
  <c r="I8" i="4" s="1"/>
  <c r="F6" i="4"/>
  <c r="F126" i="3"/>
  <c r="B126" i="3"/>
  <c r="F125" i="3"/>
  <c r="B125" i="3"/>
  <c r="G124" i="3"/>
  <c r="C125" i="3" s="1"/>
  <c r="G125" i="3" s="1"/>
  <c r="C126" i="3" s="1"/>
  <c r="C124" i="3"/>
  <c r="J124" i="3" s="1"/>
  <c r="J123" i="3"/>
  <c r="G123" i="3"/>
  <c r="C123" i="3"/>
  <c r="F119" i="3"/>
  <c r="B119" i="3"/>
  <c r="F118" i="3"/>
  <c r="B117" i="3"/>
  <c r="B118" i="3" s="1"/>
  <c r="J116" i="3"/>
  <c r="C116" i="3"/>
  <c r="G116" i="3" s="1"/>
  <c r="C117" i="3" s="1"/>
  <c r="G111" i="3"/>
  <c r="C111" i="3"/>
  <c r="B111" i="3"/>
  <c r="B112" i="3" s="1"/>
  <c r="G110" i="3"/>
  <c r="B110" i="3"/>
  <c r="G109" i="3"/>
  <c r="B109" i="3"/>
  <c r="G108" i="3"/>
  <c r="D108" i="3"/>
  <c r="D109" i="3" s="1"/>
  <c r="C108" i="3"/>
  <c r="I51" i="3"/>
  <c r="G51" i="3"/>
  <c r="F51" i="3"/>
  <c r="D51" i="3"/>
  <c r="C51" i="3"/>
  <c r="I48" i="3"/>
  <c r="F48" i="3"/>
  <c r="C41" i="3"/>
  <c r="C43" i="3" s="1"/>
  <c r="L37" i="3"/>
  <c r="I37" i="3"/>
  <c r="F37" i="3"/>
  <c r="F47" i="3" s="1"/>
  <c r="C37" i="3"/>
  <c r="I35" i="3"/>
  <c r="G35" i="3"/>
  <c r="G41" i="3" s="1"/>
  <c r="G43" i="3" s="1"/>
  <c r="D35" i="3"/>
  <c r="D47" i="3" s="1"/>
  <c r="C35" i="3"/>
  <c r="C47" i="3" s="1"/>
  <c r="D34" i="3"/>
  <c r="G66" i="3" s="1"/>
  <c r="G67" i="3" s="1"/>
  <c r="G34" i="3" s="1"/>
  <c r="I33" i="3"/>
  <c r="L33" i="3" s="1"/>
  <c r="M32" i="3"/>
  <c r="L32" i="3"/>
  <c r="J32" i="3"/>
  <c r="I32" i="3"/>
  <c r="F32" i="3"/>
  <c r="F41" i="3" s="1"/>
  <c r="F43" i="3" s="1"/>
  <c r="C32" i="3"/>
  <c r="J27" i="3"/>
  <c r="M27" i="3" s="1"/>
  <c r="I27" i="3"/>
  <c r="L27" i="3" s="1"/>
  <c r="G27" i="3"/>
  <c r="F27" i="3"/>
  <c r="C23" i="3"/>
  <c r="C22" i="3"/>
  <c r="C21" i="3" s="1"/>
  <c r="D19" i="1" s="1"/>
  <c r="L21" i="3"/>
  <c r="I21" i="3"/>
  <c r="F21" i="3"/>
  <c r="I18" i="3"/>
  <c r="F18" i="3"/>
  <c r="F16" i="3" s="1"/>
  <c r="C18" i="3"/>
  <c r="C16" i="3" s="1"/>
  <c r="L17" i="3"/>
  <c r="L18" i="3" s="1"/>
  <c r="I17" i="3"/>
  <c r="I16" i="3" s="1"/>
  <c r="F14" i="3"/>
  <c r="C14" i="3"/>
  <c r="I13" i="3"/>
  <c r="L13" i="3" s="1"/>
  <c r="C13" i="3"/>
  <c r="F13" i="3" s="1"/>
  <c r="F8" i="3"/>
  <c r="C8" i="3"/>
  <c r="I6" i="3"/>
  <c r="I8" i="3" s="1"/>
  <c r="I14" i="3" s="1"/>
  <c r="F6" i="3"/>
  <c r="F125" i="2"/>
  <c r="B125" i="2"/>
  <c r="F124" i="2"/>
  <c r="B124" i="2"/>
  <c r="J122" i="2"/>
  <c r="G122" i="2"/>
  <c r="C123" i="2" s="1"/>
  <c r="C122" i="2"/>
  <c r="F118" i="2"/>
  <c r="F117" i="2"/>
  <c r="B116" i="2"/>
  <c r="B117" i="2" s="1"/>
  <c r="B118" i="2" s="1"/>
  <c r="C115" i="2"/>
  <c r="G115" i="2" s="1"/>
  <c r="C116" i="2" s="1"/>
  <c r="G110" i="2"/>
  <c r="C110" i="2"/>
  <c r="C111" i="2" s="1"/>
  <c r="G109" i="2"/>
  <c r="B109" i="2"/>
  <c r="B110" i="2" s="1"/>
  <c r="B111" i="2" s="1"/>
  <c r="G108" i="2"/>
  <c r="B108" i="2"/>
  <c r="G107" i="2"/>
  <c r="D107" i="2"/>
  <c r="F107" i="2" s="1"/>
  <c r="I107" i="2" s="1"/>
  <c r="C107" i="2"/>
  <c r="G67" i="2"/>
  <c r="G66" i="2"/>
  <c r="G51" i="2"/>
  <c r="F51" i="2"/>
  <c r="D51" i="2"/>
  <c r="C51" i="2"/>
  <c r="I48" i="2"/>
  <c r="F48" i="2"/>
  <c r="J47" i="2"/>
  <c r="D43" i="2"/>
  <c r="D42" i="2"/>
  <c r="F41" i="2"/>
  <c r="D41" i="2"/>
  <c r="J7" i="6" s="1"/>
  <c r="L37" i="2"/>
  <c r="I37" i="2"/>
  <c r="F37" i="2"/>
  <c r="J35" i="2"/>
  <c r="M35" i="2" s="1"/>
  <c r="M47" i="2" s="1"/>
  <c r="I35" i="2"/>
  <c r="I47" i="2" s="1"/>
  <c r="G35" i="2"/>
  <c r="D35" i="2"/>
  <c r="D47" i="2" s="1"/>
  <c r="C35" i="2"/>
  <c r="D37" i="2" s="1"/>
  <c r="C37" i="2" s="1"/>
  <c r="G34" i="2"/>
  <c r="I33" i="2"/>
  <c r="I51" i="2" s="1"/>
  <c r="M32" i="2"/>
  <c r="J32" i="2"/>
  <c r="I32" i="2"/>
  <c r="I41" i="2" s="1"/>
  <c r="F32" i="2"/>
  <c r="C32" i="2"/>
  <c r="M27" i="2"/>
  <c r="I27" i="2"/>
  <c r="L27" i="2" s="1"/>
  <c r="G27" i="2"/>
  <c r="J27" i="2" s="1"/>
  <c r="F27" i="2"/>
  <c r="C23" i="2"/>
  <c r="D50" i="2" s="1"/>
  <c r="D12" i="1" s="1"/>
  <c r="C22" i="2"/>
  <c r="C21" i="2" s="1"/>
  <c r="D9" i="1" s="1"/>
  <c r="L21" i="2"/>
  <c r="I21" i="2"/>
  <c r="F9" i="1" s="1"/>
  <c r="F21" i="2"/>
  <c r="E9" i="1" s="1"/>
  <c r="I18" i="2"/>
  <c r="I16" i="2" s="1"/>
  <c r="F18" i="2"/>
  <c r="F16" i="2" s="1"/>
  <c r="C18" i="2"/>
  <c r="C16" i="2" s="1"/>
  <c r="L17" i="2"/>
  <c r="I17" i="2"/>
  <c r="F14" i="2"/>
  <c r="C14" i="2"/>
  <c r="I13" i="2"/>
  <c r="L13" i="2" s="1"/>
  <c r="C13" i="2"/>
  <c r="F13" i="2" s="1"/>
  <c r="F8" i="2"/>
  <c r="C8" i="2"/>
  <c r="I6" i="2"/>
  <c r="L6" i="2" s="1"/>
  <c r="L8" i="2" s="1"/>
  <c r="L14" i="2" s="1"/>
  <c r="F6" i="2"/>
  <c r="G39" i="1"/>
  <c r="F39" i="1"/>
  <c r="E39" i="1"/>
  <c r="D39" i="1"/>
  <c r="G49" i="1" s="1"/>
  <c r="E31" i="1"/>
  <c r="G29" i="1"/>
  <c r="F29" i="1"/>
  <c r="E29" i="1"/>
  <c r="G19" i="1"/>
  <c r="F19" i="1"/>
  <c r="E19" i="1"/>
  <c r="G9" i="1"/>
  <c r="F5" i="1"/>
  <c r="G5" i="1" s="1"/>
  <c r="E5" i="1"/>
  <c r="M33" i="3" l="1"/>
  <c r="M51" i="3" s="1"/>
  <c r="L51" i="3"/>
  <c r="G116" i="2"/>
  <c r="C117" i="2" s="1"/>
  <c r="J116" i="2"/>
  <c r="J107" i="2"/>
  <c r="C49" i="3"/>
  <c r="J107" i="4"/>
  <c r="I108" i="4"/>
  <c r="C49" i="5"/>
  <c r="E49" i="1"/>
  <c r="I19" i="1"/>
  <c r="C49" i="4"/>
  <c r="J123" i="4"/>
  <c r="G123" i="4"/>
  <c r="C124" i="4" s="1"/>
  <c r="I50" i="2"/>
  <c r="F11" i="1" s="1"/>
  <c r="J22" i="2"/>
  <c r="C47" i="2"/>
  <c r="C41" i="2"/>
  <c r="D50" i="3"/>
  <c r="D22" i="1" s="1"/>
  <c r="D23" i="2"/>
  <c r="J117" i="3"/>
  <c r="G117" i="3"/>
  <c r="C118" i="3" s="1"/>
  <c r="D49" i="1"/>
  <c r="I9" i="1"/>
  <c r="I43" i="2"/>
  <c r="I49" i="2" s="1"/>
  <c r="D49" i="2"/>
  <c r="J123" i="2"/>
  <c r="G123" i="2"/>
  <c r="C124" i="2" s="1"/>
  <c r="J126" i="3"/>
  <c r="G126" i="3"/>
  <c r="L35" i="2"/>
  <c r="L47" i="2" s="1"/>
  <c r="E28" i="1"/>
  <c r="I39" i="1"/>
  <c r="L32" i="2"/>
  <c r="L41" i="2" s="1"/>
  <c r="D108" i="2"/>
  <c r="I41" i="3"/>
  <c r="G47" i="3"/>
  <c r="G50" i="3" s="1"/>
  <c r="E22" i="1" s="1"/>
  <c r="F108" i="3"/>
  <c r="I108" i="3" s="1"/>
  <c r="C50" i="4"/>
  <c r="C21" i="4"/>
  <c r="D29" i="1" s="1"/>
  <c r="I16" i="5"/>
  <c r="L18" i="2"/>
  <c r="L16" i="2" s="1"/>
  <c r="I112" i="5"/>
  <c r="J111" i="5"/>
  <c r="J120" i="5"/>
  <c r="G120" i="5"/>
  <c r="C121" i="5" s="1"/>
  <c r="L6" i="3"/>
  <c r="L8" i="3" s="1"/>
  <c r="L14" i="3" s="1"/>
  <c r="F53" i="3"/>
  <c r="I14" i="4"/>
  <c r="F53" i="4"/>
  <c r="L33" i="4"/>
  <c r="J33" i="4"/>
  <c r="J51" i="4" s="1"/>
  <c r="I51" i="4"/>
  <c r="L14" i="4"/>
  <c r="D50" i="4"/>
  <c r="D32" i="1" s="1"/>
  <c r="L32" i="5"/>
  <c r="I41" i="5"/>
  <c r="I43" i="5" s="1"/>
  <c r="D47" i="4"/>
  <c r="D41" i="4"/>
  <c r="D43" i="4" s="1"/>
  <c r="D49" i="4" s="1"/>
  <c r="D50" i="5"/>
  <c r="D42" i="1" s="1"/>
  <c r="G50" i="5"/>
  <c r="E42" i="1" s="1"/>
  <c r="G23" i="5"/>
  <c r="J127" i="5"/>
  <c r="G127" i="5"/>
  <c r="C128" i="5" s="1"/>
  <c r="J33" i="2"/>
  <c r="J51" i="2" s="1"/>
  <c r="D41" i="3"/>
  <c r="D43" i="3" s="1"/>
  <c r="D49" i="3" s="1"/>
  <c r="C50" i="3"/>
  <c r="D21" i="1" s="1"/>
  <c r="J35" i="3"/>
  <c r="F20" i="3"/>
  <c r="J33" i="3"/>
  <c r="J125" i="3"/>
  <c r="G47" i="4"/>
  <c r="J35" i="4"/>
  <c r="G116" i="4"/>
  <c r="C117" i="4" s="1"/>
  <c r="I14" i="5"/>
  <c r="I47" i="5"/>
  <c r="L35" i="5"/>
  <c r="L47" i="5" s="1"/>
  <c r="D22" i="5"/>
  <c r="C50" i="5"/>
  <c r="D41" i="1" s="1"/>
  <c r="C50" i="2"/>
  <c r="D11" i="1" s="1"/>
  <c r="L33" i="2"/>
  <c r="F43" i="2"/>
  <c r="I8" i="2"/>
  <c r="I14" i="2" s="1"/>
  <c r="G41" i="2"/>
  <c r="G43" i="2" s="1"/>
  <c r="G49" i="2" s="1"/>
  <c r="L16" i="3"/>
  <c r="I41" i="4"/>
  <c r="I47" i="4"/>
  <c r="L35" i="4"/>
  <c r="L47" i="4" s="1"/>
  <c r="C111" i="4"/>
  <c r="F111" i="4" s="1"/>
  <c r="L14" i="5"/>
  <c r="G49" i="5"/>
  <c r="I47" i="3"/>
  <c r="I50" i="3" s="1"/>
  <c r="F21" i="1" s="1"/>
  <c r="L35" i="3"/>
  <c r="L47" i="3" s="1"/>
  <c r="J115" i="2"/>
  <c r="J41" i="2"/>
  <c r="J43" i="2" s="1"/>
  <c r="J49" i="2" s="1"/>
  <c r="G37" i="2"/>
  <c r="G47" i="2" s="1"/>
  <c r="G50" i="2" s="1"/>
  <c r="E12" i="1" s="1"/>
  <c r="F47" i="2"/>
  <c r="F49" i="3"/>
  <c r="F50" i="3"/>
  <c r="E21" i="1" s="1"/>
  <c r="F109" i="3"/>
  <c r="D110" i="3"/>
  <c r="C112" i="3"/>
  <c r="L16" i="5"/>
  <c r="J50" i="5"/>
  <c r="F42" i="1" s="1"/>
  <c r="E41" i="1"/>
  <c r="F115" i="5"/>
  <c r="D115" i="5"/>
  <c r="L51" i="5"/>
  <c r="J9" i="6"/>
  <c r="K9" i="6" s="1"/>
  <c r="D41" i="5"/>
  <c r="D43" i="5" s="1"/>
  <c r="D49" i="5" s="1"/>
  <c r="F41" i="5"/>
  <c r="F43" i="5" s="1"/>
  <c r="I18" i="5"/>
  <c r="D23" i="5"/>
  <c r="M35" i="5"/>
  <c r="M47" i="5" s="1"/>
  <c r="M50" i="5" s="1"/>
  <c r="G42" i="1" s="1"/>
  <c r="F20" i="2" l="1"/>
  <c r="M23" i="5"/>
  <c r="L43" i="2"/>
  <c r="L49" i="2" s="1"/>
  <c r="C20" i="4"/>
  <c r="J23" i="5"/>
  <c r="M22" i="5"/>
  <c r="L50" i="5"/>
  <c r="G41" i="1" s="1"/>
  <c r="J41" i="4"/>
  <c r="J43" i="4" s="1"/>
  <c r="M41" i="5"/>
  <c r="M43" i="5" s="1"/>
  <c r="M49" i="5" s="1"/>
  <c r="D22" i="3"/>
  <c r="J50" i="2"/>
  <c r="F12" i="1" s="1"/>
  <c r="J23" i="2"/>
  <c r="M33" i="2"/>
  <c r="L51" i="2"/>
  <c r="E18" i="1"/>
  <c r="F57" i="3"/>
  <c r="D23" i="4"/>
  <c r="I50" i="4"/>
  <c r="F31" i="1" s="1"/>
  <c r="H7" i="6"/>
  <c r="C43" i="2"/>
  <c r="C20" i="5"/>
  <c r="G22" i="3"/>
  <c r="M35" i="3"/>
  <c r="J47" i="3"/>
  <c r="I56" i="2"/>
  <c r="I53" i="2"/>
  <c r="I55" i="2" s="1"/>
  <c r="I43" i="4"/>
  <c r="I49" i="4" s="1"/>
  <c r="I20" i="4"/>
  <c r="I49" i="5"/>
  <c r="I20" i="5"/>
  <c r="F49" i="1"/>
  <c r="I29" i="1"/>
  <c r="L41" i="3"/>
  <c r="F49" i="5"/>
  <c r="F20" i="5"/>
  <c r="F110" i="3"/>
  <c r="D111" i="3"/>
  <c r="F57" i="5"/>
  <c r="D22" i="2"/>
  <c r="J128" i="5"/>
  <c r="G128" i="5"/>
  <c r="C129" i="5" s="1"/>
  <c r="J118" i="3"/>
  <c r="G118" i="3"/>
  <c r="C119" i="3" s="1"/>
  <c r="I109" i="4"/>
  <c r="J108" i="4"/>
  <c r="J22" i="3"/>
  <c r="F24" i="3"/>
  <c r="G117" i="4"/>
  <c r="C118" i="4" s="1"/>
  <c r="J117" i="4"/>
  <c r="J47" i="4"/>
  <c r="M35" i="4"/>
  <c r="M47" i="4" s="1"/>
  <c r="L41" i="5"/>
  <c r="L43" i="5" s="1"/>
  <c r="M33" i="4"/>
  <c r="L51" i="4"/>
  <c r="D22" i="4"/>
  <c r="D31" i="1"/>
  <c r="G23" i="2"/>
  <c r="G50" i="4"/>
  <c r="E32" i="1" s="1"/>
  <c r="G23" i="4"/>
  <c r="G49" i="4"/>
  <c r="F55" i="4" s="1"/>
  <c r="F56" i="4" s="1"/>
  <c r="J121" i="5"/>
  <c r="G121" i="5"/>
  <c r="C122" i="5" s="1"/>
  <c r="J108" i="3"/>
  <c r="I109" i="3"/>
  <c r="J124" i="2"/>
  <c r="G124" i="2"/>
  <c r="C125" i="2" s="1"/>
  <c r="G49" i="3"/>
  <c r="F55" i="3" s="1"/>
  <c r="F56" i="3" s="1"/>
  <c r="L41" i="4"/>
  <c r="J117" i="2"/>
  <c r="G117" i="2"/>
  <c r="C118" i="2" s="1"/>
  <c r="F50" i="2"/>
  <c r="E11" i="1" s="1"/>
  <c r="G22" i="2"/>
  <c r="I53" i="4"/>
  <c r="I43" i="3"/>
  <c r="I49" i="3" s="1"/>
  <c r="G124" i="4"/>
  <c r="C125" i="4" s="1"/>
  <c r="J124" i="4"/>
  <c r="C20" i="3"/>
  <c r="F49" i="2"/>
  <c r="I50" i="5"/>
  <c r="F41" i="1" s="1"/>
  <c r="I41" i="1" s="1"/>
  <c r="J41" i="3"/>
  <c r="J43" i="3" s="1"/>
  <c r="J49" i="3" s="1"/>
  <c r="J51" i="3"/>
  <c r="I42" i="1"/>
  <c r="J10" i="6"/>
  <c r="K10" i="6" s="1"/>
  <c r="K7" i="6" s="1"/>
  <c r="G23" i="3"/>
  <c r="I113" i="5"/>
  <c r="J112" i="5"/>
  <c r="F108" i="2"/>
  <c r="I108" i="2" s="1"/>
  <c r="D109" i="2"/>
  <c r="I20" i="2"/>
  <c r="D23" i="3"/>
  <c r="L50" i="3"/>
  <c r="G21" i="1" s="1"/>
  <c r="I21" i="1" s="1"/>
  <c r="M41" i="2" l="1"/>
  <c r="M51" i="2"/>
  <c r="G125" i="2"/>
  <c r="J125" i="2"/>
  <c r="I57" i="2"/>
  <c r="F8" i="1"/>
  <c r="I24" i="2"/>
  <c r="J50" i="3"/>
  <c r="F22" i="1" s="1"/>
  <c r="J109" i="4"/>
  <c r="I110" i="4"/>
  <c r="L20" i="3"/>
  <c r="L43" i="3"/>
  <c r="L49" i="3" s="1"/>
  <c r="F109" i="2"/>
  <c r="I109" i="2" s="1"/>
  <c r="D110" i="2"/>
  <c r="J125" i="4"/>
  <c r="G125" i="4"/>
  <c r="I110" i="3"/>
  <c r="J109" i="3"/>
  <c r="J119" i="3"/>
  <c r="G119" i="3"/>
  <c r="J50" i="4"/>
  <c r="F32" i="1" s="1"/>
  <c r="J22" i="4"/>
  <c r="J108" i="2"/>
  <c r="J22" i="5"/>
  <c r="I20" i="3"/>
  <c r="M47" i="3"/>
  <c r="M41" i="3"/>
  <c r="M43" i="3" s="1"/>
  <c r="F38" i="1"/>
  <c r="I57" i="5"/>
  <c r="M51" i="4"/>
  <c r="M41" i="4"/>
  <c r="M43" i="4" s="1"/>
  <c r="M49" i="4" s="1"/>
  <c r="F24" i="5"/>
  <c r="E38" i="1"/>
  <c r="F53" i="5"/>
  <c r="F55" i="5" s="1"/>
  <c r="F56" i="5" s="1"/>
  <c r="D18" i="1"/>
  <c r="C57" i="3"/>
  <c r="C24" i="3"/>
  <c r="C53" i="3"/>
  <c r="C55" i="3" s="1"/>
  <c r="C56" i="3" s="1"/>
  <c r="J122" i="5"/>
  <c r="G122" i="5"/>
  <c r="J129" i="5"/>
  <c r="G129" i="5"/>
  <c r="J113" i="5"/>
  <c r="I114" i="5"/>
  <c r="J118" i="4"/>
  <c r="G118" i="4"/>
  <c r="D112" i="3"/>
  <c r="F112" i="3" s="1"/>
  <c r="F111" i="3"/>
  <c r="C57" i="5"/>
  <c r="D38" i="1"/>
  <c r="C53" i="5"/>
  <c r="C55" i="5" s="1"/>
  <c r="C56" i="5" s="1"/>
  <c r="C24" i="5"/>
  <c r="F57" i="2"/>
  <c r="E8" i="1"/>
  <c r="F24" i="2"/>
  <c r="F53" i="2"/>
  <c r="F55" i="2" s="1"/>
  <c r="F56" i="2" s="1"/>
  <c r="L49" i="5"/>
  <c r="L20" i="5"/>
  <c r="G118" i="2"/>
  <c r="J118" i="2"/>
  <c r="M22" i="3"/>
  <c r="L20" i="4"/>
  <c r="L43" i="4"/>
  <c r="L49" i="4" s="1"/>
  <c r="M22" i="4"/>
  <c r="L50" i="4"/>
  <c r="G31" i="1" s="1"/>
  <c r="I31" i="1" s="1"/>
  <c r="F28" i="1"/>
  <c r="I57" i="4"/>
  <c r="I24" i="4"/>
  <c r="C49" i="2"/>
  <c r="C20" i="2"/>
  <c r="I53" i="5"/>
  <c r="I55" i="5" s="1"/>
  <c r="I56" i="5" s="1"/>
  <c r="H8" i="6"/>
  <c r="I8" i="6" s="1"/>
  <c r="H11" i="6"/>
  <c r="I11" i="6" s="1"/>
  <c r="J49" i="4"/>
  <c r="I55" i="4" s="1"/>
  <c r="I56" i="4" s="1"/>
  <c r="D28" i="1"/>
  <c r="C24" i="4"/>
  <c r="C57" i="4"/>
  <c r="C53" i="4"/>
  <c r="C55" i="4" s="1"/>
  <c r="C56" i="4" s="1"/>
  <c r="I24" i="5"/>
  <c r="L50" i="2"/>
  <c r="G11" i="1" s="1"/>
  <c r="I11" i="1" s="1"/>
  <c r="J109" i="2" l="1"/>
  <c r="F48" i="1"/>
  <c r="G48" i="1"/>
  <c r="E48" i="1"/>
  <c r="M49" i="3"/>
  <c r="L57" i="5"/>
  <c r="G38" i="1"/>
  <c r="I38" i="1" s="1"/>
  <c r="J39" i="1" s="1"/>
  <c r="L53" i="5"/>
  <c r="L55" i="5" s="1"/>
  <c r="L56" i="5" s="1"/>
  <c r="L24" i="5"/>
  <c r="I7" i="6"/>
  <c r="M50" i="3"/>
  <c r="G22" i="1" s="1"/>
  <c r="L57" i="3"/>
  <c r="G18" i="1"/>
  <c r="L24" i="3"/>
  <c r="L53" i="3"/>
  <c r="L55" i="3" s="1"/>
  <c r="L56" i="3" s="1"/>
  <c r="M22" i="2"/>
  <c r="I57" i="3"/>
  <c r="F18" i="1"/>
  <c r="I18" i="1" s="1"/>
  <c r="J19" i="1" s="1"/>
  <c r="I24" i="3"/>
  <c r="I53" i="3"/>
  <c r="I55" i="3" s="1"/>
  <c r="I56" i="3" s="1"/>
  <c r="J110" i="4"/>
  <c r="I111" i="4"/>
  <c r="J111" i="4" s="1"/>
  <c r="I34" i="1"/>
  <c r="F50" i="1" s="1"/>
  <c r="C57" i="2"/>
  <c r="D8" i="1"/>
  <c r="C24" i="2"/>
  <c r="C53" i="2"/>
  <c r="C55" i="2" s="1"/>
  <c r="C56" i="2" s="1"/>
  <c r="L57" i="4"/>
  <c r="G28" i="1"/>
  <c r="I28" i="1" s="1"/>
  <c r="J29" i="1" s="1"/>
  <c r="L24" i="4"/>
  <c r="L53" i="4"/>
  <c r="L55" i="4" s="1"/>
  <c r="L56" i="4" s="1"/>
  <c r="I111" i="3"/>
  <c r="J110" i="3"/>
  <c r="M23" i="2"/>
  <c r="M50" i="2"/>
  <c r="G12" i="1" s="1"/>
  <c r="I12" i="1" s="1"/>
  <c r="I22" i="1"/>
  <c r="M43" i="2"/>
  <c r="M49" i="2" s="1"/>
  <c r="L20" i="2"/>
  <c r="M50" i="4"/>
  <c r="G32" i="1" s="1"/>
  <c r="I32" i="1" s="1"/>
  <c r="M23" i="4"/>
  <c r="J23" i="3"/>
  <c r="J114" i="5"/>
  <c r="I115" i="5"/>
  <c r="J115" i="5" s="1"/>
  <c r="I44" i="1"/>
  <c r="G50" i="1" s="1"/>
  <c r="D111" i="2"/>
  <c r="F111" i="2" s="1"/>
  <c r="F110" i="2"/>
  <c r="I110" i="2" s="1"/>
  <c r="J23" i="4"/>
  <c r="J110" i="2" l="1"/>
  <c r="I111" i="2"/>
  <c r="J111" i="2" s="1"/>
  <c r="I14" i="1"/>
  <c r="D50" i="1" s="1"/>
  <c r="I8" i="1"/>
  <c r="J9" i="1" s="1"/>
  <c r="D48" i="1"/>
  <c r="J111" i="3"/>
  <c r="I112" i="3"/>
  <c r="J112" i="3" s="1"/>
  <c r="I24" i="1"/>
  <c r="E50" i="1" s="1"/>
  <c r="L57" i="2"/>
  <c r="G8" i="1"/>
  <c r="L53" i="2"/>
  <c r="L55" i="2" s="1"/>
  <c r="L56" i="2" s="1"/>
  <c r="L24" i="2"/>
  <c r="M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21" authorId="0" shapeId="0" xr:uid="{00000000-0006-0000-0100-000001000000}">
      <text>
        <r>
          <rPr>
            <sz val="10"/>
            <rFont val="Arial"/>
            <family val="2"/>
          </rPr>
          <t>Zenbooks Tax Team:
Taxes estimated by taking the total family income, dividing by 2, and calculating each spouses's expected taxes. That amount is doubled. 
Simply taking the family income for tax estimates would calculate the taxes at the highest tax bracket past as the highest marginal tax bracket (i.e. inaccurate).</t>
        </r>
      </text>
    </comment>
    <comment ref="C31" authorId="0" shapeId="0" xr:uid="{00000000-0006-0000-0100-000002000000}">
      <text>
        <r>
          <rPr>
            <sz val="10"/>
            <rFont val="Arial"/>
            <family val="2"/>
          </rPr>
          <t>Zenbooks Tax Team:
Illustrative employment income assumption for the first forecast year</t>
        </r>
      </text>
    </comment>
    <comment ref="C32" authorId="0" shapeId="0" xr:uid="{00000000-0006-0000-0100-000003000000}">
      <text>
        <r>
          <rPr>
            <sz val="10"/>
            <rFont val="Arial"/>
            <family val="2"/>
          </rPr>
          <t>Zenbooks Tax Team:
Assume for Oct to Dec in 2025 per sample sample client's comments that his bridge benefit will end in Sept 2025.</t>
        </r>
      </text>
    </comment>
    <comment ref="C108" authorId="0" shapeId="0" xr:uid="{00000000-0006-0000-0100-000004000000}">
      <text>
        <r>
          <rPr>
            <sz val="10"/>
            <rFont val="Arial"/>
            <family val="2"/>
          </rPr>
          <t>Zenbooks Tax Team:
Illustrative amount invoiced in the first forecast year.</t>
        </r>
      </text>
    </comment>
    <comment ref="C109" authorId="0" shapeId="0" xr:uid="{00000000-0006-0000-0100-000005000000}">
      <text>
        <r>
          <rPr>
            <sz val="10"/>
            <rFont val="Arial"/>
            <family val="2"/>
          </rPr>
          <t>Zenbooks Tax Team:
Illustrative multi-year contract income plus other revenue sources.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21" authorId="0" shapeId="0" xr:uid="{00000000-0006-0000-0300-000001000000}">
      <text>
        <r>
          <rPr>
            <sz val="10"/>
            <rFont val="Arial"/>
            <family val="2"/>
          </rPr>
          <t>Zenbooks Tax Team:
Taxes estimated by taking the total family income, dividing by 2, and calculating each spouses's expected taxes. That amount is doubled. 
Simply taking the family income for tax estimates would calculate the taxes at the highest tax bracket past as the highest marginal tax bracket (i.e. inaccurate).</t>
        </r>
      </text>
    </comment>
    <comment ref="C31" authorId="0" shapeId="0" xr:uid="{00000000-0006-0000-0300-000002000000}">
      <text>
        <r>
          <rPr>
            <sz val="10"/>
            <rFont val="Arial"/>
            <family val="2"/>
          </rPr>
          <t>Zenbooks Tax Team:
Illustrative employment income assumption for the first forecast year</t>
        </r>
      </text>
    </comment>
    <comment ref="C32" authorId="0" shapeId="0" xr:uid="{00000000-0006-0000-0300-000003000000}">
      <text>
        <r>
          <rPr>
            <sz val="10"/>
            <rFont val="Arial"/>
            <family val="2"/>
          </rPr>
          <t>Zenbooks Tax Team:
Assume for Oct to Dec in 2025 per sample sample client's comments that his bridge benefit will end in Sept 2025.</t>
        </r>
      </text>
    </comment>
    <comment ref="C108" authorId="0" shapeId="0" xr:uid="{00000000-0006-0000-0300-000004000000}">
      <text>
        <r>
          <rPr>
            <sz val="10"/>
            <rFont val="Arial"/>
            <family val="2"/>
          </rPr>
          <t>Zenbooks Tax Team:
Illustrative amount invoiced in the first forecast year.</t>
        </r>
      </text>
    </comment>
    <comment ref="C109" authorId="0" shapeId="0" xr:uid="{00000000-0006-0000-0300-000005000000}">
      <text>
        <r>
          <rPr>
            <sz val="10"/>
            <rFont val="Arial"/>
            <family val="2"/>
          </rPr>
          <t>Zenbooks Tax Team:
Illustrative multi-year contract income plus other revenue sources.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21" authorId="0" shapeId="0" xr:uid="{00000000-0006-0000-0400-000001000000}">
      <text>
        <r>
          <rPr>
            <sz val="10"/>
            <rFont val="Arial"/>
            <family val="2"/>
          </rPr>
          <t>Zenbooks Tax Team:
Taxes estimated by taking the total family income, dividing by 2, and calculating each spouses's expected taxes. That amount is doubled. 
Simply taking the family income for tax estimates would calculate the taxes at the highest tax bracket past as the highest marginal tax bracket (i.e. inaccurate).</t>
        </r>
      </text>
    </comment>
    <comment ref="C31" authorId="0" shapeId="0" xr:uid="{00000000-0006-0000-0400-000002000000}">
      <text>
        <r>
          <rPr>
            <sz val="10"/>
            <rFont val="Arial"/>
            <family val="2"/>
          </rPr>
          <t>Zenbooks Tax Team:
Illustrative employment income assumption for the first forecast year</t>
        </r>
      </text>
    </comment>
    <comment ref="C32" authorId="0" shapeId="0" xr:uid="{00000000-0006-0000-0400-000003000000}">
      <text>
        <r>
          <rPr>
            <sz val="10"/>
            <rFont val="Arial"/>
            <family val="2"/>
          </rPr>
          <t>Zenbooks Tax Team:
Assume for Oct to Dec in 2025 per sample sample client's comments that his bridge benefit will end in Sept 2025.</t>
        </r>
      </text>
    </comment>
    <comment ref="C112" authorId="0" shapeId="0" xr:uid="{00000000-0006-0000-0400-000004000000}">
      <text>
        <r>
          <rPr>
            <sz val="10"/>
            <rFont val="Arial"/>
            <family val="2"/>
          </rPr>
          <t>Zenbooks Tax Team:
Illustrative amount invoiced in the first forecast year.</t>
        </r>
      </text>
    </comment>
    <comment ref="C113" authorId="0" shapeId="0" xr:uid="{00000000-0006-0000-0400-000005000000}">
      <text>
        <r>
          <rPr>
            <sz val="10"/>
            <rFont val="Arial"/>
            <family val="2"/>
          </rPr>
          <t>Zenbooks Tax Team:
Illustrative multi-year contract income plus other revenue sources.</t>
        </r>
      </text>
    </comment>
  </commentList>
</comments>
</file>

<file path=xl/sharedStrings.xml><?xml version="1.0" encoding="utf-8"?>
<sst xmlns="http://schemas.openxmlformats.org/spreadsheetml/2006/main" count="610" uniqueCount="211">
  <si>
    <t>Illustrative Personal Tax Plan</t>
  </si>
  <si>
    <t>Personal Financial and Tax Planning</t>
  </si>
  <si>
    <t>Summary</t>
  </si>
  <si>
    <t>AFTER-TAX INCOME</t>
  </si>
  <si>
    <t>Description</t>
  </si>
  <si>
    <t>TOTAL</t>
  </si>
  <si>
    <t>Scenario #1</t>
  </si>
  <si>
    <t>Cindy's bonus in 2026 only</t>
  </si>
  <si>
    <t>Total Estimated Family Income</t>
  </si>
  <si>
    <t>Total Estimated Taxes</t>
  </si>
  <si>
    <t>Taxes to Pay by April 30th (Tax Return):</t>
  </si>
  <si>
    <t>Steve</t>
  </si>
  <si>
    <t>Cindy</t>
  </si>
  <si>
    <t>Corporate dividend capacity remaining at 2028 (Meridian Analytics)</t>
  </si>
  <si>
    <t>Scenario #2</t>
  </si>
  <si>
    <t>Cindy's bonus split between 2025 &amp; 2026 per client's withdrawal plan</t>
  </si>
  <si>
    <t>Total Family Income</t>
  </si>
  <si>
    <t>Total Taxes</t>
  </si>
  <si>
    <t>Scenario #3</t>
  </si>
  <si>
    <t>Optimized bonus split between 2025 and 2026</t>
  </si>
  <si>
    <t>Scenario #4</t>
  </si>
  <si>
    <t>Cindy's bonus in 2025 only</t>
  </si>
  <si>
    <t>RECOMMENDED</t>
  </si>
  <si>
    <t>Comparison, 2025 and 2026 only</t>
  </si>
  <si>
    <t>Income in 2025 &amp; 2026</t>
  </si>
  <si>
    <t>Taxes in 2025 &amp; 2026</t>
  </si>
  <si>
    <t>Corporate dividend capacity remaining at 2028</t>
  </si>
  <si>
    <t>Key Points:</t>
  </si>
  <si>
    <t>Scenario #2 is recommended.</t>
  </si>
  <si>
    <t>Scenario #1 defers the entire bonus to 2026. That leaves a shortfall in 2025, which has to be funded by drawing dividends</t>
  </si>
  <si>
    <t xml:space="preserve">     from Meridian Analytics. Its higher total income is therefore not extra income: it is corporate capacity moved forward.</t>
  </si>
  <si>
    <t xml:space="preserve">     The corporate dividend capacity remaining at 2028 falls by almost exactly the amount of those dividends.</t>
  </si>
  <si>
    <t xml:space="preserve">     Scenarios #2, #3 and #4 all finish with identical household income and identical remaining corporate capacity, so only</t>
  </si>
  <si>
    <t xml:space="preserve">     those three can be compared on tax alone. Scenario #1 cannot.</t>
  </si>
  <si>
    <t>Scenario #1 also loses an RRSP contribution for Cindy, because no bonus is received in 2025.</t>
  </si>
  <si>
    <t>Scenario #4 forces the whole bonus into 2025, placing both Steve and Cindy into higher brackets in the same year.</t>
  </si>
  <si>
    <t xml:space="preserve">     It produces the second highest two-year tax.</t>
  </si>
  <si>
    <t>Scenarios #2 and #3 produce identical household income in the first two years. Scenario #3 is the mathematically optimal</t>
  </si>
  <si>
    <t xml:space="preserve">     split and beats Scenario #2 by approximately $85 across 2025 and 2026, on a combined two-year tax bill of about</t>
  </si>
  <si>
    <t xml:space="preserve">     $129,000. That is roughly 0.07%, and it sits inside the error bars of the assumptions this model rests on.</t>
  </si>
  <si>
    <t>Scenario #2 is recommended because it matches the withdrawal plan the clients had already chosen, and the theoretical</t>
  </si>
  <si>
    <t xml:space="preserve">     advantage of Scenario #3 is not material enough to justify rearranging their cash flow.</t>
  </si>
  <si>
    <t>About this workbook</t>
  </si>
  <si>
    <t>This is an illustrative sample prepared by Zenbooks Tax Services Professional Corporation, a professional corporation</t>
  </si>
  <si>
    <t>registered with CPA Ontario. It reproduces the structure, calculations and analytical approach used in a real personal tax</t>
  </si>
  <si>
    <t>planning engagement. The household, the individuals and the corporation are constructed and do not represent any actual</t>
  </si>
  <si>
    <t>person or entity.</t>
  </si>
  <si>
    <t>The work described is Canadian personal tax planning. It is not investment advice, legal advice, or an assurance</t>
  </si>
  <si>
    <t>engagement, and no assurance is expressed on any figure. Tax legislation, rates and thresholds change, and the rates</t>
  </si>
  <si>
    <t>used here reflect Ontario combined marginal rates for the 2025 taxation year. This workbook is not a template for use</t>
  </si>
  <si>
    <t>without professional consultation, since personal tax outcomes depend entirely on individual circumstances.</t>
  </si>
  <si>
    <t>Personal Financial &amp; Tax Planning</t>
  </si>
  <si>
    <t>SCENARIO #1 - Cindy's bonus in 2026 only</t>
  </si>
  <si>
    <t>Monthly Estimated Expenses (Net)</t>
  </si>
  <si>
    <t>Annual Estimated Expenses (Net)</t>
  </si>
  <si>
    <t>Other One-Time Expenses:</t>
  </si>
  <si>
    <t>Family Gift #1</t>
  </si>
  <si>
    <t>Family Gift #2</t>
  </si>
  <si>
    <t>Less: Family Inheritance</t>
  </si>
  <si>
    <t>Annual Cushion</t>
  </si>
  <si>
    <t>Net Annual Income Required</t>
  </si>
  <si>
    <t>Annual (Gross) - Rounded</t>
  </si>
  <si>
    <t>Actual Estimated Family Income</t>
  </si>
  <si>
    <t>Total Taxes Estimated on Actual Income</t>
  </si>
  <si>
    <t>Check</t>
  </si>
  <si>
    <t>Deficiency</t>
  </si>
  <si>
    <t>AGE</t>
  </si>
  <si>
    <t>Gross Income</t>
  </si>
  <si>
    <t>Employment</t>
  </si>
  <si>
    <t>CPP (Note 4)</t>
  </si>
  <si>
    <t>OAS (Note 5)</t>
  </si>
  <si>
    <t>Retirement Bonus (Note 6)</t>
  </si>
  <si>
    <t>Defined Benefit Pension (Note 1)</t>
  </si>
  <si>
    <t>Dividends from Meridian Analytics (Note 2)</t>
  </si>
  <si>
    <t>Pension Split (up to 50%)</t>
  </si>
  <si>
    <t>RRSP/RRIF (minimum withdrawal rate)</t>
  </si>
  <si>
    <t>Non-Registered Investment Income (Note 3)</t>
  </si>
  <si>
    <t>Gross Total</t>
  </si>
  <si>
    <t>Less: RRSP Contribution</t>
  </si>
  <si>
    <t>Net Total</t>
  </si>
  <si>
    <t>Estimated Taxes Withheld:</t>
  </si>
  <si>
    <t>Payroll tax</t>
  </si>
  <si>
    <t>Pension (25%)</t>
  </si>
  <si>
    <t>RRSP Withdrawal</t>
  </si>
  <si>
    <t>Net Income (after WHT)</t>
  </si>
  <si>
    <t>Additional Taxes Owing to CRA</t>
  </si>
  <si>
    <t>OAS Clawback</t>
  </si>
  <si>
    <t>Delta - TFSA Withdrawal (Tax-Free) or Savings</t>
  </si>
  <si>
    <t>Total Available Cash</t>
  </si>
  <si>
    <t>Check Deficiency</t>
  </si>
  <si>
    <t>Expected leftover cash</t>
  </si>
  <si>
    <t>Due to additional income &amp; 
rounding up gross income</t>
  </si>
  <si>
    <t>"Due to additional income from Cindy's bonus &amp; 
rounding up gross income"</t>
  </si>
  <si>
    <t>Due to rounding up gross income</t>
  </si>
  <si>
    <t>Note 1</t>
  </si>
  <si>
    <t>Cindy's Bonus</t>
  </si>
  <si>
    <t>Assume bridge benefits is equal the difference between the</t>
  </si>
  <si>
    <t>Total</t>
  </si>
  <si>
    <t xml:space="preserve">2024 pension income ($123,606.12) and the expected </t>
  </si>
  <si>
    <t>Less: 2025</t>
  </si>
  <si>
    <t>$111,500 per the wealth management report from Independent Wealth Report.</t>
  </si>
  <si>
    <t>2026 Portion</t>
  </si>
  <si>
    <t>Cindy is expected to receive her pension benefits starting August 2025</t>
  </si>
  <si>
    <t>in the amount of $1,541.76 per month.</t>
  </si>
  <si>
    <t>Note 2</t>
  </si>
  <si>
    <t>Expected income from the corporation is approximately $80K to $100K</t>
  </si>
  <si>
    <t>from 2025 to 2029. Assume approximately $18,000 per year of expenses (less</t>
  </si>
  <si>
    <t xml:space="preserve">depreciation and taxes) per year, adjusted for inflation. </t>
  </si>
  <si>
    <t>Note 3</t>
  </si>
  <si>
    <t>Per Independent Wealth Report report, the investment yield is to be reinvested. Thus, no income</t>
  </si>
  <si>
    <t>expected from this source.</t>
  </si>
  <si>
    <t>Note 4</t>
  </si>
  <si>
    <t>Assume Cindy's CPP amount is $1,000 per month (TBD) and will receive it</t>
  </si>
  <si>
    <t>for 6 months out of 12 starting 2027.</t>
  </si>
  <si>
    <t>Note 5</t>
  </si>
  <si>
    <t>OAS will be clawed back in full even if enrolled at age 65 due to the overall</t>
  </si>
  <si>
    <t>high income earned per spouse. Thus, no reason to enroll in the OAS prior</t>
  </si>
  <si>
    <t>to age 70. Hence, removed from the analysis.</t>
  </si>
  <si>
    <t>Note 6</t>
  </si>
  <si>
    <t>Assumed lump-sum bonus has no payroll withholding (CPP, EI, taxes).</t>
  </si>
  <si>
    <t>Facts and Assumptions</t>
  </si>
  <si>
    <t>• Assumed a 2% annual inflation and 3.8% ROI (per Independent Wealth Report report)</t>
  </si>
  <si>
    <t>• Taxed estimated based on 2025 tax rate and laws</t>
  </si>
  <si>
    <t>• OAS will be clawed back in full even if enrolled at age 65 due to high income per spouse</t>
  </si>
  <si>
    <t>• Assumed $18K in expenses per year in Meridian Analytics (similar to 2024)</t>
  </si>
  <si>
    <t>• RRSP will be withdrawn at the minimum mandatory withdrawal percentage</t>
  </si>
  <si>
    <t>• Assumed a monthly cushion required of $300/month, adjusted for 2% inflation yearly</t>
  </si>
  <si>
    <t>• Insignificant bank interest income ignored for analysis</t>
  </si>
  <si>
    <t>Corporate Dividend Availability</t>
  </si>
  <si>
    <t>Expenses</t>
  </si>
  <si>
    <t>Leftover Cash
(Net of Tax)</t>
  </si>
  <si>
    <t>Less: 
Dividends Taken</t>
  </si>
  <si>
    <t>Running Balance</t>
  </si>
  <si>
    <t>Maximum Annual Dividend</t>
  </si>
  <si>
    <t>RRSP/RRIF Estimated Value Tracker</t>
  </si>
  <si>
    <t>Year Start Value</t>
  </si>
  <si>
    <t>Withdrawal Rate</t>
  </si>
  <si>
    <t>Growth Rate</t>
  </si>
  <si>
    <t>Annual Mandatory Withdrawal</t>
  </si>
  <si>
    <t>SCENARIO #3 - Cindy's bonus in 2025 equal to her RRSP contribution room</t>
  </si>
  <si>
    <t>SCENARIO #2 - Cindy's bonus split 2025 &amp; 2026 per Client's Withdrawal Plan</t>
  </si>
  <si>
    <t xml:space="preserve">     Family Gift #1</t>
  </si>
  <si>
    <t xml:space="preserve">     Family Gift #2</t>
  </si>
  <si>
    <t xml:space="preserve">     Less: Family Inheritance</t>
  </si>
  <si>
    <t>Note 7</t>
  </si>
  <si>
    <t>Per discussion with client, intention in 2025 is to do a cash withdrawal of $34,215</t>
  </si>
  <si>
    <t>and a RRSP contribution of $15,566.</t>
  </si>
  <si>
    <t>SCENARIO #3 - Optimized Bonus Split between 2025 and 2026</t>
  </si>
  <si>
    <t>Additional Taxes Owing to (Refundable from) CRA</t>
  </si>
  <si>
    <t>Leftover cash expected due to tax 
refund from the CRA</t>
  </si>
  <si>
    <t>Assumed that the leftover cash from 2025 is to be used to supplement the cash</t>
  </si>
  <si>
    <t>deficiency expected in 2026.</t>
  </si>
  <si>
    <t>ON 2025 Marginal Tax Rates</t>
  </si>
  <si>
    <t>TAX CALCUATION</t>
  </si>
  <si>
    <t>Other</t>
  </si>
  <si>
    <t>Capital Gains</t>
  </si>
  <si>
    <t>Canadian Dividends</t>
  </si>
  <si>
    <t>Tax Bracket</t>
  </si>
  <si>
    <t>Income</t>
  </si>
  <si>
    <t>Eligible</t>
  </si>
  <si>
    <t>Non-Eligible</t>
  </si>
  <si>
    <t>Tax</t>
  </si>
  <si>
    <t>Fixed Expenditures</t>
  </si>
  <si>
    <t>Expenditure</t>
  </si>
  <si>
    <t>Mortgage</t>
  </si>
  <si>
    <t>Pension - Steve</t>
  </si>
  <si>
    <t>Property Taxes</t>
  </si>
  <si>
    <t>Pay - Steve</t>
  </si>
  <si>
    <t>Life Insurance (Term)</t>
  </si>
  <si>
    <t>Pay - Cindy</t>
  </si>
  <si>
    <t>Life Insurance (Whole Life)</t>
  </si>
  <si>
    <t>House Insurance</t>
  </si>
  <si>
    <t>Sub-total</t>
  </si>
  <si>
    <t>Car Insurance</t>
  </si>
  <si>
    <t>Car Loan</t>
  </si>
  <si>
    <t>Electricity</t>
  </si>
  <si>
    <t>Heat</t>
  </si>
  <si>
    <t>Hot Water Tank</t>
  </si>
  <si>
    <t>Municipal Water &amp; Sewer</t>
  </si>
  <si>
    <t>Internet</t>
  </si>
  <si>
    <t>Television (including streaming services)</t>
  </si>
  <si>
    <t>Other Expenditures</t>
  </si>
  <si>
    <t>Investments</t>
  </si>
  <si>
    <t>Potentially to stop in the future</t>
  </si>
  <si>
    <t>Will stop in 2026 and onwards</t>
  </si>
  <si>
    <t>Groceries</t>
  </si>
  <si>
    <t>Restaurants</t>
  </si>
  <si>
    <t>Beverages</t>
  </si>
  <si>
    <t>Personal care</t>
  </si>
  <si>
    <t>Fitness</t>
  </si>
  <si>
    <t>Clothing</t>
  </si>
  <si>
    <t>Gifts</t>
  </si>
  <si>
    <t>Gasoline</t>
  </si>
  <si>
    <t>Annual Expenses</t>
  </si>
  <si>
    <t>Snowblowing service</t>
  </si>
  <si>
    <t>House Maintenance/Plants/etc.</t>
  </si>
  <si>
    <t>Arts and Entertainment</t>
  </si>
  <si>
    <t>Auto Maintenance (tire swap and storage)</t>
  </si>
  <si>
    <t>Dental</t>
  </si>
  <si>
    <t>Medical</t>
  </si>
  <si>
    <t>Vacations</t>
  </si>
  <si>
    <t>Credit Card Fees</t>
  </si>
  <si>
    <t>Sub-total per month</t>
  </si>
  <si>
    <t>Average monthly expenditures</t>
  </si>
  <si>
    <t>Increase to Steve's Savings</t>
  </si>
  <si>
    <t>This will offset the two $20K gift to children</t>
  </si>
  <si>
    <t>Breakdown</t>
  </si>
  <si>
    <t>$80,000 Bonus in 2026</t>
  </si>
  <si>
    <t>Cash Transfer $34,215</t>
  </si>
  <si>
    <t>RRSP $15,566</t>
  </si>
  <si>
    <t>Steve's RRSP Contribution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</si>
</sst>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quot;-$&quot;* #,##0_-;_-\$* \-??_-;_-@"/>
    <numFmt numFmtId="165" formatCode="_-\$* #,##0.00_-;&quot;-$&quot;* #,##0.00_-;_-\$* \-??_-;_-@"/>
    <numFmt numFmtId="166" formatCode="\$#,##0.00"/>
    <numFmt numFmtId="167" formatCode="mmm\-yy"/>
  </numFmts>
  <fonts count="46" x14ac:knownFonts="1">
    <font>
      <sz val="11"/>
      <color theme="1"/>
      <name val="Aptos Narrow"/>
      <charset val="1"/>
    </font>
    <font>
      <b/>
      <sz val="18"/>
      <color theme="1"/>
      <name val="Aptos Narrow"/>
      <family val="2"/>
      <charset val="1"/>
    </font>
    <font>
      <sz val="11"/>
      <color theme="1"/>
      <name val="Aptos Narrow"/>
      <family val="2"/>
      <charset val="1"/>
    </font>
    <font>
      <b/>
      <sz val="12"/>
      <color theme="1"/>
      <name val="Arial"/>
      <family val="2"/>
      <charset val="1"/>
    </font>
    <font>
      <b/>
      <sz val="14"/>
      <color theme="1"/>
      <name val="Arial"/>
      <family val="2"/>
      <charset val="1"/>
    </font>
    <font>
      <b/>
      <sz val="11"/>
      <color theme="1"/>
      <name val="Arial"/>
      <family val="2"/>
      <charset val="1"/>
    </font>
    <font>
      <b/>
      <sz val="11"/>
      <color theme="1"/>
      <name val="Aptos Narrow"/>
      <family val="2"/>
      <charset val="1"/>
    </font>
    <font>
      <sz val="11"/>
      <color theme="1"/>
      <name val="Arial"/>
      <family val="2"/>
      <charset val="1"/>
    </font>
    <font>
      <sz val="11"/>
      <color rgb="FFFF0000"/>
      <name val="Aptos Narrow"/>
      <family val="2"/>
      <charset val="1"/>
    </font>
    <font>
      <b/>
      <sz val="11"/>
      <color rgb="FF0000FF"/>
      <name val="Arial"/>
      <family val="2"/>
      <charset val="1"/>
    </font>
    <font>
      <b/>
      <sz val="11"/>
      <color rgb="FF19B5A7"/>
      <name val="Cambria"/>
      <charset val="1"/>
    </font>
    <font>
      <b/>
      <sz val="11"/>
      <color rgb="FF1F6FB2"/>
      <name val="Cambria"/>
      <charset val="1"/>
    </font>
    <font>
      <sz val="11"/>
      <color rgb="FF0000FF"/>
      <name val="Arial"/>
      <family val="2"/>
      <charset val="1"/>
    </font>
    <font>
      <sz val="11"/>
      <color rgb="FF0000FF"/>
      <name val="Aptos Narrow"/>
      <family val="2"/>
      <charset val="1"/>
    </font>
    <font>
      <b/>
      <sz val="11"/>
      <name val="Cambria"/>
      <charset val="1"/>
    </font>
    <font>
      <b/>
      <sz val="11"/>
      <color rgb="FF6D7278"/>
      <name val="Cambria"/>
      <charset val="1"/>
    </font>
    <font>
      <sz val="9"/>
      <color rgb="FF6D7278"/>
      <name val="Cambria"/>
      <charset val="1"/>
    </font>
    <font>
      <b/>
      <sz val="14"/>
      <color theme="1"/>
      <name val="Aptos Narrow"/>
      <family val="2"/>
      <charset val="1"/>
    </font>
    <font>
      <b/>
      <sz val="14"/>
      <color theme="0"/>
      <name val="Aptos Narrow"/>
      <family val="2"/>
      <charset val="1"/>
    </font>
    <font>
      <b/>
      <sz val="14"/>
      <color rgb="FFFFFFFF"/>
      <name val="Arial"/>
      <family val="2"/>
      <charset val="1"/>
    </font>
    <font>
      <b/>
      <sz val="11"/>
      <color theme="0"/>
      <name val="Aptos Narrow"/>
      <family val="2"/>
      <charset val="1"/>
    </font>
    <font>
      <b/>
      <sz val="11"/>
      <color rgb="FFBF4F14"/>
      <name val="Aptos Narrow"/>
      <family val="2"/>
      <charset val="1"/>
    </font>
    <font>
      <i/>
      <sz val="9"/>
      <color rgb="FFFF0000"/>
      <name val="Aptos Narrow"/>
      <family val="2"/>
      <charset val="1"/>
    </font>
    <font>
      <sz val="11"/>
      <color rgb="FFBF4F14"/>
      <name val="Aptos Narrow"/>
      <family val="2"/>
      <charset val="1"/>
    </font>
    <font>
      <sz val="11"/>
      <color rgb="FFBF4F14"/>
      <name val="Arial"/>
      <family val="2"/>
      <charset val="1"/>
    </font>
    <font>
      <sz val="9"/>
      <color rgb="FFFF0000"/>
      <name val="Aptos Narrow"/>
      <family val="2"/>
      <charset val="1"/>
    </font>
    <font>
      <b/>
      <sz val="11"/>
      <color rgb="FFFF0000"/>
      <name val="Aptos Narrow"/>
      <family val="2"/>
      <charset val="1"/>
    </font>
    <font>
      <sz val="11"/>
      <color rgb="FF0070C0"/>
      <name val="Aptos Narrow"/>
      <family val="2"/>
      <charset val="1"/>
    </font>
    <font>
      <i/>
      <sz val="11"/>
      <color rgb="FFFF0000"/>
      <name val="Aptos Narrow"/>
      <family val="2"/>
      <charset val="1"/>
    </font>
    <font>
      <b/>
      <i/>
      <sz val="11"/>
      <color rgb="FF0070C0"/>
      <name val="Aptos Narrow"/>
      <family val="2"/>
      <charset val="1"/>
    </font>
    <font>
      <i/>
      <sz val="9"/>
      <color rgb="FF0070C0"/>
      <name val="Arial"/>
      <family val="2"/>
      <charset val="1"/>
    </font>
    <font>
      <sz val="9"/>
      <color theme="1"/>
      <name val="Aptos Narrow"/>
      <family val="2"/>
      <charset val="1"/>
    </font>
    <font>
      <i/>
      <sz val="9"/>
      <color rgb="FF0070C0"/>
      <name val="Aptos Narrow"/>
      <family val="2"/>
      <charset val="1"/>
    </font>
    <font>
      <b/>
      <sz val="11"/>
      <color rgb="FF00B050"/>
      <name val="Aptos Narrow"/>
      <family val="2"/>
      <charset val="1"/>
    </font>
    <font>
      <b/>
      <sz val="11"/>
      <color rgb="FF0070C0"/>
      <name val="Aptos Narrow"/>
      <family val="2"/>
      <charset val="1"/>
    </font>
    <font>
      <sz val="11"/>
      <color rgb="FF0070C0"/>
      <name val="Arial"/>
      <family val="2"/>
      <charset val="1"/>
    </font>
    <font>
      <b/>
      <sz val="11"/>
      <color rgb="FF00B050"/>
      <name val="Arial"/>
      <family val="2"/>
      <charset val="1"/>
    </font>
    <font>
      <b/>
      <sz val="11"/>
      <color rgb="FF0070C0"/>
      <name val="Arial"/>
      <family val="2"/>
      <charset val="1"/>
    </font>
    <font>
      <sz val="10"/>
      <name val="Arial"/>
      <family val="2"/>
    </font>
    <font>
      <sz val="10"/>
      <color rgb="FFFFFFFF"/>
      <name val="Arial"/>
      <family val="2"/>
      <charset val="1"/>
    </font>
    <font>
      <sz val="10"/>
      <color theme="1"/>
      <name val="Arial"/>
      <family val="2"/>
      <charset val="1"/>
    </font>
    <font>
      <sz val="10"/>
      <color rgb="FF000000"/>
      <name val="Arial"/>
      <family val="2"/>
      <charset val="1"/>
    </font>
    <font>
      <sz val="10"/>
      <color rgb="FF0000FF"/>
      <name val="Arial"/>
      <family val="2"/>
      <charset val="1"/>
    </font>
    <font>
      <i/>
      <sz val="11"/>
      <color rgb="FFFF0000"/>
      <name val="Arial"/>
      <family val="2"/>
      <charset val="1"/>
    </font>
    <font>
      <b/>
      <sz val="11"/>
      <color rgb="FF0000FF"/>
      <name val="Aptos Narrow"/>
      <family val="2"/>
      <charset val="1"/>
    </font>
    <font>
      <sz val="11"/>
      <color rgb="FFFF0000"/>
      <name val="Arial"/>
      <family val="2"/>
      <charset val="1"/>
    </font>
  </fonts>
  <fills count="30">
    <fill>
      <patternFill patternType="none"/>
    </fill>
    <fill>
      <patternFill patternType="gray125"/>
    </fill>
    <fill>
      <patternFill patternType="solid">
        <fgColor rgb="FFEFEFEF"/>
        <bgColor rgb="FFDBE9F7"/>
      </patternFill>
    </fill>
    <fill>
      <patternFill patternType="solid">
        <fgColor rgb="FFC9DAF8"/>
        <bgColor rgb="FFCFE2F3"/>
      </patternFill>
    </fill>
    <fill>
      <patternFill patternType="solid">
        <fgColor rgb="FF666666"/>
        <bgColor rgb="FF6D7278"/>
      </patternFill>
    </fill>
    <fill>
      <patternFill patternType="solid">
        <fgColor rgb="FF92FF92"/>
        <bgColor rgb="FFC1F0C8"/>
      </patternFill>
    </fill>
    <fill>
      <patternFill patternType="solid">
        <fgColor rgb="FFEAD1DC"/>
        <bgColor rgb="FFF1CEEE"/>
      </patternFill>
    </fill>
    <fill>
      <patternFill patternType="solid">
        <fgColor rgb="FFFFF2CC"/>
        <bgColor rgb="FFFCE5CD"/>
      </patternFill>
    </fill>
    <fill>
      <patternFill patternType="solid">
        <fgColor rgb="FFFCE5CD"/>
        <bgColor rgb="FFFAE2D5"/>
      </patternFill>
    </fill>
    <fill>
      <patternFill patternType="solid">
        <fgColor rgb="FFB6D7A8"/>
        <bgColor rgb="FFC0C0C0"/>
      </patternFill>
    </fill>
    <fill>
      <patternFill patternType="solid">
        <fgColor rgb="FF00B050"/>
        <bgColor rgb="FF19B5A7"/>
      </patternFill>
    </fill>
    <fill>
      <patternFill patternType="solid">
        <fgColor rgb="FF002060"/>
        <bgColor rgb="FF000080"/>
      </patternFill>
    </fill>
    <fill>
      <patternFill patternType="solid">
        <fgColor rgb="FF3A7D22"/>
        <bgColor rgb="FF666666"/>
      </patternFill>
    </fill>
    <fill>
      <patternFill patternType="solid">
        <fgColor rgb="FFC1F0C8"/>
        <bgColor rgb="FFC1E4F5"/>
      </patternFill>
    </fill>
    <fill>
      <patternFill patternType="solid">
        <fgColor rgb="FF0B769F"/>
        <bgColor rgb="FF0070C0"/>
      </patternFill>
    </fill>
    <fill>
      <patternFill patternType="solid">
        <fgColor rgb="FFDBE9F7"/>
        <bgColor rgb="FFCFE2F3"/>
      </patternFill>
    </fill>
    <fill>
      <patternFill patternType="solid">
        <fgColor rgb="FFD76DCC"/>
        <bgColor rgb="FFF1A983"/>
      </patternFill>
    </fill>
    <fill>
      <patternFill patternType="solid">
        <fgColor rgb="FF7F7F7F"/>
        <bgColor rgb="FF6D7278"/>
      </patternFill>
    </fill>
    <fill>
      <patternFill patternType="solid">
        <fgColor rgb="FFCAEDFB"/>
        <bgColor rgb="FFC1E4F5"/>
      </patternFill>
    </fill>
    <fill>
      <patternFill patternType="solid">
        <fgColor rgb="FFFAE2D5"/>
        <bgColor rgb="FFFCE5CD"/>
      </patternFill>
    </fill>
    <fill>
      <patternFill patternType="solid">
        <fgColor rgb="FFF1CEEE"/>
        <bgColor rgb="FFEAD1DC"/>
      </patternFill>
    </fill>
    <fill>
      <patternFill patternType="solid">
        <fgColor rgb="FFD8D8D8"/>
        <bgColor rgb="FFEAD1DC"/>
      </patternFill>
    </fill>
    <fill>
      <patternFill patternType="solid">
        <fgColor rgb="FFC1E4F5"/>
        <bgColor rgb="FFCFE2F3"/>
      </patternFill>
    </fill>
    <fill>
      <patternFill patternType="solid">
        <fgColor rgb="FFFFFF00"/>
        <bgColor rgb="FFFFE599"/>
      </patternFill>
    </fill>
    <fill>
      <patternFill patternType="solid">
        <fgColor rgb="FFFFE599"/>
        <bgColor rgb="FFFCE5CD"/>
      </patternFill>
    </fill>
    <fill>
      <patternFill patternType="solid">
        <fgColor rgb="FFCFE2F3"/>
        <bgColor rgb="FFC9DAF8"/>
      </patternFill>
    </fill>
    <fill>
      <patternFill patternType="solid">
        <fgColor rgb="FF336699"/>
        <bgColor rgb="FF1F6FB2"/>
      </patternFill>
    </fill>
    <fill>
      <patternFill patternType="solid">
        <fgColor rgb="FF60CBF3"/>
        <bgColor rgb="FF6FA8DC"/>
      </patternFill>
    </fill>
    <fill>
      <patternFill patternType="solid">
        <fgColor rgb="FFF1A983"/>
        <bgColor rgb="FFF9CB9C"/>
      </patternFill>
    </fill>
    <fill>
      <patternFill patternType="solid">
        <fgColor rgb="FFC0C0C0"/>
        <bgColor rgb="FFB6D7A8"/>
      </patternFill>
    </fill>
  </fills>
  <borders count="28">
    <border>
      <left/>
      <right/>
      <top/>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hair">
        <color auto="1"/>
      </right>
      <top/>
      <bottom style="thin">
        <color auto="1"/>
      </bottom>
      <diagonal/>
    </border>
    <border>
      <left/>
      <right style="medium">
        <color auto="1"/>
      </right>
      <top/>
      <bottom style="thin">
        <color auto="1"/>
      </bottom>
      <diagonal/>
    </border>
    <border>
      <left style="medium">
        <color auto="1"/>
      </left>
      <right style="hair">
        <color auto="1"/>
      </right>
      <top/>
      <bottom/>
      <diagonal/>
    </border>
    <border>
      <left/>
      <right style="medium">
        <color auto="1"/>
      </right>
      <top/>
      <bottom/>
      <diagonal/>
    </border>
    <border>
      <left style="medium">
        <color auto="1"/>
      </left>
      <right style="hair">
        <color auto="1"/>
      </right>
      <top/>
      <bottom style="medium">
        <color auto="1"/>
      </bottom>
      <diagonal/>
    </border>
    <border>
      <left/>
      <right style="medium">
        <color auto="1"/>
      </right>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top style="thick">
        <color auto="1"/>
      </top>
      <bottom/>
      <diagonal/>
    </border>
    <border>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bottom/>
      <diagonal/>
    </border>
    <border>
      <left/>
      <right style="thick">
        <color auto="1"/>
      </right>
      <top/>
      <bottom/>
      <diagonal/>
    </border>
    <border>
      <left/>
      <right/>
      <top style="thin">
        <color auto="1"/>
      </top>
      <bottom style="double">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97">
    <xf numFmtId="0" fontId="0" fillId="0" borderId="0" xfId="0"/>
    <xf numFmtId="0" fontId="6" fillId="19" borderId="0" xfId="0" applyFont="1" applyFill="1" applyAlignment="1">
      <alignment horizontal="center"/>
    </xf>
    <xf numFmtId="0" fontId="6" fillId="0" borderId="0" xfId="0" applyFont="1" applyAlignment="1">
      <alignment horizontal="center"/>
    </xf>
    <xf numFmtId="0" fontId="39" fillId="26" borderId="24" xfId="0" applyFont="1" applyFill="1" applyBorder="1" applyAlignment="1">
      <alignment horizontal="center" wrapText="1"/>
    </xf>
    <xf numFmtId="0" fontId="6" fillId="13" borderId="0" xfId="0" applyFont="1" applyFill="1" applyAlignment="1">
      <alignment horizontal="center"/>
    </xf>
    <xf numFmtId="0" fontId="6" fillId="18" borderId="0" xfId="0" applyFont="1" applyFill="1" applyAlignment="1">
      <alignment horizontal="center"/>
    </xf>
    <xf numFmtId="0" fontId="4" fillId="7" borderId="14" xfId="0" applyFont="1" applyFill="1" applyBorder="1" applyAlignment="1">
      <alignment horizontal="center"/>
    </xf>
    <xf numFmtId="0" fontId="4" fillId="13" borderId="11" xfId="0" applyFont="1" applyFill="1" applyBorder="1" applyAlignment="1">
      <alignment horizontal="center"/>
    </xf>
    <xf numFmtId="0" fontId="17" fillId="19" borderId="11" xfId="0" applyFont="1" applyFill="1" applyBorder="1" applyAlignment="1">
      <alignment horizontal="center"/>
    </xf>
    <xf numFmtId="0" fontId="17" fillId="18" borderId="11" xfId="0" applyFont="1" applyFill="1" applyBorder="1" applyAlignment="1">
      <alignment horizontal="center"/>
    </xf>
    <xf numFmtId="0" fontId="10" fillId="10" borderId="2" xfId="0" applyFont="1" applyFill="1" applyBorder="1" applyAlignment="1">
      <alignment horizontal="center"/>
    </xf>
    <xf numFmtId="0" fontId="5" fillId="2" borderId="1" xfId="0" applyFont="1" applyFill="1" applyBorder="1" applyAlignment="1">
      <alignment horizontal="center" wrapText="1"/>
    </xf>
    <xf numFmtId="0" fontId="1" fillId="0" borderId="0" xfId="0" applyFont="1"/>
    <xf numFmtId="0" fontId="2" fillId="0" borderId="0" xfId="0" applyFont="1" applyAlignment="1">
      <alignment horizontal="center"/>
    </xf>
    <xf numFmtId="0" fontId="3" fillId="0" borderId="0" xfId="0" applyFont="1"/>
    <xf numFmtId="0" fontId="4" fillId="0" borderId="0" xfId="0" applyFont="1"/>
    <xf numFmtId="0" fontId="5" fillId="0" borderId="1" xfId="0" applyFont="1" applyBorder="1"/>
    <xf numFmtId="0" fontId="5" fillId="0" borderId="1" xfId="0" applyFont="1" applyBorder="1" applyAlignment="1">
      <alignment horizontal="center"/>
    </xf>
    <xf numFmtId="0" fontId="6" fillId="0" borderId="1" xfId="0" applyFont="1" applyBorder="1" applyAlignment="1">
      <alignment horizontal="center"/>
    </xf>
    <xf numFmtId="0" fontId="5" fillId="3" borderId="0" xfId="0" applyFont="1" applyFill="1"/>
    <xf numFmtId="0" fontId="5" fillId="0" borderId="0" xfId="0" applyFont="1"/>
    <xf numFmtId="0" fontId="2" fillId="4" borderId="0" xfId="0" applyFont="1" applyFill="1"/>
    <xf numFmtId="0" fontId="2" fillId="2" borderId="0" xfId="0" applyFont="1" applyFill="1"/>
    <xf numFmtId="0" fontId="7" fillId="0" borderId="0" xfId="0" applyFont="1"/>
    <xf numFmtId="164" fontId="2" fillId="0" borderId="0" xfId="0" applyNumberFormat="1" applyFont="1" applyAlignment="1">
      <alignment horizontal="center"/>
    </xf>
    <xf numFmtId="164" fontId="6" fillId="5" borderId="0" xfId="0" applyNumberFormat="1" applyFont="1" applyFill="1"/>
    <xf numFmtId="164" fontId="6" fillId="6" borderId="0" xfId="0" applyNumberFormat="1" applyFont="1" applyFill="1"/>
    <xf numFmtId="164" fontId="6" fillId="2" borderId="0" xfId="0" applyNumberFormat="1" applyFont="1" applyFill="1"/>
    <xf numFmtId="164" fontId="2" fillId="0" borderId="0" xfId="0" applyNumberFormat="1" applyFont="1"/>
    <xf numFmtId="164" fontId="7" fillId="0" borderId="0" xfId="0" applyNumberFormat="1" applyFont="1" applyAlignment="1">
      <alignment horizontal="center"/>
    </xf>
    <xf numFmtId="0" fontId="2" fillId="7" borderId="0" xfId="0" applyFont="1" applyFill="1" applyAlignment="1">
      <alignment horizontal="center"/>
    </xf>
    <xf numFmtId="0" fontId="5" fillId="7" borderId="0" xfId="0" applyFont="1" applyFill="1" applyAlignment="1">
      <alignment horizontal="right"/>
    </xf>
    <xf numFmtId="165" fontId="2" fillId="7" borderId="0" xfId="0" applyNumberFormat="1" applyFont="1" applyFill="1"/>
    <xf numFmtId="0" fontId="5" fillId="8" borderId="0" xfId="0" applyFont="1" applyFill="1"/>
    <xf numFmtId="0" fontId="7" fillId="2" borderId="0" xfId="0" applyFont="1" applyFill="1"/>
    <xf numFmtId="0" fontId="5" fillId="9" borderId="0" xfId="0" applyFont="1" applyFill="1"/>
    <xf numFmtId="164" fontId="8" fillId="0" borderId="0" xfId="0" applyNumberFormat="1" applyFont="1"/>
    <xf numFmtId="0" fontId="9" fillId="0" borderId="0" xfId="0" applyFont="1" applyAlignment="1">
      <alignment horizontal="right"/>
    </xf>
    <xf numFmtId="0" fontId="9" fillId="0" borderId="0" xfId="0" applyFont="1" applyAlignment="1">
      <alignment horizontal="center"/>
    </xf>
    <xf numFmtId="0" fontId="11" fillId="0" borderId="0" xfId="0" applyFont="1" applyAlignment="1">
      <alignment horizontal="right"/>
    </xf>
    <xf numFmtId="0" fontId="9" fillId="0" borderId="1"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164" fontId="12" fillId="0" borderId="0" xfId="0" applyNumberFormat="1" applyFont="1" applyAlignment="1">
      <alignment horizontal="left"/>
    </xf>
    <xf numFmtId="164" fontId="13" fillId="0" borderId="5" xfId="0" applyNumberFormat="1" applyFont="1" applyBorder="1" applyAlignment="1">
      <alignment horizontal="center"/>
    </xf>
    <xf numFmtId="164" fontId="13" fillId="0" borderId="6" xfId="0" applyNumberFormat="1" applyFont="1" applyBorder="1" applyAlignment="1">
      <alignment horizontal="center"/>
    </xf>
    <xf numFmtId="164" fontId="13" fillId="0" borderId="0" xfId="0" applyNumberFormat="1" applyFont="1" applyAlignment="1">
      <alignment horizontal="center"/>
    </xf>
    <xf numFmtId="164" fontId="13" fillId="0" borderId="7" xfId="0" applyNumberFormat="1" applyFont="1" applyBorder="1" applyAlignment="1">
      <alignment horizontal="center"/>
    </xf>
    <xf numFmtId="164" fontId="13" fillId="0" borderId="8" xfId="0" applyNumberFormat="1" applyFont="1" applyBorder="1" applyAlignment="1">
      <alignment horizontal="center"/>
    </xf>
    <xf numFmtId="0" fontId="14" fillId="0" borderId="0" xfId="0" applyFont="1"/>
    <xf numFmtId="164" fontId="14" fillId="0" borderId="0" xfId="0" applyNumberFormat="1" applyFont="1" applyAlignment="1">
      <alignment horizontal="left"/>
    </xf>
    <xf numFmtId="164" fontId="14" fillId="0" borderId="0" xfId="0" applyNumberFormat="1" applyFont="1" applyAlignment="1">
      <alignment horizontal="center"/>
    </xf>
    <xf numFmtId="0" fontId="12" fillId="0" borderId="0" xfId="0" applyFont="1" applyAlignment="1">
      <alignment horizontal="left"/>
    </xf>
    <xf numFmtId="0" fontId="14" fillId="0" borderId="0" xfId="0" applyFont="1" applyAlignment="1">
      <alignment horizontal="left"/>
    </xf>
    <xf numFmtId="0" fontId="15" fillId="0" borderId="0" xfId="0" applyFont="1"/>
    <xf numFmtId="0" fontId="16" fillId="0" borderId="0" xfId="0" applyFont="1"/>
    <xf numFmtId="0" fontId="2" fillId="11" borderId="0" xfId="0" applyFont="1" applyFill="1"/>
    <xf numFmtId="0" fontId="17" fillId="0" borderId="0" xfId="0" applyFont="1"/>
    <xf numFmtId="0" fontId="9" fillId="0" borderId="0" xfId="0" applyFont="1"/>
    <xf numFmtId="0" fontId="6" fillId="0" borderId="0" xfId="0" applyFont="1"/>
    <xf numFmtId="0" fontId="18" fillId="12" borderId="1" xfId="0" applyFont="1" applyFill="1" applyBorder="1" applyAlignment="1">
      <alignment horizontal="center"/>
    </xf>
    <xf numFmtId="0" fontId="19" fillId="12" borderId="1" xfId="0" applyFont="1" applyFill="1" applyBorder="1" applyAlignment="1">
      <alignment horizontal="center"/>
    </xf>
    <xf numFmtId="0" fontId="2" fillId="0" borderId="0" xfId="0" applyFont="1"/>
    <xf numFmtId="0" fontId="7" fillId="0" borderId="0" xfId="0" applyFont="1" applyAlignment="1">
      <alignment horizontal="left"/>
    </xf>
    <xf numFmtId="164" fontId="2" fillId="6" borderId="0" xfId="0" applyNumberFormat="1" applyFont="1" applyFill="1"/>
    <xf numFmtId="164" fontId="7" fillId="0" borderId="0" xfId="0" applyNumberFormat="1" applyFont="1"/>
    <xf numFmtId="164" fontId="7" fillId="6" borderId="0" xfId="0" applyNumberFormat="1" applyFont="1" applyFill="1"/>
    <xf numFmtId="164" fontId="2" fillId="0" borderId="1" xfId="0" applyNumberFormat="1" applyFont="1" applyBorder="1"/>
    <xf numFmtId="164" fontId="6" fillId="0" borderId="0" xfId="0" applyNumberFormat="1" applyFont="1"/>
    <xf numFmtId="0" fontId="6" fillId="13" borderId="0" xfId="0" applyFont="1" applyFill="1"/>
    <xf numFmtId="164" fontId="6" fillId="13" borderId="0" xfId="0" applyNumberFormat="1" applyFont="1" applyFill="1"/>
    <xf numFmtId="0" fontId="2" fillId="0" borderId="0" xfId="0" applyFont="1" applyAlignment="1">
      <alignment horizontal="left"/>
    </xf>
    <xf numFmtId="164" fontId="7" fillId="7" borderId="0" xfId="0" applyNumberFormat="1" applyFont="1" applyFill="1"/>
    <xf numFmtId="164" fontId="2" fillId="7" borderId="0" xfId="0" applyNumberFormat="1" applyFont="1" applyFill="1"/>
    <xf numFmtId="0" fontId="20" fillId="14" borderId="0" xfId="0" applyFont="1" applyFill="1"/>
    <xf numFmtId="164" fontId="20" fillId="14" borderId="0" xfId="0" applyNumberFormat="1" applyFont="1" applyFill="1"/>
    <xf numFmtId="0" fontId="21" fillId="0" borderId="0" xfId="0" applyFont="1"/>
    <xf numFmtId="164" fontId="21" fillId="0" borderId="0" xfId="0" applyNumberFormat="1" applyFont="1"/>
    <xf numFmtId="0" fontId="22" fillId="15" borderId="0" xfId="0" applyFont="1" applyFill="1"/>
    <xf numFmtId="0" fontId="23" fillId="0" borderId="0" xfId="0" applyFont="1" applyAlignment="1">
      <alignment horizontal="left"/>
    </xf>
    <xf numFmtId="164" fontId="24" fillId="7" borderId="0" xfId="0" applyNumberFormat="1" applyFont="1" applyFill="1"/>
    <xf numFmtId="164" fontId="25" fillId="15" borderId="0" xfId="0" applyNumberFormat="1" applyFont="1" applyFill="1"/>
    <xf numFmtId="0" fontId="20" fillId="16" borderId="0" xfId="0" applyFont="1" applyFill="1"/>
    <xf numFmtId="164" fontId="20" fillId="16" borderId="0" xfId="0" applyNumberFormat="1" applyFont="1" applyFill="1"/>
    <xf numFmtId="4" fontId="7" fillId="0" borderId="0" xfId="0" applyNumberFormat="1" applyFont="1"/>
    <xf numFmtId="165" fontId="2" fillId="0" borderId="0" xfId="0" applyNumberFormat="1" applyFont="1"/>
    <xf numFmtId="0" fontId="26" fillId="0" borderId="9" xfId="0" applyFont="1" applyBorder="1" applyAlignment="1">
      <alignment horizontal="right"/>
    </xf>
    <xf numFmtId="0" fontId="8" fillId="0" borderId="10" xfId="0" applyFont="1" applyBorder="1" applyAlignment="1">
      <alignment horizontal="center"/>
    </xf>
    <xf numFmtId="0" fontId="8" fillId="17" borderId="10" xfId="0" applyFont="1" applyFill="1" applyBorder="1"/>
    <xf numFmtId="0" fontId="8" fillId="17" borderId="11" xfId="0" applyFont="1" applyFill="1" applyBorder="1"/>
    <xf numFmtId="0" fontId="8" fillId="0" borderId="12" xfId="0" applyFont="1" applyBorder="1" applyAlignment="1">
      <alignment horizontal="center"/>
    </xf>
    <xf numFmtId="0" fontId="2" fillId="0" borderId="13" xfId="0" applyFont="1" applyBorder="1"/>
    <xf numFmtId="0" fontId="2" fillId="17" borderId="11" xfId="0" applyFont="1" applyFill="1" applyBorder="1"/>
    <xf numFmtId="0" fontId="6" fillId="0" borderId="15" xfId="0" applyFont="1" applyBorder="1"/>
    <xf numFmtId="0" fontId="2" fillId="17" borderId="0" xfId="0" applyFont="1" applyFill="1"/>
    <xf numFmtId="0" fontId="6" fillId="0" borderId="16" xfId="0" applyFont="1" applyBorder="1" applyAlignment="1">
      <alignment horizontal="center"/>
    </xf>
    <xf numFmtId="0" fontId="2" fillId="0" borderId="17" xfId="0" applyFont="1" applyBorder="1"/>
    <xf numFmtId="164" fontId="2" fillId="0" borderId="18" xfId="0" applyNumberFormat="1" applyFont="1" applyBorder="1"/>
    <xf numFmtId="0" fontId="7" fillId="0" borderId="17" xfId="0" applyFont="1" applyBorder="1"/>
    <xf numFmtId="164" fontId="2" fillId="20" borderId="0" xfId="0" applyNumberFormat="1" applyFont="1" applyFill="1"/>
    <xf numFmtId="164" fontId="7" fillId="0" borderId="18" xfId="0" applyNumberFormat="1" applyFont="1" applyBorder="1"/>
    <xf numFmtId="164" fontId="2" fillId="19" borderId="0" xfId="0" applyNumberFormat="1" applyFont="1" applyFill="1"/>
    <xf numFmtId="164" fontId="7" fillId="19" borderId="0" xfId="0" applyNumberFormat="1" applyFont="1" applyFill="1"/>
    <xf numFmtId="164" fontId="7" fillId="19" borderId="18" xfId="0" applyNumberFormat="1" applyFont="1" applyFill="1" applyBorder="1"/>
    <xf numFmtId="164" fontId="2" fillId="21" borderId="0" xfId="0" applyNumberFormat="1" applyFont="1" applyFill="1"/>
    <xf numFmtId="164" fontId="2" fillId="21" borderId="18" xfId="0" applyNumberFormat="1" applyFont="1" applyFill="1" applyBorder="1"/>
    <xf numFmtId="164" fontId="2" fillId="17" borderId="1" xfId="0" applyNumberFormat="1" applyFont="1" applyFill="1" applyBorder="1"/>
    <xf numFmtId="164" fontId="2" fillId="17" borderId="0" xfId="0" applyNumberFormat="1" applyFont="1" applyFill="1"/>
    <xf numFmtId="164" fontId="2" fillId="0" borderId="16" xfId="0" applyNumberFormat="1" applyFont="1" applyBorder="1"/>
    <xf numFmtId="0" fontId="6" fillId="0" borderId="17" xfId="0" applyFont="1" applyBorder="1"/>
    <xf numFmtId="164" fontId="6" fillId="17" borderId="0" xfId="0" applyNumberFormat="1" applyFont="1" applyFill="1"/>
    <xf numFmtId="164" fontId="6" fillId="0" borderId="18" xfId="0" applyNumberFormat="1" applyFont="1" applyBorder="1"/>
    <xf numFmtId="164" fontId="7" fillId="0" borderId="1" xfId="0" applyNumberFormat="1" applyFont="1" applyBorder="1"/>
    <xf numFmtId="164" fontId="7" fillId="0" borderId="16" xfId="0" applyNumberFormat="1" applyFont="1" applyBorder="1"/>
    <xf numFmtId="0" fontId="5" fillId="0" borderId="17" xfId="0" applyFont="1" applyBorder="1"/>
    <xf numFmtId="0" fontId="2" fillId="0" borderId="17" xfId="0" applyFont="1" applyBorder="1" applyAlignment="1">
      <alignment horizontal="left"/>
    </xf>
    <xf numFmtId="0" fontId="2" fillId="17" borderId="1" xfId="0" applyFont="1" applyFill="1" applyBorder="1"/>
    <xf numFmtId="0" fontId="6" fillId="17" borderId="0" xfId="0" applyFont="1" applyFill="1"/>
    <xf numFmtId="0" fontId="27" fillId="0" borderId="0" xfId="0" applyFont="1"/>
    <xf numFmtId="0" fontId="27" fillId="22" borderId="17" xfId="0" applyFont="1" applyFill="1" applyBorder="1"/>
    <xf numFmtId="164" fontId="27" fillId="22" borderId="0" xfId="0" applyNumberFormat="1" applyFont="1" applyFill="1"/>
    <xf numFmtId="0" fontId="27" fillId="17" borderId="0" xfId="0" applyFont="1" applyFill="1"/>
    <xf numFmtId="164" fontId="27" fillId="22" borderId="18" xfId="0" applyNumberFormat="1" applyFont="1" applyFill="1" applyBorder="1"/>
    <xf numFmtId="0" fontId="27" fillId="11" borderId="0" xfId="0" applyFont="1" applyFill="1"/>
    <xf numFmtId="164" fontId="6" fillId="0" borderId="19" xfId="0" applyNumberFormat="1" applyFont="1" applyBorder="1"/>
    <xf numFmtId="0" fontId="2" fillId="0" borderId="18" xfId="0" applyFont="1" applyBorder="1"/>
    <xf numFmtId="0" fontId="8" fillId="0" borderId="0" xfId="0" applyFont="1"/>
    <xf numFmtId="0" fontId="28" fillId="0" borderId="20" xfId="0" applyFont="1" applyBorder="1"/>
    <xf numFmtId="164" fontId="8" fillId="0" borderId="21" xfId="0" applyNumberFormat="1" applyFont="1" applyBorder="1"/>
    <xf numFmtId="0" fontId="8" fillId="17" borderId="21" xfId="0" applyFont="1" applyFill="1" applyBorder="1"/>
    <xf numFmtId="0" fontId="8" fillId="0" borderId="21" xfId="0" applyFont="1" applyBorder="1"/>
    <xf numFmtId="0" fontId="8" fillId="0" borderId="22" xfId="0" applyFont="1" applyBorder="1"/>
    <xf numFmtId="0" fontId="8" fillId="11" borderId="0" xfId="0" applyFont="1" applyFill="1"/>
    <xf numFmtId="0" fontId="29" fillId="0" borderId="0" xfId="0" applyFont="1" applyAlignment="1">
      <alignment horizontal="right"/>
    </xf>
    <xf numFmtId="164" fontId="27" fillId="0" borderId="0" xfId="0" applyNumberFormat="1" applyFont="1"/>
    <xf numFmtId="0" fontId="28" fillId="0" borderId="0" xfId="0" applyFont="1"/>
    <xf numFmtId="0" fontId="30" fillId="0" borderId="0" xfId="0" applyFont="1" applyAlignment="1">
      <alignment vertical="top" wrapText="1"/>
    </xf>
    <xf numFmtId="0" fontId="25" fillId="0" borderId="0" xfId="0" applyFont="1" applyAlignment="1">
      <alignment vertical="top"/>
    </xf>
    <xf numFmtId="0" fontId="31" fillId="0" borderId="0" xfId="0" applyFont="1" applyAlignment="1">
      <alignment vertical="top"/>
    </xf>
    <xf numFmtId="0" fontId="32" fillId="0" borderId="0" xfId="0" applyFont="1" applyAlignment="1">
      <alignment vertical="top"/>
    </xf>
    <xf numFmtId="0" fontId="28" fillId="11" borderId="0" xfId="0" applyFont="1" applyFill="1"/>
    <xf numFmtId="164" fontId="8" fillId="11" borderId="0" xfId="0" applyNumberFormat="1" applyFont="1" applyFill="1"/>
    <xf numFmtId="0" fontId="33" fillId="0" borderId="0" xfId="0" applyFont="1"/>
    <xf numFmtId="0" fontId="34" fillId="0" borderId="1" xfId="0" applyFont="1" applyBorder="1"/>
    <xf numFmtId="164" fontId="35" fillId="0" borderId="0" xfId="0" applyNumberFormat="1" applyFont="1"/>
    <xf numFmtId="164" fontId="27" fillId="0" borderId="1" xfId="0" applyNumberFormat="1" applyFont="1" applyBorder="1"/>
    <xf numFmtId="0" fontId="34" fillId="0" borderId="0" xfId="0" applyFont="1"/>
    <xf numFmtId="164" fontId="34" fillId="0" borderId="0" xfId="0" applyNumberFormat="1" applyFont="1"/>
    <xf numFmtId="0" fontId="6" fillId="0" borderId="0" xfId="0" applyFont="1" applyAlignment="1">
      <alignment horizontal="center" vertical="center"/>
    </xf>
    <xf numFmtId="0" fontId="36" fillId="0" borderId="0" xfId="0" applyFont="1"/>
    <xf numFmtId="0" fontId="35" fillId="0" borderId="0" xfId="0" applyFont="1"/>
    <xf numFmtId="0" fontId="37" fillId="0" borderId="0" xfId="0" applyFont="1"/>
    <xf numFmtId="0" fontId="27" fillId="0" borderId="0" xfId="0" applyFont="1" applyAlignment="1">
      <alignment horizontal="left"/>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20" borderId="1" xfId="0" applyFont="1" applyFill="1" applyBorder="1" applyAlignment="1">
      <alignment horizontal="center" vertical="center" wrapText="1"/>
    </xf>
    <xf numFmtId="0" fontId="6" fillId="0" borderId="0" xfId="0" applyFont="1" applyAlignment="1">
      <alignment horizontal="center"/>
    </xf>
    <xf numFmtId="165" fontId="8" fillId="0" borderId="0" xfId="0" applyNumberFormat="1" applyFont="1"/>
    <xf numFmtId="165" fontId="2" fillId="20" borderId="0" xfId="0" applyNumberFormat="1" applyFont="1" applyFill="1"/>
    <xf numFmtId="0" fontId="2" fillId="23" borderId="0" xfId="0" applyFont="1" applyFill="1"/>
    <xf numFmtId="0" fontId="34" fillId="0" borderId="0" xfId="0" applyFont="1" applyAlignment="1">
      <alignment horizontal="center" vertical="center"/>
    </xf>
    <xf numFmtId="165" fontId="7" fillId="0" borderId="0" xfId="0" applyNumberFormat="1" applyFont="1"/>
    <xf numFmtId="10" fontId="2" fillId="0" borderId="0" xfId="0" applyNumberFormat="1" applyFont="1" applyAlignment="1">
      <alignment horizontal="center"/>
    </xf>
    <xf numFmtId="10" fontId="7" fillId="0" borderId="0" xfId="0" applyNumberFormat="1" applyFont="1" applyAlignment="1">
      <alignment horizontal="center"/>
    </xf>
    <xf numFmtId="0" fontId="35" fillId="0" borderId="0" xfId="0" applyFont="1" applyAlignment="1">
      <alignment horizontal="left"/>
    </xf>
    <xf numFmtId="164" fontId="7" fillId="20" borderId="0" xfId="0" applyNumberFormat="1" applyFont="1" applyFill="1"/>
    <xf numFmtId="164" fontId="34" fillId="24" borderId="0" xfId="0" applyNumberFormat="1" applyFont="1" applyFill="1"/>
    <xf numFmtId="164" fontId="36" fillId="25" borderId="0" xfId="0" applyNumberFormat="1" applyFont="1" applyFill="1"/>
    <xf numFmtId="164" fontId="36" fillId="0" borderId="0" xfId="0" applyNumberFormat="1" applyFont="1"/>
    <xf numFmtId="164" fontId="26" fillId="0" borderId="0" xfId="0" applyNumberFormat="1" applyFont="1"/>
    <xf numFmtId="0" fontId="39" fillId="26" borderId="23" xfId="0" applyFont="1" applyFill="1" applyBorder="1" applyAlignment="1">
      <alignment horizontal="center" wrapText="1"/>
    </xf>
    <xf numFmtId="0" fontId="39" fillId="26" borderId="24" xfId="0" applyFont="1" applyFill="1" applyBorder="1" applyAlignment="1">
      <alignment horizontal="center" wrapText="1"/>
    </xf>
    <xf numFmtId="0" fontId="39" fillId="26" borderId="25" xfId="0" applyFont="1" applyFill="1" applyBorder="1" applyAlignment="1">
      <alignment horizontal="center" wrapText="1"/>
    </xf>
    <xf numFmtId="0" fontId="39" fillId="26" borderId="26" xfId="0" applyFont="1" applyFill="1" applyBorder="1" applyAlignment="1">
      <alignment horizontal="center" wrapText="1"/>
    </xf>
    <xf numFmtId="0" fontId="39" fillId="26" borderId="27" xfId="0" applyFont="1" applyFill="1" applyBorder="1" applyAlignment="1">
      <alignment horizontal="center" wrapText="1"/>
    </xf>
    <xf numFmtId="0" fontId="40" fillId="27" borderId="0" xfId="0" applyFont="1" applyFill="1" applyAlignment="1">
      <alignment horizontal="center" wrapText="1"/>
    </xf>
    <xf numFmtId="0" fontId="40" fillId="28" borderId="0" xfId="0" applyFont="1" applyFill="1" applyAlignment="1">
      <alignment horizontal="center" wrapText="1"/>
    </xf>
    <xf numFmtId="166" fontId="41" fillId="0" borderId="24" xfId="0" applyNumberFormat="1" applyFont="1" applyBorder="1" applyAlignment="1">
      <alignment horizontal="center" vertical="center" wrapText="1"/>
    </xf>
    <xf numFmtId="10" fontId="41" fillId="0" borderId="24" xfId="0" applyNumberFormat="1" applyFont="1" applyBorder="1" applyAlignment="1">
      <alignment horizontal="right" vertical="center" wrapText="1"/>
    </xf>
    <xf numFmtId="166" fontId="2" fillId="0" borderId="1" xfId="0" applyNumberFormat="1" applyFont="1" applyBorder="1" applyAlignment="1">
      <alignment horizontal="center"/>
    </xf>
    <xf numFmtId="166" fontId="41" fillId="29" borderId="24" xfId="0" applyNumberFormat="1" applyFont="1" applyFill="1" applyBorder="1" applyAlignment="1">
      <alignment horizontal="center" vertical="center" wrapText="1"/>
    </xf>
    <xf numFmtId="10" fontId="41" fillId="29" borderId="24" xfId="0" applyNumberFormat="1" applyFont="1" applyFill="1" applyBorder="1" applyAlignment="1">
      <alignment horizontal="right" vertical="center" wrapText="1"/>
    </xf>
    <xf numFmtId="166" fontId="2" fillId="0" borderId="0" xfId="0" applyNumberFormat="1" applyFont="1" applyAlignment="1">
      <alignment horizontal="center"/>
    </xf>
    <xf numFmtId="166" fontId="42" fillId="0" borderId="24" xfId="0" applyNumberFormat="1" applyFont="1" applyBorder="1" applyAlignment="1">
      <alignment horizontal="center" vertical="center" wrapText="1"/>
    </xf>
    <xf numFmtId="10" fontId="42" fillId="0" borderId="24" xfId="0" applyNumberFormat="1" applyFont="1" applyBorder="1" applyAlignment="1">
      <alignment horizontal="right" vertical="center" wrapText="1"/>
    </xf>
    <xf numFmtId="166" fontId="42" fillId="29" borderId="24" xfId="0" applyNumberFormat="1" applyFont="1" applyFill="1" applyBorder="1" applyAlignment="1">
      <alignment horizontal="center" vertical="center" wrapText="1"/>
    </xf>
    <xf numFmtId="10" fontId="42" fillId="29" borderId="24" xfId="0" applyNumberFormat="1" applyFont="1" applyFill="1" applyBorder="1" applyAlignment="1">
      <alignment horizontal="right" vertical="center" wrapText="1"/>
    </xf>
    <xf numFmtId="167" fontId="6" fillId="0" borderId="0" xfId="0" applyNumberFormat="1" applyFont="1"/>
    <xf numFmtId="165" fontId="6" fillId="0" borderId="0" xfId="0" applyNumberFormat="1" applyFont="1"/>
    <xf numFmtId="0" fontId="43" fillId="0" borderId="0" xfId="0" applyFont="1"/>
    <xf numFmtId="165" fontId="44" fillId="0" borderId="0" xfId="0" applyNumberFormat="1" applyFont="1"/>
    <xf numFmtId="0" fontId="45" fillId="0" borderId="0" xfId="0" applyFont="1"/>
    <xf numFmtId="165" fontId="12" fillId="0" borderId="0" xfId="0" applyNumberFormat="1" applyFont="1"/>
    <xf numFmtId="0" fontId="13" fillId="0" borderId="0" xfId="0" applyFont="1"/>
    <xf numFmtId="165" fontId="13" fillId="0" borderId="0" xfId="0" applyNumberFormat="1" applyFont="1"/>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EFEFEF"/>
      <rgbColor rgb="FF0000FF"/>
      <rgbColor rgb="FFFFFF00"/>
      <rgbColor rgb="FFFF00FF"/>
      <rgbColor rgb="FF92FF92"/>
      <rgbColor rgb="FF9C0006"/>
      <rgbColor rgb="FF00B050"/>
      <rgbColor rgb="FF000080"/>
      <rgbColor rgb="FF666666"/>
      <rgbColor rgb="FF800080"/>
      <rgbColor rgb="FF0B769F"/>
      <rgbColor rgb="FFC0C0C0"/>
      <rgbColor rgb="FF7F7F7F"/>
      <rgbColor rgb="FF6FA8DC"/>
      <rgbColor rgb="FFFAE2D5"/>
      <rgbColor rgb="FFFFF2CC"/>
      <rgbColor rgb="FFCAEDFB"/>
      <rgbColor rgb="FF660066"/>
      <rgbColor rgb="FFD76DCC"/>
      <rgbColor rgb="FF0070C0"/>
      <rgbColor rgb="FFC9DAF8"/>
      <rgbColor rgb="FF000080"/>
      <rgbColor rgb="FFFF00FF"/>
      <rgbColor rgb="FFFCE5CD"/>
      <rgbColor rgb="FFCFE2F3"/>
      <rgbColor rgb="FF800080"/>
      <rgbColor rgb="FF800000"/>
      <rgbColor rgb="FF1F6FB2"/>
      <rgbColor rgb="FF0000FF"/>
      <rgbColor rgb="FF60CBF3"/>
      <rgbColor rgb="FFDBE9F7"/>
      <rgbColor rgb="FFC1F0C8"/>
      <rgbColor rgb="FFFFE599"/>
      <rgbColor rgb="FFC1E4F5"/>
      <rgbColor rgb="FFF1A983"/>
      <rgbColor rgb="FFF1CEEE"/>
      <rgbColor rgb="FFF9CB9C"/>
      <rgbColor rgb="FF336699"/>
      <rgbColor rgb="FF19B5A7"/>
      <rgbColor rgb="FF92D050"/>
      <rgbColor rgb="FFFFC7CE"/>
      <rgbColor rgb="FFEAD1DC"/>
      <rgbColor rgb="FFD8D8D8"/>
      <rgbColor rgb="FF6D7278"/>
      <rgbColor rgb="FFB6D7A8"/>
      <rgbColor rgb="FF002060"/>
      <rgbColor rgb="FF3A7D22"/>
      <rgbColor rgb="FF003300"/>
      <rgbColor rgb="FF333300"/>
      <rgbColor rgb="FFBF4F14"/>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sheetPr>
  <dimension ref="A1:J82"/>
  <sheetViews>
    <sheetView showGridLines="0" tabSelected="1" zoomScale="115" zoomScaleNormal="115" workbookViewId="0">
      <selection activeCell="L3" sqref="L3"/>
    </sheetView>
  </sheetViews>
  <sheetFormatPr defaultColWidth="12.5703125" defaultRowHeight="15" x14ac:dyDescent="0.25"/>
  <cols>
    <col min="3" max="3" width="46.42578125" customWidth="1"/>
    <col min="8" max="8" width="1.5703125" customWidth="1"/>
    <col min="9" max="9" width="17.7109375" customWidth="1"/>
    <col min="10" max="10" width="14" customWidth="1"/>
    <col min="11" max="11" width="2.42578125" customWidth="1"/>
  </cols>
  <sheetData>
    <row r="1" spans="1:10" ht="24" customHeight="1" x14ac:dyDescent="0.4">
      <c r="A1" s="12" t="s">
        <v>0</v>
      </c>
      <c r="D1" s="13"/>
      <c r="E1" s="13"/>
      <c r="F1" s="13"/>
      <c r="G1" s="13"/>
    </row>
    <row r="2" spans="1:10" ht="15.75" customHeight="1" x14ac:dyDescent="0.25">
      <c r="A2" s="14" t="s">
        <v>1</v>
      </c>
      <c r="D2" s="13"/>
      <c r="E2" s="13"/>
      <c r="F2" s="13"/>
      <c r="G2" s="13"/>
    </row>
    <row r="3" spans="1:10" ht="18" customHeight="1" x14ac:dyDescent="0.25">
      <c r="A3" s="15" t="s">
        <v>2</v>
      </c>
      <c r="D3" s="13"/>
      <c r="E3" s="13"/>
      <c r="F3" s="13"/>
      <c r="G3" s="13"/>
    </row>
    <row r="4" spans="1:10" ht="15" customHeight="1" x14ac:dyDescent="0.25">
      <c r="D4" s="13"/>
      <c r="E4" s="13"/>
      <c r="F4" s="13"/>
      <c r="G4" s="13"/>
      <c r="J4" s="11" t="s">
        <v>3</v>
      </c>
    </row>
    <row r="5" spans="1:10" x14ac:dyDescent="0.25">
      <c r="C5" s="16" t="s">
        <v>4</v>
      </c>
      <c r="D5" s="17">
        <v>2025</v>
      </c>
      <c r="E5" s="18">
        <f>D5+1</f>
        <v>2026</v>
      </c>
      <c r="F5" s="18">
        <f>E5+1</f>
        <v>2027</v>
      </c>
      <c r="G5" s="18">
        <f>F5+1</f>
        <v>2028</v>
      </c>
      <c r="H5" s="17"/>
      <c r="I5" s="17" t="s">
        <v>5</v>
      </c>
      <c r="J5" s="11"/>
    </row>
    <row r="6" spans="1:10" x14ac:dyDescent="0.25">
      <c r="B6" s="19" t="s">
        <v>6</v>
      </c>
      <c r="C6" s="20" t="s">
        <v>7</v>
      </c>
      <c r="D6" s="13"/>
      <c r="E6" s="13"/>
      <c r="F6" s="13"/>
      <c r="G6" s="13"/>
      <c r="H6" s="21"/>
      <c r="J6" s="22"/>
    </row>
    <row r="7" spans="1:10" ht="7.5" customHeight="1" x14ac:dyDescent="0.25">
      <c r="D7" s="13"/>
      <c r="E7" s="13"/>
      <c r="F7" s="13"/>
      <c r="G7" s="13"/>
      <c r="H7" s="21"/>
      <c r="J7" s="22"/>
    </row>
    <row r="8" spans="1:10" x14ac:dyDescent="0.25">
      <c r="C8" s="23" t="s">
        <v>8</v>
      </c>
      <c r="D8" s="24">
        <f>'Scenario 1 - Bonus in 2026 Only'!C20</f>
        <v>241000</v>
      </c>
      <c r="E8" s="24">
        <f>'Scenario 1 - Bonus in 2026 Only'!F20</f>
        <v>277725.23920000001</v>
      </c>
      <c r="F8" s="24">
        <f>'Scenario 1 - Bonus in 2026 Only'!I20</f>
        <v>199999.96316799999</v>
      </c>
      <c r="G8" s="24">
        <f>'Scenario 1 - Bonus in 2026 Only'!L20</f>
        <v>203999.24243136001</v>
      </c>
      <c r="H8" s="21"/>
      <c r="I8" s="25">
        <f>SUM(D8:G8)</f>
        <v>922724.44479936012</v>
      </c>
      <c r="J8" s="22"/>
    </row>
    <row r="9" spans="1:10" x14ac:dyDescent="0.25">
      <c r="C9" s="23" t="s">
        <v>9</v>
      </c>
      <c r="D9" s="24">
        <f>'Scenario 1 - Bonus in 2026 Only'!C21</f>
        <v>66607.359999999986</v>
      </c>
      <c r="E9" s="24">
        <f>'Scenario 1 - Bonus in 2026 Only'!F21</f>
        <v>74895.02</v>
      </c>
      <c r="F9" s="24">
        <f>'Scenario 1 - Bonus in 2026 Only'!I21</f>
        <v>43835.88</v>
      </c>
      <c r="G9" s="24">
        <f>'Scenario 1 - Bonus in 2026 Only'!L21</f>
        <v>45095.08</v>
      </c>
      <c r="H9" s="21"/>
      <c r="I9" s="26">
        <f>SUM(D9:G9)</f>
        <v>230433.34000000003</v>
      </c>
      <c r="J9" s="27">
        <f>I8-I9</f>
        <v>692291.10479936004</v>
      </c>
    </row>
    <row r="10" spans="1:10" x14ac:dyDescent="0.25">
      <c r="C10" s="23" t="s">
        <v>10</v>
      </c>
      <c r="E10" s="13"/>
      <c r="F10" s="13"/>
      <c r="G10" s="13"/>
      <c r="H10" s="21"/>
      <c r="J10" s="22"/>
    </row>
    <row r="11" spans="1:10" x14ac:dyDescent="0.25">
      <c r="C11" s="23" t="s">
        <v>11</v>
      </c>
      <c r="D11" s="24">
        <f>-'Scenario 1 - Bonus in 2026 Only'!C50</f>
        <v>6260.0912499999977</v>
      </c>
      <c r="E11" s="24">
        <f>-'Scenario 1 - Bonus in 2026 Only'!F50</f>
        <v>7076.010000000002</v>
      </c>
      <c r="F11" s="24">
        <f>-'Scenario 1 - Bonus in 2026 Only'!I50</f>
        <v>1380.7299999999996</v>
      </c>
      <c r="G11" s="24">
        <f>-'Scenario 1 - Bonus in 2026 Only'!L50</f>
        <v>1599.6758000000009</v>
      </c>
      <c r="H11" s="21"/>
      <c r="I11" s="28">
        <f>SUM(D11:G11)</f>
        <v>16316.50705</v>
      </c>
      <c r="J11" s="22"/>
    </row>
    <row r="12" spans="1:10" x14ac:dyDescent="0.25">
      <c r="C12" s="23" t="s">
        <v>12</v>
      </c>
      <c r="D12" s="24">
        <f>-'Scenario 1 - Bonus in 2026 Only'!D50</f>
        <v>6053.4612499999967</v>
      </c>
      <c r="E12" s="24">
        <f>-'Scenario 1 - Bonus in 2026 Only'!G50</f>
        <v>35208.230000000003</v>
      </c>
      <c r="F12" s="24">
        <f>-'Scenario 1 - Bonus in 2026 Only'!J50</f>
        <v>9192.1543999999994</v>
      </c>
      <c r="G12" s="29">
        <f>-'Scenario 1 - Bonus in 2026 Only'!M50</f>
        <v>9567.1486880000011</v>
      </c>
      <c r="H12" s="21"/>
      <c r="I12" s="28">
        <f>SUM(D12:G12)</f>
        <v>60020.994338000004</v>
      </c>
      <c r="J12" s="22"/>
    </row>
    <row r="13" spans="1:10" ht="6" customHeight="1" x14ac:dyDescent="0.25">
      <c r="D13" s="13"/>
      <c r="H13" s="21"/>
      <c r="J13" s="22"/>
    </row>
    <row r="14" spans="1:10" x14ac:dyDescent="0.25">
      <c r="D14" s="30"/>
      <c r="E14" s="30"/>
      <c r="F14" s="30"/>
      <c r="G14" s="31" t="s">
        <v>13</v>
      </c>
      <c r="H14" s="21"/>
      <c r="I14" s="32">
        <f>'Scenario 1 - Bonus in 2026 Only'!I110</f>
        <v>142022.81201631998</v>
      </c>
      <c r="J14" s="22"/>
    </row>
    <row r="15" spans="1:10" x14ac:dyDescent="0.25">
      <c r="D15" s="13"/>
      <c r="E15" s="13"/>
      <c r="F15" s="13"/>
      <c r="G15" s="13"/>
      <c r="H15" s="21"/>
      <c r="J15" s="22"/>
    </row>
    <row r="16" spans="1:10" x14ac:dyDescent="0.25">
      <c r="B16" s="33" t="s">
        <v>14</v>
      </c>
      <c r="C16" s="20" t="s">
        <v>15</v>
      </c>
      <c r="D16" s="13"/>
      <c r="E16" s="13"/>
      <c r="F16" s="13"/>
      <c r="G16" s="13"/>
      <c r="H16" s="21"/>
      <c r="J16" s="22"/>
    </row>
    <row r="17" spans="2:10" ht="7.5" customHeight="1" x14ac:dyDescent="0.25">
      <c r="D17" s="13"/>
      <c r="E17" s="13"/>
      <c r="F17" s="13"/>
      <c r="G17" s="13"/>
      <c r="H17" s="21"/>
      <c r="J17" s="22"/>
    </row>
    <row r="18" spans="2:10" x14ac:dyDescent="0.25">
      <c r="C18" s="23" t="s">
        <v>16</v>
      </c>
      <c r="D18" s="24">
        <f>'Scenario 2 - Client Split'!C20</f>
        <v>262135.88</v>
      </c>
      <c r="E18" s="24">
        <f>'Scenario 2 - Client Split'!F20</f>
        <v>227944.23920000001</v>
      </c>
      <c r="F18" s="24">
        <f>'Scenario 2 - Client Split'!I20</f>
        <v>199999.96316799999</v>
      </c>
      <c r="G18" s="24">
        <f>'Scenario 2 - Client Split'!L20</f>
        <v>204000.24243136001</v>
      </c>
      <c r="H18" s="21"/>
      <c r="I18" s="25">
        <f>SUM(D18:G18)</f>
        <v>894080.32479936001</v>
      </c>
      <c r="J18" s="34"/>
    </row>
    <row r="19" spans="2:10" x14ac:dyDescent="0.25">
      <c r="C19" s="23" t="s">
        <v>17</v>
      </c>
      <c r="D19" s="24">
        <f>'Scenario 2 - Client Split'!C21</f>
        <v>75782.399999999994</v>
      </c>
      <c r="E19" s="24">
        <f>'Scenario 2 - Client Split'!F21</f>
        <v>53369.919999999998</v>
      </c>
      <c r="F19" s="24">
        <f>'Scenario 2 - Client Split'!I21</f>
        <v>43835.88</v>
      </c>
      <c r="G19" s="24">
        <f>'Scenario 2 - Client Split'!L21</f>
        <v>45095.08</v>
      </c>
      <c r="H19" s="21"/>
      <c r="I19" s="26">
        <f>SUM(D19:G19)</f>
        <v>218083.27999999997</v>
      </c>
      <c r="J19" s="27">
        <f>I18-I19</f>
        <v>675997.04479935998</v>
      </c>
    </row>
    <row r="20" spans="2:10" x14ac:dyDescent="0.25">
      <c r="C20" s="23" t="s">
        <v>10</v>
      </c>
      <c r="D20" s="13"/>
      <c r="E20" s="13"/>
      <c r="F20" s="13"/>
      <c r="G20" s="13"/>
      <c r="H20" s="21"/>
      <c r="J20" s="22"/>
    </row>
    <row r="21" spans="2:10" x14ac:dyDescent="0.25">
      <c r="C21" s="23" t="s">
        <v>11</v>
      </c>
      <c r="D21" s="24">
        <f>-'Scenario 2 - Client Split'!C50</f>
        <v>5811.197500000002</v>
      </c>
      <c r="E21" s="24">
        <f>-'Scenario 2 - Client Split'!F50</f>
        <v>2567.209899999998</v>
      </c>
      <c r="F21" s="24">
        <f>-'Scenario 2 - Client Split'!I50</f>
        <v>1380.7299999999996</v>
      </c>
      <c r="G21" s="24">
        <f>-'Scenario 2 - Client Split'!L50</f>
        <v>1599.6758000000009</v>
      </c>
      <c r="H21" s="21"/>
      <c r="I21" s="28">
        <f>SUM(D21:G21)</f>
        <v>11358.813200000001</v>
      </c>
      <c r="J21" s="22"/>
    </row>
    <row r="22" spans="2:10" x14ac:dyDescent="0.25">
      <c r="C22" s="23" t="s">
        <v>12</v>
      </c>
      <c r="D22" s="24">
        <f>-'Scenario 2 - Client Split'!D50</f>
        <v>15677.394999999993</v>
      </c>
      <c r="E22" s="24">
        <f>-'Scenario 2 - Client Split'!G50</f>
        <v>18191.930099999998</v>
      </c>
      <c r="F22" s="24">
        <f>-'Scenario 2 - Client Split'!J50</f>
        <v>9192.1543999999994</v>
      </c>
      <c r="G22" s="24">
        <f>-'Scenario 2 - Client Split'!M50</f>
        <v>9567.1486880000011</v>
      </c>
      <c r="H22" s="21"/>
      <c r="I22" s="28">
        <f>SUM(D22:G22)</f>
        <v>52628.628187999988</v>
      </c>
      <c r="J22" s="22"/>
    </row>
    <row r="23" spans="2:10" ht="6" customHeight="1" x14ac:dyDescent="0.25">
      <c r="D23" s="13"/>
      <c r="H23" s="21"/>
      <c r="J23" s="22"/>
    </row>
    <row r="24" spans="2:10" x14ac:dyDescent="0.25">
      <c r="D24" s="30"/>
      <c r="E24" s="30"/>
      <c r="F24" s="30"/>
      <c r="G24" s="31" t="s">
        <v>13</v>
      </c>
      <c r="H24" s="21"/>
      <c r="I24" s="32">
        <f>'Scenario 2 - Client Split'!I111</f>
        <v>155101.93201631997</v>
      </c>
      <c r="J24" s="22"/>
    </row>
    <row r="25" spans="2:10" x14ac:dyDescent="0.25">
      <c r="D25" s="13"/>
      <c r="E25" s="13"/>
      <c r="F25" s="13"/>
      <c r="G25" s="13"/>
      <c r="H25" s="21"/>
      <c r="J25" s="22"/>
    </row>
    <row r="26" spans="2:10" x14ac:dyDescent="0.25">
      <c r="B26" s="35" t="s">
        <v>18</v>
      </c>
      <c r="C26" s="20" t="s">
        <v>19</v>
      </c>
      <c r="D26" s="13"/>
      <c r="E26" s="13"/>
      <c r="F26" s="13"/>
      <c r="G26" s="13"/>
      <c r="H26" s="21"/>
      <c r="J26" s="22"/>
    </row>
    <row r="27" spans="2:10" x14ac:dyDescent="0.25">
      <c r="D27" s="13"/>
      <c r="E27" s="13"/>
      <c r="F27" s="13"/>
      <c r="G27" s="13"/>
      <c r="H27" s="21"/>
      <c r="J27" s="22"/>
    </row>
    <row r="28" spans="2:10" x14ac:dyDescent="0.25">
      <c r="C28" s="23" t="s">
        <v>16</v>
      </c>
      <c r="D28" s="24">
        <f>'Scenario 3 - Optimized Split'!C20</f>
        <v>245040.05960000001</v>
      </c>
      <c r="E28" s="24">
        <f>'Scenario 3 - Optimized Split'!F20</f>
        <v>245040.05959999998</v>
      </c>
      <c r="F28" s="24">
        <f>'Scenario 3 - Optimized Split'!I20</f>
        <v>199999.96316799999</v>
      </c>
      <c r="G28" s="24">
        <f>'Scenario 3 - Optimized Split'!L20</f>
        <v>204000.24243136001</v>
      </c>
      <c r="H28" s="21"/>
      <c r="I28" s="25">
        <f>SUM(D28:G28)</f>
        <v>894080.32479936001</v>
      </c>
      <c r="J28" s="22"/>
    </row>
    <row r="29" spans="2:10" x14ac:dyDescent="0.25">
      <c r="C29" s="23" t="s">
        <v>17</v>
      </c>
      <c r="D29" s="24">
        <f>'Scenario 3 - Optimized Split'!C21</f>
        <v>68361.100000000006</v>
      </c>
      <c r="E29" s="24">
        <f>'Scenario 3 - Optimized Split'!F21</f>
        <v>60706.16</v>
      </c>
      <c r="F29" s="24">
        <f>'Scenario 3 - Optimized Split'!I21</f>
        <v>43835.88</v>
      </c>
      <c r="G29" s="24">
        <f>'Scenario 3 - Optimized Split'!L21</f>
        <v>45095.08</v>
      </c>
      <c r="H29" s="21"/>
      <c r="I29" s="26">
        <f>SUM(D29:G29)</f>
        <v>217998.22000000003</v>
      </c>
      <c r="J29" s="27">
        <f>I28-I29</f>
        <v>676082.10479936004</v>
      </c>
    </row>
    <row r="30" spans="2:10" x14ac:dyDescent="0.25">
      <c r="C30" s="23" t="s">
        <v>10</v>
      </c>
      <c r="H30" s="21"/>
      <c r="J30" s="22"/>
    </row>
    <row r="31" spans="2:10" x14ac:dyDescent="0.25">
      <c r="C31" s="23" t="s">
        <v>11</v>
      </c>
      <c r="D31" s="28">
        <f>-'Scenario 3 - Optimized Split'!C50</f>
        <v>4237.5125000000044</v>
      </c>
      <c r="E31" s="28">
        <f>-'Scenario 3 - Optimized Split'!F50</f>
        <v>4098.352350000001</v>
      </c>
      <c r="F31" s="24">
        <f>-'Scenario 3 - Optimized Split'!I50</f>
        <v>1380.7299999999996</v>
      </c>
      <c r="G31" s="24">
        <f>-'Scenario 3 - Optimized Split'!L50</f>
        <v>1599.6758000000009</v>
      </c>
      <c r="H31" s="21"/>
      <c r="I31" s="28">
        <f>SUM(D31:G31)</f>
        <v>11316.270650000006</v>
      </c>
      <c r="J31" s="22"/>
    </row>
    <row r="32" spans="2:10" x14ac:dyDescent="0.25">
      <c r="C32" s="23" t="s">
        <v>12</v>
      </c>
      <c r="D32" s="28">
        <f>-'Scenario 3 - Optimized Split'!D50</f>
        <v>9829.7799999999988</v>
      </c>
      <c r="E32" s="28">
        <f>-'Scenario 3 - Optimized Split'!G50</f>
        <v>23997.027650000004</v>
      </c>
      <c r="F32" s="24">
        <f>-'Scenario 3 - Optimized Split'!J50</f>
        <v>9192.1543999999994</v>
      </c>
      <c r="G32" s="24">
        <f>-'Scenario 3 - Optimized Split'!M50</f>
        <v>9567.1486880000011</v>
      </c>
      <c r="H32" s="21"/>
      <c r="I32" s="28">
        <f>SUM(D32:G32)</f>
        <v>52586.110738000003</v>
      </c>
      <c r="J32" s="22"/>
    </row>
    <row r="33" spans="2:10" ht="6" customHeight="1" x14ac:dyDescent="0.25">
      <c r="D33" s="13"/>
      <c r="H33" s="21"/>
      <c r="J33" s="22"/>
    </row>
    <row r="34" spans="2:10" x14ac:dyDescent="0.25">
      <c r="D34" s="30"/>
      <c r="E34" s="30"/>
      <c r="F34" s="30"/>
      <c r="G34" s="31" t="s">
        <v>13</v>
      </c>
      <c r="H34" s="21"/>
      <c r="I34" s="32">
        <f>'Scenario 3 - Optimized Split'!I110</f>
        <v>155101.93201631997</v>
      </c>
      <c r="J34" s="22"/>
    </row>
    <row r="35" spans="2:10" x14ac:dyDescent="0.25">
      <c r="D35" s="13"/>
      <c r="E35" s="13"/>
      <c r="F35" s="13"/>
      <c r="G35" s="13"/>
      <c r="H35" s="21"/>
      <c r="J35" s="22"/>
    </row>
    <row r="36" spans="2:10" x14ac:dyDescent="0.25">
      <c r="B36" s="33" t="s">
        <v>20</v>
      </c>
      <c r="C36" s="20" t="s">
        <v>21</v>
      </c>
      <c r="D36" s="13"/>
      <c r="E36" s="13"/>
      <c r="F36" s="13"/>
      <c r="G36" s="13"/>
      <c r="H36" s="21"/>
      <c r="J36" s="22"/>
    </row>
    <row r="37" spans="2:10" x14ac:dyDescent="0.25">
      <c r="D37" s="13"/>
      <c r="E37" s="13"/>
      <c r="F37" s="13"/>
      <c r="G37" s="13"/>
      <c r="H37" s="21"/>
      <c r="J37" s="22"/>
    </row>
    <row r="38" spans="2:10" x14ac:dyDescent="0.25">
      <c r="C38" s="23" t="s">
        <v>16</v>
      </c>
      <c r="D38" s="24">
        <f>'Scenario 4 - Bonus in 2025 Only'!C20</f>
        <v>342135.88</v>
      </c>
      <c r="E38" s="24">
        <f>'Scenario 4 - Bonus in 2025 Only'!F20</f>
        <v>147944.23920000001</v>
      </c>
      <c r="F38" s="24">
        <f>'Scenario 4 - Bonus in 2025 Only'!I20</f>
        <v>199999.96316799999</v>
      </c>
      <c r="G38" s="24">
        <f>'Scenario 4 - Bonus in 2025 Only'!L20</f>
        <v>204000.24243136001</v>
      </c>
      <c r="H38" s="21"/>
      <c r="I38" s="25">
        <f>SUM(D38:G38)</f>
        <v>894080.32479936001</v>
      </c>
      <c r="J38" s="22"/>
    </row>
    <row r="39" spans="2:10" x14ac:dyDescent="0.25">
      <c r="C39" s="23" t="s">
        <v>17</v>
      </c>
      <c r="D39" s="24">
        <f>'Scenario 4 - Bonus in 2025 Only'!C21</f>
        <v>111166.51999999999</v>
      </c>
      <c r="E39" s="24">
        <f>'Scenario 4 - Bonus in 2025 Only'!F21</f>
        <v>28149.38</v>
      </c>
      <c r="F39" s="24">
        <f>'Scenario 4 - Bonus in 2025 Only'!I21</f>
        <v>43835.88</v>
      </c>
      <c r="G39" s="24">
        <f>'Scenario 4 - Bonus in 2025 Only'!L21</f>
        <v>45095.08</v>
      </c>
      <c r="H39" s="21"/>
      <c r="I39" s="26">
        <f>SUM(D39:G39)</f>
        <v>228246.86</v>
      </c>
      <c r="J39" s="27">
        <f>I38-I39</f>
        <v>665833.46479936002</v>
      </c>
    </row>
    <row r="40" spans="2:10" x14ac:dyDescent="0.25">
      <c r="C40" s="23" t="s">
        <v>10</v>
      </c>
      <c r="H40" s="21"/>
      <c r="J40" s="22"/>
    </row>
    <row r="41" spans="2:10" x14ac:dyDescent="0.25">
      <c r="C41" s="23" t="s">
        <v>11</v>
      </c>
      <c r="D41" s="28">
        <f>-'Scenario 4 - Bonus in 2025 Only'!C50</f>
        <v>13503.222499999996</v>
      </c>
      <c r="E41" s="36">
        <f>-'Scenario 4 - Bonus in 2025 Only'!F50</f>
        <v>-43.059999999999491</v>
      </c>
      <c r="F41" s="24">
        <f>-'Scenario 4 - Bonus in 2025 Only'!I50</f>
        <v>1380.7299999999996</v>
      </c>
      <c r="G41" s="24">
        <f>-'Scenario 4 - Bonus in 2025 Only'!L50</f>
        <v>1599.6758000000009</v>
      </c>
      <c r="H41" s="21"/>
      <c r="I41" s="28">
        <f>SUM(D41:G41)</f>
        <v>16440.568299999999</v>
      </c>
      <c r="J41" s="22"/>
    </row>
    <row r="42" spans="2:10" x14ac:dyDescent="0.25">
      <c r="C42" s="23" t="s">
        <v>12</v>
      </c>
      <c r="D42" s="28">
        <f>-'Scenario 4 - Bonus in 2025 Only'!D50</f>
        <v>43369.49</v>
      </c>
      <c r="E42" s="36">
        <f>-'Scenario 4 - Bonus in 2025 Only'!G50</f>
        <v>-4418.3399999999983</v>
      </c>
      <c r="F42" s="24">
        <f>-'Scenario 4 - Bonus in 2025 Only'!J50</f>
        <v>9192.1543999999994</v>
      </c>
      <c r="G42" s="24">
        <f>-'Scenario 4 - Bonus in 2025 Only'!M50</f>
        <v>9567.1486880000011</v>
      </c>
      <c r="H42" s="21"/>
      <c r="I42" s="28">
        <f>SUM(D42:G42)</f>
        <v>57710.453088000002</v>
      </c>
      <c r="J42" s="22"/>
    </row>
    <row r="43" spans="2:10" ht="6" customHeight="1" x14ac:dyDescent="0.25">
      <c r="D43" s="13"/>
      <c r="H43" s="21"/>
      <c r="J43" s="22"/>
    </row>
    <row r="44" spans="2:10" x14ac:dyDescent="0.25">
      <c r="C44" s="37"/>
      <c r="D44" s="30"/>
      <c r="E44" s="30"/>
      <c r="F44" s="30"/>
      <c r="G44" s="31" t="s">
        <v>13</v>
      </c>
      <c r="H44" s="21"/>
      <c r="I44" s="32">
        <f>'Scenario 4 - Bonus in 2025 Only'!I114</f>
        <v>155101.93201631997</v>
      </c>
      <c r="J44" s="22"/>
    </row>
    <row r="45" spans="2:10" x14ac:dyDescent="0.25">
      <c r="C45" s="37"/>
      <c r="D45" s="38"/>
      <c r="E45" s="38"/>
      <c r="F45" s="38"/>
      <c r="G45" s="38"/>
    </row>
    <row r="46" spans="2:10" x14ac:dyDescent="0.25">
      <c r="C46" s="37"/>
      <c r="D46" s="38"/>
      <c r="E46" s="10" t="s">
        <v>22</v>
      </c>
      <c r="F46" s="10"/>
      <c r="G46" s="38"/>
    </row>
    <row r="47" spans="2:10" x14ac:dyDescent="0.25">
      <c r="C47" s="39" t="s">
        <v>23</v>
      </c>
      <c r="D47" s="40" t="s">
        <v>6</v>
      </c>
      <c r="E47" s="41" t="s">
        <v>14</v>
      </c>
      <c r="F47" s="42" t="s">
        <v>18</v>
      </c>
      <c r="G47" s="40" t="s">
        <v>20</v>
      </c>
    </row>
    <row r="48" spans="2:10" x14ac:dyDescent="0.25">
      <c r="C48" s="37" t="s">
        <v>24</v>
      </c>
      <c r="D48" s="43">
        <f>D8+E8</f>
        <v>518725.23920000001</v>
      </c>
      <c r="E48" s="44">
        <f>D18+E18</f>
        <v>490080.11920000002</v>
      </c>
      <c r="F48" s="45">
        <f>D28+E28</f>
        <v>490080.11919999996</v>
      </c>
      <c r="G48" s="46">
        <f>D38+E38</f>
        <v>490080.11920000002</v>
      </c>
    </row>
    <row r="49" spans="3:7" x14ac:dyDescent="0.25">
      <c r="C49" s="37" t="s">
        <v>25</v>
      </c>
      <c r="D49" s="43">
        <f>D9+E9</f>
        <v>141502.38</v>
      </c>
      <c r="E49" s="47">
        <f>D19+E19</f>
        <v>129152.31999999999</v>
      </c>
      <c r="F49" s="48">
        <f>D29+E29</f>
        <v>129067.26000000001</v>
      </c>
      <c r="G49" s="46">
        <f>D39+E39</f>
        <v>139315.9</v>
      </c>
    </row>
    <row r="50" spans="3:7" x14ac:dyDescent="0.25">
      <c r="C50" s="49" t="s">
        <v>26</v>
      </c>
      <c r="D50" s="50">
        <f>I14</f>
        <v>142022.81201631998</v>
      </c>
      <c r="E50" s="51">
        <f>I24</f>
        <v>155101.93201631997</v>
      </c>
      <c r="F50" s="51">
        <f>I34</f>
        <v>155101.93201631997</v>
      </c>
      <c r="G50" s="51">
        <f>I44</f>
        <v>155101.93201631997</v>
      </c>
    </row>
    <row r="51" spans="3:7" x14ac:dyDescent="0.25">
      <c r="C51" s="39" t="s">
        <v>27</v>
      </c>
      <c r="D51" s="52"/>
      <c r="E51" s="13"/>
      <c r="F51" s="13"/>
      <c r="G51" s="13"/>
    </row>
    <row r="52" spans="3:7" x14ac:dyDescent="0.25">
      <c r="D52" s="53" t="s">
        <v>28</v>
      </c>
      <c r="E52" s="13"/>
      <c r="F52" s="13"/>
      <c r="G52" s="13"/>
    </row>
    <row r="53" spans="3:7" x14ac:dyDescent="0.25">
      <c r="D53" s="52"/>
      <c r="E53" s="13"/>
      <c r="F53" s="13"/>
      <c r="G53" s="13"/>
    </row>
    <row r="54" spans="3:7" x14ac:dyDescent="0.25">
      <c r="D54" s="52" t="s">
        <v>29</v>
      </c>
      <c r="E54" s="13"/>
      <c r="F54" s="13"/>
      <c r="G54" s="13"/>
    </row>
    <row r="55" spans="3:7" x14ac:dyDescent="0.25">
      <c r="D55" s="52" t="s">
        <v>30</v>
      </c>
      <c r="E55" s="13"/>
      <c r="F55" s="13"/>
      <c r="G55" s="13"/>
    </row>
    <row r="56" spans="3:7" x14ac:dyDescent="0.25">
      <c r="D56" s="52" t="s">
        <v>31</v>
      </c>
      <c r="E56" s="13"/>
      <c r="F56" s="13"/>
      <c r="G56" s="13"/>
    </row>
    <row r="57" spans="3:7" x14ac:dyDescent="0.25">
      <c r="D57" s="52" t="s">
        <v>32</v>
      </c>
      <c r="E57" s="13"/>
      <c r="F57" s="13"/>
      <c r="G57" s="13"/>
    </row>
    <row r="58" spans="3:7" x14ac:dyDescent="0.25">
      <c r="D58" s="52" t="s">
        <v>33</v>
      </c>
      <c r="E58" s="13"/>
      <c r="F58" s="13"/>
      <c r="G58" s="13"/>
    </row>
    <row r="59" spans="3:7" x14ac:dyDescent="0.25">
      <c r="D59" s="13"/>
      <c r="E59" s="13"/>
      <c r="F59" s="13"/>
      <c r="G59" s="13"/>
    </row>
    <row r="60" spans="3:7" x14ac:dyDescent="0.25">
      <c r="D60" t="s">
        <v>34</v>
      </c>
    </row>
    <row r="62" spans="3:7" x14ac:dyDescent="0.25">
      <c r="D62" t="s">
        <v>35</v>
      </c>
    </row>
    <row r="63" spans="3:7" x14ac:dyDescent="0.25">
      <c r="D63" t="s">
        <v>36</v>
      </c>
    </row>
    <row r="65" spans="3:4" x14ac:dyDescent="0.25">
      <c r="D65" t="s">
        <v>37</v>
      </c>
    </row>
    <row r="66" spans="3:4" x14ac:dyDescent="0.25">
      <c r="D66" t="s">
        <v>38</v>
      </c>
    </row>
    <row r="67" spans="3:4" x14ac:dyDescent="0.25">
      <c r="D67" t="s">
        <v>39</v>
      </c>
    </row>
    <row r="69" spans="3:4" x14ac:dyDescent="0.25">
      <c r="D69" t="s">
        <v>40</v>
      </c>
    </row>
    <row r="70" spans="3:4" x14ac:dyDescent="0.25">
      <c r="D70" t="s">
        <v>41</v>
      </c>
    </row>
    <row r="73" spans="3:4" x14ac:dyDescent="0.25">
      <c r="C73" s="54" t="s">
        <v>42</v>
      </c>
    </row>
    <row r="74" spans="3:4" x14ac:dyDescent="0.25">
      <c r="D74" s="55" t="s">
        <v>43</v>
      </c>
    </row>
    <row r="75" spans="3:4" x14ac:dyDescent="0.25">
      <c r="D75" s="55" t="s">
        <v>44</v>
      </c>
    </row>
    <row r="76" spans="3:4" x14ac:dyDescent="0.25">
      <c r="D76" s="55" t="s">
        <v>45</v>
      </c>
    </row>
    <row r="77" spans="3:4" x14ac:dyDescent="0.25">
      <c r="D77" s="55" t="s">
        <v>46</v>
      </c>
    </row>
    <row r="79" spans="3:4" x14ac:dyDescent="0.25">
      <c r="D79" s="55" t="s">
        <v>47</v>
      </c>
    </row>
    <row r="80" spans="3:4" x14ac:dyDescent="0.25">
      <c r="D80" s="55" t="s">
        <v>48</v>
      </c>
    </row>
    <row r="81" spans="4:4" x14ac:dyDescent="0.25">
      <c r="D81" s="55" t="s">
        <v>49</v>
      </c>
    </row>
    <row r="82" spans="4:4" x14ac:dyDescent="0.25">
      <c r="D82" s="55" t="s">
        <v>50</v>
      </c>
    </row>
  </sheetData>
  <mergeCells count="2">
    <mergeCell ref="J4:J5"/>
    <mergeCell ref="E46:F46"/>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FA8DC"/>
  </sheetPr>
  <dimension ref="A1:AC1014"/>
  <sheetViews>
    <sheetView showGridLines="0" zoomScaleNormal="100" workbookViewId="0"/>
  </sheetViews>
  <sheetFormatPr defaultColWidth="12.5703125" defaultRowHeight="15" x14ac:dyDescent="0.25"/>
  <cols>
    <col min="1" max="1" width="9.140625" customWidth="1"/>
    <col min="2" max="2" width="40.85546875" customWidth="1"/>
    <col min="3" max="4" width="16.7109375" customWidth="1"/>
    <col min="5" max="5" width="1.28515625" customWidth="1"/>
    <col min="6" max="7" width="16.7109375" customWidth="1"/>
    <col min="8" max="8" width="1.28515625" customWidth="1"/>
    <col min="9" max="9" width="16.7109375" customWidth="1"/>
    <col min="10" max="10" width="24.28515625" customWidth="1"/>
    <col min="11" max="11" width="1.28515625" customWidth="1"/>
    <col min="12" max="13" width="16.7109375" customWidth="1"/>
    <col min="14" max="14" width="9.140625" customWidth="1"/>
    <col min="15" max="15" width="1.5703125" customWidth="1"/>
    <col min="16" max="29" width="8.5703125" customWidth="1"/>
  </cols>
  <sheetData>
    <row r="1" spans="1:15" ht="24" customHeight="1" x14ac:dyDescent="0.4">
      <c r="A1" s="12" t="s">
        <v>0</v>
      </c>
      <c r="O1" s="56"/>
    </row>
    <row r="2" spans="1:15" ht="18.75" customHeight="1" x14ac:dyDescent="0.3">
      <c r="A2" s="57" t="s">
        <v>51</v>
      </c>
      <c r="O2" s="56"/>
    </row>
    <row r="3" spans="1:15" x14ac:dyDescent="0.25">
      <c r="A3" s="58" t="s">
        <v>52</v>
      </c>
      <c r="O3" s="56"/>
    </row>
    <row r="4" spans="1:15" x14ac:dyDescent="0.25">
      <c r="B4" s="59"/>
      <c r="O4" s="56"/>
    </row>
    <row r="5" spans="1:15" ht="18.75" customHeight="1" x14ac:dyDescent="0.3">
      <c r="C5" s="60">
        <v>2025</v>
      </c>
      <c r="F5" s="60">
        <v>2026</v>
      </c>
      <c r="I5" s="60">
        <v>2027</v>
      </c>
      <c r="L5" s="61">
        <v>2028</v>
      </c>
      <c r="O5" s="56"/>
    </row>
    <row r="6" spans="1:15" x14ac:dyDescent="0.25">
      <c r="B6" s="62" t="s">
        <v>53</v>
      </c>
      <c r="C6" s="28">
        <v>5000</v>
      </c>
      <c r="F6" s="28">
        <f>(C6-2000)*1.02</f>
        <v>3060</v>
      </c>
      <c r="I6" s="28">
        <f>F6*1.02</f>
        <v>3121.2000000000003</v>
      </c>
      <c r="L6" s="28">
        <f>I6*1.02</f>
        <v>3183.6240000000003</v>
      </c>
      <c r="O6" s="56"/>
    </row>
    <row r="7" spans="1:15" ht="6" customHeight="1" x14ac:dyDescent="0.25">
      <c r="C7" s="28"/>
      <c r="F7" s="28"/>
      <c r="I7" s="28"/>
      <c r="L7" s="28"/>
      <c r="O7" s="56"/>
    </row>
    <row r="8" spans="1:15" x14ac:dyDescent="0.25">
      <c r="B8" s="62" t="s">
        <v>54</v>
      </c>
      <c r="C8" s="28">
        <f>C6*12</f>
        <v>60000</v>
      </c>
      <c r="F8" s="28">
        <f>F6*12</f>
        <v>36720</v>
      </c>
      <c r="I8" s="28">
        <f>I6*12</f>
        <v>37454.400000000001</v>
      </c>
      <c r="L8" s="28">
        <f>L6*12</f>
        <v>38203.488000000005</v>
      </c>
      <c r="O8" s="56"/>
    </row>
    <row r="9" spans="1:15" x14ac:dyDescent="0.25">
      <c r="B9" s="20" t="s">
        <v>55</v>
      </c>
      <c r="C9" s="28"/>
      <c r="O9" s="56"/>
    </row>
    <row r="10" spans="1:15" x14ac:dyDescent="0.25">
      <c r="B10" s="63" t="s">
        <v>56</v>
      </c>
      <c r="C10" s="28">
        <v>0</v>
      </c>
      <c r="F10" s="64">
        <v>20000</v>
      </c>
      <c r="I10" s="64">
        <v>0</v>
      </c>
      <c r="L10" s="28">
        <v>0</v>
      </c>
      <c r="O10" s="56"/>
    </row>
    <row r="11" spans="1:15" x14ac:dyDescent="0.25">
      <c r="B11" s="63" t="s">
        <v>57</v>
      </c>
      <c r="C11" s="28">
        <v>0</v>
      </c>
      <c r="F11" s="64">
        <v>0</v>
      </c>
      <c r="I11" s="64">
        <v>20000</v>
      </c>
      <c r="L11" s="65">
        <v>0</v>
      </c>
      <c r="O11" s="56"/>
    </row>
    <row r="12" spans="1:15" x14ac:dyDescent="0.25">
      <c r="B12" s="23" t="s">
        <v>58</v>
      </c>
      <c r="C12" s="28">
        <v>0</v>
      </c>
      <c r="F12" s="66">
        <v>-20000</v>
      </c>
      <c r="I12" s="66">
        <v>-20000</v>
      </c>
      <c r="L12" s="65">
        <v>0</v>
      </c>
      <c r="O12" s="56"/>
    </row>
    <row r="13" spans="1:15" x14ac:dyDescent="0.25">
      <c r="B13" s="62" t="s">
        <v>59</v>
      </c>
      <c r="C13" s="67">
        <f>12*300</f>
        <v>3600</v>
      </c>
      <c r="F13" s="67">
        <f>C13*1.02</f>
        <v>3672</v>
      </c>
      <c r="I13" s="67">
        <f>F13*1.02</f>
        <v>3745.44</v>
      </c>
      <c r="L13" s="67">
        <f>I13*1.02</f>
        <v>3820.3488000000002</v>
      </c>
      <c r="O13" s="56"/>
    </row>
    <row r="14" spans="1:15" x14ac:dyDescent="0.25">
      <c r="B14" s="59" t="s">
        <v>60</v>
      </c>
      <c r="C14" s="68">
        <f>SUM(C8:C13)</f>
        <v>63600</v>
      </c>
      <c r="D14" s="59"/>
      <c r="E14" s="59"/>
      <c r="F14" s="68">
        <f>SUM(F8:F13)</f>
        <v>40392</v>
      </c>
      <c r="H14" s="59"/>
      <c r="I14" s="68">
        <f>SUM(I8:I13)</f>
        <v>41199.840000000004</v>
      </c>
      <c r="K14" s="59"/>
      <c r="L14" s="68">
        <f>SUM(L8:L13)</f>
        <v>42023.836800000005</v>
      </c>
      <c r="O14" s="56"/>
    </row>
    <row r="15" spans="1:15" ht="6" customHeight="1" x14ac:dyDescent="0.25">
      <c r="C15" s="28"/>
      <c r="F15" s="28"/>
      <c r="I15" s="28"/>
      <c r="L15" s="28"/>
      <c r="O15" s="56"/>
    </row>
    <row r="16" spans="1:15" x14ac:dyDescent="0.25">
      <c r="B16" s="69" t="s">
        <v>61</v>
      </c>
      <c r="C16" s="70">
        <f>+C17+C18</f>
        <v>241000</v>
      </c>
      <c r="F16" s="70">
        <f>+F17+F18</f>
        <v>195000</v>
      </c>
      <c r="I16" s="70">
        <f>+I17+I18</f>
        <v>200000</v>
      </c>
      <c r="L16" s="70">
        <f>+L17+L18</f>
        <v>204000</v>
      </c>
      <c r="O16" s="56"/>
    </row>
    <row r="17" spans="1:29" x14ac:dyDescent="0.25">
      <c r="B17" s="71" t="s">
        <v>11</v>
      </c>
      <c r="C17" s="72">
        <v>120500</v>
      </c>
      <c r="F17" s="72">
        <v>97500</v>
      </c>
      <c r="I17" s="73">
        <f>ROUNDUP(99596.03,-3)</f>
        <v>100000</v>
      </c>
      <c r="L17" s="73">
        <f>ROUNDUP(101867,-3)</f>
        <v>102000</v>
      </c>
      <c r="O17" s="56"/>
    </row>
    <row r="18" spans="1:29" x14ac:dyDescent="0.25">
      <c r="B18" s="71" t="s">
        <v>12</v>
      </c>
      <c r="C18" s="73">
        <f>C17</f>
        <v>120500</v>
      </c>
      <c r="F18" s="73">
        <f>F17</f>
        <v>97500</v>
      </c>
      <c r="I18" s="73">
        <f>I17</f>
        <v>100000</v>
      </c>
      <c r="L18" s="73">
        <f>L17</f>
        <v>102000</v>
      </c>
      <c r="O18" s="56"/>
    </row>
    <row r="19" spans="1:29" ht="6" customHeight="1" x14ac:dyDescent="0.25">
      <c r="C19" s="28"/>
      <c r="F19" s="28"/>
      <c r="I19" s="28"/>
      <c r="L19" s="28"/>
      <c r="O19" s="56"/>
    </row>
    <row r="20" spans="1:29" x14ac:dyDescent="0.25">
      <c r="B20" s="74" t="s">
        <v>62</v>
      </c>
      <c r="C20" s="75">
        <f>SUM(C43:D43)</f>
        <v>241000</v>
      </c>
      <c r="F20" s="75">
        <f>SUM(F41:G41)</f>
        <v>277725.23920000001</v>
      </c>
      <c r="I20" s="75">
        <f>SUM(I41:J41)</f>
        <v>199999.96316799999</v>
      </c>
      <c r="J20" s="68"/>
      <c r="L20" s="75">
        <f>SUM(L41:M41)</f>
        <v>203999.24243136001</v>
      </c>
      <c r="M20" s="68"/>
      <c r="O20" s="56"/>
    </row>
    <row r="21" spans="1:29" x14ac:dyDescent="0.25">
      <c r="A21" s="62"/>
      <c r="B21" s="76" t="s">
        <v>63</v>
      </c>
      <c r="C21" s="77">
        <f>C22+C23</f>
        <v>66607.359999999986</v>
      </c>
      <c r="D21" s="78" t="s">
        <v>64</v>
      </c>
      <c r="F21" s="77">
        <f>F22+F23</f>
        <v>74895.02</v>
      </c>
      <c r="G21" s="78" t="s">
        <v>64</v>
      </c>
      <c r="I21" s="77">
        <f>I22+I23</f>
        <v>43835.88</v>
      </c>
      <c r="J21" s="78" t="s">
        <v>64</v>
      </c>
      <c r="L21" s="77">
        <f>L22+L23</f>
        <v>45095.08</v>
      </c>
      <c r="M21" s="78" t="s">
        <v>64</v>
      </c>
      <c r="N21" s="62"/>
      <c r="O21" s="56"/>
      <c r="P21" s="62"/>
      <c r="Q21" s="62"/>
      <c r="R21" s="62"/>
      <c r="S21" s="62"/>
      <c r="T21" s="62"/>
      <c r="U21" s="62"/>
      <c r="V21" s="62"/>
      <c r="W21" s="62"/>
      <c r="X21" s="62"/>
      <c r="Y21" s="62"/>
      <c r="Z21" s="62"/>
      <c r="AA21" s="62"/>
      <c r="AB21" s="62"/>
      <c r="AC21" s="62"/>
    </row>
    <row r="22" spans="1:29" ht="15.75" customHeight="1" x14ac:dyDescent="0.25">
      <c r="A22" s="62"/>
      <c r="B22" s="79" t="s">
        <v>11</v>
      </c>
      <c r="C22" s="80">
        <f>29476.21+3203.66+940.43</f>
        <v>33620.299999999996</v>
      </c>
      <c r="D22" s="81">
        <f>C22+SUM(C46:C48,C50)+C51</f>
        <v>0</v>
      </c>
      <c r="F22" s="80">
        <v>37374.15</v>
      </c>
      <c r="G22" s="81">
        <f>F22+SUM(F46:F48,F50)+F51</f>
        <v>0</v>
      </c>
      <c r="I22" s="80">
        <v>21917.94</v>
      </c>
      <c r="J22" s="81">
        <f>I22+SUM(I46:I48,I50)+I51</f>
        <v>0</v>
      </c>
      <c r="L22" s="80">
        <v>22547.54</v>
      </c>
      <c r="M22" s="81">
        <f>L22+SUM(L46:L48,L50)+L51</f>
        <v>0</v>
      </c>
      <c r="N22" s="62"/>
      <c r="O22" s="56"/>
      <c r="P22" s="62"/>
      <c r="Q22" s="62"/>
      <c r="R22" s="62"/>
      <c r="S22" s="62"/>
      <c r="T22" s="62"/>
      <c r="U22" s="62"/>
      <c r="V22" s="62"/>
      <c r="W22" s="62"/>
      <c r="X22" s="62"/>
      <c r="Y22" s="62"/>
      <c r="Z22" s="62"/>
      <c r="AA22" s="62"/>
      <c r="AB22" s="62"/>
      <c r="AC22" s="62"/>
    </row>
    <row r="23" spans="1:29" ht="15.75" customHeight="1" x14ac:dyDescent="0.25">
      <c r="A23" s="62"/>
      <c r="B23" s="79" t="s">
        <v>12</v>
      </c>
      <c r="C23" s="80">
        <f>29476.21+2707.25+803.6</f>
        <v>32987.06</v>
      </c>
      <c r="D23" s="81">
        <f>C23+SUM(D46:D48,D50)+D51</f>
        <v>0</v>
      </c>
      <c r="F23" s="80">
        <v>37520.870000000003</v>
      </c>
      <c r="G23" s="81">
        <f>F23+SUM(G46:G48,G50)+G51</f>
        <v>0</v>
      </c>
      <c r="I23" s="80">
        <v>21917.94</v>
      </c>
      <c r="J23" s="81">
        <f>I23+SUM(J46:J48,J50)+J51</f>
        <v>0</v>
      </c>
      <c r="L23" s="80">
        <v>22547.54</v>
      </c>
      <c r="M23" s="81">
        <f>L23+SUM(M46:M48,M50)+M51</f>
        <v>0</v>
      </c>
      <c r="N23" s="62"/>
      <c r="O23" s="56"/>
      <c r="P23" s="62"/>
      <c r="Q23" s="62"/>
      <c r="R23" s="62"/>
      <c r="S23" s="62"/>
      <c r="T23" s="62"/>
      <c r="U23" s="62"/>
      <c r="V23" s="62"/>
      <c r="W23" s="62"/>
      <c r="X23" s="62"/>
      <c r="Y23" s="62"/>
      <c r="Z23" s="62"/>
      <c r="AA23" s="62"/>
      <c r="AB23" s="62"/>
      <c r="AC23" s="62"/>
    </row>
    <row r="24" spans="1:29" ht="15.75" customHeight="1" x14ac:dyDescent="0.25">
      <c r="B24" s="82" t="s">
        <v>65</v>
      </c>
      <c r="C24" s="83">
        <f>IF(C16-C20&lt;0,0,C16-C20)</f>
        <v>0</v>
      </c>
      <c r="D24" s="62"/>
      <c r="F24" s="83">
        <f>IF(F16-F20&lt;0,0,F16-F20)</f>
        <v>0</v>
      </c>
      <c r="G24" s="28"/>
      <c r="I24" s="83">
        <f>IF(I16-I20&lt;0,0,I16-I20)</f>
        <v>3.6832000012509525E-2</v>
      </c>
      <c r="J24" s="68"/>
      <c r="L24" s="83">
        <f>IF(L16-L20&lt;0,0,L16-L20)</f>
        <v>0.75756863999413326</v>
      </c>
      <c r="M24" s="68"/>
      <c r="O24" s="56"/>
    </row>
    <row r="25" spans="1:29" ht="15.75" customHeight="1" x14ac:dyDescent="0.25">
      <c r="B25" s="23"/>
      <c r="C25" s="28"/>
      <c r="D25" s="84"/>
      <c r="F25" s="28"/>
      <c r="G25" s="85"/>
      <c r="O25" s="56"/>
    </row>
    <row r="26" spans="1:29" ht="15.75" customHeight="1" x14ac:dyDescent="0.25">
      <c r="C26" s="28"/>
      <c r="F26" s="28"/>
      <c r="O26" s="56"/>
    </row>
    <row r="27" spans="1:29" ht="15.75" customHeight="1" x14ac:dyDescent="0.25">
      <c r="A27" s="62"/>
      <c r="B27" s="86" t="s">
        <v>66</v>
      </c>
      <c r="C27" s="87">
        <v>65</v>
      </c>
      <c r="D27" s="87">
        <v>63</v>
      </c>
      <c r="E27" s="88"/>
      <c r="F27" s="87">
        <f>C27+1</f>
        <v>66</v>
      </c>
      <c r="G27" s="87">
        <f>D27+1</f>
        <v>64</v>
      </c>
      <c r="H27" s="88"/>
      <c r="I27" s="87">
        <f>F27+1</f>
        <v>67</v>
      </c>
      <c r="J27" s="87">
        <f>G27+1</f>
        <v>65</v>
      </c>
      <c r="K27" s="89"/>
      <c r="L27" s="87">
        <f>I27+1</f>
        <v>68</v>
      </c>
      <c r="M27" s="90">
        <f>J27+1</f>
        <v>66</v>
      </c>
      <c r="N27" s="62"/>
      <c r="O27" s="56"/>
      <c r="P27" s="62"/>
      <c r="Q27" s="62"/>
      <c r="R27" s="62"/>
      <c r="S27" s="62"/>
      <c r="T27" s="62"/>
      <c r="U27" s="62"/>
      <c r="V27" s="62"/>
      <c r="W27" s="62"/>
      <c r="X27" s="62"/>
      <c r="Y27" s="62"/>
      <c r="Z27" s="62"/>
      <c r="AA27" s="62"/>
      <c r="AB27" s="62"/>
      <c r="AC27" s="62"/>
    </row>
    <row r="28" spans="1:29" ht="15.75" customHeight="1" x14ac:dyDescent="0.3">
      <c r="B28" s="91"/>
      <c r="C28" s="9">
        <v>2025</v>
      </c>
      <c r="D28" s="9"/>
      <c r="E28" s="92"/>
      <c r="F28" s="8">
        <v>2026</v>
      </c>
      <c r="G28" s="8"/>
      <c r="H28" s="92"/>
      <c r="I28" s="7">
        <v>2027</v>
      </c>
      <c r="J28" s="7"/>
      <c r="K28" s="92"/>
      <c r="L28" s="6">
        <v>2028</v>
      </c>
      <c r="M28" s="6"/>
      <c r="O28" s="56"/>
    </row>
    <row r="29" spans="1:29" ht="15.75" customHeight="1" x14ac:dyDescent="0.25">
      <c r="B29" s="93" t="s">
        <v>67</v>
      </c>
      <c r="C29" s="18" t="s">
        <v>11</v>
      </c>
      <c r="D29" s="18" t="s">
        <v>12</v>
      </c>
      <c r="E29" s="94"/>
      <c r="F29" s="18" t="s">
        <v>11</v>
      </c>
      <c r="G29" s="18" t="s">
        <v>12</v>
      </c>
      <c r="H29" s="94"/>
      <c r="I29" s="18" t="s">
        <v>11</v>
      </c>
      <c r="J29" s="18" t="s">
        <v>12</v>
      </c>
      <c r="K29" s="94"/>
      <c r="L29" s="18" t="s">
        <v>11</v>
      </c>
      <c r="M29" s="95" t="s">
        <v>12</v>
      </c>
      <c r="O29" s="56"/>
    </row>
    <row r="30" spans="1:29" ht="4.5" customHeight="1" x14ac:dyDescent="0.25">
      <c r="B30" s="96"/>
      <c r="C30" s="28"/>
      <c r="D30" s="28"/>
      <c r="E30" s="94"/>
      <c r="F30" s="28"/>
      <c r="G30" s="28"/>
      <c r="H30" s="94"/>
      <c r="I30" s="28"/>
      <c r="J30" s="28"/>
      <c r="K30" s="94"/>
      <c r="L30" s="28"/>
      <c r="M30" s="97"/>
      <c r="O30" s="56"/>
    </row>
    <row r="31" spans="1:29" ht="15.75" customHeight="1" x14ac:dyDescent="0.25">
      <c r="B31" s="96" t="s">
        <v>68</v>
      </c>
      <c r="C31" s="28">
        <v>57343</v>
      </c>
      <c r="D31" s="28">
        <v>49000</v>
      </c>
      <c r="E31" s="94"/>
      <c r="F31" s="28">
        <v>0</v>
      </c>
      <c r="G31" s="28">
        <v>0</v>
      </c>
      <c r="H31" s="94"/>
      <c r="I31" s="28">
        <v>0</v>
      </c>
      <c r="J31" s="28">
        <v>0</v>
      </c>
      <c r="K31" s="94"/>
      <c r="L31" s="28">
        <v>0</v>
      </c>
      <c r="M31" s="97">
        <v>0</v>
      </c>
      <c r="O31" s="56"/>
    </row>
    <row r="32" spans="1:29" ht="15.75" customHeight="1" x14ac:dyDescent="0.25">
      <c r="B32" s="98" t="s">
        <v>69</v>
      </c>
      <c r="C32" s="28">
        <f>3*(1429.83)</f>
        <v>4289.49</v>
      </c>
      <c r="D32" s="28">
        <v>0</v>
      </c>
      <c r="E32" s="94"/>
      <c r="F32" s="28">
        <f>12*(1429.83*1.02)</f>
        <v>17501.119200000001</v>
      </c>
      <c r="G32" s="28">
        <v>0</v>
      </c>
      <c r="H32" s="94"/>
      <c r="I32" s="28">
        <f>F32*1.02</f>
        <v>17851.141584000001</v>
      </c>
      <c r="J32" s="28">
        <f>6*(853+100)</f>
        <v>5718</v>
      </c>
      <c r="K32" s="94"/>
      <c r="L32" s="28">
        <f>I32*1.02</f>
        <v>18208.164415680003</v>
      </c>
      <c r="M32" s="97">
        <f>12*(853+100)*1.02</f>
        <v>11664.72</v>
      </c>
      <c r="O32" s="56"/>
    </row>
    <row r="33" spans="2:15" ht="15.75" customHeight="1" x14ac:dyDescent="0.25">
      <c r="B33" s="98" t="s">
        <v>70</v>
      </c>
      <c r="C33" s="65">
        <v>0</v>
      </c>
      <c r="D33" s="28">
        <v>0</v>
      </c>
      <c r="E33" s="94"/>
      <c r="F33" s="65">
        <v>0</v>
      </c>
      <c r="G33" s="28">
        <v>0</v>
      </c>
      <c r="H33" s="94"/>
      <c r="I33" s="28">
        <f>F33*1.02</f>
        <v>0</v>
      </c>
      <c r="J33" s="28">
        <f>I33</f>
        <v>0</v>
      </c>
      <c r="K33" s="94"/>
      <c r="L33" s="28">
        <f>I33*1.02</f>
        <v>0</v>
      </c>
      <c r="M33" s="97">
        <f>L33</f>
        <v>0</v>
      </c>
      <c r="O33" s="56"/>
    </row>
    <row r="34" spans="2:15" ht="15.75" customHeight="1" x14ac:dyDescent="0.25">
      <c r="B34" s="98" t="s">
        <v>71</v>
      </c>
      <c r="C34" s="28">
        <v>0</v>
      </c>
      <c r="D34" s="99">
        <v>0</v>
      </c>
      <c r="E34" s="94"/>
      <c r="F34" s="28">
        <v>0</v>
      </c>
      <c r="G34" s="99">
        <f>G67</f>
        <v>129781</v>
      </c>
      <c r="H34" s="94"/>
      <c r="I34" s="28">
        <v>0</v>
      </c>
      <c r="J34" s="28">
        <v>0</v>
      </c>
      <c r="K34" s="94"/>
      <c r="L34" s="28">
        <v>0</v>
      </c>
      <c r="M34" s="97">
        <v>0</v>
      </c>
      <c r="O34" s="56"/>
    </row>
    <row r="35" spans="2:15" ht="15.75" customHeight="1" x14ac:dyDescent="0.25">
      <c r="B35" s="96" t="s">
        <v>72</v>
      </c>
      <c r="C35" s="28">
        <f>111500+(123606.12-111500)*9/12</f>
        <v>120579.59</v>
      </c>
      <c r="D35" s="28">
        <f>1541.76*5</f>
        <v>7708.8</v>
      </c>
      <c r="E35" s="94"/>
      <c r="F35" s="65">
        <v>111942</v>
      </c>
      <c r="G35" s="28">
        <f>1541.76*12</f>
        <v>18501.12</v>
      </c>
      <c r="H35" s="94"/>
      <c r="I35" s="28">
        <f>F35*1.02</f>
        <v>114180.84</v>
      </c>
      <c r="J35" s="28">
        <f>G35*1.02</f>
        <v>18871.142400000001</v>
      </c>
      <c r="K35" s="94"/>
      <c r="L35" s="28">
        <f>I35*1.02</f>
        <v>116464.4568</v>
      </c>
      <c r="M35" s="97">
        <f>J35*1.02</f>
        <v>19248.565248000003</v>
      </c>
      <c r="O35" s="56"/>
    </row>
    <row r="36" spans="2:15" ht="15.75" customHeight="1" x14ac:dyDescent="0.25">
      <c r="B36" s="96" t="s">
        <v>73</v>
      </c>
      <c r="C36" s="65">
        <v>9577.7150000000001</v>
      </c>
      <c r="D36" s="65">
        <v>3501.4050000000002</v>
      </c>
      <c r="E36" s="94"/>
      <c r="F36" s="28">
        <v>0</v>
      </c>
      <c r="G36" s="28">
        <v>0</v>
      </c>
      <c r="H36" s="94"/>
      <c r="I36" s="65">
        <v>0</v>
      </c>
      <c r="J36" s="65">
        <v>43378.839183999997</v>
      </c>
      <c r="K36" s="94"/>
      <c r="L36" s="65">
        <v>0</v>
      </c>
      <c r="M36" s="100">
        <v>38413.335967680003</v>
      </c>
      <c r="O36" s="56"/>
    </row>
    <row r="37" spans="2:15" ht="15.75" customHeight="1" x14ac:dyDescent="0.25">
      <c r="B37" s="96" t="s">
        <v>74</v>
      </c>
      <c r="C37" s="101">
        <f>-D37</f>
        <v>-60289.794999999998</v>
      </c>
      <c r="D37" s="102">
        <f>C35/2</f>
        <v>60289.794999999998</v>
      </c>
      <c r="E37" s="94"/>
      <c r="F37" s="101">
        <f>G35/2</f>
        <v>9250.56</v>
      </c>
      <c r="G37" s="102">
        <f>-F37</f>
        <v>-9250.56</v>
      </c>
      <c r="H37" s="94"/>
      <c r="I37" s="102">
        <f>-J37</f>
        <v>-32032</v>
      </c>
      <c r="J37" s="102">
        <v>32032</v>
      </c>
      <c r="K37" s="94"/>
      <c r="L37" s="102">
        <f>-M37</f>
        <v>-32673</v>
      </c>
      <c r="M37" s="103">
        <v>32673</v>
      </c>
      <c r="O37" s="56"/>
    </row>
    <row r="38" spans="2:15" ht="15.75" customHeight="1" x14ac:dyDescent="0.25">
      <c r="B38" s="96" t="s">
        <v>75</v>
      </c>
      <c r="C38" s="28">
        <v>0</v>
      </c>
      <c r="D38" s="28">
        <v>0</v>
      </c>
      <c r="E38" s="94"/>
      <c r="F38" s="28">
        <v>0</v>
      </c>
      <c r="G38" s="28">
        <v>0</v>
      </c>
      <c r="H38" s="94"/>
      <c r="I38" s="65">
        <v>0</v>
      </c>
      <c r="J38" s="65">
        <v>0</v>
      </c>
      <c r="K38" s="94"/>
      <c r="L38" s="28"/>
      <c r="M38" s="97"/>
      <c r="O38" s="56"/>
    </row>
    <row r="39" spans="2:15" ht="15.75" customHeight="1" x14ac:dyDescent="0.25">
      <c r="B39" s="96" t="s">
        <v>76</v>
      </c>
      <c r="C39" s="104">
        <v>0</v>
      </c>
      <c r="D39" s="104">
        <v>0</v>
      </c>
      <c r="E39" s="94"/>
      <c r="F39" s="104">
        <v>0</v>
      </c>
      <c r="G39" s="104">
        <v>0</v>
      </c>
      <c r="H39" s="94"/>
      <c r="I39" s="104">
        <v>0</v>
      </c>
      <c r="J39" s="104">
        <v>0</v>
      </c>
      <c r="K39" s="94"/>
      <c r="L39" s="104">
        <v>0</v>
      </c>
      <c r="M39" s="105">
        <v>0</v>
      </c>
      <c r="O39" s="56"/>
    </row>
    <row r="40" spans="2:15" ht="5.25" customHeight="1" x14ac:dyDescent="0.25">
      <c r="B40" s="96"/>
      <c r="C40" s="67"/>
      <c r="D40" s="67"/>
      <c r="E40" s="106"/>
      <c r="F40" s="67"/>
      <c r="G40" s="67"/>
      <c r="H40" s="106"/>
      <c r="I40" s="67"/>
      <c r="J40" s="67"/>
      <c r="K40" s="107"/>
      <c r="L40" s="67"/>
      <c r="M40" s="108"/>
      <c r="O40" s="56"/>
    </row>
    <row r="41" spans="2:15" ht="15.75" customHeight="1" x14ac:dyDescent="0.25">
      <c r="B41" s="109" t="s">
        <v>77</v>
      </c>
      <c r="C41" s="68">
        <f>SUM(C31:C39)</f>
        <v>131500</v>
      </c>
      <c r="D41" s="68">
        <f>SUM(D31:D39)</f>
        <v>120500</v>
      </c>
      <c r="E41" s="110"/>
      <c r="F41" s="68">
        <f>SUM(F31:F39)</f>
        <v>138693.67920000001</v>
      </c>
      <c r="G41" s="68">
        <f>SUM(G31:G39)</f>
        <v>139031.56</v>
      </c>
      <c r="H41" s="110"/>
      <c r="I41" s="68">
        <f>SUM(I31:I39)</f>
        <v>99999.981583999994</v>
      </c>
      <c r="J41" s="68">
        <f>SUM(J31:J39)</f>
        <v>99999.981583999994</v>
      </c>
      <c r="K41" s="110"/>
      <c r="L41" s="68">
        <f>SUM(L31:L39)</f>
        <v>101999.62121568</v>
      </c>
      <c r="M41" s="111">
        <f>SUM(M31:M39)</f>
        <v>101999.62121568</v>
      </c>
      <c r="O41" s="56"/>
    </row>
    <row r="42" spans="2:15" x14ac:dyDescent="0.25">
      <c r="B42" s="98" t="s">
        <v>78</v>
      </c>
      <c r="C42" s="112">
        <v>-11000</v>
      </c>
      <c r="D42" s="112">
        <f>-D34</f>
        <v>0</v>
      </c>
      <c r="E42" s="107"/>
      <c r="F42" s="112">
        <v>0</v>
      </c>
      <c r="G42" s="112">
        <v>0</v>
      </c>
      <c r="H42" s="107"/>
      <c r="I42" s="112">
        <v>0</v>
      </c>
      <c r="J42" s="112">
        <v>0</v>
      </c>
      <c r="K42" s="107"/>
      <c r="L42" s="112">
        <v>0</v>
      </c>
      <c r="M42" s="113">
        <v>0</v>
      </c>
      <c r="O42" s="56"/>
    </row>
    <row r="43" spans="2:15" x14ac:dyDescent="0.25">
      <c r="B43" s="114" t="s">
        <v>79</v>
      </c>
      <c r="C43" s="68">
        <f>C41+C42</f>
        <v>120500</v>
      </c>
      <c r="D43" s="68">
        <f>D41+D42</f>
        <v>120500</v>
      </c>
      <c r="E43" s="110"/>
      <c r="F43" s="68">
        <f>F41+F42</f>
        <v>138693.67920000001</v>
      </c>
      <c r="G43" s="68">
        <f>G41+G42</f>
        <v>139031.56</v>
      </c>
      <c r="H43" s="110"/>
      <c r="I43" s="68">
        <f>I41+I42</f>
        <v>99999.981583999994</v>
      </c>
      <c r="J43" s="68">
        <f>J41+J42</f>
        <v>99999.981583999994</v>
      </c>
      <c r="K43" s="110"/>
      <c r="L43" s="68">
        <f>L41+L42</f>
        <v>101999.62121568</v>
      </c>
      <c r="M43" s="111">
        <f>M41+M42</f>
        <v>101999.62121568</v>
      </c>
      <c r="O43" s="56"/>
    </row>
    <row r="44" spans="2:15" ht="5.25" customHeight="1" x14ac:dyDescent="0.25">
      <c r="B44" s="109"/>
      <c r="C44" s="68"/>
      <c r="D44" s="68"/>
      <c r="E44" s="110"/>
      <c r="F44" s="68"/>
      <c r="G44" s="68"/>
      <c r="H44" s="110"/>
      <c r="I44" s="68"/>
      <c r="J44" s="68"/>
      <c r="K44" s="110"/>
      <c r="L44" s="68"/>
      <c r="M44" s="111"/>
      <c r="O44" s="56"/>
    </row>
    <row r="45" spans="2:15" ht="15.75" customHeight="1" x14ac:dyDescent="0.25">
      <c r="B45" s="93" t="s">
        <v>80</v>
      </c>
      <c r="C45" s="28"/>
      <c r="D45" s="28"/>
      <c r="E45" s="94"/>
      <c r="F45" s="28"/>
      <c r="G45" s="28"/>
      <c r="H45" s="94"/>
      <c r="I45" s="28"/>
      <c r="J45" s="28"/>
      <c r="K45" s="94"/>
      <c r="L45" s="28"/>
      <c r="M45" s="97"/>
      <c r="O45" s="56"/>
    </row>
    <row r="46" spans="2:15" ht="15.75" customHeight="1" x14ac:dyDescent="0.25">
      <c r="B46" s="115" t="s">
        <v>81</v>
      </c>
      <c r="C46" s="28">
        <v>-12287.76</v>
      </c>
      <c r="D46" s="65">
        <v>-9933.9500000000007</v>
      </c>
      <c r="E46" s="94"/>
      <c r="F46" s="28">
        <v>0</v>
      </c>
      <c r="G46" s="28">
        <v>0</v>
      </c>
      <c r="H46" s="94"/>
      <c r="I46" s="28">
        <v>0</v>
      </c>
      <c r="J46" s="28">
        <v>0</v>
      </c>
      <c r="K46" s="94"/>
      <c r="L46" s="28">
        <v>0</v>
      </c>
      <c r="M46" s="97">
        <v>0</v>
      </c>
      <c r="O46" s="56"/>
    </row>
    <row r="47" spans="2:15" ht="15.75" customHeight="1" x14ac:dyDescent="0.25">
      <c r="B47" s="115" t="s">
        <v>82</v>
      </c>
      <c r="C47" s="28">
        <f>-(C35+C37)*0.25</f>
        <v>-15072.44875</v>
      </c>
      <c r="D47" s="28">
        <f>-(D35+D37)*0.25</f>
        <v>-16999.64875</v>
      </c>
      <c r="E47" s="94"/>
      <c r="F47" s="28">
        <f>-(F35+F37)*0.25</f>
        <v>-30298.14</v>
      </c>
      <c r="G47" s="28">
        <f>-(G35+G37)*0.25</f>
        <v>-2312.64</v>
      </c>
      <c r="H47" s="94"/>
      <c r="I47" s="28">
        <f>-(I35+I37)*0.25</f>
        <v>-20537.21</v>
      </c>
      <c r="J47" s="28">
        <f>-(J35+J37)*0.25</f>
        <v>-12725.785599999999</v>
      </c>
      <c r="K47" s="94"/>
      <c r="L47" s="28">
        <f>-(L35+L37)*0.25</f>
        <v>-20947.8642</v>
      </c>
      <c r="M47" s="97">
        <f>-(M35+M37)*0.25</f>
        <v>-12980.391312</v>
      </c>
      <c r="O47" s="56"/>
    </row>
    <row r="48" spans="2:15" ht="15.75" customHeight="1" x14ac:dyDescent="0.25">
      <c r="B48" s="115" t="s">
        <v>83</v>
      </c>
      <c r="C48" s="67">
        <v>0</v>
      </c>
      <c r="D48" s="67">
        <v>0</v>
      </c>
      <c r="E48" s="116"/>
      <c r="F48" s="67">
        <f>-MIN(5000,F38)*0.1</f>
        <v>0</v>
      </c>
      <c r="G48" s="67">
        <v>0</v>
      </c>
      <c r="H48" s="116"/>
      <c r="I48" s="67">
        <f>-MIN(5000,I38)*0.1</f>
        <v>0</v>
      </c>
      <c r="J48" s="112">
        <v>0</v>
      </c>
      <c r="K48" s="94"/>
      <c r="L48" s="112">
        <v>0</v>
      </c>
      <c r="M48" s="113">
        <v>0</v>
      </c>
      <c r="O48" s="56"/>
    </row>
    <row r="49" spans="1:29" ht="15.75" customHeight="1" x14ac:dyDescent="0.25">
      <c r="B49" s="109" t="s">
        <v>84</v>
      </c>
      <c r="C49" s="68">
        <f>SUM(C43:C48)</f>
        <v>93139.791250000009</v>
      </c>
      <c r="D49" s="68">
        <f>SUM(D43:D48)</f>
        <v>93566.401249999995</v>
      </c>
      <c r="E49" s="117"/>
      <c r="F49" s="68">
        <f>SUM(F43:F48)</f>
        <v>108395.53920000001</v>
      </c>
      <c r="G49" s="68">
        <f>SUM(G43:G48)</f>
        <v>136718.91999999998</v>
      </c>
      <c r="H49" s="117"/>
      <c r="I49" s="68">
        <f>SUM(I43:I48)</f>
        <v>79462.771584000002</v>
      </c>
      <c r="J49" s="68">
        <f>SUM(J43:J48)</f>
        <v>87274.195983999991</v>
      </c>
      <c r="K49" s="117"/>
      <c r="L49" s="68">
        <f>SUM(L43:L48)</f>
        <v>81051.757015680007</v>
      </c>
      <c r="M49" s="111">
        <f>SUM(M43:M48)</f>
        <v>89019.22990368001</v>
      </c>
      <c r="O49" s="56"/>
    </row>
    <row r="50" spans="1:29" ht="15.75" customHeight="1" x14ac:dyDescent="0.25">
      <c r="B50" s="96" t="s">
        <v>85</v>
      </c>
      <c r="C50" s="28">
        <f>-(C22+SUM(C46:C48))-C51</f>
        <v>-6260.0912499999977</v>
      </c>
      <c r="D50" s="28">
        <f>-(C23+SUM(D46:D48))-D51</f>
        <v>-6053.4612499999967</v>
      </c>
      <c r="E50" s="94"/>
      <c r="F50" s="28">
        <f>-(F22+SUM(F46:F48))-F51</f>
        <v>-7076.010000000002</v>
      </c>
      <c r="G50" s="28">
        <f>-(F23+SUM(G46:G48))</f>
        <v>-35208.230000000003</v>
      </c>
      <c r="H50" s="94"/>
      <c r="I50" s="28">
        <f>-(I22+SUM(I46:I48))-I51</f>
        <v>-1380.7299999999996</v>
      </c>
      <c r="J50" s="28">
        <f>-(I23+SUM(J46:J48))-J51</f>
        <v>-9192.1543999999994</v>
      </c>
      <c r="K50" s="94"/>
      <c r="L50" s="28">
        <f>-(L22+SUM(L46:L48))-L51</f>
        <v>-1599.6758000000009</v>
      </c>
      <c r="M50" s="97">
        <f>-(L23+SUM(M46:M48))-M51</f>
        <v>-9567.1486880000011</v>
      </c>
      <c r="O50" s="56"/>
    </row>
    <row r="51" spans="1:29" ht="15.75" customHeight="1" x14ac:dyDescent="0.25">
      <c r="B51" s="115" t="s">
        <v>86</v>
      </c>
      <c r="C51" s="28">
        <f>-C33</f>
        <v>0</v>
      </c>
      <c r="D51" s="28">
        <f>-D33</f>
        <v>0</v>
      </c>
      <c r="E51" s="94"/>
      <c r="F51" s="28">
        <f>-F33</f>
        <v>0</v>
      </c>
      <c r="G51" s="28">
        <f>-G33</f>
        <v>0</v>
      </c>
      <c r="H51" s="94"/>
      <c r="I51" s="28">
        <f>-I33</f>
        <v>0</v>
      </c>
      <c r="J51" s="28">
        <f>-J33</f>
        <v>0</v>
      </c>
      <c r="K51" s="94"/>
      <c r="L51" s="28">
        <f>-L33</f>
        <v>0</v>
      </c>
      <c r="M51" s="97">
        <f>-M33</f>
        <v>0</v>
      </c>
      <c r="O51" s="56"/>
    </row>
    <row r="52" spans="1:29" ht="5.25" customHeight="1" x14ac:dyDescent="0.25">
      <c r="B52" s="96"/>
      <c r="C52" s="28"/>
      <c r="D52" s="28"/>
      <c r="E52" s="107"/>
      <c r="F52" s="28"/>
      <c r="G52" s="28"/>
      <c r="H52" s="107"/>
      <c r="I52" s="28"/>
      <c r="J52" s="28"/>
      <c r="K52" s="107"/>
      <c r="L52" s="28"/>
      <c r="M52" s="97"/>
      <c r="O52" s="56"/>
    </row>
    <row r="53" spans="1:29" ht="15.75" customHeight="1" x14ac:dyDescent="0.25">
      <c r="A53" s="118"/>
      <c r="B53" s="119" t="s">
        <v>87</v>
      </c>
      <c r="C53" s="120">
        <f>IF(C14-(C20-C21)&lt;0,0,C14-(C20-C21))</f>
        <v>0</v>
      </c>
      <c r="D53" s="120"/>
      <c r="E53" s="121"/>
      <c r="F53" s="120">
        <f>IF(F14-(F20-F21)&lt;0,0,F14-(F20-F21))</f>
        <v>0</v>
      </c>
      <c r="G53" s="120"/>
      <c r="H53" s="121"/>
      <c r="I53" s="120">
        <f>IF(I14-(I20-I21)&lt;0,0,I14-(I20-I21))</f>
        <v>0</v>
      </c>
      <c r="J53" s="120"/>
      <c r="K53" s="121"/>
      <c r="L53" s="120">
        <f>IF(L14-(L20-L21)&lt;0,0,L14-(L20-L21))</f>
        <v>0</v>
      </c>
      <c r="M53" s="122"/>
      <c r="N53" s="118"/>
      <c r="O53" s="123"/>
      <c r="P53" s="118"/>
      <c r="Q53" s="118"/>
      <c r="R53" s="118"/>
      <c r="S53" s="118"/>
      <c r="T53" s="118"/>
      <c r="U53" s="118"/>
      <c r="V53" s="118"/>
      <c r="W53" s="118"/>
      <c r="X53" s="118"/>
      <c r="Y53" s="118"/>
      <c r="Z53" s="118"/>
      <c r="AA53" s="118"/>
      <c r="AB53" s="118"/>
      <c r="AC53" s="118"/>
    </row>
    <row r="54" spans="1:29" ht="5.25" customHeight="1" x14ac:dyDescent="0.25">
      <c r="B54" s="96"/>
      <c r="C54" s="28"/>
      <c r="D54" s="28"/>
      <c r="E54" s="107"/>
      <c r="F54" s="28"/>
      <c r="G54" s="28"/>
      <c r="H54" s="107"/>
      <c r="I54" s="28"/>
      <c r="J54" s="28"/>
      <c r="K54" s="107"/>
      <c r="L54" s="28"/>
      <c r="M54" s="97"/>
      <c r="O54" s="56"/>
    </row>
    <row r="55" spans="1:29" ht="15.75" customHeight="1" x14ac:dyDescent="0.25">
      <c r="B55" s="109" t="s">
        <v>88</v>
      </c>
      <c r="C55" s="124">
        <f>SUM(C49:D51)+C53</f>
        <v>174392.64</v>
      </c>
      <c r="D55" s="68"/>
      <c r="E55" s="117"/>
      <c r="F55" s="124">
        <f>SUM(F49:G51)+F53</f>
        <v>202830.21919999996</v>
      </c>
      <c r="G55" s="62"/>
      <c r="H55" s="117"/>
      <c r="I55" s="124">
        <f>SUM(I49:J51)+I53</f>
        <v>156164.08316799998</v>
      </c>
      <c r="J55" s="62"/>
      <c r="K55" s="117"/>
      <c r="L55" s="124">
        <f>SUM(L49:M51)+L53</f>
        <v>158904.16243135999</v>
      </c>
      <c r="M55" s="125"/>
      <c r="O55" s="56"/>
    </row>
    <row r="56" spans="1:29" ht="15.75" customHeight="1" x14ac:dyDescent="0.25">
      <c r="A56" s="126"/>
      <c r="B56" s="127" t="s">
        <v>89</v>
      </c>
      <c r="C56" s="128">
        <f>IF(C14-C55&lt;0,0,C14-C55)</f>
        <v>0</v>
      </c>
      <c r="D56" s="128"/>
      <c r="E56" s="129"/>
      <c r="F56" s="128">
        <f>IF(F14-F55&lt;0,0,F14-F55)</f>
        <v>0</v>
      </c>
      <c r="G56" s="130"/>
      <c r="H56" s="129"/>
      <c r="I56" s="128">
        <f>IF(I14-I55&lt;0,0,I14-I55)</f>
        <v>0</v>
      </c>
      <c r="J56" s="130"/>
      <c r="K56" s="129"/>
      <c r="L56" s="128">
        <f>IF(L14-L55&lt;0,0,L14-L55)</f>
        <v>0</v>
      </c>
      <c r="M56" s="131"/>
      <c r="N56" s="126"/>
      <c r="O56" s="132"/>
      <c r="P56" s="126"/>
      <c r="Q56" s="126"/>
      <c r="R56" s="126"/>
      <c r="S56" s="126"/>
      <c r="T56" s="126"/>
      <c r="U56" s="126"/>
      <c r="V56" s="126"/>
      <c r="W56" s="126"/>
      <c r="X56" s="126"/>
      <c r="Y56" s="126"/>
      <c r="Z56" s="126"/>
      <c r="AA56" s="126"/>
      <c r="AB56" s="126"/>
      <c r="AC56" s="126"/>
    </row>
    <row r="57" spans="1:29" ht="15.75" customHeight="1" x14ac:dyDescent="0.25">
      <c r="A57" s="118"/>
      <c r="B57" s="133" t="s">
        <v>90</v>
      </c>
      <c r="C57" s="134">
        <f>IF((C20-C21)-C14&lt;0,0,(C20-C21)-C14)</f>
        <v>110792.64000000001</v>
      </c>
      <c r="D57" s="134"/>
      <c r="E57" s="118"/>
      <c r="F57" s="134">
        <f>IF((F20-F21)-F14&lt;0,0,(F20-F21)-F14)</f>
        <v>162438.21919999999</v>
      </c>
      <c r="G57" s="118"/>
      <c r="H57" s="118"/>
      <c r="I57" s="134">
        <f>IF((I20-I21)-I14&lt;0,0,(I20-I21)-I14)</f>
        <v>114964.24316799999</v>
      </c>
      <c r="J57" s="118"/>
      <c r="K57" s="118"/>
      <c r="L57" s="134">
        <f>IF((L20-L21)-L14&lt;0,0,(L20-L21)-L14)</f>
        <v>116880.32563135998</v>
      </c>
      <c r="M57" s="118"/>
      <c r="N57" s="118"/>
      <c r="O57" s="123"/>
      <c r="P57" s="118"/>
      <c r="Q57" s="118"/>
      <c r="R57" s="118"/>
      <c r="S57" s="118"/>
      <c r="T57" s="118"/>
      <c r="U57" s="118"/>
      <c r="V57" s="118"/>
      <c r="W57" s="118"/>
      <c r="X57" s="118"/>
      <c r="Y57" s="118"/>
      <c r="Z57" s="118"/>
      <c r="AA57" s="118"/>
      <c r="AB57" s="118"/>
      <c r="AC57" s="118"/>
    </row>
    <row r="58" spans="1:29" ht="15.75" customHeight="1" x14ac:dyDescent="0.25">
      <c r="A58" s="126"/>
      <c r="B58" s="135"/>
      <c r="C58" s="136" t="s">
        <v>91</v>
      </c>
      <c r="D58" s="137"/>
      <c r="E58" s="138"/>
      <c r="F58" s="136" t="s">
        <v>92</v>
      </c>
      <c r="G58" s="138"/>
      <c r="H58" s="138"/>
      <c r="I58" s="139" t="s">
        <v>93</v>
      </c>
      <c r="J58" s="126"/>
      <c r="K58" s="138"/>
      <c r="L58" s="139" t="s">
        <v>93</v>
      </c>
      <c r="M58" s="126"/>
      <c r="N58" s="126"/>
      <c r="O58" s="132"/>
      <c r="P58" s="126"/>
      <c r="Q58" s="126"/>
      <c r="R58" s="126"/>
      <c r="S58" s="126"/>
      <c r="T58" s="126"/>
      <c r="U58" s="126"/>
      <c r="V58" s="126"/>
      <c r="W58" s="126"/>
      <c r="X58" s="126"/>
      <c r="Y58" s="126"/>
      <c r="Z58" s="126"/>
      <c r="AA58" s="126"/>
      <c r="AB58" s="126"/>
      <c r="AC58" s="126"/>
    </row>
    <row r="59" spans="1:29" ht="8.25" customHeight="1" x14ac:dyDescent="0.25">
      <c r="A59" s="132"/>
      <c r="B59" s="140"/>
      <c r="C59" s="141"/>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1:29" ht="15.75" customHeight="1" x14ac:dyDescent="0.25"/>
    <row r="61" spans="1:29" ht="15.75" customHeight="1" x14ac:dyDescent="0.25"/>
    <row r="62" spans="1:29" ht="15.75" customHeight="1" x14ac:dyDescent="0.25"/>
    <row r="63" spans="1:29" ht="15.75" customHeight="1" x14ac:dyDescent="0.25"/>
    <row r="64" spans="1:29" ht="15.75" customHeight="1" x14ac:dyDescent="0.25">
      <c r="B64" s="142" t="s">
        <v>94</v>
      </c>
      <c r="F64" s="143" t="s">
        <v>95</v>
      </c>
      <c r="G64" s="118"/>
    </row>
    <row r="65" spans="1:29" ht="15.75" customHeight="1" x14ac:dyDescent="0.25">
      <c r="B65" s="118" t="s">
        <v>96</v>
      </c>
      <c r="F65" s="118" t="s">
        <v>97</v>
      </c>
      <c r="G65" s="144">
        <v>129781</v>
      </c>
    </row>
    <row r="66" spans="1:29" ht="15.75" customHeight="1" x14ac:dyDescent="0.25">
      <c r="B66" s="118" t="s">
        <v>98</v>
      </c>
      <c r="F66" s="118" t="s">
        <v>99</v>
      </c>
      <c r="G66" s="145">
        <f>-D34</f>
        <v>0</v>
      </c>
    </row>
    <row r="67" spans="1:29" ht="15.75" customHeight="1" x14ac:dyDescent="0.25">
      <c r="B67" s="118" t="s">
        <v>100</v>
      </c>
      <c r="F67" s="146" t="s">
        <v>101</v>
      </c>
      <c r="G67" s="147">
        <f>G65+G66</f>
        <v>129781</v>
      </c>
    </row>
    <row r="68" spans="1:29" ht="15.75" customHeight="1" x14ac:dyDescent="0.25">
      <c r="B68" s="118" t="s">
        <v>102</v>
      </c>
    </row>
    <row r="69" spans="1:29" ht="15.75" customHeight="1" x14ac:dyDescent="0.25">
      <c r="B69" s="118" t="s">
        <v>103</v>
      </c>
    </row>
    <row r="70" spans="1:29" ht="15.75" customHeight="1" x14ac:dyDescent="0.25"/>
    <row r="71" spans="1:29" ht="15.75" customHeight="1" x14ac:dyDescent="0.25">
      <c r="B71" s="142" t="s">
        <v>104</v>
      </c>
      <c r="C71" s="85"/>
    </row>
    <row r="72" spans="1:29" ht="15.75" customHeight="1" x14ac:dyDescent="0.25">
      <c r="B72" s="118" t="s">
        <v>105</v>
      </c>
      <c r="C72" s="28"/>
    </row>
    <row r="73" spans="1:29" ht="15.75" customHeight="1" x14ac:dyDescent="0.25">
      <c r="B73" s="118" t="s">
        <v>106</v>
      </c>
      <c r="C73" s="85"/>
    </row>
    <row r="74" spans="1:29" ht="15.75" customHeight="1" x14ac:dyDescent="0.25">
      <c r="B74" s="118" t="s">
        <v>107</v>
      </c>
    </row>
    <row r="75" spans="1:29" ht="15.75" customHeight="1" x14ac:dyDescent="0.25"/>
    <row r="76" spans="1:29" ht="15.75" customHeight="1" x14ac:dyDescent="0.25">
      <c r="B76" s="142" t="s">
        <v>108</v>
      </c>
    </row>
    <row r="77" spans="1:29" ht="15.75" customHeight="1" x14ac:dyDescent="0.25">
      <c r="A77" s="148"/>
      <c r="B77" s="118" t="s">
        <v>109</v>
      </c>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row>
    <row r="78" spans="1:29" ht="15.75" customHeight="1" x14ac:dyDescent="0.25">
      <c r="B78" s="118" t="s">
        <v>110</v>
      </c>
    </row>
    <row r="79" spans="1:29" ht="15.75" customHeight="1" x14ac:dyDescent="0.25">
      <c r="B79" s="118"/>
    </row>
    <row r="80" spans="1:29" ht="15.75" customHeight="1" x14ac:dyDescent="0.25">
      <c r="B80" s="149" t="s">
        <v>111</v>
      </c>
    </row>
    <row r="81" spans="2:3" ht="15.75" customHeight="1" x14ac:dyDescent="0.25">
      <c r="B81" s="150" t="s">
        <v>112</v>
      </c>
    </row>
    <row r="82" spans="2:3" ht="15.75" customHeight="1" x14ac:dyDescent="0.25">
      <c r="B82" s="150" t="s">
        <v>113</v>
      </c>
    </row>
    <row r="83" spans="2:3" ht="15.75" customHeight="1" x14ac:dyDescent="0.25">
      <c r="B83" s="118"/>
    </row>
    <row r="84" spans="2:3" ht="15.75" customHeight="1" x14ac:dyDescent="0.25">
      <c r="B84" s="149" t="s">
        <v>114</v>
      </c>
    </row>
    <row r="85" spans="2:3" ht="15.75" customHeight="1" x14ac:dyDescent="0.25">
      <c r="B85" s="150" t="s">
        <v>115</v>
      </c>
    </row>
    <row r="86" spans="2:3" ht="15.75" customHeight="1" x14ac:dyDescent="0.25">
      <c r="B86" s="150" t="s">
        <v>116</v>
      </c>
    </row>
    <row r="87" spans="2:3" ht="15.75" customHeight="1" x14ac:dyDescent="0.25">
      <c r="B87" s="150" t="s">
        <v>117</v>
      </c>
    </row>
    <row r="88" spans="2:3" ht="15.75" customHeight="1" x14ac:dyDescent="0.25">
      <c r="B88" s="118"/>
    </row>
    <row r="89" spans="2:3" ht="15.75" customHeight="1" x14ac:dyDescent="0.25">
      <c r="B89" s="149" t="s">
        <v>118</v>
      </c>
      <c r="C89" s="118"/>
    </row>
    <row r="90" spans="2:3" ht="15.75" customHeight="1" x14ac:dyDescent="0.25">
      <c r="B90" s="150" t="s">
        <v>119</v>
      </c>
      <c r="C90" s="118"/>
    </row>
    <row r="91" spans="2:3" ht="15.75" customHeight="1" x14ac:dyDescent="0.25">
      <c r="B91" s="151"/>
      <c r="C91" s="118"/>
    </row>
    <row r="92" spans="2:3" ht="15.75" customHeight="1" x14ac:dyDescent="0.25">
      <c r="B92" s="151"/>
      <c r="C92" s="118"/>
    </row>
    <row r="93" spans="2:3" ht="15.75" customHeight="1" x14ac:dyDescent="0.25">
      <c r="B93" s="151" t="s">
        <v>120</v>
      </c>
      <c r="C93" s="118"/>
    </row>
    <row r="94" spans="2:3" ht="15.75" customHeight="1" x14ac:dyDescent="0.25">
      <c r="B94" s="152" t="s">
        <v>121</v>
      </c>
      <c r="C94" s="118"/>
    </row>
    <row r="95" spans="2:3" ht="15.75" customHeight="1" x14ac:dyDescent="0.25">
      <c r="B95" s="152" t="s">
        <v>122</v>
      </c>
      <c r="C95" s="118"/>
    </row>
    <row r="96" spans="2:3" ht="15.75" customHeight="1" x14ac:dyDescent="0.25">
      <c r="B96" s="152" t="s">
        <v>123</v>
      </c>
      <c r="C96" s="118"/>
    </row>
    <row r="97" spans="2:17" ht="15.75" customHeight="1" x14ac:dyDescent="0.25">
      <c r="B97" s="152" t="s">
        <v>124</v>
      </c>
      <c r="C97" s="118"/>
    </row>
    <row r="98" spans="2:17" ht="15.75" customHeight="1" x14ac:dyDescent="0.25">
      <c r="B98" s="152" t="s">
        <v>125</v>
      </c>
      <c r="C98" s="118"/>
    </row>
    <row r="99" spans="2:17" ht="15.75" customHeight="1" x14ac:dyDescent="0.25">
      <c r="B99" s="152" t="s">
        <v>126</v>
      </c>
      <c r="C99" s="118"/>
    </row>
    <row r="100" spans="2:17" ht="15.75" customHeight="1" x14ac:dyDescent="0.25">
      <c r="B100" s="152" t="s">
        <v>127</v>
      </c>
      <c r="C100" s="118"/>
    </row>
    <row r="101" spans="2:17" ht="15.75" customHeight="1" x14ac:dyDescent="0.25"/>
    <row r="102" spans="2:17" ht="15.75" customHeight="1" x14ac:dyDescent="0.25"/>
    <row r="103" spans="2:17" ht="15.75" customHeight="1" x14ac:dyDescent="0.25"/>
    <row r="104" spans="2:17" ht="15.75" customHeight="1" x14ac:dyDescent="0.25">
      <c r="Q104" s="23"/>
    </row>
    <row r="105" spans="2:17" ht="15.75" customHeight="1" x14ac:dyDescent="0.25">
      <c r="B105" s="59"/>
      <c r="C105" s="5" t="s">
        <v>128</v>
      </c>
      <c r="D105" s="5"/>
      <c r="E105" s="5"/>
      <c r="F105" s="5"/>
      <c r="G105" s="5"/>
      <c r="H105" s="5"/>
      <c r="I105" s="5"/>
      <c r="Q105" s="23"/>
    </row>
    <row r="106" spans="2:17" ht="27.75" customHeight="1" x14ac:dyDescent="0.25">
      <c r="B106" s="148"/>
      <c r="C106" s="153" t="s">
        <v>67</v>
      </c>
      <c r="D106" s="154" t="s">
        <v>129</v>
      </c>
      <c r="E106" s="148"/>
      <c r="F106" s="155" t="s">
        <v>130</v>
      </c>
      <c r="G106" s="156" t="s">
        <v>131</v>
      </c>
      <c r="H106" s="148"/>
      <c r="I106" s="153" t="s">
        <v>132</v>
      </c>
      <c r="J106" s="157" t="s">
        <v>133</v>
      </c>
      <c r="K106" s="148"/>
    </row>
    <row r="107" spans="2:17" ht="15.75" customHeight="1" x14ac:dyDescent="0.25">
      <c r="B107" s="158">
        <v>2025</v>
      </c>
      <c r="C107" s="85">
        <f>56000</f>
        <v>56000</v>
      </c>
      <c r="D107" s="85">
        <f>-18000</f>
        <v>-18000</v>
      </c>
      <c r="F107" s="85">
        <f>(C107+D107)*0.878</f>
        <v>33364</v>
      </c>
      <c r="G107" s="159">
        <f>-(C36+D36)</f>
        <v>-13079.12</v>
      </c>
      <c r="I107" s="85">
        <f>F107+G107</f>
        <v>20284.879999999997</v>
      </c>
      <c r="J107" s="160">
        <f>I107+(-G107)</f>
        <v>33364</v>
      </c>
    </row>
    <row r="108" spans="2:17" ht="15.75" customHeight="1" x14ac:dyDescent="0.25">
      <c r="B108" s="158">
        <f>B107+1</f>
        <v>2026</v>
      </c>
      <c r="C108" s="85">
        <v>86000</v>
      </c>
      <c r="D108" s="85">
        <f>D107*1.02</f>
        <v>-18360</v>
      </c>
      <c r="F108" s="85">
        <f>(C108+D108)*0.878</f>
        <v>59387.92</v>
      </c>
      <c r="G108" s="159">
        <f>-(F36+G36)</f>
        <v>0</v>
      </c>
      <c r="I108" s="85">
        <f>I107+F108+G108</f>
        <v>79672.799999999988</v>
      </c>
      <c r="J108" s="160">
        <f>I108+(-G108)</f>
        <v>79672.799999999988</v>
      </c>
    </row>
    <row r="109" spans="2:17" ht="15.75" customHeight="1" x14ac:dyDescent="0.25">
      <c r="B109" s="158">
        <f>B108+1</f>
        <v>2027</v>
      </c>
      <c r="C109" s="85">
        <v>100000</v>
      </c>
      <c r="D109" s="85">
        <f>D108*1.02</f>
        <v>-18727.2</v>
      </c>
      <c r="F109" s="85">
        <f>(C109+D109)*0.878</f>
        <v>71357.518400000001</v>
      </c>
      <c r="G109" s="159">
        <f>-(I36+J36)</f>
        <v>-43378.839183999997</v>
      </c>
      <c r="I109" s="85">
        <f>I108+F109+G109</f>
        <v>107651.47921599999</v>
      </c>
      <c r="J109" s="160">
        <f>I109+(-G109)</f>
        <v>151030.31839999999</v>
      </c>
    </row>
    <row r="110" spans="2:17" ht="15.75" customHeight="1" x14ac:dyDescent="0.25">
      <c r="B110" s="158">
        <f>B109+1</f>
        <v>2028</v>
      </c>
      <c r="C110" s="85">
        <f>C109*1.02</f>
        <v>102000</v>
      </c>
      <c r="D110" s="85">
        <f>D109*1.02</f>
        <v>-19101.744000000002</v>
      </c>
      <c r="F110" s="85">
        <f>(C110+D110)*0.878</f>
        <v>72784.668767999989</v>
      </c>
      <c r="G110" s="159">
        <f>-M36</f>
        <v>-38413.335967680003</v>
      </c>
      <c r="I110" s="85">
        <f>I109+F110+G110</f>
        <v>142022.81201631998</v>
      </c>
      <c r="J110" s="160">
        <f>I110+(-G110)</f>
        <v>180436.14798399998</v>
      </c>
    </row>
    <row r="111" spans="2:17" ht="15.75" customHeight="1" x14ac:dyDescent="0.25">
      <c r="B111" s="158">
        <f>B110+1</f>
        <v>2029</v>
      </c>
      <c r="C111" s="85">
        <f>C110*1.02</f>
        <v>104040</v>
      </c>
      <c r="D111" s="85">
        <f>D110*1.02</f>
        <v>-19483.778880000002</v>
      </c>
      <c r="F111" s="85">
        <f>(C111+D111)*0.878</f>
        <v>74240.362143360006</v>
      </c>
      <c r="G111" s="161"/>
      <c r="I111" s="85">
        <f>I110+F111+G111</f>
        <v>216263.17415967997</v>
      </c>
      <c r="J111" s="160">
        <f>I111+(-G111)</f>
        <v>216263.17415967997</v>
      </c>
    </row>
    <row r="112" spans="2:17" ht="15.75" customHeight="1" x14ac:dyDescent="0.25"/>
    <row r="113" spans="2:10" ht="15.75" customHeight="1" x14ac:dyDescent="0.25">
      <c r="C113" s="4" t="s">
        <v>134</v>
      </c>
      <c r="D113" s="4"/>
      <c r="E113" s="4"/>
      <c r="F113" s="4"/>
      <c r="G113" s="4"/>
      <c r="H113" s="59"/>
      <c r="I113" s="59"/>
      <c r="J113" s="59"/>
    </row>
    <row r="114" spans="2:10" ht="15.75" customHeight="1" x14ac:dyDescent="0.25">
      <c r="B114" s="162" t="s">
        <v>11</v>
      </c>
      <c r="C114" s="153" t="s">
        <v>135</v>
      </c>
      <c r="D114" s="153" t="s">
        <v>136</v>
      </c>
      <c r="E114" s="148"/>
      <c r="F114" s="153" t="s">
        <v>137</v>
      </c>
      <c r="G114" s="156" t="s">
        <v>132</v>
      </c>
      <c r="H114" s="148"/>
      <c r="J114" s="157" t="s">
        <v>138</v>
      </c>
    </row>
    <row r="115" spans="2:10" ht="15.75" customHeight="1" x14ac:dyDescent="0.25">
      <c r="B115" s="13">
        <v>2026</v>
      </c>
      <c r="C115" s="163">
        <f>105781+11000</f>
        <v>116781</v>
      </c>
      <c r="D115" s="164">
        <v>0</v>
      </c>
      <c r="F115" s="164">
        <v>3.7999999999999999E-2</v>
      </c>
      <c r="G115" s="85">
        <f>C115-(D115*C115)</f>
        <v>116781</v>
      </c>
      <c r="J115" s="160">
        <f>C115*D115</f>
        <v>0</v>
      </c>
    </row>
    <row r="116" spans="2:10" ht="15.75" customHeight="1" x14ac:dyDescent="0.25">
      <c r="B116" s="13">
        <f>B115+1</f>
        <v>2027</v>
      </c>
      <c r="C116" s="85">
        <f>G115*(1+F116)</f>
        <v>121218.678</v>
      </c>
      <c r="D116" s="165">
        <v>0</v>
      </c>
      <c r="F116" s="164">
        <v>3.7999999999999999E-2</v>
      </c>
      <c r="G116" s="85">
        <f>C116-(D116*C116)</f>
        <v>121218.678</v>
      </c>
      <c r="J116" s="160">
        <f>C116*D116</f>
        <v>0</v>
      </c>
    </row>
    <row r="117" spans="2:10" ht="15.75" customHeight="1" x14ac:dyDescent="0.25">
      <c r="B117" s="13">
        <f>B116+1</f>
        <v>2028</v>
      </c>
      <c r="C117" s="85">
        <f>G116*(1+F117)</f>
        <v>125824.987764</v>
      </c>
      <c r="D117" s="165">
        <v>0</v>
      </c>
      <c r="F117" s="164">
        <f>F116</f>
        <v>3.7999999999999999E-2</v>
      </c>
      <c r="G117" s="85">
        <f>C117-(D117*C117)</f>
        <v>125824.987764</v>
      </c>
      <c r="J117" s="160">
        <f>C117*D117</f>
        <v>0</v>
      </c>
    </row>
    <row r="118" spans="2:10" ht="15.75" customHeight="1" x14ac:dyDescent="0.25">
      <c r="B118" s="13">
        <f>B117+1</f>
        <v>2029</v>
      </c>
      <c r="C118" s="85">
        <f>G117*(1+F118)</f>
        <v>130606.33729903201</v>
      </c>
      <c r="D118" s="165">
        <v>0</v>
      </c>
      <c r="F118" s="164">
        <f>F117</f>
        <v>3.7999999999999999E-2</v>
      </c>
      <c r="G118" s="85">
        <f>C118-(D118*C118)</f>
        <v>130606.33729903201</v>
      </c>
      <c r="J118" s="160">
        <f>C118*D118</f>
        <v>0</v>
      </c>
    </row>
    <row r="119" spans="2:10" ht="15.75" customHeight="1" x14ac:dyDescent="0.25"/>
    <row r="120" spans="2:10" ht="15.75" customHeight="1" x14ac:dyDescent="0.25">
      <c r="C120" s="4" t="s">
        <v>134</v>
      </c>
      <c r="D120" s="4"/>
      <c r="E120" s="4"/>
      <c r="F120" s="4"/>
      <c r="G120" s="4"/>
      <c r="H120" s="59"/>
      <c r="J120" s="59"/>
    </row>
    <row r="121" spans="2:10" ht="15.75" customHeight="1" x14ac:dyDescent="0.25">
      <c r="B121" s="162" t="s">
        <v>12</v>
      </c>
      <c r="C121" s="153" t="s">
        <v>135</v>
      </c>
      <c r="D121" s="153" t="s">
        <v>136</v>
      </c>
      <c r="E121" s="148"/>
      <c r="F121" s="153" t="s">
        <v>137</v>
      </c>
      <c r="G121" s="156" t="s">
        <v>132</v>
      </c>
      <c r="H121" s="148"/>
      <c r="J121" s="157" t="s">
        <v>138</v>
      </c>
    </row>
    <row r="122" spans="2:10" ht="15.75" customHeight="1" x14ac:dyDescent="0.25">
      <c r="B122" s="13">
        <v>2026</v>
      </c>
      <c r="C122" s="85">
        <f>(280380+89495)</f>
        <v>369875</v>
      </c>
      <c r="D122" s="164">
        <v>0</v>
      </c>
      <c r="E122" s="148"/>
      <c r="F122" s="164">
        <v>3.7999999999999999E-2</v>
      </c>
      <c r="G122" s="85">
        <f>C122-(D122*C122)</f>
        <v>369875</v>
      </c>
      <c r="H122" s="148"/>
      <c r="J122" s="160">
        <f>C122*D122</f>
        <v>0</v>
      </c>
    </row>
    <row r="123" spans="2:10" ht="15.75" customHeight="1" x14ac:dyDescent="0.25">
      <c r="B123" s="13">
        <v>2027</v>
      </c>
      <c r="C123" s="85">
        <f>G122*(1+F123)</f>
        <v>383930.25</v>
      </c>
      <c r="D123" s="165">
        <v>0</v>
      </c>
      <c r="F123" s="164">
        <v>3.7999999999999999E-2</v>
      </c>
      <c r="G123" s="85">
        <f>C123-(D123*C123)</f>
        <v>383930.25</v>
      </c>
      <c r="J123" s="160">
        <f>C123*D123</f>
        <v>0</v>
      </c>
    </row>
    <row r="124" spans="2:10" ht="15.75" customHeight="1" x14ac:dyDescent="0.25">
      <c r="B124" s="13">
        <f>B123+1</f>
        <v>2028</v>
      </c>
      <c r="C124" s="85">
        <f>G123*(1+F124)</f>
        <v>398519.59950000001</v>
      </c>
      <c r="D124" s="165">
        <v>0</v>
      </c>
      <c r="F124" s="164">
        <f>F123</f>
        <v>3.7999999999999999E-2</v>
      </c>
      <c r="G124" s="85">
        <f>C124-(D124*C124)</f>
        <v>398519.59950000001</v>
      </c>
      <c r="J124" s="160">
        <f>C124*D124</f>
        <v>0</v>
      </c>
    </row>
    <row r="125" spans="2:10" ht="15.75" customHeight="1" x14ac:dyDescent="0.25">
      <c r="B125" s="13">
        <f>B124+1</f>
        <v>2029</v>
      </c>
      <c r="C125" s="85">
        <f>G124*(1+F125)</f>
        <v>413663.34428100003</v>
      </c>
      <c r="D125" s="165">
        <v>0</v>
      </c>
      <c r="F125" s="164">
        <f>F124</f>
        <v>3.7999999999999999E-2</v>
      </c>
      <c r="G125" s="85">
        <f>C125-(D125*C125)</f>
        <v>413663.34428100003</v>
      </c>
      <c r="J125" s="160">
        <f>C125*D125</f>
        <v>0</v>
      </c>
    </row>
    <row r="126" spans="2:10" ht="15.75" customHeight="1" x14ac:dyDescent="0.25"/>
    <row r="127" spans="2:10" ht="15.75" customHeight="1" x14ac:dyDescent="0.25"/>
    <row r="128" spans="2:10"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7">
    <mergeCell ref="C113:G113"/>
    <mergeCell ref="C120:G120"/>
    <mergeCell ref="C28:D28"/>
    <mergeCell ref="F28:G28"/>
    <mergeCell ref="I28:J28"/>
    <mergeCell ref="L28:M28"/>
    <mergeCell ref="C105:I105"/>
  </mergeCells>
  <conditionalFormatting sqref="I107:I111">
    <cfRule type="cellIs" dxfId="3" priority="2" operator="lessThan">
      <formula>0</formula>
    </cfRule>
  </conditionalFormatting>
  <pageMargins left="0.7" right="0.7" top="0.75" bottom="0.75"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E599"/>
  </sheetPr>
  <dimension ref="A1:AC1015"/>
  <sheetViews>
    <sheetView showGridLines="0" zoomScaleNormal="100" workbookViewId="0"/>
  </sheetViews>
  <sheetFormatPr defaultColWidth="12.5703125" defaultRowHeight="15" x14ac:dyDescent="0.25"/>
  <cols>
    <col min="1" max="1" width="9.140625" customWidth="1"/>
    <col min="2" max="2" width="40.85546875" customWidth="1"/>
    <col min="3" max="4" width="16.7109375" customWidth="1"/>
    <col min="5" max="5" width="1.28515625" customWidth="1"/>
    <col min="6" max="7" width="16.7109375" customWidth="1"/>
    <col min="8" max="8" width="1.28515625" customWidth="1"/>
    <col min="9" max="10" width="16.7109375" customWidth="1"/>
    <col min="11" max="11" width="1.28515625" customWidth="1"/>
    <col min="12" max="13" width="16.7109375" customWidth="1"/>
    <col min="14" max="14" width="9.140625" customWidth="1"/>
    <col min="15" max="15" width="1.5703125" customWidth="1"/>
    <col min="16" max="29" width="8.5703125" customWidth="1"/>
  </cols>
  <sheetData>
    <row r="1" spans="1:17" ht="24" customHeight="1" x14ac:dyDescent="0.4">
      <c r="A1" s="12" t="s">
        <v>0</v>
      </c>
      <c r="O1" s="56"/>
    </row>
    <row r="2" spans="1:17" ht="18.75" customHeight="1" x14ac:dyDescent="0.3">
      <c r="A2" s="57" t="s">
        <v>51</v>
      </c>
      <c r="O2" s="56"/>
      <c r="Q2" s="58" t="s">
        <v>139</v>
      </c>
    </row>
    <row r="3" spans="1:17" x14ac:dyDescent="0.25">
      <c r="A3" s="58" t="s">
        <v>140</v>
      </c>
      <c r="O3" s="56"/>
    </row>
    <row r="4" spans="1:17" x14ac:dyDescent="0.25">
      <c r="B4" s="59"/>
      <c r="O4" s="56"/>
    </row>
    <row r="5" spans="1:17" ht="18.75" customHeight="1" x14ac:dyDescent="0.3">
      <c r="C5" s="60">
        <v>2025</v>
      </c>
      <c r="F5" s="60">
        <v>2026</v>
      </c>
      <c r="I5" s="60">
        <v>2027</v>
      </c>
      <c r="L5" s="61">
        <v>2028</v>
      </c>
      <c r="O5" s="56"/>
    </row>
    <row r="6" spans="1:17" x14ac:dyDescent="0.25">
      <c r="B6" s="62" t="s">
        <v>53</v>
      </c>
      <c r="C6" s="28">
        <v>5000</v>
      </c>
      <c r="F6" s="28">
        <f>(C6-2000)*1.02</f>
        <v>3060</v>
      </c>
      <c r="I6" s="28">
        <f>F6*1.02</f>
        <v>3121.2000000000003</v>
      </c>
      <c r="L6" s="28">
        <f>I6*1.02</f>
        <v>3183.6240000000003</v>
      </c>
      <c r="O6" s="56"/>
    </row>
    <row r="7" spans="1:17" ht="6" customHeight="1" x14ac:dyDescent="0.25">
      <c r="C7" s="28"/>
      <c r="F7" s="28"/>
      <c r="I7" s="28"/>
      <c r="L7" s="28"/>
      <c r="O7" s="56"/>
    </row>
    <row r="8" spans="1:17" x14ac:dyDescent="0.25">
      <c r="B8" s="62" t="s">
        <v>54</v>
      </c>
      <c r="C8" s="28">
        <f>C6*12</f>
        <v>60000</v>
      </c>
      <c r="F8" s="28">
        <f>F6*12</f>
        <v>36720</v>
      </c>
      <c r="I8" s="28">
        <f>I6*12</f>
        <v>37454.400000000001</v>
      </c>
      <c r="L8" s="28">
        <f>L6*12</f>
        <v>38203.488000000005</v>
      </c>
      <c r="O8" s="56"/>
    </row>
    <row r="9" spans="1:17" x14ac:dyDescent="0.25">
      <c r="B9" s="20" t="s">
        <v>55</v>
      </c>
      <c r="C9" s="28"/>
      <c r="O9" s="56"/>
    </row>
    <row r="10" spans="1:17" x14ac:dyDescent="0.25">
      <c r="B10" s="63" t="s">
        <v>141</v>
      </c>
      <c r="C10" s="28">
        <v>0</v>
      </c>
      <c r="F10" s="64">
        <v>20000</v>
      </c>
      <c r="I10" s="64">
        <v>0</v>
      </c>
      <c r="L10" s="28">
        <v>0</v>
      </c>
      <c r="O10" s="56"/>
    </row>
    <row r="11" spans="1:17" x14ac:dyDescent="0.25">
      <c r="B11" s="63" t="s">
        <v>142</v>
      </c>
      <c r="C11" s="28">
        <v>0</v>
      </c>
      <c r="F11" s="64">
        <v>0</v>
      </c>
      <c r="I11" s="64">
        <v>20000</v>
      </c>
      <c r="L11" s="65">
        <v>0</v>
      </c>
      <c r="O11" s="56"/>
    </row>
    <row r="12" spans="1:17" x14ac:dyDescent="0.25">
      <c r="B12" s="23" t="s">
        <v>143</v>
      </c>
      <c r="C12" s="28">
        <v>0</v>
      </c>
      <c r="F12" s="66">
        <v>-20000</v>
      </c>
      <c r="I12" s="66">
        <v>-20000</v>
      </c>
      <c r="L12" s="65">
        <v>0</v>
      </c>
      <c r="O12" s="56"/>
    </row>
    <row r="13" spans="1:17" x14ac:dyDescent="0.25">
      <c r="B13" s="62" t="s">
        <v>59</v>
      </c>
      <c r="C13" s="67">
        <f>12*300</f>
        <v>3600</v>
      </c>
      <c r="F13" s="67">
        <f>C13*1.02</f>
        <v>3672</v>
      </c>
      <c r="I13" s="67">
        <f>F13*1.02</f>
        <v>3745.44</v>
      </c>
      <c r="L13" s="67">
        <f>I13*1.02</f>
        <v>3820.3488000000002</v>
      </c>
      <c r="O13" s="56"/>
    </row>
    <row r="14" spans="1:17" x14ac:dyDescent="0.25">
      <c r="B14" s="59" t="s">
        <v>60</v>
      </c>
      <c r="C14" s="68">
        <f>SUM(C8:C13)</f>
        <v>63600</v>
      </c>
      <c r="D14" s="59"/>
      <c r="E14" s="59"/>
      <c r="F14" s="68">
        <f>SUM(F8:F13)</f>
        <v>40392</v>
      </c>
      <c r="H14" s="59"/>
      <c r="I14" s="68">
        <f>SUM(I8:I13)</f>
        <v>41199.840000000004</v>
      </c>
      <c r="K14" s="59"/>
      <c r="L14" s="68">
        <f>SUM(L8:L13)</f>
        <v>42023.836800000005</v>
      </c>
      <c r="O14" s="56"/>
    </row>
    <row r="15" spans="1:17" ht="6" customHeight="1" x14ac:dyDescent="0.25">
      <c r="C15" s="28"/>
      <c r="F15" s="28"/>
      <c r="I15" s="28"/>
      <c r="L15" s="28"/>
      <c r="O15" s="56"/>
    </row>
    <row r="16" spans="1:17" x14ac:dyDescent="0.25">
      <c r="B16" s="69" t="s">
        <v>61</v>
      </c>
      <c r="C16" s="70">
        <f>+C17+C18</f>
        <v>241000</v>
      </c>
      <c r="F16" s="70">
        <f>+F17+F18</f>
        <v>195000</v>
      </c>
      <c r="I16" s="70">
        <f>+I17+I18</f>
        <v>200000</v>
      </c>
      <c r="L16" s="70">
        <f>+L17+L18</f>
        <v>204000</v>
      </c>
      <c r="O16" s="56"/>
    </row>
    <row r="17" spans="1:29" x14ac:dyDescent="0.25">
      <c r="B17" s="71" t="s">
        <v>11</v>
      </c>
      <c r="C17" s="72">
        <v>120500</v>
      </c>
      <c r="F17" s="72">
        <v>97500</v>
      </c>
      <c r="I17" s="73">
        <f>ROUNDUP(99596.03,-3)</f>
        <v>100000</v>
      </c>
      <c r="L17" s="73">
        <f>ROUNDUP(101867,-3)</f>
        <v>102000</v>
      </c>
      <c r="O17" s="56"/>
    </row>
    <row r="18" spans="1:29" x14ac:dyDescent="0.25">
      <c r="B18" s="71" t="s">
        <v>12</v>
      </c>
      <c r="C18" s="73">
        <f>C17</f>
        <v>120500</v>
      </c>
      <c r="F18" s="73">
        <f>F17</f>
        <v>97500</v>
      </c>
      <c r="I18" s="73">
        <f>I17</f>
        <v>100000</v>
      </c>
      <c r="L18" s="73">
        <f>L17</f>
        <v>102000</v>
      </c>
      <c r="O18" s="56"/>
    </row>
    <row r="19" spans="1:29" ht="6" customHeight="1" x14ac:dyDescent="0.25">
      <c r="C19" s="28"/>
      <c r="F19" s="28"/>
      <c r="I19" s="28"/>
      <c r="L19" s="28"/>
      <c r="O19" s="56"/>
    </row>
    <row r="20" spans="1:29" x14ac:dyDescent="0.25">
      <c r="B20" s="74" t="s">
        <v>62</v>
      </c>
      <c r="C20" s="75">
        <f>SUM(C43:D43)</f>
        <v>262135.88</v>
      </c>
      <c r="F20" s="75">
        <f>SUM(F41:G41)</f>
        <v>227944.23920000001</v>
      </c>
      <c r="I20" s="75">
        <f>SUM(I41:J41)</f>
        <v>199999.96316799999</v>
      </c>
      <c r="J20" s="68"/>
      <c r="L20" s="75">
        <f>SUM(L41:M41)+1</f>
        <v>204000.24243136001</v>
      </c>
      <c r="M20" s="68"/>
      <c r="O20" s="56"/>
    </row>
    <row r="21" spans="1:29" x14ac:dyDescent="0.25">
      <c r="A21" s="62"/>
      <c r="B21" s="76" t="s">
        <v>63</v>
      </c>
      <c r="C21" s="77">
        <f>C22+C23</f>
        <v>75782.399999999994</v>
      </c>
      <c r="D21" s="78" t="s">
        <v>64</v>
      </c>
      <c r="F21" s="77">
        <f>F22+F23</f>
        <v>53369.919999999998</v>
      </c>
      <c r="G21" s="78" t="s">
        <v>64</v>
      </c>
      <c r="I21" s="77">
        <f>I22+I23</f>
        <v>43835.88</v>
      </c>
      <c r="J21" s="78" t="s">
        <v>64</v>
      </c>
      <c r="L21" s="77">
        <f>L22+L23</f>
        <v>45095.08</v>
      </c>
      <c r="M21" s="78" t="s">
        <v>64</v>
      </c>
      <c r="N21" s="62"/>
      <c r="O21" s="56"/>
      <c r="P21" s="62"/>
      <c r="Q21" s="62"/>
      <c r="R21" s="62"/>
      <c r="S21" s="62"/>
      <c r="T21" s="62"/>
      <c r="U21" s="62"/>
      <c r="V21" s="62"/>
      <c r="W21" s="62"/>
      <c r="X21" s="62"/>
      <c r="Y21" s="62"/>
      <c r="Z21" s="62"/>
      <c r="AA21" s="62"/>
      <c r="AB21" s="62"/>
      <c r="AC21" s="62"/>
    </row>
    <row r="22" spans="1:29" ht="15.75" customHeight="1" x14ac:dyDescent="0.25">
      <c r="A22" s="62"/>
      <c r="B22" s="79" t="s">
        <v>11</v>
      </c>
      <c r="C22" s="80">
        <f>21970.68+12093.05+3203.66+940.43</f>
        <v>38207.82</v>
      </c>
      <c r="D22" s="81">
        <f>C22+SUM(C46:C48,C50)+C51</f>
        <v>0</v>
      </c>
      <c r="F22" s="80">
        <v>26684.959999999999</v>
      </c>
      <c r="G22" s="81">
        <f>F22+SUM(F46:F48,F50)+F51</f>
        <v>0</v>
      </c>
      <c r="I22" s="80">
        <v>21917.94</v>
      </c>
      <c r="J22" s="81">
        <f>I22+SUM(I46:I48,I50)+I51</f>
        <v>0</v>
      </c>
      <c r="L22" s="80">
        <v>22547.54</v>
      </c>
      <c r="M22" s="81">
        <f>L22+SUM(L46:L48,L50)+L51</f>
        <v>0</v>
      </c>
      <c r="N22" s="62"/>
      <c r="O22" s="56"/>
      <c r="P22" s="62"/>
      <c r="Q22" s="62"/>
      <c r="R22" s="62"/>
      <c r="S22" s="62"/>
      <c r="T22" s="62"/>
      <c r="U22" s="62"/>
      <c r="V22" s="62"/>
      <c r="W22" s="62"/>
      <c r="X22" s="62"/>
      <c r="Y22" s="62"/>
      <c r="Z22" s="62"/>
      <c r="AA22" s="62"/>
      <c r="AB22" s="62"/>
      <c r="AC22" s="62"/>
    </row>
    <row r="23" spans="1:29" ht="15.75" customHeight="1" x14ac:dyDescent="0.25">
      <c r="A23" s="62"/>
      <c r="B23" s="79" t="s">
        <v>12</v>
      </c>
      <c r="C23" s="80">
        <f>21970.68+12093.05+2707.25+803.6</f>
        <v>37574.579999999994</v>
      </c>
      <c r="D23" s="81">
        <f>C23+SUM(D46:D48,D50)+D51</f>
        <v>0</v>
      </c>
      <c r="F23" s="80">
        <v>26684.959999999999</v>
      </c>
      <c r="G23" s="81">
        <f>F23+SUM(G46:G48,G50)+G51</f>
        <v>0</v>
      </c>
      <c r="I23" s="80">
        <v>21917.94</v>
      </c>
      <c r="J23" s="81">
        <f>I23+SUM(J46:J48,J50)+J51</f>
        <v>0</v>
      </c>
      <c r="L23" s="80">
        <v>22547.54</v>
      </c>
      <c r="M23" s="81">
        <f>L23+SUM(M46:M48,M50)+M51</f>
        <v>0</v>
      </c>
      <c r="N23" s="62"/>
      <c r="O23" s="56"/>
      <c r="P23" s="62"/>
      <c r="Q23" s="62"/>
      <c r="R23" s="62"/>
      <c r="S23" s="62"/>
      <c r="T23" s="62"/>
      <c r="U23" s="62"/>
      <c r="V23" s="62"/>
      <c r="W23" s="62"/>
      <c r="X23" s="62"/>
      <c r="Y23" s="62"/>
      <c r="Z23" s="62"/>
      <c r="AA23" s="62"/>
      <c r="AB23" s="62"/>
      <c r="AC23" s="62"/>
    </row>
    <row r="24" spans="1:29" ht="15.75" customHeight="1" x14ac:dyDescent="0.25">
      <c r="B24" s="82" t="s">
        <v>65</v>
      </c>
      <c r="C24" s="83">
        <f>IF(C16-C20&lt;0,0,C16-C20)</f>
        <v>0</v>
      </c>
      <c r="D24" s="62"/>
      <c r="F24" s="83">
        <f>IF(F16-F20&lt;0,0,F16-F20)</f>
        <v>0</v>
      </c>
      <c r="G24" s="28"/>
      <c r="I24" s="83">
        <f>IF(I16-I20&lt;0,0,I16-I20)</f>
        <v>3.6832000012509525E-2</v>
      </c>
      <c r="J24" s="68"/>
      <c r="L24" s="83">
        <f>IF(L16-L20&lt;0,0,L16-L20)</f>
        <v>0</v>
      </c>
      <c r="M24" s="68"/>
      <c r="O24" s="56"/>
    </row>
    <row r="25" spans="1:29" ht="15.75" customHeight="1" x14ac:dyDescent="0.25">
      <c r="B25" s="23"/>
      <c r="C25" s="28"/>
      <c r="D25" s="84"/>
      <c r="F25" s="28"/>
      <c r="G25" s="85"/>
      <c r="O25" s="56"/>
    </row>
    <row r="26" spans="1:29" ht="15.75" customHeight="1" x14ac:dyDescent="0.25">
      <c r="C26" s="28"/>
      <c r="F26" s="28"/>
      <c r="O26" s="56"/>
    </row>
    <row r="27" spans="1:29" ht="15.75" customHeight="1" x14ac:dyDescent="0.25">
      <c r="A27" s="62"/>
      <c r="B27" s="86" t="s">
        <v>66</v>
      </c>
      <c r="C27" s="87">
        <v>65</v>
      </c>
      <c r="D27" s="87">
        <v>63</v>
      </c>
      <c r="E27" s="88"/>
      <c r="F27" s="87">
        <f>C27+1</f>
        <v>66</v>
      </c>
      <c r="G27" s="87">
        <f>D27+1</f>
        <v>64</v>
      </c>
      <c r="H27" s="88"/>
      <c r="I27" s="87">
        <f>F27+1</f>
        <v>67</v>
      </c>
      <c r="J27" s="87">
        <f>G27+1</f>
        <v>65</v>
      </c>
      <c r="K27" s="89"/>
      <c r="L27" s="87">
        <f>I27+1</f>
        <v>68</v>
      </c>
      <c r="M27" s="90">
        <f>J27+1</f>
        <v>66</v>
      </c>
      <c r="N27" s="62"/>
      <c r="O27" s="56"/>
      <c r="P27" s="62"/>
      <c r="Q27" s="62"/>
      <c r="R27" s="62"/>
      <c r="S27" s="62"/>
      <c r="T27" s="62"/>
      <c r="U27" s="62"/>
      <c r="V27" s="62"/>
      <c r="W27" s="62"/>
      <c r="X27" s="62"/>
      <c r="Y27" s="62"/>
      <c r="Z27" s="62"/>
      <c r="AA27" s="62"/>
      <c r="AB27" s="62"/>
      <c r="AC27" s="62"/>
    </row>
    <row r="28" spans="1:29" ht="15.75" customHeight="1" x14ac:dyDescent="0.3">
      <c r="B28" s="91"/>
      <c r="C28" s="9">
        <v>2025</v>
      </c>
      <c r="D28" s="9"/>
      <c r="E28" s="92"/>
      <c r="F28" s="8">
        <v>2026</v>
      </c>
      <c r="G28" s="8"/>
      <c r="H28" s="92"/>
      <c r="I28" s="7">
        <v>2027</v>
      </c>
      <c r="J28" s="7"/>
      <c r="K28" s="92"/>
      <c r="L28" s="6">
        <v>2028</v>
      </c>
      <c r="M28" s="6"/>
      <c r="O28" s="56"/>
    </row>
    <row r="29" spans="1:29" ht="15.75" customHeight="1" x14ac:dyDescent="0.25">
      <c r="B29" s="93" t="s">
        <v>67</v>
      </c>
      <c r="C29" s="18" t="s">
        <v>11</v>
      </c>
      <c r="D29" s="18" t="s">
        <v>12</v>
      </c>
      <c r="E29" s="94"/>
      <c r="F29" s="18" t="s">
        <v>11</v>
      </c>
      <c r="G29" s="18" t="s">
        <v>12</v>
      </c>
      <c r="H29" s="94"/>
      <c r="I29" s="18" t="s">
        <v>11</v>
      </c>
      <c r="J29" s="18" t="s">
        <v>12</v>
      </c>
      <c r="K29" s="94"/>
      <c r="L29" s="18" t="s">
        <v>11</v>
      </c>
      <c r="M29" s="95" t="s">
        <v>12</v>
      </c>
      <c r="O29" s="56"/>
    </row>
    <row r="30" spans="1:29" ht="4.5" customHeight="1" x14ac:dyDescent="0.25">
      <c r="B30" s="96"/>
      <c r="C30" s="28"/>
      <c r="D30" s="28"/>
      <c r="E30" s="94"/>
      <c r="F30" s="28"/>
      <c r="G30" s="28"/>
      <c r="H30" s="94"/>
      <c r="I30" s="28"/>
      <c r="J30" s="28"/>
      <c r="K30" s="94"/>
      <c r="L30" s="28"/>
      <c r="M30" s="97"/>
      <c r="O30" s="56"/>
    </row>
    <row r="31" spans="1:29" ht="15.75" customHeight="1" x14ac:dyDescent="0.25">
      <c r="B31" s="96" t="s">
        <v>68</v>
      </c>
      <c r="C31" s="28">
        <v>57343</v>
      </c>
      <c r="D31" s="28">
        <v>49000</v>
      </c>
      <c r="E31" s="94"/>
      <c r="F31" s="28">
        <v>0</v>
      </c>
      <c r="G31" s="28">
        <v>0</v>
      </c>
      <c r="H31" s="94"/>
      <c r="I31" s="28">
        <v>0</v>
      </c>
      <c r="J31" s="28">
        <v>0</v>
      </c>
      <c r="K31" s="94"/>
      <c r="L31" s="28">
        <v>0</v>
      </c>
      <c r="M31" s="97">
        <v>0</v>
      </c>
      <c r="O31" s="56"/>
    </row>
    <row r="32" spans="1:29" ht="15.75" customHeight="1" x14ac:dyDescent="0.25">
      <c r="B32" s="98" t="s">
        <v>69</v>
      </c>
      <c r="C32" s="28">
        <f>3*(1429.83)</f>
        <v>4289.49</v>
      </c>
      <c r="D32" s="28">
        <v>0</v>
      </c>
      <c r="E32" s="94"/>
      <c r="F32" s="28">
        <f>12*(1429.83*1.02)</f>
        <v>17501.119200000001</v>
      </c>
      <c r="G32" s="28">
        <v>0</v>
      </c>
      <c r="H32" s="94"/>
      <c r="I32" s="28">
        <f>F32*1.02</f>
        <v>17851.141584000001</v>
      </c>
      <c r="J32" s="28">
        <f>6*(853+100)</f>
        <v>5718</v>
      </c>
      <c r="K32" s="94"/>
      <c r="L32" s="28">
        <f>I32*1.02</f>
        <v>18208.164415680003</v>
      </c>
      <c r="M32" s="97">
        <f>12*(853+100)*1.02</f>
        <v>11664.72</v>
      </c>
      <c r="O32" s="56"/>
    </row>
    <row r="33" spans="2:15" ht="15.75" customHeight="1" x14ac:dyDescent="0.25">
      <c r="B33" s="98" t="s">
        <v>70</v>
      </c>
      <c r="C33" s="65">
        <v>0</v>
      </c>
      <c r="D33" s="28">
        <v>0</v>
      </c>
      <c r="E33" s="94"/>
      <c r="F33" s="65">
        <v>0</v>
      </c>
      <c r="G33" s="28">
        <v>0</v>
      </c>
      <c r="H33" s="94"/>
      <c r="I33" s="28">
        <f>F33*1.02</f>
        <v>0</v>
      </c>
      <c r="J33" s="28">
        <f>I33</f>
        <v>0</v>
      </c>
      <c r="K33" s="94"/>
      <c r="L33" s="28">
        <f>I33*1.02</f>
        <v>0</v>
      </c>
      <c r="M33" s="97">
        <f>L33</f>
        <v>0</v>
      </c>
      <c r="O33" s="56"/>
    </row>
    <row r="34" spans="2:15" ht="15.75" customHeight="1" x14ac:dyDescent="0.25">
      <c r="B34" s="98" t="s">
        <v>71</v>
      </c>
      <c r="C34" s="28">
        <v>0</v>
      </c>
      <c r="D34" s="99">
        <f>15566+34215</f>
        <v>49781</v>
      </c>
      <c r="E34" s="94"/>
      <c r="F34" s="28">
        <v>0</v>
      </c>
      <c r="G34" s="99">
        <f>G67</f>
        <v>80000</v>
      </c>
      <c r="H34" s="94"/>
      <c r="I34" s="28">
        <v>0</v>
      </c>
      <c r="J34" s="28">
        <v>0</v>
      </c>
      <c r="K34" s="94"/>
      <c r="L34" s="28">
        <v>0</v>
      </c>
      <c r="M34" s="97">
        <v>0</v>
      </c>
      <c r="O34" s="56"/>
    </row>
    <row r="35" spans="2:15" ht="15.75" customHeight="1" x14ac:dyDescent="0.25">
      <c r="B35" s="96" t="s">
        <v>72</v>
      </c>
      <c r="C35" s="28">
        <f>111500+(123606.12-111500)*9/12</f>
        <v>120579.59</v>
      </c>
      <c r="D35" s="28">
        <f>1541.76*5</f>
        <v>7708.8</v>
      </c>
      <c r="E35" s="94"/>
      <c r="F35" s="65">
        <v>111942</v>
      </c>
      <c r="G35" s="28">
        <f>1541.76*12</f>
        <v>18501.12</v>
      </c>
      <c r="H35" s="94"/>
      <c r="I35" s="28">
        <f>F35*1.02</f>
        <v>114180.84</v>
      </c>
      <c r="J35" s="28">
        <f>G35*1.02</f>
        <v>18871.142400000001</v>
      </c>
      <c r="K35" s="94"/>
      <c r="L35" s="28">
        <f>I35*1.02</f>
        <v>116464.4568</v>
      </c>
      <c r="M35" s="97">
        <f>J35*1.02</f>
        <v>19248.565248000003</v>
      </c>
      <c r="O35" s="56"/>
    </row>
    <row r="36" spans="2:15" ht="15.75" customHeight="1" x14ac:dyDescent="0.25">
      <c r="B36" s="96" t="s">
        <v>73</v>
      </c>
      <c r="C36" s="65">
        <v>0</v>
      </c>
      <c r="D36" s="65">
        <v>0</v>
      </c>
      <c r="E36" s="94"/>
      <c r="F36" s="28">
        <v>0</v>
      </c>
      <c r="G36" s="28">
        <v>0</v>
      </c>
      <c r="H36" s="94"/>
      <c r="I36" s="65">
        <v>0</v>
      </c>
      <c r="J36" s="65">
        <v>43378.839183999997</v>
      </c>
      <c r="K36" s="94"/>
      <c r="L36" s="65">
        <v>0</v>
      </c>
      <c r="M36" s="100">
        <v>38413.335967680003</v>
      </c>
      <c r="O36" s="56"/>
    </row>
    <row r="37" spans="2:15" ht="15.75" customHeight="1" x14ac:dyDescent="0.25">
      <c r="B37" s="96" t="s">
        <v>74</v>
      </c>
      <c r="C37" s="101">
        <f>-D37</f>
        <v>-40144.14</v>
      </c>
      <c r="D37" s="102">
        <v>40144.14</v>
      </c>
      <c r="E37" s="94"/>
      <c r="F37" s="101">
        <f>-G37</f>
        <v>-15470.999599999999</v>
      </c>
      <c r="G37" s="101">
        <v>15470.999599999999</v>
      </c>
      <c r="H37" s="94"/>
      <c r="I37" s="102">
        <f>-J37</f>
        <v>-32032</v>
      </c>
      <c r="J37" s="102">
        <v>32032</v>
      </c>
      <c r="K37" s="94"/>
      <c r="L37" s="102">
        <f>-M37</f>
        <v>-32673</v>
      </c>
      <c r="M37" s="103">
        <v>32673</v>
      </c>
      <c r="O37" s="56"/>
    </row>
    <row r="38" spans="2:15" ht="15.75" customHeight="1" x14ac:dyDescent="0.25">
      <c r="B38" s="96" t="s">
        <v>75</v>
      </c>
      <c r="C38" s="28">
        <v>0</v>
      </c>
      <c r="D38" s="28">
        <v>0</v>
      </c>
      <c r="E38" s="94"/>
      <c r="F38" s="28">
        <v>0</v>
      </c>
      <c r="G38" s="28">
        <v>0</v>
      </c>
      <c r="H38" s="94"/>
      <c r="I38" s="65">
        <v>0</v>
      </c>
      <c r="J38" s="65">
        <v>0</v>
      </c>
      <c r="K38" s="94"/>
      <c r="L38" s="28"/>
      <c r="M38" s="97"/>
      <c r="O38" s="56"/>
    </row>
    <row r="39" spans="2:15" ht="15.75" customHeight="1" x14ac:dyDescent="0.25">
      <c r="B39" s="96" t="s">
        <v>76</v>
      </c>
      <c r="C39" s="104">
        <v>0</v>
      </c>
      <c r="D39" s="104">
        <v>0</v>
      </c>
      <c r="E39" s="94"/>
      <c r="F39" s="104">
        <v>0</v>
      </c>
      <c r="G39" s="104">
        <v>0</v>
      </c>
      <c r="H39" s="94"/>
      <c r="I39" s="104">
        <v>0</v>
      </c>
      <c r="J39" s="104">
        <v>0</v>
      </c>
      <c r="K39" s="94"/>
      <c r="L39" s="104">
        <v>0</v>
      </c>
      <c r="M39" s="105">
        <v>0</v>
      </c>
      <c r="O39" s="56"/>
    </row>
    <row r="40" spans="2:15" ht="5.25" customHeight="1" x14ac:dyDescent="0.25">
      <c r="B40" s="96"/>
      <c r="C40" s="67"/>
      <c r="D40" s="67"/>
      <c r="E40" s="106"/>
      <c r="F40" s="67"/>
      <c r="G40" s="67"/>
      <c r="H40" s="106"/>
      <c r="I40" s="67"/>
      <c r="J40" s="67"/>
      <c r="K40" s="107"/>
      <c r="L40" s="67"/>
      <c r="M40" s="108"/>
      <c r="O40" s="56"/>
    </row>
    <row r="41" spans="2:15" ht="15.75" customHeight="1" x14ac:dyDescent="0.25">
      <c r="B41" s="109" t="s">
        <v>77</v>
      </c>
      <c r="C41" s="68">
        <f>SUM(C31:C39)</f>
        <v>142067.94</v>
      </c>
      <c r="D41" s="68">
        <f>SUM(D31:D39)</f>
        <v>146633.94</v>
      </c>
      <c r="E41" s="110"/>
      <c r="F41" s="68">
        <f>SUM(F31:F39)</f>
        <v>113972.11960000001</v>
      </c>
      <c r="G41" s="68">
        <f>SUM(G31:G39)</f>
        <v>113972.11959999999</v>
      </c>
      <c r="H41" s="110"/>
      <c r="I41" s="68">
        <f>SUM(I31:I39)</f>
        <v>99999.981583999994</v>
      </c>
      <c r="J41" s="68">
        <f>SUM(J31:J39)</f>
        <v>99999.981583999994</v>
      </c>
      <c r="K41" s="110"/>
      <c r="L41" s="68">
        <f>SUM(L31:L39)</f>
        <v>101999.62121568</v>
      </c>
      <c r="M41" s="111">
        <f>SUM(M31:M39)</f>
        <v>101999.62121568</v>
      </c>
      <c r="O41" s="56"/>
    </row>
    <row r="42" spans="2:15" x14ac:dyDescent="0.25">
      <c r="B42" s="98" t="s">
        <v>78</v>
      </c>
      <c r="C42" s="112">
        <v>-11000</v>
      </c>
      <c r="D42" s="112">
        <v>-15566</v>
      </c>
      <c r="E42" s="107"/>
      <c r="F42" s="112">
        <v>0</v>
      </c>
      <c r="G42" s="112">
        <v>0</v>
      </c>
      <c r="H42" s="107"/>
      <c r="I42" s="112">
        <v>0</v>
      </c>
      <c r="J42" s="112">
        <v>0</v>
      </c>
      <c r="K42" s="107"/>
      <c r="L42" s="112">
        <v>0</v>
      </c>
      <c r="M42" s="113">
        <v>0</v>
      </c>
      <c r="O42" s="56"/>
    </row>
    <row r="43" spans="2:15" ht="15.75" customHeight="1" x14ac:dyDescent="0.25">
      <c r="B43" s="114" t="s">
        <v>79</v>
      </c>
      <c r="C43" s="68">
        <f>C41+C42</f>
        <v>131067.94</v>
      </c>
      <c r="D43" s="68">
        <f>D41+D42</f>
        <v>131067.94</v>
      </c>
      <c r="E43" s="110"/>
      <c r="F43" s="68">
        <f>F41+F42</f>
        <v>113972.11960000001</v>
      </c>
      <c r="G43" s="68">
        <f>G41+G42</f>
        <v>113972.11959999999</v>
      </c>
      <c r="H43" s="110"/>
      <c r="I43" s="68">
        <f>I41+I42</f>
        <v>99999.981583999994</v>
      </c>
      <c r="J43" s="68">
        <f>J41+J42</f>
        <v>99999.981583999994</v>
      </c>
      <c r="K43" s="110"/>
      <c r="L43" s="68">
        <f>L41+L42</f>
        <v>101999.62121568</v>
      </c>
      <c r="M43" s="111">
        <f>M41+M42</f>
        <v>101999.62121568</v>
      </c>
      <c r="O43" s="56"/>
    </row>
    <row r="44" spans="2:15" ht="5.25" customHeight="1" x14ac:dyDescent="0.25">
      <c r="B44" s="109"/>
      <c r="C44" s="68"/>
      <c r="D44" s="68"/>
      <c r="E44" s="110"/>
      <c r="F44" s="68"/>
      <c r="G44" s="68"/>
      <c r="H44" s="110"/>
      <c r="I44" s="68"/>
      <c r="J44" s="68"/>
      <c r="K44" s="110"/>
      <c r="L44" s="68"/>
      <c r="M44" s="111"/>
      <c r="O44" s="56"/>
    </row>
    <row r="45" spans="2:15" ht="15.75" customHeight="1" x14ac:dyDescent="0.25">
      <c r="B45" s="93" t="s">
        <v>80</v>
      </c>
      <c r="C45" s="28"/>
      <c r="D45" s="28"/>
      <c r="E45" s="94"/>
      <c r="F45" s="28"/>
      <c r="G45" s="28"/>
      <c r="H45" s="94"/>
      <c r="I45" s="28"/>
      <c r="J45" s="28"/>
      <c r="K45" s="94"/>
      <c r="L45" s="28"/>
      <c r="M45" s="97"/>
      <c r="O45" s="56"/>
    </row>
    <row r="46" spans="2:15" ht="15.75" customHeight="1" x14ac:dyDescent="0.25">
      <c r="B46" s="115" t="s">
        <v>81</v>
      </c>
      <c r="C46" s="28">
        <v>-12287.76</v>
      </c>
      <c r="D46" s="65">
        <v>-9933.9500000000007</v>
      </c>
      <c r="E46" s="94"/>
      <c r="F46" s="28">
        <v>0</v>
      </c>
      <c r="G46" s="28">
        <v>0</v>
      </c>
      <c r="H46" s="94"/>
      <c r="I46" s="28">
        <v>0</v>
      </c>
      <c r="J46" s="28">
        <v>0</v>
      </c>
      <c r="K46" s="94"/>
      <c r="L46" s="28">
        <v>0</v>
      </c>
      <c r="M46" s="97">
        <v>0</v>
      </c>
      <c r="O46" s="56"/>
    </row>
    <row r="47" spans="2:15" ht="15.75" customHeight="1" x14ac:dyDescent="0.25">
      <c r="B47" s="115" t="s">
        <v>82</v>
      </c>
      <c r="C47" s="28">
        <f>-(C35+C37)*0.25</f>
        <v>-20108.862499999999</v>
      </c>
      <c r="D47" s="28">
        <f>-(D35+D37)*0.25</f>
        <v>-11963.235000000001</v>
      </c>
      <c r="E47" s="94"/>
      <c r="F47" s="28">
        <f>-(F35+F37)*0.25</f>
        <v>-24117.750100000001</v>
      </c>
      <c r="G47" s="28">
        <f>-(G35+G37)*0.25</f>
        <v>-8493.0298999999995</v>
      </c>
      <c r="H47" s="94"/>
      <c r="I47" s="28">
        <f>-(I35+I37)*0.25</f>
        <v>-20537.21</v>
      </c>
      <c r="J47" s="28">
        <f>-(J35+J37)*0.25</f>
        <v>-12725.785599999999</v>
      </c>
      <c r="K47" s="94"/>
      <c r="L47" s="28">
        <f>-(L35+L37)*0.25</f>
        <v>-20947.8642</v>
      </c>
      <c r="M47" s="97">
        <f>-(M35+M37)*0.25</f>
        <v>-12980.391312</v>
      </c>
      <c r="O47" s="56"/>
    </row>
    <row r="48" spans="2:15" ht="15.75" customHeight="1" x14ac:dyDescent="0.25">
      <c r="B48" s="115" t="s">
        <v>83</v>
      </c>
      <c r="C48" s="67">
        <v>0</v>
      </c>
      <c r="D48" s="67">
        <v>0</v>
      </c>
      <c r="E48" s="116"/>
      <c r="F48" s="67">
        <f>-MIN(5000,F38)*0.1</f>
        <v>0</v>
      </c>
      <c r="G48" s="67">
        <v>0</v>
      </c>
      <c r="H48" s="116"/>
      <c r="I48" s="67">
        <f>-MIN(5000,I38)*0.1</f>
        <v>0</v>
      </c>
      <c r="J48" s="112">
        <v>0</v>
      </c>
      <c r="K48" s="94"/>
      <c r="L48" s="112">
        <v>0</v>
      </c>
      <c r="M48" s="113">
        <v>0</v>
      </c>
      <c r="O48" s="56"/>
    </row>
    <row r="49" spans="1:29" ht="15.75" customHeight="1" x14ac:dyDescent="0.25">
      <c r="B49" s="109" t="s">
        <v>84</v>
      </c>
      <c r="C49" s="68">
        <f>SUM(C43:C48)</f>
        <v>98671.317500000005</v>
      </c>
      <c r="D49" s="68">
        <f>SUM(D43:D48)</f>
        <v>109170.755</v>
      </c>
      <c r="E49" s="117"/>
      <c r="F49" s="68">
        <f>SUM(F43:F48)</f>
        <v>89854.369500000001</v>
      </c>
      <c r="G49" s="68">
        <f>SUM(G43:G48)</f>
        <v>105479.0897</v>
      </c>
      <c r="H49" s="117"/>
      <c r="I49" s="68">
        <f>SUM(I43:I48)</f>
        <v>79462.771584000002</v>
      </c>
      <c r="J49" s="68">
        <f>SUM(J43:J48)</f>
        <v>87274.195983999991</v>
      </c>
      <c r="K49" s="117"/>
      <c r="L49" s="68">
        <f>SUM(L43:L48)</f>
        <v>81051.757015680007</v>
      </c>
      <c r="M49" s="111">
        <f>SUM(M43:M48)</f>
        <v>89019.22990368001</v>
      </c>
      <c r="O49" s="56"/>
    </row>
    <row r="50" spans="1:29" ht="15.75" customHeight="1" x14ac:dyDescent="0.25">
      <c r="B50" s="96" t="s">
        <v>85</v>
      </c>
      <c r="C50" s="28">
        <f>-(C22+SUM(C46:C48))-C51</f>
        <v>-5811.197500000002</v>
      </c>
      <c r="D50" s="28">
        <f>-(C23+SUM(D46:D48))-D51</f>
        <v>-15677.394999999993</v>
      </c>
      <c r="E50" s="94"/>
      <c r="F50" s="28">
        <f>-(F22+SUM(F46:F48))-F51</f>
        <v>-2567.209899999998</v>
      </c>
      <c r="G50" s="28">
        <f>-(F23+SUM(G46:G48))</f>
        <v>-18191.930099999998</v>
      </c>
      <c r="H50" s="94"/>
      <c r="I50" s="28">
        <f>-(I22+SUM(I46:I48))-I51</f>
        <v>-1380.7299999999996</v>
      </c>
      <c r="J50" s="28">
        <f>-(I23+SUM(J46:J48))-J51</f>
        <v>-9192.1543999999994</v>
      </c>
      <c r="K50" s="94"/>
      <c r="L50" s="28">
        <f>-(L22+SUM(L46:L48))-L51</f>
        <v>-1599.6758000000009</v>
      </c>
      <c r="M50" s="97">
        <f>-(L23+SUM(M46:M48))-M51</f>
        <v>-9567.1486880000011</v>
      </c>
      <c r="O50" s="56"/>
    </row>
    <row r="51" spans="1:29" ht="15.75" customHeight="1" x14ac:dyDescent="0.25">
      <c r="B51" s="115" t="s">
        <v>86</v>
      </c>
      <c r="C51" s="28">
        <f>-C33</f>
        <v>0</v>
      </c>
      <c r="D51" s="28">
        <f>-D33</f>
        <v>0</v>
      </c>
      <c r="E51" s="94"/>
      <c r="F51" s="28">
        <f>-F33</f>
        <v>0</v>
      </c>
      <c r="G51" s="28">
        <f>-G33</f>
        <v>0</v>
      </c>
      <c r="H51" s="94"/>
      <c r="I51" s="28">
        <f>-I33</f>
        <v>0</v>
      </c>
      <c r="J51" s="28">
        <f>-J33</f>
        <v>0</v>
      </c>
      <c r="K51" s="94"/>
      <c r="L51" s="28">
        <f>-L33</f>
        <v>0</v>
      </c>
      <c r="M51" s="97">
        <f>-M33</f>
        <v>0</v>
      </c>
      <c r="O51" s="56"/>
    </row>
    <row r="52" spans="1:29" ht="5.25" customHeight="1" x14ac:dyDescent="0.25">
      <c r="B52" s="96"/>
      <c r="C52" s="28"/>
      <c r="D52" s="28"/>
      <c r="E52" s="107"/>
      <c r="F52" s="28"/>
      <c r="G52" s="28"/>
      <c r="H52" s="107"/>
      <c r="I52" s="28"/>
      <c r="J52" s="28"/>
      <c r="K52" s="107"/>
      <c r="L52" s="28"/>
      <c r="M52" s="97"/>
      <c r="O52" s="56"/>
    </row>
    <row r="53" spans="1:29" ht="15.75" customHeight="1" x14ac:dyDescent="0.25">
      <c r="A53" s="118"/>
      <c r="B53" s="119" t="s">
        <v>87</v>
      </c>
      <c r="C53" s="120">
        <f>IF(C14-(C20-C21)&lt;0,0,C14-(C20-C21))</f>
        <v>0</v>
      </c>
      <c r="D53" s="120"/>
      <c r="E53" s="121"/>
      <c r="F53" s="120">
        <f>IF(F14-(F20-F21)&lt;0,0,F14-(F20-F21))</f>
        <v>0</v>
      </c>
      <c r="G53" s="120"/>
      <c r="H53" s="121"/>
      <c r="I53" s="120">
        <f>IF(I14-(I20-I21)&lt;0,0,I14-(I20-I21))</f>
        <v>0</v>
      </c>
      <c r="J53" s="120"/>
      <c r="K53" s="121"/>
      <c r="L53" s="120">
        <f>IF(L14-(L20-L21)&lt;0,0,L14-(L20-L21))</f>
        <v>0</v>
      </c>
      <c r="M53" s="122"/>
      <c r="N53" s="118"/>
      <c r="O53" s="123"/>
      <c r="P53" s="118"/>
      <c r="Q53" s="118"/>
      <c r="R53" s="118"/>
      <c r="S53" s="118"/>
      <c r="T53" s="118"/>
      <c r="U53" s="118"/>
      <c r="V53" s="118"/>
      <c r="W53" s="118"/>
      <c r="X53" s="118"/>
      <c r="Y53" s="118"/>
      <c r="Z53" s="118"/>
      <c r="AA53" s="118"/>
      <c r="AB53" s="118"/>
      <c r="AC53" s="118"/>
    </row>
    <row r="54" spans="1:29" ht="5.25" customHeight="1" x14ac:dyDescent="0.25">
      <c r="B54" s="96"/>
      <c r="C54" s="28"/>
      <c r="D54" s="28"/>
      <c r="E54" s="107"/>
      <c r="F54" s="28"/>
      <c r="G54" s="28"/>
      <c r="H54" s="107"/>
      <c r="I54" s="28"/>
      <c r="J54" s="28"/>
      <c r="K54" s="107"/>
      <c r="L54" s="28"/>
      <c r="M54" s="97"/>
      <c r="O54" s="56"/>
    </row>
    <row r="55" spans="1:29" ht="15.75" customHeight="1" x14ac:dyDescent="0.25">
      <c r="B55" s="109" t="s">
        <v>88</v>
      </c>
      <c r="C55" s="124">
        <f>SUM(C49:D51)+C53</f>
        <v>186353.48</v>
      </c>
      <c r="D55" s="68"/>
      <c r="E55" s="117"/>
      <c r="F55" s="124">
        <f>SUM(F49:G51)+F53</f>
        <v>174574.3192</v>
      </c>
      <c r="G55" s="62"/>
      <c r="H55" s="117"/>
      <c r="I55" s="124">
        <f>SUM(I49:J51)+I53</f>
        <v>156164.08316799998</v>
      </c>
      <c r="J55" s="62"/>
      <c r="K55" s="117"/>
      <c r="L55" s="124">
        <f>SUM(L49:M51)+L53</f>
        <v>158904.16243135999</v>
      </c>
      <c r="M55" s="125"/>
      <c r="O55" s="56"/>
    </row>
    <row r="56" spans="1:29" ht="15.75" customHeight="1" x14ac:dyDescent="0.25">
      <c r="A56" s="126"/>
      <c r="B56" s="127" t="s">
        <v>89</v>
      </c>
      <c r="C56" s="128">
        <f>IF(C14-C55&lt;0,0,C14-C55)</f>
        <v>0</v>
      </c>
      <c r="D56" s="128"/>
      <c r="E56" s="129"/>
      <c r="F56" s="128">
        <f>IF(F14-F55&lt;0,0,F14-F55)</f>
        <v>0</v>
      </c>
      <c r="G56" s="130"/>
      <c r="H56" s="129"/>
      <c r="I56" s="128">
        <f>IF(I14-I55&lt;0,0,I14-I55)</f>
        <v>0</v>
      </c>
      <c r="J56" s="130"/>
      <c r="K56" s="129"/>
      <c r="L56" s="128">
        <f>IF(L14-L55&lt;0,0,L14-L55)</f>
        <v>0</v>
      </c>
      <c r="M56" s="131"/>
      <c r="N56" s="126"/>
      <c r="O56" s="132"/>
      <c r="P56" s="126"/>
      <c r="Q56" s="126"/>
      <c r="R56" s="126"/>
      <c r="S56" s="126"/>
      <c r="T56" s="126"/>
      <c r="U56" s="126"/>
      <c r="V56" s="126"/>
      <c r="W56" s="126"/>
      <c r="X56" s="126"/>
      <c r="Y56" s="126"/>
      <c r="Z56" s="126"/>
      <c r="AA56" s="126"/>
      <c r="AB56" s="126"/>
      <c r="AC56" s="126"/>
    </row>
    <row r="57" spans="1:29" ht="15.75" customHeight="1" x14ac:dyDescent="0.25">
      <c r="A57" s="118"/>
      <c r="B57" s="133" t="s">
        <v>90</v>
      </c>
      <c r="C57" s="134">
        <f>IF((C20-C21)-C14&lt;0,0,(C20-C21)-C14)</f>
        <v>122753.48000000001</v>
      </c>
      <c r="D57" s="134"/>
      <c r="E57" s="118"/>
      <c r="F57" s="134">
        <f>IF((F20-F21)-F14&lt;0,0,(F20-F21)-F14)</f>
        <v>134182.31920000003</v>
      </c>
      <c r="G57" s="118"/>
      <c r="H57" s="118"/>
      <c r="I57" s="134">
        <f>IF((I20-I21)-I14&lt;0,0,(I20-I21)-I14)</f>
        <v>114964.24316799999</v>
      </c>
      <c r="J57" s="118"/>
      <c r="K57" s="118"/>
      <c r="L57" s="134">
        <f>IF((L20-L21)-L14&lt;0,0,(L20-L21)-L14)</f>
        <v>116881.32563135998</v>
      </c>
      <c r="M57" s="118"/>
      <c r="N57" s="118"/>
      <c r="O57" s="123"/>
      <c r="P57" s="118"/>
      <c r="Q57" s="118"/>
      <c r="R57" s="118"/>
      <c r="S57" s="118"/>
      <c r="T57" s="118"/>
      <c r="U57" s="118"/>
      <c r="V57" s="118"/>
      <c r="W57" s="118"/>
      <c r="X57" s="118"/>
      <c r="Y57" s="118"/>
      <c r="Z57" s="118"/>
      <c r="AA57" s="118"/>
      <c r="AB57" s="118"/>
      <c r="AC57" s="118"/>
    </row>
    <row r="58" spans="1:29" ht="15.75" customHeight="1" x14ac:dyDescent="0.25">
      <c r="A58" s="126"/>
      <c r="B58" s="135"/>
      <c r="C58" s="136" t="s">
        <v>91</v>
      </c>
      <c r="D58" s="137"/>
      <c r="E58" s="138"/>
      <c r="F58" s="136" t="s">
        <v>92</v>
      </c>
      <c r="G58" s="138"/>
      <c r="H58" s="138"/>
      <c r="I58" s="139" t="s">
        <v>93</v>
      </c>
      <c r="J58" s="126"/>
      <c r="K58" s="138"/>
      <c r="L58" s="139" t="s">
        <v>93</v>
      </c>
      <c r="M58" s="126"/>
      <c r="N58" s="126"/>
      <c r="O58" s="132"/>
      <c r="P58" s="126"/>
      <c r="Q58" s="126"/>
      <c r="R58" s="126"/>
      <c r="S58" s="126"/>
      <c r="T58" s="126"/>
      <c r="U58" s="126"/>
      <c r="V58" s="126"/>
      <c r="W58" s="126"/>
      <c r="X58" s="126"/>
      <c r="Y58" s="126"/>
      <c r="Z58" s="126"/>
      <c r="AA58" s="126"/>
      <c r="AB58" s="126"/>
      <c r="AC58" s="126"/>
    </row>
    <row r="59" spans="1:29" ht="8.25" customHeight="1" x14ac:dyDescent="0.25">
      <c r="A59" s="132"/>
      <c r="B59" s="140"/>
      <c r="C59" s="141"/>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1:29" ht="15.75" customHeight="1" x14ac:dyDescent="0.25"/>
    <row r="61" spans="1:29" ht="15.75" customHeight="1" x14ac:dyDescent="0.25"/>
    <row r="62" spans="1:29" ht="15.75" customHeight="1" x14ac:dyDescent="0.25"/>
    <row r="63" spans="1:29" ht="15.75" customHeight="1" x14ac:dyDescent="0.25"/>
    <row r="64" spans="1:29" ht="15.75" customHeight="1" x14ac:dyDescent="0.25">
      <c r="B64" s="142" t="s">
        <v>94</v>
      </c>
      <c r="F64" s="143" t="s">
        <v>95</v>
      </c>
      <c r="G64" s="118"/>
    </row>
    <row r="65" spans="1:29" ht="15.75" customHeight="1" x14ac:dyDescent="0.25">
      <c r="B65" s="118" t="s">
        <v>96</v>
      </c>
      <c r="F65" s="118" t="s">
        <v>97</v>
      </c>
      <c r="G65" s="144">
        <v>129781</v>
      </c>
    </row>
    <row r="66" spans="1:29" ht="15.75" customHeight="1" x14ac:dyDescent="0.25">
      <c r="B66" s="118" t="s">
        <v>98</v>
      </c>
      <c r="F66" s="118" t="s">
        <v>99</v>
      </c>
      <c r="G66" s="145">
        <f>-D34</f>
        <v>-49781</v>
      </c>
      <c r="I66" s="149" t="s">
        <v>144</v>
      </c>
    </row>
    <row r="67" spans="1:29" ht="15.75" customHeight="1" x14ac:dyDescent="0.25">
      <c r="B67" s="118" t="s">
        <v>100</v>
      </c>
      <c r="F67" s="146" t="s">
        <v>101</v>
      </c>
      <c r="G67" s="147">
        <f>G65+G66</f>
        <v>80000</v>
      </c>
    </row>
    <row r="68" spans="1:29" ht="15.75" customHeight="1" x14ac:dyDescent="0.25">
      <c r="B68" s="118" t="s">
        <v>102</v>
      </c>
    </row>
    <row r="69" spans="1:29" ht="15.75" customHeight="1" x14ac:dyDescent="0.25">
      <c r="B69" s="118" t="s">
        <v>103</v>
      </c>
    </row>
    <row r="70" spans="1:29" ht="15.75" customHeight="1" x14ac:dyDescent="0.25"/>
    <row r="71" spans="1:29" ht="15.75" customHeight="1" x14ac:dyDescent="0.25">
      <c r="B71" s="142" t="s">
        <v>104</v>
      </c>
      <c r="C71" s="85"/>
    </row>
    <row r="72" spans="1:29" ht="15.75" customHeight="1" x14ac:dyDescent="0.25">
      <c r="B72" s="118" t="s">
        <v>105</v>
      </c>
      <c r="C72" s="28"/>
    </row>
    <row r="73" spans="1:29" ht="15.75" customHeight="1" x14ac:dyDescent="0.25">
      <c r="B73" s="118" t="s">
        <v>106</v>
      </c>
      <c r="C73" s="85"/>
    </row>
    <row r="74" spans="1:29" ht="15.75" customHeight="1" x14ac:dyDescent="0.25">
      <c r="B74" s="118" t="s">
        <v>107</v>
      </c>
    </row>
    <row r="75" spans="1:29" ht="15.75" customHeight="1" x14ac:dyDescent="0.25"/>
    <row r="76" spans="1:29" ht="15.75" customHeight="1" x14ac:dyDescent="0.25">
      <c r="B76" s="142" t="s">
        <v>108</v>
      </c>
    </row>
    <row r="77" spans="1:29" ht="15.75" customHeight="1" x14ac:dyDescent="0.25">
      <c r="A77" s="148"/>
      <c r="B77" s="118" t="s">
        <v>109</v>
      </c>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row>
    <row r="78" spans="1:29" ht="15.75" customHeight="1" x14ac:dyDescent="0.25">
      <c r="B78" s="118" t="s">
        <v>110</v>
      </c>
    </row>
    <row r="79" spans="1:29" ht="15.75" customHeight="1" x14ac:dyDescent="0.25">
      <c r="B79" s="118"/>
    </row>
    <row r="80" spans="1:29" ht="15.75" customHeight="1" x14ac:dyDescent="0.25">
      <c r="B80" s="149" t="s">
        <v>111</v>
      </c>
    </row>
    <row r="81" spans="2:3" ht="15.75" customHeight="1" x14ac:dyDescent="0.25">
      <c r="B81" s="150" t="s">
        <v>112</v>
      </c>
    </row>
    <row r="82" spans="2:3" ht="15.75" customHeight="1" x14ac:dyDescent="0.25">
      <c r="B82" s="150" t="s">
        <v>113</v>
      </c>
    </row>
    <row r="83" spans="2:3" ht="15.75" customHeight="1" x14ac:dyDescent="0.25">
      <c r="B83" s="118"/>
    </row>
    <row r="84" spans="2:3" ht="15.75" customHeight="1" x14ac:dyDescent="0.25">
      <c r="B84" s="149" t="s">
        <v>114</v>
      </c>
    </row>
    <row r="85" spans="2:3" ht="15.75" customHeight="1" x14ac:dyDescent="0.25">
      <c r="B85" s="150" t="s">
        <v>115</v>
      </c>
    </row>
    <row r="86" spans="2:3" ht="15.75" customHeight="1" x14ac:dyDescent="0.25">
      <c r="B86" s="150" t="s">
        <v>116</v>
      </c>
    </row>
    <row r="87" spans="2:3" ht="15.75" customHeight="1" x14ac:dyDescent="0.25">
      <c r="B87" s="150" t="s">
        <v>117</v>
      </c>
    </row>
    <row r="88" spans="2:3" ht="15.75" customHeight="1" x14ac:dyDescent="0.25">
      <c r="B88" s="118"/>
    </row>
    <row r="89" spans="2:3" ht="15.75" customHeight="1" x14ac:dyDescent="0.25">
      <c r="B89" s="149" t="s">
        <v>118</v>
      </c>
      <c r="C89" s="118"/>
    </row>
    <row r="90" spans="2:3" ht="15.75" customHeight="1" x14ac:dyDescent="0.25">
      <c r="B90" s="150" t="s">
        <v>119</v>
      </c>
      <c r="C90" s="118"/>
    </row>
    <row r="91" spans="2:3" ht="15.75" customHeight="1" x14ac:dyDescent="0.25">
      <c r="B91" s="151"/>
      <c r="C91" s="118"/>
    </row>
    <row r="92" spans="2:3" ht="15.75" customHeight="1" x14ac:dyDescent="0.25">
      <c r="B92" s="149" t="s">
        <v>144</v>
      </c>
      <c r="C92" s="118"/>
    </row>
    <row r="93" spans="2:3" ht="15.75" customHeight="1" x14ac:dyDescent="0.25">
      <c r="B93" s="166" t="s">
        <v>145</v>
      </c>
      <c r="C93" s="118"/>
    </row>
    <row r="94" spans="2:3" ht="15.75" customHeight="1" x14ac:dyDescent="0.25">
      <c r="B94" s="166" t="s">
        <v>146</v>
      </c>
      <c r="C94" s="118"/>
    </row>
    <row r="95" spans="2:3" ht="15.75" customHeight="1" x14ac:dyDescent="0.25">
      <c r="B95" s="151"/>
      <c r="C95" s="118"/>
    </row>
    <row r="96" spans="2:3" ht="15.75" customHeight="1" x14ac:dyDescent="0.25">
      <c r="B96" s="151" t="s">
        <v>120</v>
      </c>
      <c r="C96" s="118"/>
    </row>
    <row r="97" spans="2:17" ht="15.75" customHeight="1" x14ac:dyDescent="0.25">
      <c r="B97" s="152" t="s">
        <v>121</v>
      </c>
      <c r="C97" s="118"/>
    </row>
    <row r="98" spans="2:17" ht="15.75" customHeight="1" x14ac:dyDescent="0.25">
      <c r="B98" s="152" t="s">
        <v>122</v>
      </c>
      <c r="C98" s="118"/>
    </row>
    <row r="99" spans="2:17" ht="15.75" customHeight="1" x14ac:dyDescent="0.25">
      <c r="B99" s="152" t="s">
        <v>123</v>
      </c>
      <c r="C99" s="118"/>
    </row>
    <row r="100" spans="2:17" ht="15.75" customHeight="1" x14ac:dyDescent="0.25">
      <c r="B100" s="152" t="s">
        <v>124</v>
      </c>
      <c r="C100" s="118"/>
    </row>
    <row r="101" spans="2:17" ht="15.75" customHeight="1" x14ac:dyDescent="0.25">
      <c r="B101" s="152" t="s">
        <v>125</v>
      </c>
      <c r="C101" s="118"/>
    </row>
    <row r="102" spans="2:17" ht="15.75" customHeight="1" x14ac:dyDescent="0.25">
      <c r="B102" s="152" t="s">
        <v>126</v>
      </c>
      <c r="C102" s="118"/>
    </row>
    <row r="103" spans="2:17" ht="15.75" customHeight="1" x14ac:dyDescent="0.25">
      <c r="B103" s="152" t="s">
        <v>127</v>
      </c>
      <c r="C103" s="118"/>
    </row>
    <row r="104" spans="2:17" ht="15.75" customHeight="1" x14ac:dyDescent="0.25"/>
    <row r="105" spans="2:17" ht="15.75" customHeight="1" x14ac:dyDescent="0.25">
      <c r="Q105" s="23"/>
    </row>
    <row r="106" spans="2:17" ht="15.75" customHeight="1" x14ac:dyDescent="0.25">
      <c r="B106" s="59"/>
      <c r="C106" s="5" t="s">
        <v>128</v>
      </c>
      <c r="D106" s="5"/>
      <c r="E106" s="5"/>
      <c r="F106" s="5"/>
      <c r="G106" s="5"/>
      <c r="H106" s="5"/>
      <c r="I106" s="5"/>
      <c r="Q106" s="23"/>
    </row>
    <row r="107" spans="2:17" ht="15.75" customHeight="1" x14ac:dyDescent="0.25">
      <c r="B107" s="148"/>
      <c r="C107" s="153" t="s">
        <v>67</v>
      </c>
      <c r="D107" s="154" t="s">
        <v>129</v>
      </c>
      <c r="E107" s="148"/>
      <c r="F107" s="155" t="s">
        <v>130</v>
      </c>
      <c r="G107" s="156" t="s">
        <v>131</v>
      </c>
      <c r="H107" s="148"/>
      <c r="I107" s="153" t="s">
        <v>132</v>
      </c>
      <c r="J107" s="157" t="s">
        <v>133</v>
      </c>
      <c r="K107" s="148"/>
    </row>
    <row r="108" spans="2:17" ht="15.75" customHeight="1" x14ac:dyDescent="0.25">
      <c r="B108" s="158">
        <v>2025</v>
      </c>
      <c r="C108" s="85">
        <f>56000</f>
        <v>56000</v>
      </c>
      <c r="D108" s="85">
        <f>-18000</f>
        <v>-18000</v>
      </c>
      <c r="F108" s="85">
        <f>(C108+D108)*0.878</f>
        <v>33364</v>
      </c>
      <c r="G108" s="159">
        <f>-(C36+D36)</f>
        <v>0</v>
      </c>
      <c r="I108" s="85">
        <f>F108+G108</f>
        <v>33364</v>
      </c>
      <c r="J108" s="160">
        <f>I108+(-G108)</f>
        <v>33364</v>
      </c>
    </row>
    <row r="109" spans="2:17" ht="15.75" customHeight="1" x14ac:dyDescent="0.25">
      <c r="B109" s="158">
        <f>B108+1</f>
        <v>2026</v>
      </c>
      <c r="C109" s="85">
        <v>86000</v>
      </c>
      <c r="D109" s="85">
        <f>D108*1.02</f>
        <v>-18360</v>
      </c>
      <c r="F109" s="85">
        <f>(C109+D109)*0.878</f>
        <v>59387.92</v>
      </c>
      <c r="G109" s="159">
        <f>-(F36+G36)</f>
        <v>0</v>
      </c>
      <c r="I109" s="85">
        <f>I108+F109+G109</f>
        <v>92751.92</v>
      </c>
      <c r="J109" s="160">
        <f>I109+(-G109)</f>
        <v>92751.92</v>
      </c>
    </row>
    <row r="110" spans="2:17" ht="15.75" customHeight="1" x14ac:dyDescent="0.25">
      <c r="B110" s="158">
        <f>B109+1</f>
        <v>2027</v>
      </c>
      <c r="C110" s="85">
        <v>100000</v>
      </c>
      <c r="D110" s="85">
        <f>D109*1.02</f>
        <v>-18727.2</v>
      </c>
      <c r="F110" s="85">
        <f>(C110+D110)*0.878</f>
        <v>71357.518400000001</v>
      </c>
      <c r="G110" s="159">
        <f>-(I36+J36)</f>
        <v>-43378.839183999997</v>
      </c>
      <c r="I110" s="85">
        <f>I109+F110+G110</f>
        <v>120730.59921599999</v>
      </c>
      <c r="J110" s="160">
        <f>I110+(-G110)</f>
        <v>164109.43839999998</v>
      </c>
    </row>
    <row r="111" spans="2:17" ht="15.75" customHeight="1" x14ac:dyDescent="0.25">
      <c r="B111" s="158">
        <f>B110+1</f>
        <v>2028</v>
      </c>
      <c r="C111" s="85">
        <f>C110*1.02</f>
        <v>102000</v>
      </c>
      <c r="D111" s="85">
        <f>D110*1.02</f>
        <v>-19101.744000000002</v>
      </c>
      <c r="F111" s="85">
        <f>(C111+D111)*0.878</f>
        <v>72784.668767999989</v>
      </c>
      <c r="G111" s="159">
        <f>-M36</f>
        <v>-38413.335967680003</v>
      </c>
      <c r="I111" s="85">
        <f>I110+F111+G111</f>
        <v>155101.93201631997</v>
      </c>
      <c r="J111" s="160">
        <f>I111+(-G111)</f>
        <v>193515.26798399998</v>
      </c>
    </row>
    <row r="112" spans="2:17" ht="15.75" customHeight="1" x14ac:dyDescent="0.25">
      <c r="B112" s="158">
        <f>B111+1</f>
        <v>2029</v>
      </c>
      <c r="C112" s="85">
        <f>C111*1.02</f>
        <v>104040</v>
      </c>
      <c r="D112" s="85">
        <f>D111*1.02</f>
        <v>-19483.778880000002</v>
      </c>
      <c r="F112" s="85">
        <f>(C112+D112)*0.878</f>
        <v>74240.362143360006</v>
      </c>
      <c r="G112" s="161"/>
      <c r="I112" s="85">
        <f>I111+F112+G112</f>
        <v>229342.29415967996</v>
      </c>
      <c r="J112" s="160">
        <f>I112+(-G112)</f>
        <v>229342.29415967996</v>
      </c>
    </row>
    <row r="113" spans="2:10" ht="15.75" customHeight="1" x14ac:dyDescent="0.25"/>
    <row r="114" spans="2:10" ht="15.75" customHeight="1" x14ac:dyDescent="0.25">
      <c r="C114" s="4" t="s">
        <v>134</v>
      </c>
      <c r="D114" s="4"/>
      <c r="E114" s="4"/>
      <c r="F114" s="4"/>
      <c r="G114" s="4"/>
      <c r="H114" s="59"/>
      <c r="I114" s="59"/>
      <c r="J114" s="59"/>
    </row>
    <row r="115" spans="2:10" ht="15.75" customHeight="1" x14ac:dyDescent="0.25">
      <c r="B115" s="162" t="s">
        <v>11</v>
      </c>
      <c r="C115" s="153" t="s">
        <v>135</v>
      </c>
      <c r="D115" s="153" t="s">
        <v>136</v>
      </c>
      <c r="E115" s="148"/>
      <c r="F115" s="153" t="s">
        <v>137</v>
      </c>
      <c r="G115" s="156" t="s">
        <v>132</v>
      </c>
      <c r="H115" s="148"/>
      <c r="J115" s="157" t="s">
        <v>138</v>
      </c>
    </row>
    <row r="116" spans="2:10" ht="15.75" customHeight="1" x14ac:dyDescent="0.25">
      <c r="B116" s="13">
        <v>2026</v>
      </c>
      <c r="C116" s="163">
        <f>105781+11000</f>
        <v>116781</v>
      </c>
      <c r="D116" s="164">
        <v>0</v>
      </c>
      <c r="F116" s="164">
        <v>3.7999999999999999E-2</v>
      </c>
      <c r="G116" s="85">
        <f>C116-(D116*C116)</f>
        <v>116781</v>
      </c>
      <c r="J116" s="160">
        <f>C116*D116</f>
        <v>0</v>
      </c>
    </row>
    <row r="117" spans="2:10" ht="15.75" customHeight="1" x14ac:dyDescent="0.25">
      <c r="B117" s="13">
        <f>B116+1</f>
        <v>2027</v>
      </c>
      <c r="C117" s="85">
        <f>G116*(1+F117)</f>
        <v>121218.678</v>
      </c>
      <c r="D117" s="165">
        <v>0</v>
      </c>
      <c r="F117" s="164">
        <v>3.7999999999999999E-2</v>
      </c>
      <c r="G117" s="85">
        <f>C117-(D117*C117)</f>
        <v>121218.678</v>
      </c>
      <c r="J117" s="160">
        <f>C117*D117</f>
        <v>0</v>
      </c>
    </row>
    <row r="118" spans="2:10" ht="15.75" customHeight="1" x14ac:dyDescent="0.25">
      <c r="B118" s="13">
        <f>B117+1</f>
        <v>2028</v>
      </c>
      <c r="C118" s="85">
        <f>G117*(1+F118)</f>
        <v>125824.987764</v>
      </c>
      <c r="D118" s="165">
        <v>0</v>
      </c>
      <c r="F118" s="164">
        <f>F117</f>
        <v>3.7999999999999999E-2</v>
      </c>
      <c r="G118" s="85">
        <f>C118-(D118*C118)</f>
        <v>125824.987764</v>
      </c>
      <c r="J118" s="160">
        <f>C118*D118</f>
        <v>0</v>
      </c>
    </row>
    <row r="119" spans="2:10" ht="15.75" customHeight="1" x14ac:dyDescent="0.25">
      <c r="B119" s="13">
        <f>B118+1</f>
        <v>2029</v>
      </c>
      <c r="C119" s="85">
        <f>G118*(1+F119)</f>
        <v>130606.33729903201</v>
      </c>
      <c r="D119" s="165">
        <v>0</v>
      </c>
      <c r="F119" s="164">
        <f>F118</f>
        <v>3.7999999999999999E-2</v>
      </c>
      <c r="G119" s="85">
        <f>C119-(D119*C119)</f>
        <v>130606.33729903201</v>
      </c>
      <c r="J119" s="160">
        <f>C119*D119</f>
        <v>0</v>
      </c>
    </row>
    <row r="120" spans="2:10" ht="15.75" customHeight="1" x14ac:dyDescent="0.25"/>
    <row r="121" spans="2:10" ht="15.75" customHeight="1" x14ac:dyDescent="0.25">
      <c r="C121" s="4" t="s">
        <v>134</v>
      </c>
      <c r="D121" s="4"/>
      <c r="E121" s="4"/>
      <c r="F121" s="4"/>
      <c r="G121" s="4"/>
      <c r="H121" s="59"/>
      <c r="J121" s="59"/>
    </row>
    <row r="122" spans="2:10" ht="15.75" customHeight="1" x14ac:dyDescent="0.25">
      <c r="B122" s="162" t="s">
        <v>12</v>
      </c>
      <c r="C122" s="153" t="s">
        <v>135</v>
      </c>
      <c r="D122" s="153" t="s">
        <v>136</v>
      </c>
      <c r="E122" s="148"/>
      <c r="F122" s="153" t="s">
        <v>137</v>
      </c>
      <c r="G122" s="156" t="s">
        <v>132</v>
      </c>
      <c r="H122" s="148"/>
      <c r="J122" s="157" t="s">
        <v>138</v>
      </c>
    </row>
    <row r="123" spans="2:10" ht="15.75" customHeight="1" x14ac:dyDescent="0.25">
      <c r="B123" s="13">
        <v>2026</v>
      </c>
      <c r="C123" s="85">
        <f>(280380+89495)+15566</f>
        <v>385441</v>
      </c>
      <c r="D123" s="164">
        <v>0</v>
      </c>
      <c r="E123" s="148"/>
      <c r="F123" s="164">
        <v>3.7999999999999999E-2</v>
      </c>
      <c r="G123" s="85">
        <f>C123-(D123*C123)</f>
        <v>385441</v>
      </c>
      <c r="H123" s="148"/>
      <c r="J123" s="160">
        <f>C123*D123</f>
        <v>0</v>
      </c>
    </row>
    <row r="124" spans="2:10" ht="15.75" customHeight="1" x14ac:dyDescent="0.25">
      <c r="B124" s="13">
        <v>2027</v>
      </c>
      <c r="C124" s="85">
        <f>G123*(1+F124)</f>
        <v>400087.75800000003</v>
      </c>
      <c r="D124" s="165">
        <v>0</v>
      </c>
      <c r="F124" s="164">
        <v>3.7999999999999999E-2</v>
      </c>
      <c r="G124" s="85">
        <f>C124-(D124*C124)</f>
        <v>400087.75800000003</v>
      </c>
      <c r="J124" s="160">
        <f>C124*D124</f>
        <v>0</v>
      </c>
    </row>
    <row r="125" spans="2:10" ht="15.75" customHeight="1" x14ac:dyDescent="0.25">
      <c r="B125" s="13">
        <f>B124+1</f>
        <v>2028</v>
      </c>
      <c r="C125" s="85">
        <f>G124*(1+F125)</f>
        <v>415291.09280400007</v>
      </c>
      <c r="D125" s="165">
        <v>0</v>
      </c>
      <c r="F125" s="164">
        <f>F124</f>
        <v>3.7999999999999999E-2</v>
      </c>
      <c r="G125" s="85">
        <f>C125-(D125*C125)</f>
        <v>415291.09280400007</v>
      </c>
      <c r="J125" s="160">
        <f>C125*D125</f>
        <v>0</v>
      </c>
    </row>
    <row r="126" spans="2:10" ht="15.75" customHeight="1" x14ac:dyDescent="0.25">
      <c r="B126" s="13">
        <f>B125+1</f>
        <v>2029</v>
      </c>
      <c r="C126" s="85">
        <f>G125*(1+F126)</f>
        <v>431072.15433055209</v>
      </c>
      <c r="D126" s="165">
        <v>0</v>
      </c>
      <c r="F126" s="164">
        <f>F125</f>
        <v>3.7999999999999999E-2</v>
      </c>
      <c r="G126" s="85">
        <f>C126-(D126*C126)</f>
        <v>431072.15433055209</v>
      </c>
      <c r="J126" s="160">
        <f>C126*D126</f>
        <v>0</v>
      </c>
    </row>
    <row r="127" spans="2:10" ht="15.75" customHeight="1" x14ac:dyDescent="0.25"/>
    <row r="128" spans="2:10"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7">
    <mergeCell ref="C114:G114"/>
    <mergeCell ref="C121:G121"/>
    <mergeCell ref="C28:D28"/>
    <mergeCell ref="F28:G28"/>
    <mergeCell ref="I28:J28"/>
    <mergeCell ref="L28:M28"/>
    <mergeCell ref="C106:I106"/>
  </mergeCells>
  <conditionalFormatting sqref="I95:I99 I105 I107:I112">
    <cfRule type="cellIs" dxfId="2" priority="2" operator="lessThan">
      <formula>0</formula>
    </cfRule>
  </conditionalFormatting>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AC1014"/>
  <sheetViews>
    <sheetView showGridLines="0" zoomScaleNormal="100" workbookViewId="0"/>
  </sheetViews>
  <sheetFormatPr defaultColWidth="12.5703125" defaultRowHeight="15" x14ac:dyDescent="0.25"/>
  <cols>
    <col min="1" max="1" width="9.140625" customWidth="1"/>
    <col min="2" max="2" width="40.85546875" customWidth="1"/>
    <col min="3" max="4" width="16.7109375" customWidth="1"/>
    <col min="5" max="5" width="1.28515625" customWidth="1"/>
    <col min="6" max="7" width="16.7109375" customWidth="1"/>
    <col min="8" max="8" width="1.28515625" customWidth="1"/>
    <col min="9" max="10" width="16.7109375" customWidth="1"/>
    <col min="11" max="11" width="1.28515625" customWidth="1"/>
    <col min="12" max="13" width="16.7109375" customWidth="1"/>
    <col min="14" max="14" width="9.140625" customWidth="1"/>
    <col min="15" max="15" width="1.5703125" customWidth="1"/>
    <col min="16" max="29" width="8.5703125" customWidth="1"/>
  </cols>
  <sheetData>
    <row r="1" spans="1:17" ht="24" customHeight="1" x14ac:dyDescent="0.4">
      <c r="A1" s="12" t="s">
        <v>0</v>
      </c>
      <c r="O1" s="56"/>
    </row>
    <row r="2" spans="1:17" ht="18.75" customHeight="1" x14ac:dyDescent="0.3">
      <c r="A2" s="57" t="s">
        <v>51</v>
      </c>
      <c r="O2" s="56"/>
      <c r="Q2" s="58"/>
    </row>
    <row r="3" spans="1:17" x14ac:dyDescent="0.25">
      <c r="A3" s="58" t="s">
        <v>147</v>
      </c>
      <c r="O3" s="56"/>
    </row>
    <row r="4" spans="1:17" x14ac:dyDescent="0.25">
      <c r="B4" s="59"/>
      <c r="O4" s="56"/>
    </row>
    <row r="5" spans="1:17" ht="18.75" customHeight="1" x14ac:dyDescent="0.3">
      <c r="C5" s="60">
        <v>2025</v>
      </c>
      <c r="F5" s="60">
        <v>2026</v>
      </c>
      <c r="I5" s="60">
        <v>2027</v>
      </c>
      <c r="L5" s="61">
        <v>2028</v>
      </c>
      <c r="O5" s="56"/>
    </row>
    <row r="6" spans="1:17" x14ac:dyDescent="0.25">
      <c r="B6" s="62" t="s">
        <v>53</v>
      </c>
      <c r="C6" s="28">
        <v>5000</v>
      </c>
      <c r="F6" s="28">
        <f>(C6-2000)*1.02</f>
        <v>3060</v>
      </c>
      <c r="I6" s="28">
        <f>F6*1.02</f>
        <v>3121.2000000000003</v>
      </c>
      <c r="L6" s="28">
        <f>I6*1.02</f>
        <v>3183.6240000000003</v>
      </c>
      <c r="O6" s="56"/>
    </row>
    <row r="7" spans="1:17" ht="6" customHeight="1" x14ac:dyDescent="0.25">
      <c r="C7" s="28"/>
      <c r="F7" s="28"/>
      <c r="I7" s="28"/>
      <c r="L7" s="28"/>
      <c r="O7" s="56"/>
    </row>
    <row r="8" spans="1:17" x14ac:dyDescent="0.25">
      <c r="B8" s="62" t="s">
        <v>54</v>
      </c>
      <c r="C8" s="28">
        <f>C6*12</f>
        <v>60000</v>
      </c>
      <c r="F8" s="28">
        <f>F6*12</f>
        <v>36720</v>
      </c>
      <c r="I8" s="28">
        <f>I6*12</f>
        <v>37454.400000000001</v>
      </c>
      <c r="L8" s="28">
        <f>L6*12</f>
        <v>38203.488000000005</v>
      </c>
      <c r="O8" s="56"/>
    </row>
    <row r="9" spans="1:17" x14ac:dyDescent="0.25">
      <c r="B9" s="20" t="s">
        <v>55</v>
      </c>
      <c r="C9" s="28"/>
      <c r="O9" s="56"/>
    </row>
    <row r="10" spans="1:17" x14ac:dyDescent="0.25">
      <c r="B10" s="63" t="s">
        <v>56</v>
      </c>
      <c r="C10" s="28">
        <v>0</v>
      </c>
      <c r="F10" s="64">
        <v>20000</v>
      </c>
      <c r="I10" s="64">
        <v>0</v>
      </c>
      <c r="L10" s="28">
        <v>0</v>
      </c>
      <c r="O10" s="56"/>
    </row>
    <row r="11" spans="1:17" x14ac:dyDescent="0.25">
      <c r="B11" s="63" t="s">
        <v>57</v>
      </c>
      <c r="C11" s="28">
        <v>0</v>
      </c>
      <c r="F11" s="64">
        <v>0</v>
      </c>
      <c r="I11" s="64">
        <v>20000</v>
      </c>
      <c r="L11" s="65">
        <v>0</v>
      </c>
      <c r="O11" s="56"/>
    </row>
    <row r="12" spans="1:17" x14ac:dyDescent="0.25">
      <c r="B12" s="23" t="s">
        <v>58</v>
      </c>
      <c r="C12" s="28">
        <v>0</v>
      </c>
      <c r="F12" s="66">
        <v>-20000</v>
      </c>
      <c r="I12" s="66">
        <v>-20000</v>
      </c>
      <c r="L12" s="65">
        <v>0</v>
      </c>
      <c r="O12" s="56"/>
    </row>
    <row r="13" spans="1:17" x14ac:dyDescent="0.25">
      <c r="B13" s="62" t="s">
        <v>59</v>
      </c>
      <c r="C13" s="67">
        <f>12*300</f>
        <v>3600</v>
      </c>
      <c r="F13" s="67">
        <f>C13*1.02</f>
        <v>3672</v>
      </c>
      <c r="I13" s="67">
        <f>F13*1.02</f>
        <v>3745.44</v>
      </c>
      <c r="L13" s="67">
        <f>I13*1.02</f>
        <v>3820.3488000000002</v>
      </c>
      <c r="O13" s="56"/>
    </row>
    <row r="14" spans="1:17" x14ac:dyDescent="0.25">
      <c r="B14" s="59" t="s">
        <v>60</v>
      </c>
      <c r="C14" s="68">
        <f>SUM(C8:C13)</f>
        <v>63600</v>
      </c>
      <c r="D14" s="59"/>
      <c r="E14" s="59"/>
      <c r="F14" s="68">
        <f>SUM(F8:F13)</f>
        <v>40392</v>
      </c>
      <c r="H14" s="59"/>
      <c r="I14" s="68">
        <f>SUM(I8:I13)</f>
        <v>41199.840000000004</v>
      </c>
      <c r="K14" s="59"/>
      <c r="L14" s="68">
        <f>SUM(L8:L13)</f>
        <v>42023.836800000005</v>
      </c>
      <c r="O14" s="56"/>
    </row>
    <row r="15" spans="1:17" ht="6" customHeight="1" x14ac:dyDescent="0.25">
      <c r="C15" s="28"/>
      <c r="F15" s="28"/>
      <c r="I15" s="28"/>
      <c r="L15" s="28"/>
      <c r="O15" s="56"/>
    </row>
    <row r="16" spans="1:17" x14ac:dyDescent="0.25">
      <c r="B16" s="69" t="s">
        <v>61</v>
      </c>
      <c r="C16" s="70">
        <f>+C17+C18</f>
        <v>241000</v>
      </c>
      <c r="F16" s="70">
        <f>+F17+F18</f>
        <v>195000</v>
      </c>
      <c r="I16" s="70">
        <f>+I17+I18</f>
        <v>200000</v>
      </c>
      <c r="L16" s="70">
        <f>+L17+L18</f>
        <v>204000</v>
      </c>
      <c r="O16" s="56"/>
    </row>
    <row r="17" spans="1:29" x14ac:dyDescent="0.25">
      <c r="B17" s="71" t="s">
        <v>11</v>
      </c>
      <c r="C17" s="72">
        <v>120500</v>
      </c>
      <c r="F17" s="72">
        <v>97500</v>
      </c>
      <c r="I17" s="73">
        <f>ROUNDUP(99596.03,-3)</f>
        <v>100000</v>
      </c>
      <c r="L17" s="73">
        <f>ROUNDUP(101867,-3)</f>
        <v>102000</v>
      </c>
      <c r="O17" s="56"/>
    </row>
    <row r="18" spans="1:29" x14ac:dyDescent="0.25">
      <c r="B18" s="71" t="s">
        <v>12</v>
      </c>
      <c r="C18" s="73">
        <f>C17</f>
        <v>120500</v>
      </c>
      <c r="F18" s="73">
        <f>F17</f>
        <v>97500</v>
      </c>
      <c r="I18" s="73">
        <f>I17</f>
        <v>100000</v>
      </c>
      <c r="L18" s="73">
        <f>L17</f>
        <v>102000</v>
      </c>
      <c r="O18" s="56"/>
    </row>
    <row r="19" spans="1:29" ht="6" customHeight="1" x14ac:dyDescent="0.25">
      <c r="C19" s="28"/>
      <c r="F19" s="28"/>
      <c r="I19" s="28"/>
      <c r="L19" s="28"/>
      <c r="O19" s="56"/>
    </row>
    <row r="20" spans="1:29" x14ac:dyDescent="0.25">
      <c r="B20" s="74" t="s">
        <v>62</v>
      </c>
      <c r="C20" s="75">
        <f>SUM(C43:D43)</f>
        <v>245040.05960000001</v>
      </c>
      <c r="F20" s="75">
        <f>SUM(F41:G41)</f>
        <v>245040.05959999998</v>
      </c>
      <c r="I20" s="75">
        <f>SUM(I41:J41)</f>
        <v>199999.96316799999</v>
      </c>
      <c r="J20" s="68"/>
      <c r="L20" s="75">
        <f>SUM(L41:M41)+1</f>
        <v>204000.24243136001</v>
      </c>
      <c r="M20" s="68"/>
      <c r="O20" s="56"/>
    </row>
    <row r="21" spans="1:29" ht="15.75" customHeight="1" x14ac:dyDescent="0.25">
      <c r="A21" s="62"/>
      <c r="B21" s="76" t="s">
        <v>63</v>
      </c>
      <c r="C21" s="77">
        <f>C22+C23</f>
        <v>68361.100000000006</v>
      </c>
      <c r="D21" s="78" t="s">
        <v>64</v>
      </c>
      <c r="F21" s="77">
        <f>F22+F23</f>
        <v>60706.16</v>
      </c>
      <c r="G21" s="78" t="s">
        <v>64</v>
      </c>
      <c r="I21" s="77">
        <f>I22+I23</f>
        <v>43835.88</v>
      </c>
      <c r="J21" s="78" t="s">
        <v>64</v>
      </c>
      <c r="L21" s="77">
        <f>L22+L23</f>
        <v>45095.08</v>
      </c>
      <c r="M21" s="78" t="s">
        <v>64</v>
      </c>
      <c r="N21" s="62"/>
      <c r="O21" s="56"/>
      <c r="P21" s="62"/>
      <c r="Q21" s="62"/>
      <c r="R21" s="62"/>
      <c r="S21" s="62"/>
      <c r="T21" s="62"/>
      <c r="U21" s="62"/>
      <c r="V21" s="62"/>
      <c r="W21" s="62"/>
      <c r="X21" s="62"/>
      <c r="Y21" s="62"/>
      <c r="Z21" s="62"/>
      <c r="AA21" s="62"/>
      <c r="AB21" s="62"/>
      <c r="AC21" s="62"/>
    </row>
    <row r="22" spans="1:29" ht="15.75" customHeight="1" x14ac:dyDescent="0.25">
      <c r="A22" s="62"/>
      <c r="B22" s="79" t="s">
        <v>11</v>
      </c>
      <c r="C22" s="80">
        <f>19748.2+10604.88+3203.66+940.43</f>
        <v>34497.170000000006</v>
      </c>
      <c r="D22" s="81">
        <f>C22+SUM(C46:C48,C50)+C51</f>
        <v>0</v>
      </c>
      <c r="F22" s="80">
        <v>30353.08</v>
      </c>
      <c r="G22" s="81">
        <f>F22+SUM(F46:F48,F50)+F51</f>
        <v>0</v>
      </c>
      <c r="I22" s="80">
        <v>21917.94</v>
      </c>
      <c r="J22" s="81">
        <f>I22+SUM(I46:I48,I50)+I51</f>
        <v>0</v>
      </c>
      <c r="L22" s="80">
        <v>22547.54</v>
      </c>
      <c r="M22" s="81">
        <f>L22+SUM(L46:L48,L50)+L51</f>
        <v>0</v>
      </c>
      <c r="N22" s="62"/>
      <c r="O22" s="56"/>
      <c r="P22" s="62"/>
      <c r="Q22" s="62"/>
      <c r="R22" s="62"/>
      <c r="S22" s="62"/>
      <c r="T22" s="62"/>
      <c r="U22" s="62"/>
      <c r="V22" s="62"/>
      <c r="W22" s="62"/>
      <c r="X22" s="62"/>
      <c r="Y22" s="62"/>
      <c r="Z22" s="62"/>
      <c r="AA22" s="62"/>
      <c r="AB22" s="62"/>
      <c r="AC22" s="62"/>
    </row>
    <row r="23" spans="1:29" ht="15.75" customHeight="1" x14ac:dyDescent="0.25">
      <c r="A23" s="62"/>
      <c r="B23" s="79" t="s">
        <v>12</v>
      </c>
      <c r="C23" s="80">
        <f>19748.2+10604.88+2707.25+803.6</f>
        <v>33863.93</v>
      </c>
      <c r="D23" s="81">
        <f>C23+SUM(D46:D48,D50)+D51</f>
        <v>0</v>
      </c>
      <c r="F23" s="80">
        <v>30353.08</v>
      </c>
      <c r="G23" s="81">
        <f>F23+SUM(G46:G48,G50)+G51</f>
        <v>0</v>
      </c>
      <c r="I23" s="80">
        <v>21917.94</v>
      </c>
      <c r="J23" s="81">
        <f>I23+SUM(J46:J48,J50)+J51</f>
        <v>0</v>
      </c>
      <c r="L23" s="80">
        <v>22547.54</v>
      </c>
      <c r="M23" s="81">
        <f>L23+SUM(M46:M48,M50)+M51</f>
        <v>0</v>
      </c>
      <c r="N23" s="62"/>
      <c r="O23" s="56"/>
      <c r="P23" s="62"/>
      <c r="Q23" s="62"/>
      <c r="R23" s="62"/>
      <c r="S23" s="62"/>
      <c r="T23" s="62"/>
      <c r="U23" s="62"/>
      <c r="V23" s="62"/>
      <c r="W23" s="62"/>
      <c r="X23" s="62"/>
      <c r="Y23" s="62"/>
      <c r="Z23" s="62"/>
      <c r="AA23" s="62"/>
      <c r="AB23" s="62"/>
      <c r="AC23" s="62"/>
    </row>
    <row r="24" spans="1:29" ht="15.75" customHeight="1" x14ac:dyDescent="0.25">
      <c r="B24" s="82" t="s">
        <v>65</v>
      </c>
      <c r="C24" s="83">
        <f>IF(C16-C20&lt;0,0,C16-C20)</f>
        <v>0</v>
      </c>
      <c r="D24" s="62"/>
      <c r="F24" s="83">
        <f>IF(F16-F20&lt;0,0,F16-F20)</f>
        <v>0</v>
      </c>
      <c r="G24" s="28"/>
      <c r="I24" s="83">
        <f>IF(I16-I20&lt;0,0,I16-I20)</f>
        <v>3.6832000012509525E-2</v>
      </c>
      <c r="J24" s="68"/>
      <c r="L24" s="83">
        <f>IF(L16-L20&lt;0,0,L16-L20)</f>
        <v>0</v>
      </c>
      <c r="M24" s="68"/>
      <c r="O24" s="56"/>
    </row>
    <row r="25" spans="1:29" ht="15.75" customHeight="1" x14ac:dyDescent="0.25">
      <c r="B25" s="23"/>
      <c r="C25" s="28"/>
      <c r="D25" s="84"/>
      <c r="F25" s="28"/>
      <c r="G25" s="85"/>
      <c r="O25" s="56"/>
    </row>
    <row r="26" spans="1:29" ht="15.75" customHeight="1" x14ac:dyDescent="0.25">
      <c r="C26" s="28"/>
      <c r="F26" s="28"/>
      <c r="O26" s="56"/>
    </row>
    <row r="27" spans="1:29" ht="15.75" customHeight="1" x14ac:dyDescent="0.25">
      <c r="A27" s="62"/>
      <c r="B27" s="86" t="s">
        <v>66</v>
      </c>
      <c r="C27" s="87">
        <v>65</v>
      </c>
      <c r="D27" s="87">
        <v>63</v>
      </c>
      <c r="E27" s="88"/>
      <c r="F27" s="87">
        <f>C27+1</f>
        <v>66</v>
      </c>
      <c r="G27" s="87">
        <f>D27+1</f>
        <v>64</v>
      </c>
      <c r="H27" s="88"/>
      <c r="I27" s="87">
        <f>F27+1</f>
        <v>67</v>
      </c>
      <c r="J27" s="87">
        <f>G27+1</f>
        <v>65</v>
      </c>
      <c r="K27" s="89"/>
      <c r="L27" s="87">
        <f>I27+1</f>
        <v>68</v>
      </c>
      <c r="M27" s="90">
        <f>J27+1</f>
        <v>66</v>
      </c>
      <c r="N27" s="62"/>
      <c r="O27" s="56"/>
      <c r="P27" s="62"/>
      <c r="Q27" s="62"/>
      <c r="R27" s="62"/>
      <c r="S27" s="62"/>
      <c r="T27" s="62"/>
      <c r="U27" s="62"/>
      <c r="V27" s="62"/>
      <c r="W27" s="62"/>
      <c r="X27" s="62"/>
      <c r="Y27" s="62"/>
      <c r="Z27" s="62"/>
      <c r="AA27" s="62"/>
      <c r="AB27" s="62"/>
      <c r="AC27" s="62"/>
    </row>
    <row r="28" spans="1:29" ht="15.75" customHeight="1" x14ac:dyDescent="0.3">
      <c r="B28" s="91"/>
      <c r="C28" s="9">
        <v>2025</v>
      </c>
      <c r="D28" s="9"/>
      <c r="E28" s="92"/>
      <c r="F28" s="8">
        <v>2026</v>
      </c>
      <c r="G28" s="8"/>
      <c r="H28" s="92"/>
      <c r="I28" s="7">
        <v>2027</v>
      </c>
      <c r="J28" s="7"/>
      <c r="K28" s="92"/>
      <c r="L28" s="6">
        <v>2028</v>
      </c>
      <c r="M28" s="6"/>
      <c r="O28" s="56"/>
    </row>
    <row r="29" spans="1:29" ht="15.75" customHeight="1" x14ac:dyDescent="0.25">
      <c r="B29" s="93" t="s">
        <v>67</v>
      </c>
      <c r="C29" s="18" t="s">
        <v>11</v>
      </c>
      <c r="D29" s="18" t="s">
        <v>12</v>
      </c>
      <c r="E29" s="94"/>
      <c r="F29" s="18" t="s">
        <v>11</v>
      </c>
      <c r="G29" s="18" t="s">
        <v>12</v>
      </c>
      <c r="H29" s="94"/>
      <c r="I29" s="18" t="s">
        <v>11</v>
      </c>
      <c r="J29" s="18" t="s">
        <v>12</v>
      </c>
      <c r="K29" s="94"/>
      <c r="L29" s="18" t="s">
        <v>11</v>
      </c>
      <c r="M29" s="95" t="s">
        <v>12</v>
      </c>
      <c r="O29" s="56"/>
    </row>
    <row r="30" spans="1:29" ht="4.5" customHeight="1" x14ac:dyDescent="0.25">
      <c r="B30" s="96"/>
      <c r="C30" s="28"/>
      <c r="D30" s="28"/>
      <c r="E30" s="94"/>
      <c r="F30" s="28"/>
      <c r="G30" s="28"/>
      <c r="H30" s="94"/>
      <c r="I30" s="28"/>
      <c r="J30" s="28"/>
      <c r="K30" s="94"/>
      <c r="L30" s="28"/>
      <c r="M30" s="97"/>
      <c r="O30" s="56"/>
    </row>
    <row r="31" spans="1:29" ht="15.75" customHeight="1" x14ac:dyDescent="0.25">
      <c r="B31" s="96" t="s">
        <v>68</v>
      </c>
      <c r="C31" s="28">
        <v>57343</v>
      </c>
      <c r="D31" s="28">
        <v>49000</v>
      </c>
      <c r="E31" s="94"/>
      <c r="F31" s="28">
        <v>0</v>
      </c>
      <c r="G31" s="28">
        <v>0</v>
      </c>
      <c r="H31" s="94"/>
      <c r="I31" s="28">
        <v>0</v>
      </c>
      <c r="J31" s="28">
        <v>0</v>
      </c>
      <c r="K31" s="94"/>
      <c r="L31" s="28">
        <v>0</v>
      </c>
      <c r="M31" s="97">
        <v>0</v>
      </c>
      <c r="O31" s="56"/>
    </row>
    <row r="32" spans="1:29" ht="15.75" customHeight="1" x14ac:dyDescent="0.25">
      <c r="B32" s="98" t="s">
        <v>69</v>
      </c>
      <c r="C32" s="28">
        <f>3*(1429.83)</f>
        <v>4289.49</v>
      </c>
      <c r="D32" s="28">
        <v>0</v>
      </c>
      <c r="E32" s="94"/>
      <c r="F32" s="28">
        <f>12*(1429.83*1.02)</f>
        <v>17501.119200000001</v>
      </c>
      <c r="G32" s="28">
        <v>0</v>
      </c>
      <c r="H32" s="94"/>
      <c r="I32" s="28">
        <f>F32*1.02</f>
        <v>17851.141584000001</v>
      </c>
      <c r="J32" s="28">
        <f>6*(853+100)</f>
        <v>5718</v>
      </c>
      <c r="K32" s="94"/>
      <c r="L32" s="28">
        <f>I32*1.02</f>
        <v>18208.164415680003</v>
      </c>
      <c r="M32" s="97">
        <f>12*(853+100)*1.02</f>
        <v>11664.72</v>
      </c>
      <c r="O32" s="56"/>
    </row>
    <row r="33" spans="2:15" ht="15.75" customHeight="1" x14ac:dyDescent="0.25">
      <c r="B33" s="98" t="s">
        <v>70</v>
      </c>
      <c r="C33" s="65">
        <v>0</v>
      </c>
      <c r="D33" s="28">
        <v>0</v>
      </c>
      <c r="E33" s="94"/>
      <c r="F33" s="65">
        <v>0</v>
      </c>
      <c r="G33" s="28">
        <v>0</v>
      </c>
      <c r="H33" s="94"/>
      <c r="I33" s="28">
        <f>F33*1.02</f>
        <v>0</v>
      </c>
      <c r="J33" s="28">
        <f>I33</f>
        <v>0</v>
      </c>
      <c r="K33" s="94"/>
      <c r="L33" s="28">
        <f>I33*1.02</f>
        <v>0</v>
      </c>
      <c r="M33" s="97">
        <f>L33</f>
        <v>0</v>
      </c>
      <c r="O33" s="56"/>
    </row>
    <row r="34" spans="2:15" ht="15.75" customHeight="1" x14ac:dyDescent="0.25">
      <c r="B34" s="98" t="s">
        <v>71</v>
      </c>
      <c r="C34" s="28">
        <v>0</v>
      </c>
      <c r="D34" s="167">
        <v>32685.179599999999</v>
      </c>
      <c r="E34" s="94"/>
      <c r="F34" s="28">
        <v>0</v>
      </c>
      <c r="G34" s="99">
        <f>G67</f>
        <v>97095.820399999997</v>
      </c>
      <c r="H34" s="94"/>
      <c r="I34" s="28">
        <v>0</v>
      </c>
      <c r="J34" s="28">
        <v>0</v>
      </c>
      <c r="K34" s="94"/>
      <c r="L34" s="28">
        <v>0</v>
      </c>
      <c r="M34" s="97">
        <v>0</v>
      </c>
      <c r="O34" s="56"/>
    </row>
    <row r="35" spans="2:15" ht="15.75" customHeight="1" x14ac:dyDescent="0.25">
      <c r="B35" s="96" t="s">
        <v>72</v>
      </c>
      <c r="C35" s="28">
        <f>111500+(123606.12-111500)*9/12</f>
        <v>120579.59</v>
      </c>
      <c r="D35" s="28">
        <f>1541.76*5</f>
        <v>7708.8</v>
      </c>
      <c r="E35" s="94"/>
      <c r="F35" s="65">
        <v>111942</v>
      </c>
      <c r="G35" s="28">
        <f>1541.76*12</f>
        <v>18501.12</v>
      </c>
      <c r="H35" s="94"/>
      <c r="I35" s="28">
        <f>F35*1.02</f>
        <v>114180.84</v>
      </c>
      <c r="J35" s="28">
        <f>G35*1.02</f>
        <v>18871.142400000001</v>
      </c>
      <c r="K35" s="94"/>
      <c r="L35" s="28">
        <f>I35*1.02</f>
        <v>116464.4568</v>
      </c>
      <c r="M35" s="97">
        <f>J35*1.02</f>
        <v>19248.565248000003</v>
      </c>
      <c r="O35" s="56"/>
    </row>
    <row r="36" spans="2:15" ht="15.75" customHeight="1" x14ac:dyDescent="0.25">
      <c r="B36" s="96" t="s">
        <v>73</v>
      </c>
      <c r="C36" s="65">
        <v>0</v>
      </c>
      <c r="D36" s="65">
        <v>0</v>
      </c>
      <c r="E36" s="94"/>
      <c r="F36" s="28">
        <v>0</v>
      </c>
      <c r="G36" s="28">
        <v>0</v>
      </c>
      <c r="H36" s="94"/>
      <c r="I36" s="65">
        <v>0</v>
      </c>
      <c r="J36" s="65">
        <v>43378.839183999997</v>
      </c>
      <c r="K36" s="94"/>
      <c r="L36" s="65">
        <v>0</v>
      </c>
      <c r="M36" s="100">
        <v>38413.335967680003</v>
      </c>
      <c r="O36" s="56"/>
    </row>
    <row r="37" spans="2:15" ht="15.75" customHeight="1" x14ac:dyDescent="0.25">
      <c r="B37" s="96" t="s">
        <v>74</v>
      </c>
      <c r="C37" s="101">
        <f>-D37</f>
        <v>-48692</v>
      </c>
      <c r="D37" s="102">
        <v>48692</v>
      </c>
      <c r="E37" s="94"/>
      <c r="F37" s="101">
        <f>-G37</f>
        <v>-6923.0893999999998</v>
      </c>
      <c r="G37" s="101">
        <v>6923.0893999999998</v>
      </c>
      <c r="H37" s="94"/>
      <c r="I37" s="102">
        <f>-J37</f>
        <v>-32032</v>
      </c>
      <c r="J37" s="102">
        <v>32032</v>
      </c>
      <c r="K37" s="94"/>
      <c r="L37" s="102">
        <f>-M37</f>
        <v>-32673</v>
      </c>
      <c r="M37" s="103">
        <v>32673</v>
      </c>
      <c r="O37" s="56"/>
    </row>
    <row r="38" spans="2:15" ht="15.75" customHeight="1" x14ac:dyDescent="0.25">
      <c r="B38" s="96" t="s">
        <v>75</v>
      </c>
      <c r="C38" s="28">
        <v>0</v>
      </c>
      <c r="D38" s="28">
        <v>0</v>
      </c>
      <c r="E38" s="94"/>
      <c r="F38" s="28">
        <v>0</v>
      </c>
      <c r="G38" s="28">
        <v>0</v>
      </c>
      <c r="H38" s="94"/>
      <c r="I38" s="65">
        <v>0</v>
      </c>
      <c r="J38" s="65">
        <v>0</v>
      </c>
      <c r="K38" s="94"/>
      <c r="L38" s="28"/>
      <c r="M38" s="97"/>
      <c r="O38" s="56"/>
    </row>
    <row r="39" spans="2:15" ht="15.75" customHeight="1" x14ac:dyDescent="0.25">
      <c r="B39" s="96" t="s">
        <v>76</v>
      </c>
      <c r="C39" s="104">
        <v>0</v>
      </c>
      <c r="D39" s="104">
        <v>0</v>
      </c>
      <c r="E39" s="94"/>
      <c r="F39" s="104">
        <v>0</v>
      </c>
      <c r="G39" s="104">
        <v>0</v>
      </c>
      <c r="H39" s="94"/>
      <c r="I39" s="104">
        <v>0</v>
      </c>
      <c r="J39" s="104">
        <v>0</v>
      </c>
      <c r="K39" s="94"/>
      <c r="L39" s="104">
        <v>0</v>
      </c>
      <c r="M39" s="105">
        <v>0</v>
      </c>
      <c r="O39" s="56"/>
    </row>
    <row r="40" spans="2:15" ht="5.25" customHeight="1" x14ac:dyDescent="0.25">
      <c r="B40" s="96"/>
      <c r="C40" s="67"/>
      <c r="D40" s="67"/>
      <c r="E40" s="106"/>
      <c r="F40" s="67"/>
      <c r="G40" s="67"/>
      <c r="H40" s="106"/>
      <c r="I40" s="67"/>
      <c r="J40" s="67"/>
      <c r="K40" s="107"/>
      <c r="L40" s="67"/>
      <c r="M40" s="108"/>
      <c r="O40" s="56"/>
    </row>
    <row r="41" spans="2:15" ht="15.75" customHeight="1" x14ac:dyDescent="0.25">
      <c r="B41" s="109" t="s">
        <v>77</v>
      </c>
      <c r="C41" s="68">
        <f>SUM(C31:C39)</f>
        <v>133520.07999999999</v>
      </c>
      <c r="D41" s="68">
        <f>SUM(D31:D39)</f>
        <v>138085.97960000002</v>
      </c>
      <c r="E41" s="110"/>
      <c r="F41" s="68">
        <f>SUM(F31:F39)</f>
        <v>122520.0298</v>
      </c>
      <c r="G41" s="68">
        <f>SUM(G31:G39)</f>
        <v>122520.02979999999</v>
      </c>
      <c r="H41" s="110"/>
      <c r="I41" s="68">
        <f>SUM(I31:I39)</f>
        <v>99999.981583999994</v>
      </c>
      <c r="J41" s="68">
        <f>SUM(J31:J39)</f>
        <v>99999.981583999994</v>
      </c>
      <c r="K41" s="110"/>
      <c r="L41" s="68">
        <f>SUM(L31:L39)</f>
        <v>101999.62121568</v>
      </c>
      <c r="M41" s="111">
        <f>SUM(M31:M39)</f>
        <v>101999.62121568</v>
      </c>
      <c r="O41" s="56"/>
    </row>
    <row r="42" spans="2:15" x14ac:dyDescent="0.25">
      <c r="B42" s="98" t="s">
        <v>78</v>
      </c>
      <c r="C42" s="112">
        <v>-11000</v>
      </c>
      <c r="D42" s="112">
        <v>-15566</v>
      </c>
      <c r="E42" s="107"/>
      <c r="F42" s="112">
        <v>0</v>
      </c>
      <c r="G42" s="112">
        <v>0</v>
      </c>
      <c r="H42" s="107"/>
      <c r="I42" s="112">
        <v>0</v>
      </c>
      <c r="J42" s="112">
        <v>0</v>
      </c>
      <c r="K42" s="107"/>
      <c r="L42" s="112">
        <v>0</v>
      </c>
      <c r="M42" s="113">
        <v>0</v>
      </c>
      <c r="O42" s="56"/>
    </row>
    <row r="43" spans="2:15" ht="15.75" customHeight="1" x14ac:dyDescent="0.25">
      <c r="B43" s="114" t="s">
        <v>79</v>
      </c>
      <c r="C43" s="68">
        <f>C41+C42</f>
        <v>122520.07999999999</v>
      </c>
      <c r="D43" s="68">
        <f>D41+D42</f>
        <v>122519.97960000002</v>
      </c>
      <c r="E43" s="110"/>
      <c r="F43" s="68">
        <f>F41+F42</f>
        <v>122520.0298</v>
      </c>
      <c r="G43" s="68">
        <f>G41+G42</f>
        <v>122520.02979999999</v>
      </c>
      <c r="H43" s="110"/>
      <c r="I43" s="68">
        <f>I41+I42</f>
        <v>99999.981583999994</v>
      </c>
      <c r="J43" s="68">
        <f>J41+J42</f>
        <v>99999.981583999994</v>
      </c>
      <c r="K43" s="110"/>
      <c r="L43" s="68">
        <f>L41+L42</f>
        <v>101999.62121568</v>
      </c>
      <c r="M43" s="111">
        <f>M41+M42</f>
        <v>101999.62121568</v>
      </c>
      <c r="O43" s="56"/>
    </row>
    <row r="44" spans="2:15" ht="5.25" customHeight="1" x14ac:dyDescent="0.25">
      <c r="B44" s="109"/>
      <c r="C44" s="68"/>
      <c r="D44" s="68"/>
      <c r="E44" s="110"/>
      <c r="F44" s="68"/>
      <c r="G44" s="68"/>
      <c r="H44" s="110"/>
      <c r="I44" s="68"/>
      <c r="J44" s="68"/>
      <c r="K44" s="110"/>
      <c r="L44" s="68"/>
      <c r="M44" s="111"/>
      <c r="O44" s="56"/>
    </row>
    <row r="45" spans="2:15" ht="15.75" customHeight="1" x14ac:dyDescent="0.25">
      <c r="B45" s="93" t="s">
        <v>80</v>
      </c>
      <c r="C45" s="28"/>
      <c r="D45" s="28"/>
      <c r="E45" s="94"/>
      <c r="F45" s="28"/>
      <c r="G45" s="28"/>
      <c r="H45" s="94"/>
      <c r="I45" s="28"/>
      <c r="J45" s="28"/>
      <c r="K45" s="94"/>
      <c r="L45" s="28"/>
      <c r="M45" s="97"/>
      <c r="O45" s="56"/>
    </row>
    <row r="46" spans="2:15" ht="15.75" customHeight="1" x14ac:dyDescent="0.25">
      <c r="B46" s="115" t="s">
        <v>81</v>
      </c>
      <c r="C46" s="28">
        <v>-12287.76</v>
      </c>
      <c r="D46" s="65">
        <v>-9933.9500000000007</v>
      </c>
      <c r="E46" s="94"/>
      <c r="F46" s="28">
        <v>0</v>
      </c>
      <c r="G46" s="28">
        <v>0</v>
      </c>
      <c r="H46" s="94"/>
      <c r="I46" s="28">
        <v>0</v>
      </c>
      <c r="J46" s="28">
        <v>0</v>
      </c>
      <c r="K46" s="94"/>
      <c r="L46" s="28">
        <v>0</v>
      </c>
      <c r="M46" s="97">
        <v>0</v>
      </c>
      <c r="O46" s="56"/>
    </row>
    <row r="47" spans="2:15" ht="15.75" customHeight="1" x14ac:dyDescent="0.25">
      <c r="B47" s="115" t="s">
        <v>82</v>
      </c>
      <c r="C47" s="28">
        <f>-(C35+C37)*0.25</f>
        <v>-17971.897499999999</v>
      </c>
      <c r="D47" s="28">
        <f>-(D35+D37)*0.25</f>
        <v>-14100.2</v>
      </c>
      <c r="E47" s="94"/>
      <c r="F47" s="28">
        <f>-(F35+F37)*0.25</f>
        <v>-26254.727650000001</v>
      </c>
      <c r="G47" s="28">
        <f>-(G35+G37)*0.25</f>
        <v>-6356.0523499999999</v>
      </c>
      <c r="H47" s="94"/>
      <c r="I47" s="28">
        <f>-(I35+I37)*0.25</f>
        <v>-20537.21</v>
      </c>
      <c r="J47" s="28">
        <f>-(J35+J37)*0.25</f>
        <v>-12725.785599999999</v>
      </c>
      <c r="K47" s="94"/>
      <c r="L47" s="28">
        <f>-(L35+L37)*0.25</f>
        <v>-20947.8642</v>
      </c>
      <c r="M47" s="97">
        <f>-(M35+M37)*0.25</f>
        <v>-12980.391312</v>
      </c>
      <c r="O47" s="56"/>
    </row>
    <row r="48" spans="2:15" ht="15.75" customHeight="1" x14ac:dyDescent="0.25">
      <c r="B48" s="115" t="s">
        <v>83</v>
      </c>
      <c r="C48" s="67">
        <v>0</v>
      </c>
      <c r="D48" s="67">
        <v>0</v>
      </c>
      <c r="E48" s="116"/>
      <c r="F48" s="67">
        <f>-MIN(5000,F38)*0.1</f>
        <v>0</v>
      </c>
      <c r="G48" s="67">
        <v>0</v>
      </c>
      <c r="H48" s="116"/>
      <c r="I48" s="67">
        <f>-MIN(5000,I38)*0.1</f>
        <v>0</v>
      </c>
      <c r="J48" s="112">
        <v>0</v>
      </c>
      <c r="K48" s="94"/>
      <c r="L48" s="112">
        <v>0</v>
      </c>
      <c r="M48" s="113">
        <v>0</v>
      </c>
      <c r="O48" s="56"/>
    </row>
    <row r="49" spans="1:29" ht="15.75" customHeight="1" x14ac:dyDescent="0.25">
      <c r="B49" s="109" t="s">
        <v>84</v>
      </c>
      <c r="C49" s="68">
        <f>SUM(C43:C48)</f>
        <v>92260.422499999986</v>
      </c>
      <c r="D49" s="68">
        <f>SUM(D43:D48)</f>
        <v>98485.829600000026</v>
      </c>
      <c r="E49" s="117"/>
      <c r="F49" s="68">
        <f>SUM(F43:F48)</f>
        <v>96265.302150000003</v>
      </c>
      <c r="G49" s="68">
        <f>SUM(G43:G48)</f>
        <v>116163.97744999999</v>
      </c>
      <c r="H49" s="117"/>
      <c r="I49" s="68">
        <f>SUM(I43:I48)</f>
        <v>79462.771584000002</v>
      </c>
      <c r="J49" s="68">
        <f>SUM(J43:J48)</f>
        <v>87274.195983999991</v>
      </c>
      <c r="K49" s="117"/>
      <c r="L49" s="68">
        <f>SUM(L43:L48)</f>
        <v>81051.757015680007</v>
      </c>
      <c r="M49" s="111">
        <f>SUM(M43:M48)</f>
        <v>89019.22990368001</v>
      </c>
      <c r="O49" s="56"/>
    </row>
    <row r="50" spans="1:29" ht="15.75" customHeight="1" x14ac:dyDescent="0.25">
      <c r="B50" s="96" t="s">
        <v>85</v>
      </c>
      <c r="C50" s="28">
        <f>-(C22+SUM(C46:C48))-C51</f>
        <v>-4237.5125000000044</v>
      </c>
      <c r="D50" s="28">
        <f>-(C23+SUM(D46:D48))-D51</f>
        <v>-9829.7799999999988</v>
      </c>
      <c r="E50" s="94"/>
      <c r="F50" s="28">
        <f>-(F22+SUM(F46:F48))-F51</f>
        <v>-4098.352350000001</v>
      </c>
      <c r="G50" s="28">
        <f>-(F23+SUM(G46:G48))</f>
        <v>-23997.027650000004</v>
      </c>
      <c r="H50" s="94"/>
      <c r="I50" s="28">
        <f>-(I22+SUM(I46:I48))-I51</f>
        <v>-1380.7299999999996</v>
      </c>
      <c r="J50" s="28">
        <f>-(I23+SUM(J46:J48))-J51</f>
        <v>-9192.1543999999994</v>
      </c>
      <c r="K50" s="94"/>
      <c r="L50" s="28">
        <f>-(L22+SUM(L46:L48))-L51</f>
        <v>-1599.6758000000009</v>
      </c>
      <c r="M50" s="97">
        <f>-(L23+SUM(M46:M48))-M51</f>
        <v>-9567.1486880000011</v>
      </c>
      <c r="O50" s="56"/>
    </row>
    <row r="51" spans="1:29" ht="15.75" customHeight="1" x14ac:dyDescent="0.25">
      <c r="B51" s="115" t="s">
        <v>86</v>
      </c>
      <c r="C51" s="28">
        <f>-C33</f>
        <v>0</v>
      </c>
      <c r="D51" s="28">
        <f>-D33</f>
        <v>0</v>
      </c>
      <c r="E51" s="94"/>
      <c r="F51" s="28">
        <f>-F33</f>
        <v>0</v>
      </c>
      <c r="G51" s="28">
        <f>-G33</f>
        <v>0</v>
      </c>
      <c r="H51" s="94"/>
      <c r="I51" s="28">
        <f>-I33</f>
        <v>0</v>
      </c>
      <c r="J51" s="28">
        <f>-J33</f>
        <v>0</v>
      </c>
      <c r="K51" s="94"/>
      <c r="L51" s="28">
        <f>-L33</f>
        <v>0</v>
      </c>
      <c r="M51" s="97">
        <f>-M33</f>
        <v>0</v>
      </c>
      <c r="O51" s="56"/>
    </row>
    <row r="52" spans="1:29" ht="5.25" customHeight="1" x14ac:dyDescent="0.25">
      <c r="B52" s="96"/>
      <c r="C52" s="28"/>
      <c r="D52" s="28"/>
      <c r="E52" s="107"/>
      <c r="F52" s="28"/>
      <c r="G52" s="28"/>
      <c r="H52" s="107"/>
      <c r="I52" s="28"/>
      <c r="J52" s="28"/>
      <c r="K52" s="107"/>
      <c r="L52" s="28"/>
      <c r="M52" s="97"/>
      <c r="O52" s="56"/>
    </row>
    <row r="53" spans="1:29" ht="15.75" customHeight="1" x14ac:dyDescent="0.25">
      <c r="A53" s="118"/>
      <c r="B53" s="119" t="s">
        <v>87</v>
      </c>
      <c r="C53" s="120">
        <f>IF(C14-(C20-C21)&lt;0,0,C14-(C20-C21))</f>
        <v>0</v>
      </c>
      <c r="D53" s="120"/>
      <c r="E53" s="121"/>
      <c r="F53" s="120">
        <f>IF(F14-(F20-F21)&lt;0,0,F14-(F20-F21))</f>
        <v>0</v>
      </c>
      <c r="G53" s="120"/>
      <c r="H53" s="121"/>
      <c r="I53" s="120">
        <f>IF(I14-(I20-I21)&lt;0,0,I14-(I20-I21))</f>
        <v>0</v>
      </c>
      <c r="J53" s="120"/>
      <c r="K53" s="121"/>
      <c r="L53" s="120">
        <f>IF(L14-(L20-L21)&lt;0,0,L14-(L20-L21))</f>
        <v>0</v>
      </c>
      <c r="M53" s="122"/>
      <c r="N53" s="118"/>
      <c r="O53" s="123"/>
      <c r="P53" s="118"/>
      <c r="Q53" s="118"/>
      <c r="R53" s="118"/>
      <c r="S53" s="118"/>
      <c r="T53" s="118"/>
      <c r="U53" s="118"/>
      <c r="V53" s="118"/>
      <c r="W53" s="118"/>
      <c r="X53" s="118"/>
      <c r="Y53" s="118"/>
      <c r="Z53" s="118"/>
      <c r="AA53" s="118"/>
      <c r="AB53" s="118"/>
      <c r="AC53" s="118"/>
    </row>
    <row r="54" spans="1:29" ht="5.25" customHeight="1" x14ac:dyDescent="0.25">
      <c r="B54" s="96"/>
      <c r="C54" s="28"/>
      <c r="D54" s="28"/>
      <c r="E54" s="107"/>
      <c r="F54" s="28"/>
      <c r="G54" s="28"/>
      <c r="H54" s="107"/>
      <c r="I54" s="28"/>
      <c r="J54" s="28"/>
      <c r="K54" s="107"/>
      <c r="L54" s="28"/>
      <c r="M54" s="97"/>
      <c r="O54" s="56"/>
    </row>
    <row r="55" spans="1:29" ht="15.75" customHeight="1" x14ac:dyDescent="0.25">
      <c r="B55" s="109" t="s">
        <v>88</v>
      </c>
      <c r="C55" s="124">
        <f>SUM(C49:D51)+C53</f>
        <v>176678.9596</v>
      </c>
      <c r="D55" s="68"/>
      <c r="E55" s="117"/>
      <c r="F55" s="124">
        <f>SUM(F49:G51)+F53</f>
        <v>184333.8996</v>
      </c>
      <c r="G55" s="62"/>
      <c r="H55" s="117"/>
      <c r="I55" s="124">
        <f>SUM(I49:J51)+I53</f>
        <v>156164.08316799998</v>
      </c>
      <c r="J55" s="62"/>
      <c r="K55" s="117"/>
      <c r="L55" s="124">
        <f>SUM(L49:M51)+L53</f>
        <v>158904.16243135999</v>
      </c>
      <c r="M55" s="125"/>
      <c r="O55" s="56"/>
    </row>
    <row r="56" spans="1:29" ht="15.75" customHeight="1" x14ac:dyDescent="0.25">
      <c r="A56" s="126"/>
      <c r="B56" s="127" t="s">
        <v>89</v>
      </c>
      <c r="C56" s="128">
        <f>IF(C14-C55&lt;0,0,C14-C55)</f>
        <v>0</v>
      </c>
      <c r="D56" s="128"/>
      <c r="E56" s="129"/>
      <c r="F56" s="128">
        <f>IF(F14-F55&lt;0,0,F14-F55)</f>
        <v>0</v>
      </c>
      <c r="G56" s="130"/>
      <c r="H56" s="129"/>
      <c r="I56" s="128">
        <f>IF(I14-I55&lt;0,0,I14-I55)</f>
        <v>0</v>
      </c>
      <c r="J56" s="130"/>
      <c r="K56" s="129"/>
      <c r="L56" s="128">
        <f>IF(L14-L55&lt;0,0,L14-L55)</f>
        <v>0</v>
      </c>
      <c r="M56" s="131"/>
      <c r="N56" s="126"/>
      <c r="O56" s="132"/>
      <c r="P56" s="126"/>
      <c r="Q56" s="126"/>
      <c r="R56" s="126"/>
      <c r="S56" s="126"/>
      <c r="T56" s="126"/>
      <c r="U56" s="126"/>
      <c r="V56" s="126"/>
      <c r="W56" s="126"/>
      <c r="X56" s="126"/>
      <c r="Y56" s="126"/>
      <c r="Z56" s="126"/>
      <c r="AA56" s="126"/>
      <c r="AB56" s="126"/>
      <c r="AC56" s="126"/>
    </row>
    <row r="57" spans="1:29" ht="15.75" customHeight="1" x14ac:dyDescent="0.25">
      <c r="A57" s="118"/>
      <c r="B57" s="133" t="s">
        <v>90</v>
      </c>
      <c r="C57" s="134">
        <f>IF((C20-C21)-C14&lt;0,0,(C20-C21)-C14)</f>
        <v>113078.9596</v>
      </c>
      <c r="D57" s="134"/>
      <c r="E57" s="118"/>
      <c r="F57" s="134">
        <f>IF((F20-F21)-F14&lt;0,0,(F20-F21)-F14)</f>
        <v>143941.89959999998</v>
      </c>
      <c r="G57" s="118"/>
      <c r="H57" s="118"/>
      <c r="I57" s="134">
        <f>IF((I20-I21)-I14&lt;0,0,(I20-I21)-I14)</f>
        <v>114964.24316799999</v>
      </c>
      <c r="J57" s="118"/>
      <c r="K57" s="118"/>
      <c r="L57" s="134">
        <f>IF((L20-L21)-L14&lt;0,0,(L20-L21)-L14)</f>
        <v>116881.32563135998</v>
      </c>
      <c r="M57" s="118"/>
      <c r="N57" s="118"/>
      <c r="O57" s="123"/>
      <c r="P57" s="118"/>
      <c r="Q57" s="118"/>
      <c r="R57" s="118"/>
      <c r="S57" s="118"/>
      <c r="T57" s="118"/>
      <c r="U57" s="118"/>
      <c r="V57" s="118"/>
      <c r="W57" s="118"/>
      <c r="X57" s="118"/>
      <c r="Y57" s="118"/>
      <c r="Z57" s="118"/>
      <c r="AA57" s="118"/>
      <c r="AB57" s="118"/>
      <c r="AC57" s="118"/>
    </row>
    <row r="58" spans="1:29" ht="15.75" customHeight="1" x14ac:dyDescent="0.25">
      <c r="A58" s="126"/>
      <c r="B58" s="135"/>
      <c r="C58" s="136" t="s">
        <v>91</v>
      </c>
      <c r="D58" s="137"/>
      <c r="E58" s="138"/>
      <c r="F58" s="136" t="s">
        <v>92</v>
      </c>
      <c r="G58" s="138"/>
      <c r="H58" s="138"/>
      <c r="I58" s="139" t="s">
        <v>93</v>
      </c>
      <c r="J58" s="126"/>
      <c r="K58" s="138"/>
      <c r="L58" s="139" t="s">
        <v>93</v>
      </c>
      <c r="M58" s="126"/>
      <c r="N58" s="126"/>
      <c r="O58" s="132"/>
      <c r="P58" s="126"/>
      <c r="Q58" s="126"/>
      <c r="R58" s="126"/>
      <c r="S58" s="126"/>
      <c r="T58" s="126"/>
      <c r="U58" s="126"/>
      <c r="V58" s="126"/>
      <c r="W58" s="126"/>
      <c r="X58" s="126"/>
      <c r="Y58" s="126"/>
      <c r="Z58" s="126"/>
      <c r="AA58" s="126"/>
      <c r="AB58" s="126"/>
      <c r="AC58" s="126"/>
    </row>
    <row r="59" spans="1:29" ht="8.25" customHeight="1" x14ac:dyDescent="0.25">
      <c r="A59" s="132"/>
      <c r="B59" s="140"/>
      <c r="C59" s="141"/>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1:29" ht="15.75" customHeight="1" x14ac:dyDescent="0.25"/>
    <row r="61" spans="1:29" ht="15.75" customHeight="1" x14ac:dyDescent="0.25"/>
    <row r="62" spans="1:29" ht="15.75" customHeight="1" x14ac:dyDescent="0.25"/>
    <row r="63" spans="1:29" ht="15.75" customHeight="1" x14ac:dyDescent="0.25"/>
    <row r="64" spans="1:29" ht="15.75" customHeight="1" x14ac:dyDescent="0.25">
      <c r="B64" s="142" t="s">
        <v>94</v>
      </c>
      <c r="F64" s="143" t="s">
        <v>95</v>
      </c>
      <c r="G64" s="118"/>
    </row>
    <row r="65" spans="1:29" ht="15.75" customHeight="1" x14ac:dyDescent="0.25">
      <c r="B65" s="118" t="s">
        <v>96</v>
      </c>
      <c r="F65" s="118" t="s">
        <v>97</v>
      </c>
      <c r="G65" s="144">
        <v>129781</v>
      </c>
    </row>
    <row r="66" spans="1:29" ht="15.75" customHeight="1" x14ac:dyDescent="0.25">
      <c r="B66" s="118" t="s">
        <v>98</v>
      </c>
      <c r="F66" s="118" t="s">
        <v>99</v>
      </c>
      <c r="G66" s="145">
        <f>-D34</f>
        <v>-32685.179599999999</v>
      </c>
    </row>
    <row r="67" spans="1:29" ht="15.75" customHeight="1" x14ac:dyDescent="0.25">
      <c r="B67" s="118" t="s">
        <v>100</v>
      </c>
      <c r="F67" s="146" t="s">
        <v>101</v>
      </c>
      <c r="G67" s="147">
        <f>G65+G66</f>
        <v>97095.820399999997</v>
      </c>
    </row>
    <row r="68" spans="1:29" ht="15.75" customHeight="1" x14ac:dyDescent="0.25">
      <c r="B68" s="118" t="s">
        <v>102</v>
      </c>
    </row>
    <row r="69" spans="1:29" ht="15.75" customHeight="1" x14ac:dyDescent="0.25">
      <c r="B69" s="118" t="s">
        <v>103</v>
      </c>
    </row>
    <row r="70" spans="1:29" ht="15.75" customHeight="1" x14ac:dyDescent="0.25"/>
    <row r="71" spans="1:29" ht="15.75" customHeight="1" x14ac:dyDescent="0.25">
      <c r="B71" s="142" t="s">
        <v>104</v>
      </c>
      <c r="C71" s="85"/>
    </row>
    <row r="72" spans="1:29" ht="15.75" customHeight="1" x14ac:dyDescent="0.25">
      <c r="B72" s="118" t="s">
        <v>105</v>
      </c>
      <c r="C72" s="28"/>
    </row>
    <row r="73" spans="1:29" ht="15.75" customHeight="1" x14ac:dyDescent="0.25">
      <c r="B73" s="118" t="s">
        <v>106</v>
      </c>
      <c r="C73" s="85"/>
    </row>
    <row r="74" spans="1:29" ht="15.75" customHeight="1" x14ac:dyDescent="0.25">
      <c r="B74" s="118" t="s">
        <v>107</v>
      </c>
    </row>
    <row r="75" spans="1:29" ht="15.75" customHeight="1" x14ac:dyDescent="0.25"/>
    <row r="76" spans="1:29" ht="15.75" customHeight="1" x14ac:dyDescent="0.25">
      <c r="B76" s="142" t="s">
        <v>108</v>
      </c>
    </row>
    <row r="77" spans="1:29" ht="15.75" customHeight="1" x14ac:dyDescent="0.25">
      <c r="A77" s="148"/>
      <c r="B77" s="118" t="s">
        <v>109</v>
      </c>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row>
    <row r="78" spans="1:29" ht="15.75" customHeight="1" x14ac:dyDescent="0.25">
      <c r="B78" s="118" t="s">
        <v>110</v>
      </c>
    </row>
    <row r="79" spans="1:29" ht="15.75" customHeight="1" x14ac:dyDescent="0.25">
      <c r="B79" s="118"/>
    </row>
    <row r="80" spans="1:29" ht="15.75" customHeight="1" x14ac:dyDescent="0.25">
      <c r="B80" s="149" t="s">
        <v>111</v>
      </c>
    </row>
    <row r="81" spans="2:3" ht="15.75" customHeight="1" x14ac:dyDescent="0.25">
      <c r="B81" s="150" t="s">
        <v>112</v>
      </c>
    </row>
    <row r="82" spans="2:3" ht="15.75" customHeight="1" x14ac:dyDescent="0.25">
      <c r="B82" s="150" t="s">
        <v>113</v>
      </c>
    </row>
    <row r="83" spans="2:3" ht="15.75" customHeight="1" x14ac:dyDescent="0.25">
      <c r="B83" s="118"/>
    </row>
    <row r="84" spans="2:3" ht="15.75" customHeight="1" x14ac:dyDescent="0.25">
      <c r="B84" s="149" t="s">
        <v>114</v>
      </c>
    </row>
    <row r="85" spans="2:3" ht="15.75" customHeight="1" x14ac:dyDescent="0.25">
      <c r="B85" s="150" t="s">
        <v>115</v>
      </c>
    </row>
    <row r="86" spans="2:3" ht="15.75" customHeight="1" x14ac:dyDescent="0.25">
      <c r="B86" s="150" t="s">
        <v>116</v>
      </c>
    </row>
    <row r="87" spans="2:3" ht="15.75" customHeight="1" x14ac:dyDescent="0.25">
      <c r="B87" s="150" t="s">
        <v>117</v>
      </c>
    </row>
    <row r="88" spans="2:3" ht="15.75" customHeight="1" x14ac:dyDescent="0.25">
      <c r="B88" s="118"/>
    </row>
    <row r="89" spans="2:3" ht="15.75" customHeight="1" x14ac:dyDescent="0.25">
      <c r="B89" s="149" t="s">
        <v>118</v>
      </c>
      <c r="C89" s="118"/>
    </row>
    <row r="90" spans="2:3" ht="15.75" customHeight="1" x14ac:dyDescent="0.25">
      <c r="B90" s="150" t="s">
        <v>119</v>
      </c>
      <c r="C90" s="118"/>
    </row>
    <row r="91" spans="2:3" ht="15.75" customHeight="1" x14ac:dyDescent="0.25">
      <c r="B91" s="151"/>
      <c r="C91" s="118"/>
    </row>
    <row r="92" spans="2:3" ht="15.75" customHeight="1" x14ac:dyDescent="0.25">
      <c r="B92" s="151"/>
      <c r="C92" s="118"/>
    </row>
    <row r="93" spans="2:3" ht="15.75" customHeight="1" x14ac:dyDescent="0.25">
      <c r="B93" s="151" t="s">
        <v>120</v>
      </c>
      <c r="C93" s="118"/>
    </row>
    <row r="94" spans="2:3" ht="15.75" customHeight="1" x14ac:dyDescent="0.25">
      <c r="B94" s="152" t="s">
        <v>121</v>
      </c>
      <c r="C94" s="118"/>
    </row>
    <row r="95" spans="2:3" ht="15.75" customHeight="1" x14ac:dyDescent="0.25">
      <c r="B95" s="152" t="s">
        <v>122</v>
      </c>
      <c r="C95" s="118"/>
    </row>
    <row r="96" spans="2:3" ht="15.75" customHeight="1" x14ac:dyDescent="0.25">
      <c r="B96" s="152" t="s">
        <v>123</v>
      </c>
      <c r="C96" s="118"/>
    </row>
    <row r="97" spans="2:17" ht="15.75" customHeight="1" x14ac:dyDescent="0.25">
      <c r="B97" s="152" t="s">
        <v>124</v>
      </c>
      <c r="C97" s="118"/>
    </row>
    <row r="98" spans="2:17" ht="15.75" customHeight="1" x14ac:dyDescent="0.25">
      <c r="B98" s="152" t="s">
        <v>125</v>
      </c>
      <c r="C98" s="118"/>
    </row>
    <row r="99" spans="2:17" ht="15.75" customHeight="1" x14ac:dyDescent="0.25">
      <c r="B99" s="152" t="s">
        <v>126</v>
      </c>
      <c r="C99" s="118"/>
    </row>
    <row r="100" spans="2:17" ht="15.75" customHeight="1" x14ac:dyDescent="0.25">
      <c r="B100" s="152" t="s">
        <v>127</v>
      </c>
      <c r="C100" s="118"/>
    </row>
    <row r="101" spans="2:17" ht="15.75" customHeight="1" x14ac:dyDescent="0.25"/>
    <row r="102" spans="2:17" ht="15.75" customHeight="1" x14ac:dyDescent="0.25"/>
    <row r="103" spans="2:17" ht="15.75" customHeight="1" x14ac:dyDescent="0.25"/>
    <row r="104" spans="2:17" ht="15.75" customHeight="1" x14ac:dyDescent="0.25">
      <c r="Q104" s="23"/>
    </row>
    <row r="105" spans="2:17" ht="15.75" customHeight="1" x14ac:dyDescent="0.25">
      <c r="B105" s="59"/>
      <c r="C105" s="5" t="s">
        <v>128</v>
      </c>
      <c r="D105" s="5"/>
      <c r="E105" s="5"/>
      <c r="F105" s="5"/>
      <c r="G105" s="5"/>
      <c r="H105" s="5"/>
      <c r="I105" s="5"/>
      <c r="Q105" s="23"/>
    </row>
    <row r="106" spans="2:17" ht="15.75" customHeight="1" x14ac:dyDescent="0.25">
      <c r="B106" s="148"/>
      <c r="C106" s="153" t="s">
        <v>67</v>
      </c>
      <c r="D106" s="154" t="s">
        <v>129</v>
      </c>
      <c r="E106" s="148"/>
      <c r="F106" s="155" t="s">
        <v>130</v>
      </c>
      <c r="G106" s="156" t="s">
        <v>131</v>
      </c>
      <c r="H106" s="148"/>
      <c r="I106" s="153" t="s">
        <v>132</v>
      </c>
      <c r="J106" s="157" t="s">
        <v>133</v>
      </c>
      <c r="K106" s="148"/>
    </row>
    <row r="107" spans="2:17" ht="15.75" customHeight="1" x14ac:dyDescent="0.25">
      <c r="B107" s="158">
        <v>2025</v>
      </c>
      <c r="C107" s="85">
        <f>56000</f>
        <v>56000</v>
      </c>
      <c r="D107" s="85">
        <f>-18000</f>
        <v>-18000</v>
      </c>
      <c r="F107" s="85">
        <f>(C107+D107)*0.878</f>
        <v>33364</v>
      </c>
      <c r="G107" s="159">
        <f>-(C36+D36)</f>
        <v>0</v>
      </c>
      <c r="I107" s="85">
        <f>F107+G107</f>
        <v>33364</v>
      </c>
      <c r="J107" s="160">
        <f>I107+(-G107)</f>
        <v>33364</v>
      </c>
    </row>
    <row r="108" spans="2:17" ht="15.75" customHeight="1" x14ac:dyDescent="0.25">
      <c r="B108" s="158">
        <f>B107+1</f>
        <v>2026</v>
      </c>
      <c r="C108" s="85">
        <v>86000</v>
      </c>
      <c r="D108" s="85">
        <f>D107*1.02</f>
        <v>-18360</v>
      </c>
      <c r="F108" s="85">
        <f>(C108+D108)*0.878</f>
        <v>59387.92</v>
      </c>
      <c r="G108" s="159">
        <f>-(F36+G36)</f>
        <v>0</v>
      </c>
      <c r="I108" s="85">
        <f>I107+F108+G108</f>
        <v>92751.92</v>
      </c>
      <c r="J108" s="160">
        <f>I108+(-G108)</f>
        <v>92751.92</v>
      </c>
    </row>
    <row r="109" spans="2:17" ht="15.75" customHeight="1" x14ac:dyDescent="0.25">
      <c r="B109" s="158">
        <f>B108+1</f>
        <v>2027</v>
      </c>
      <c r="C109" s="85">
        <v>100000</v>
      </c>
      <c r="D109" s="85">
        <f>D108*1.02</f>
        <v>-18727.2</v>
      </c>
      <c r="F109" s="85">
        <f>(C109+D109)*0.878</f>
        <v>71357.518400000001</v>
      </c>
      <c r="G109" s="159">
        <f>-(I36+J36)</f>
        <v>-43378.839183999997</v>
      </c>
      <c r="I109" s="85">
        <f>I108+F109+G109</f>
        <v>120730.59921599999</v>
      </c>
      <c r="J109" s="160">
        <f>I109+(-G109)</f>
        <v>164109.43839999998</v>
      </c>
    </row>
    <row r="110" spans="2:17" ht="15.75" customHeight="1" x14ac:dyDescent="0.25">
      <c r="B110" s="158">
        <f>B109+1</f>
        <v>2028</v>
      </c>
      <c r="C110" s="85">
        <f>C109*1.02</f>
        <v>102000</v>
      </c>
      <c r="D110" s="85">
        <f>D109*1.02</f>
        <v>-19101.744000000002</v>
      </c>
      <c r="F110" s="85">
        <f>(C110+D110)*0.878</f>
        <v>72784.668767999989</v>
      </c>
      <c r="G110" s="159">
        <f>-M36</f>
        <v>-38413.335967680003</v>
      </c>
      <c r="I110" s="85">
        <f>I109+F110+G110</f>
        <v>155101.93201631997</v>
      </c>
      <c r="J110" s="160">
        <f>I110+(-G110)</f>
        <v>193515.26798399998</v>
      </c>
    </row>
    <row r="111" spans="2:17" ht="15.75" customHeight="1" x14ac:dyDescent="0.25">
      <c r="B111" s="158">
        <f>B110+1</f>
        <v>2029</v>
      </c>
      <c r="C111" s="85">
        <f>C110*1.02</f>
        <v>104040</v>
      </c>
      <c r="D111" s="85">
        <f>D110*1.02</f>
        <v>-19483.778880000002</v>
      </c>
      <c r="F111" s="85">
        <f>(C111+D111)*0.878</f>
        <v>74240.362143360006</v>
      </c>
      <c r="G111" s="161"/>
      <c r="I111" s="85">
        <f>I110+F111+G111</f>
        <v>229342.29415967996</v>
      </c>
      <c r="J111" s="160">
        <f>I111+(-G111)</f>
        <v>229342.29415967996</v>
      </c>
    </row>
    <row r="112" spans="2:17" ht="15.75" customHeight="1" x14ac:dyDescent="0.25"/>
    <row r="113" spans="2:10" ht="15.75" customHeight="1" x14ac:dyDescent="0.25">
      <c r="C113" s="4" t="s">
        <v>134</v>
      </c>
      <c r="D113" s="4"/>
      <c r="E113" s="4"/>
      <c r="F113" s="4"/>
      <c r="G113" s="4"/>
      <c r="H113" s="59"/>
      <c r="I113" s="59"/>
      <c r="J113" s="59"/>
    </row>
    <row r="114" spans="2:10" ht="15.75" customHeight="1" x14ac:dyDescent="0.25">
      <c r="B114" s="162" t="s">
        <v>11</v>
      </c>
      <c r="C114" s="153" t="s">
        <v>135</v>
      </c>
      <c r="D114" s="153" t="s">
        <v>136</v>
      </c>
      <c r="E114" s="148"/>
      <c r="F114" s="153" t="s">
        <v>137</v>
      </c>
      <c r="G114" s="156" t="s">
        <v>132</v>
      </c>
      <c r="H114" s="148"/>
      <c r="J114" s="157" t="s">
        <v>138</v>
      </c>
    </row>
    <row r="115" spans="2:10" ht="15.75" customHeight="1" x14ac:dyDescent="0.25">
      <c r="B115" s="13">
        <v>2026</v>
      </c>
      <c r="C115" s="163">
        <f>105781+11000</f>
        <v>116781</v>
      </c>
      <c r="D115" s="164">
        <v>0</v>
      </c>
      <c r="F115" s="164">
        <v>3.7999999999999999E-2</v>
      </c>
      <c r="G115" s="85">
        <f>C115-(D115*C115)</f>
        <v>116781</v>
      </c>
      <c r="J115" s="160">
        <f>C115*D115</f>
        <v>0</v>
      </c>
    </row>
    <row r="116" spans="2:10" ht="15.75" customHeight="1" x14ac:dyDescent="0.25">
      <c r="B116" s="13">
        <f>B115+1</f>
        <v>2027</v>
      </c>
      <c r="C116" s="85">
        <f>G115*(1+F116)</f>
        <v>121218.678</v>
      </c>
      <c r="D116" s="165">
        <v>0</v>
      </c>
      <c r="F116" s="164">
        <v>3.7999999999999999E-2</v>
      </c>
      <c r="G116" s="85">
        <f>C116-(D116*C116)</f>
        <v>121218.678</v>
      </c>
      <c r="J116" s="160">
        <f>C116*D116</f>
        <v>0</v>
      </c>
    </row>
    <row r="117" spans="2:10" ht="15.75" customHeight="1" x14ac:dyDescent="0.25">
      <c r="B117" s="13">
        <f>B116+1</f>
        <v>2028</v>
      </c>
      <c r="C117" s="85">
        <f>G116*(1+F117)</f>
        <v>125824.987764</v>
      </c>
      <c r="D117" s="165">
        <v>0</v>
      </c>
      <c r="F117" s="164">
        <f>F116</f>
        <v>3.7999999999999999E-2</v>
      </c>
      <c r="G117" s="85">
        <f>C117-(D117*C117)</f>
        <v>125824.987764</v>
      </c>
      <c r="J117" s="160">
        <f>C117*D117</f>
        <v>0</v>
      </c>
    </row>
    <row r="118" spans="2:10" ht="15.75" customHeight="1" x14ac:dyDescent="0.25">
      <c r="B118" s="13">
        <f>B117+1</f>
        <v>2029</v>
      </c>
      <c r="C118" s="85">
        <f>G117*(1+F118)</f>
        <v>130606.33729903201</v>
      </c>
      <c r="D118" s="165">
        <v>0</v>
      </c>
      <c r="F118" s="164">
        <f>F117</f>
        <v>3.7999999999999999E-2</v>
      </c>
      <c r="G118" s="85">
        <f>C118-(D118*C118)</f>
        <v>130606.33729903201</v>
      </c>
      <c r="J118" s="160">
        <f>C118*D118</f>
        <v>0</v>
      </c>
    </row>
    <row r="119" spans="2:10" ht="15.75" customHeight="1" x14ac:dyDescent="0.25"/>
    <row r="120" spans="2:10" ht="15.75" customHeight="1" x14ac:dyDescent="0.25">
      <c r="C120" s="4" t="s">
        <v>134</v>
      </c>
      <c r="D120" s="4"/>
      <c r="E120" s="4"/>
      <c r="F120" s="4"/>
      <c r="G120" s="4"/>
      <c r="H120" s="59"/>
      <c r="J120" s="59"/>
    </row>
    <row r="121" spans="2:10" ht="15.75" customHeight="1" x14ac:dyDescent="0.25">
      <c r="B121" s="162" t="s">
        <v>12</v>
      </c>
      <c r="C121" s="153" t="s">
        <v>135</v>
      </c>
      <c r="D121" s="153" t="s">
        <v>136</v>
      </c>
      <c r="E121" s="148"/>
      <c r="F121" s="153" t="s">
        <v>137</v>
      </c>
      <c r="G121" s="156" t="s">
        <v>132</v>
      </c>
      <c r="H121" s="148"/>
      <c r="J121" s="157" t="s">
        <v>138</v>
      </c>
    </row>
    <row r="122" spans="2:10" ht="15.75" customHeight="1" x14ac:dyDescent="0.25">
      <c r="B122" s="13">
        <v>2026</v>
      </c>
      <c r="C122" s="85">
        <f>(280380+89495)+15566</f>
        <v>385441</v>
      </c>
      <c r="D122" s="164">
        <v>0</v>
      </c>
      <c r="E122" s="148"/>
      <c r="F122" s="164">
        <v>3.7999999999999999E-2</v>
      </c>
      <c r="G122" s="85">
        <f>C122-(D122*C122)</f>
        <v>385441</v>
      </c>
      <c r="H122" s="148"/>
      <c r="J122" s="160">
        <f>C122*D122</f>
        <v>0</v>
      </c>
    </row>
    <row r="123" spans="2:10" ht="15.75" customHeight="1" x14ac:dyDescent="0.25">
      <c r="B123" s="13">
        <v>2027</v>
      </c>
      <c r="C123" s="85">
        <f>G122*(1+F123)</f>
        <v>400087.75800000003</v>
      </c>
      <c r="D123" s="165">
        <v>0</v>
      </c>
      <c r="F123" s="164">
        <v>3.7999999999999999E-2</v>
      </c>
      <c r="G123" s="85">
        <f>C123-(D123*C123)</f>
        <v>400087.75800000003</v>
      </c>
      <c r="J123" s="160">
        <f>C123*D123</f>
        <v>0</v>
      </c>
    </row>
    <row r="124" spans="2:10" ht="15.75" customHeight="1" x14ac:dyDescent="0.25">
      <c r="B124" s="13">
        <f>B123+1</f>
        <v>2028</v>
      </c>
      <c r="C124" s="85">
        <f>G123*(1+F124)</f>
        <v>415291.09280400007</v>
      </c>
      <c r="D124" s="165">
        <v>0</v>
      </c>
      <c r="F124" s="164">
        <f>F123</f>
        <v>3.7999999999999999E-2</v>
      </c>
      <c r="G124" s="85">
        <f>C124-(D124*C124)</f>
        <v>415291.09280400007</v>
      </c>
      <c r="J124" s="160">
        <f>C124*D124</f>
        <v>0</v>
      </c>
    </row>
    <row r="125" spans="2:10" ht="15.75" customHeight="1" x14ac:dyDescent="0.25">
      <c r="B125" s="13">
        <f>B124+1</f>
        <v>2029</v>
      </c>
      <c r="C125" s="85">
        <f>G124*(1+F125)</f>
        <v>431072.15433055209</v>
      </c>
      <c r="D125" s="165">
        <v>0</v>
      </c>
      <c r="F125" s="164">
        <f>F124</f>
        <v>3.7999999999999999E-2</v>
      </c>
      <c r="G125" s="85">
        <f>C125-(D125*C125)</f>
        <v>431072.15433055209</v>
      </c>
      <c r="J125" s="160">
        <f>C125*D125</f>
        <v>0</v>
      </c>
    </row>
    <row r="126" spans="2:10" ht="15.75" customHeight="1" x14ac:dyDescent="0.25"/>
    <row r="127" spans="2:10" ht="15.75" customHeight="1" x14ac:dyDescent="0.25"/>
    <row r="128" spans="2:10"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7">
    <mergeCell ref="C113:G113"/>
    <mergeCell ref="C120:G120"/>
    <mergeCell ref="C28:D28"/>
    <mergeCell ref="F28:G28"/>
    <mergeCell ref="I28:J28"/>
    <mergeCell ref="L28:M28"/>
    <mergeCell ref="C105:I105"/>
  </mergeCells>
  <conditionalFormatting sqref="I92:I96 I104 I106:I111">
    <cfRule type="cellIs" dxfId="1" priority="2" operator="lessThan">
      <formula>0</formula>
    </cfRule>
  </conditionalFormatting>
  <pageMargins left="0.7" right="0.7" top="0.75" bottom="0.75"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9CB9C"/>
  </sheetPr>
  <dimension ref="A1:AC1018"/>
  <sheetViews>
    <sheetView showGridLines="0" topLeftCell="A123" zoomScaleNormal="100" workbookViewId="0"/>
  </sheetViews>
  <sheetFormatPr defaultColWidth="12.5703125" defaultRowHeight="15" x14ac:dyDescent="0.25"/>
  <cols>
    <col min="1" max="1" width="9.140625" customWidth="1"/>
    <col min="2" max="2" width="43.42578125" customWidth="1"/>
    <col min="3" max="4" width="16.7109375" customWidth="1"/>
    <col min="5" max="5" width="1.28515625" customWidth="1"/>
    <col min="6" max="7" width="16.7109375" customWidth="1"/>
    <col min="8" max="8" width="1.28515625" customWidth="1"/>
    <col min="9" max="10" width="16.7109375" customWidth="1"/>
    <col min="11" max="11" width="1.28515625" customWidth="1"/>
    <col min="12" max="13" width="16.7109375" customWidth="1"/>
    <col min="14" max="14" width="9.140625" customWidth="1"/>
    <col min="15" max="15" width="1.5703125" customWidth="1"/>
    <col min="16" max="29" width="8.5703125" customWidth="1"/>
  </cols>
  <sheetData>
    <row r="1" spans="1:17" ht="24" customHeight="1" x14ac:dyDescent="0.4">
      <c r="A1" s="12" t="s">
        <v>0</v>
      </c>
      <c r="O1" s="56"/>
    </row>
    <row r="2" spans="1:17" ht="18.75" customHeight="1" x14ac:dyDescent="0.3">
      <c r="A2" s="57" t="s">
        <v>51</v>
      </c>
      <c r="O2" s="56"/>
      <c r="Q2" s="58"/>
    </row>
    <row r="3" spans="1:17" x14ac:dyDescent="0.25">
      <c r="A3" s="58" t="s">
        <v>147</v>
      </c>
      <c r="O3" s="56"/>
    </row>
    <row r="4" spans="1:17" x14ac:dyDescent="0.25">
      <c r="B4" s="59"/>
      <c r="O4" s="56"/>
    </row>
    <row r="5" spans="1:17" ht="18.75" customHeight="1" x14ac:dyDescent="0.3">
      <c r="C5" s="60">
        <v>2025</v>
      </c>
      <c r="F5" s="60">
        <v>2026</v>
      </c>
      <c r="I5" s="60">
        <v>2027</v>
      </c>
      <c r="L5" s="61">
        <v>2028</v>
      </c>
      <c r="O5" s="56"/>
    </row>
    <row r="6" spans="1:17" x14ac:dyDescent="0.25">
      <c r="B6" s="62" t="s">
        <v>53</v>
      </c>
      <c r="C6" s="28">
        <v>5000</v>
      </c>
      <c r="F6" s="28">
        <f>(C6-2000)*1.02</f>
        <v>3060</v>
      </c>
      <c r="I6" s="28">
        <f>F6*1.02</f>
        <v>3121.2000000000003</v>
      </c>
      <c r="L6" s="28">
        <f>I6*1.02</f>
        <v>3183.6240000000003</v>
      </c>
      <c r="O6" s="56"/>
    </row>
    <row r="7" spans="1:17" ht="6" customHeight="1" x14ac:dyDescent="0.25">
      <c r="C7" s="28"/>
      <c r="F7" s="28"/>
      <c r="I7" s="28"/>
      <c r="L7" s="28"/>
      <c r="O7" s="56"/>
    </row>
    <row r="8" spans="1:17" x14ac:dyDescent="0.25">
      <c r="B8" s="62" t="s">
        <v>54</v>
      </c>
      <c r="C8" s="28">
        <f>C6*12</f>
        <v>60000</v>
      </c>
      <c r="F8" s="28">
        <f>F6*12</f>
        <v>36720</v>
      </c>
      <c r="I8" s="28">
        <f>I6*12</f>
        <v>37454.400000000001</v>
      </c>
      <c r="L8" s="28">
        <f>L6*12</f>
        <v>38203.488000000005</v>
      </c>
      <c r="O8" s="56"/>
    </row>
    <row r="9" spans="1:17" x14ac:dyDescent="0.25">
      <c r="B9" s="20" t="s">
        <v>55</v>
      </c>
      <c r="C9" s="28"/>
      <c r="O9" s="56"/>
    </row>
    <row r="10" spans="1:17" x14ac:dyDescent="0.25">
      <c r="B10" s="63" t="s">
        <v>56</v>
      </c>
      <c r="C10" s="28">
        <v>0</v>
      </c>
      <c r="F10" s="64">
        <v>20000</v>
      </c>
      <c r="I10" s="64">
        <v>0</v>
      </c>
      <c r="L10" s="28">
        <v>0</v>
      </c>
      <c r="O10" s="56"/>
    </row>
    <row r="11" spans="1:17" x14ac:dyDescent="0.25">
      <c r="B11" s="63" t="s">
        <v>57</v>
      </c>
      <c r="C11" s="28">
        <v>0</v>
      </c>
      <c r="F11" s="64">
        <v>0</v>
      </c>
      <c r="I11" s="64">
        <v>20000</v>
      </c>
      <c r="L11" s="65">
        <v>0</v>
      </c>
      <c r="O11" s="56"/>
    </row>
    <row r="12" spans="1:17" x14ac:dyDescent="0.25">
      <c r="B12" s="23" t="s">
        <v>58</v>
      </c>
      <c r="C12" s="28">
        <v>0</v>
      </c>
      <c r="F12" s="66">
        <v>-20000</v>
      </c>
      <c r="I12" s="66">
        <v>-20000</v>
      </c>
      <c r="L12" s="65">
        <v>0</v>
      </c>
      <c r="O12" s="56"/>
    </row>
    <row r="13" spans="1:17" x14ac:dyDescent="0.25">
      <c r="B13" s="62" t="s">
        <v>59</v>
      </c>
      <c r="C13" s="67">
        <f>12*300</f>
        <v>3600</v>
      </c>
      <c r="F13" s="67">
        <f>C13*1.02</f>
        <v>3672</v>
      </c>
      <c r="I13" s="67">
        <f>F13*1.02</f>
        <v>3745.44</v>
      </c>
      <c r="L13" s="67">
        <f>I13*1.02</f>
        <v>3820.3488000000002</v>
      </c>
      <c r="O13" s="56"/>
    </row>
    <row r="14" spans="1:17" x14ac:dyDescent="0.25">
      <c r="B14" s="59" t="s">
        <v>60</v>
      </c>
      <c r="C14" s="68">
        <f>SUM(C8:C13)</f>
        <v>63600</v>
      </c>
      <c r="D14" s="59"/>
      <c r="E14" s="59"/>
      <c r="F14" s="68">
        <f>SUM(F8:F13)</f>
        <v>40392</v>
      </c>
      <c r="H14" s="59"/>
      <c r="I14" s="68">
        <f>SUM(I8:I13)</f>
        <v>41199.840000000004</v>
      </c>
      <c r="K14" s="59"/>
      <c r="L14" s="68">
        <f>SUM(L8:L13)</f>
        <v>42023.836800000005</v>
      </c>
      <c r="O14" s="56"/>
    </row>
    <row r="15" spans="1:17" ht="6" customHeight="1" x14ac:dyDescent="0.25">
      <c r="C15" s="28"/>
      <c r="F15" s="28"/>
      <c r="I15" s="28"/>
      <c r="L15" s="28"/>
      <c r="O15" s="56"/>
    </row>
    <row r="16" spans="1:17" x14ac:dyDescent="0.25">
      <c r="B16" s="69" t="s">
        <v>61</v>
      </c>
      <c r="C16" s="70">
        <f>+C17+C18</f>
        <v>241000</v>
      </c>
      <c r="F16" s="70">
        <f>+F17+F18</f>
        <v>195000</v>
      </c>
      <c r="I16" s="70">
        <f>+I17+I18</f>
        <v>200000</v>
      </c>
      <c r="L16" s="70">
        <f>+L17+L18</f>
        <v>204000</v>
      </c>
      <c r="O16" s="56"/>
    </row>
    <row r="17" spans="1:29" x14ac:dyDescent="0.25">
      <c r="B17" s="71" t="s">
        <v>11</v>
      </c>
      <c r="C17" s="72">
        <v>120500</v>
      </c>
      <c r="F17" s="72">
        <v>97500</v>
      </c>
      <c r="I17" s="73">
        <f>ROUNDUP(99596.03,-3)</f>
        <v>100000</v>
      </c>
      <c r="L17" s="73">
        <f>ROUNDUP(101867,-3)</f>
        <v>102000</v>
      </c>
      <c r="O17" s="56"/>
    </row>
    <row r="18" spans="1:29" x14ac:dyDescent="0.25">
      <c r="B18" s="71" t="s">
        <v>12</v>
      </c>
      <c r="C18" s="73">
        <f>C17</f>
        <v>120500</v>
      </c>
      <c r="F18" s="73">
        <f>F17</f>
        <v>97500</v>
      </c>
      <c r="I18" s="73">
        <f>I17</f>
        <v>100000</v>
      </c>
      <c r="L18" s="73">
        <f>L17</f>
        <v>102000</v>
      </c>
      <c r="O18" s="56"/>
    </row>
    <row r="19" spans="1:29" ht="6" customHeight="1" x14ac:dyDescent="0.25">
      <c r="C19" s="28"/>
      <c r="F19" s="28"/>
      <c r="I19" s="28"/>
      <c r="L19" s="28"/>
      <c r="O19" s="56"/>
    </row>
    <row r="20" spans="1:29" x14ac:dyDescent="0.25">
      <c r="B20" s="74" t="s">
        <v>62</v>
      </c>
      <c r="C20" s="75">
        <f>SUM(C43:D43)</f>
        <v>342135.88</v>
      </c>
      <c r="F20" s="75">
        <f>SUM(F43:G43)</f>
        <v>147944.23920000001</v>
      </c>
      <c r="I20" s="75">
        <f>SUM(I43:J43)</f>
        <v>199999.96316799999</v>
      </c>
      <c r="J20" s="68"/>
      <c r="L20" s="75">
        <f>SUM(L43:M43)+1</f>
        <v>204000.24243136001</v>
      </c>
      <c r="M20" s="68"/>
      <c r="O20" s="56"/>
    </row>
    <row r="21" spans="1:29" ht="15.75" customHeight="1" x14ac:dyDescent="0.25">
      <c r="A21" s="62"/>
      <c r="B21" s="76" t="s">
        <v>63</v>
      </c>
      <c r="C21" s="77">
        <f>C22+C23</f>
        <v>111166.51999999999</v>
      </c>
      <c r="D21" s="78" t="s">
        <v>64</v>
      </c>
      <c r="F21" s="77">
        <f>F22+F23</f>
        <v>28149.38</v>
      </c>
      <c r="G21" s="78" t="s">
        <v>64</v>
      </c>
      <c r="I21" s="77">
        <f>I22+I23</f>
        <v>43835.88</v>
      </c>
      <c r="J21" s="78" t="s">
        <v>64</v>
      </c>
      <c r="L21" s="77">
        <f>L22+L23</f>
        <v>45095.08</v>
      </c>
      <c r="M21" s="78" t="s">
        <v>64</v>
      </c>
      <c r="N21" s="62"/>
      <c r="O21" s="56"/>
      <c r="P21" s="62"/>
      <c r="Q21" s="62"/>
      <c r="R21" s="62"/>
      <c r="S21" s="62"/>
      <c r="T21" s="62"/>
      <c r="U21" s="62"/>
      <c r="V21" s="62"/>
      <c r="W21" s="62"/>
      <c r="X21" s="62"/>
      <c r="Y21" s="62"/>
      <c r="Z21" s="62"/>
      <c r="AA21" s="62"/>
      <c r="AB21" s="62"/>
      <c r="AC21" s="62"/>
    </row>
    <row r="22" spans="1:29" ht="15.75" customHeight="1" x14ac:dyDescent="0.25">
      <c r="A22" s="62"/>
      <c r="B22" s="79" t="s">
        <v>11</v>
      </c>
      <c r="C22" s="80">
        <f>51755.79+3203.66+940.43</f>
        <v>55899.88</v>
      </c>
      <c r="D22" s="81">
        <f>C22+SUM(C46:C48,C50)+C51</f>
        <v>0</v>
      </c>
      <c r="F22" s="80">
        <v>14074.69</v>
      </c>
      <c r="G22" s="81">
        <f>F22+SUM(F46:F48,F50)+F51</f>
        <v>0</v>
      </c>
      <c r="I22" s="80">
        <v>21917.94</v>
      </c>
      <c r="J22" s="81">
        <f>I22+SUM(I46:I48,I50)+I51</f>
        <v>0</v>
      </c>
      <c r="L22" s="80">
        <v>22547.54</v>
      </c>
      <c r="M22" s="81">
        <f>L22+SUM(L46:L48,L50)+L51</f>
        <v>0</v>
      </c>
      <c r="N22" s="62"/>
      <c r="O22" s="56"/>
      <c r="P22" s="62"/>
      <c r="Q22" s="62"/>
      <c r="R22" s="62"/>
      <c r="S22" s="62"/>
      <c r="T22" s="62"/>
      <c r="U22" s="62"/>
      <c r="V22" s="62"/>
      <c r="W22" s="62"/>
      <c r="X22" s="62"/>
      <c r="Y22" s="62"/>
      <c r="Z22" s="62"/>
      <c r="AA22" s="62"/>
      <c r="AB22" s="62"/>
      <c r="AC22" s="62"/>
    </row>
    <row r="23" spans="1:29" ht="15.75" customHeight="1" x14ac:dyDescent="0.25">
      <c r="A23" s="62"/>
      <c r="B23" s="79" t="s">
        <v>12</v>
      </c>
      <c r="C23" s="80">
        <f>51755.79+2707.25+803.6</f>
        <v>55266.64</v>
      </c>
      <c r="D23" s="81">
        <f>C23+SUM(D46:D48,D50)+D51</f>
        <v>0</v>
      </c>
      <c r="F23" s="80">
        <v>14074.69</v>
      </c>
      <c r="G23" s="81">
        <f>F23+SUM(G46:G48,G50)+G51</f>
        <v>0</v>
      </c>
      <c r="I23" s="80">
        <v>21917.94</v>
      </c>
      <c r="J23" s="81">
        <f>I23+SUM(J46:J48,J50)+J51</f>
        <v>0</v>
      </c>
      <c r="L23" s="80">
        <v>22547.54</v>
      </c>
      <c r="M23" s="81">
        <f>L23+SUM(M46:M48,M50)+M51</f>
        <v>0</v>
      </c>
      <c r="N23" s="62"/>
      <c r="O23" s="56"/>
      <c r="P23" s="62"/>
      <c r="Q23" s="62"/>
      <c r="R23" s="62"/>
      <c r="S23" s="62"/>
      <c r="T23" s="62"/>
      <c r="U23" s="62"/>
      <c r="V23" s="62"/>
      <c r="W23" s="62"/>
      <c r="X23" s="62"/>
      <c r="Y23" s="62"/>
      <c r="Z23" s="62"/>
      <c r="AA23" s="62"/>
      <c r="AB23" s="62"/>
      <c r="AC23" s="62"/>
    </row>
    <row r="24" spans="1:29" ht="15.75" customHeight="1" x14ac:dyDescent="0.25">
      <c r="B24" s="82" t="s">
        <v>65</v>
      </c>
      <c r="C24" s="83">
        <f>IF(C16-C20&lt;0,0,C16-C20)</f>
        <v>0</v>
      </c>
      <c r="D24" s="62"/>
      <c r="F24" s="83">
        <f>IF(F16-F20&lt;0,0,F16-F20)</f>
        <v>47055.760799999989</v>
      </c>
      <c r="G24" s="28"/>
      <c r="I24" s="83">
        <f>IF(I16-I20&lt;0,0,I16-I20)</f>
        <v>3.6832000012509525E-2</v>
      </c>
      <c r="J24" s="68"/>
      <c r="L24" s="83">
        <f>IF(L16-L20&lt;0,0,L16-L20)</f>
        <v>0</v>
      </c>
      <c r="M24" s="68"/>
      <c r="O24" s="56"/>
    </row>
    <row r="25" spans="1:29" ht="15.75" customHeight="1" x14ac:dyDescent="0.25">
      <c r="B25" s="23"/>
      <c r="C25" s="28"/>
      <c r="D25" s="84"/>
      <c r="F25" s="28"/>
      <c r="G25" s="85"/>
      <c r="O25" s="56"/>
    </row>
    <row r="26" spans="1:29" ht="15.75" customHeight="1" x14ac:dyDescent="0.25">
      <c r="C26" s="28"/>
      <c r="F26" s="28"/>
      <c r="O26" s="56"/>
    </row>
    <row r="27" spans="1:29" ht="15.75" customHeight="1" x14ac:dyDescent="0.25">
      <c r="A27" s="62"/>
      <c r="B27" s="86" t="s">
        <v>66</v>
      </c>
      <c r="C27" s="87">
        <v>65</v>
      </c>
      <c r="D27" s="87">
        <v>63</v>
      </c>
      <c r="E27" s="88"/>
      <c r="F27" s="87">
        <f>C27+1</f>
        <v>66</v>
      </c>
      <c r="G27" s="87">
        <f>D27+1</f>
        <v>64</v>
      </c>
      <c r="H27" s="88"/>
      <c r="I27" s="87">
        <f>F27+1</f>
        <v>67</v>
      </c>
      <c r="J27" s="87">
        <f>G27+1</f>
        <v>65</v>
      </c>
      <c r="K27" s="89"/>
      <c r="L27" s="87">
        <f>I27+1</f>
        <v>68</v>
      </c>
      <c r="M27" s="90">
        <f>J27+1</f>
        <v>66</v>
      </c>
      <c r="N27" s="62"/>
      <c r="O27" s="56"/>
      <c r="P27" s="62"/>
      <c r="Q27" s="62"/>
      <c r="R27" s="62"/>
      <c r="S27" s="62"/>
      <c r="T27" s="62"/>
      <c r="U27" s="62"/>
      <c r="V27" s="62"/>
      <c r="W27" s="62"/>
      <c r="X27" s="62"/>
      <c r="Y27" s="62"/>
      <c r="Z27" s="62"/>
      <c r="AA27" s="62"/>
      <c r="AB27" s="62"/>
      <c r="AC27" s="62"/>
    </row>
    <row r="28" spans="1:29" ht="15.75" customHeight="1" x14ac:dyDescent="0.3">
      <c r="B28" s="91"/>
      <c r="C28" s="9">
        <v>2025</v>
      </c>
      <c r="D28" s="9"/>
      <c r="E28" s="92"/>
      <c r="F28" s="8">
        <v>2026</v>
      </c>
      <c r="G28" s="8"/>
      <c r="H28" s="92"/>
      <c r="I28" s="7">
        <v>2027</v>
      </c>
      <c r="J28" s="7"/>
      <c r="K28" s="92"/>
      <c r="L28" s="6">
        <v>2028</v>
      </c>
      <c r="M28" s="6"/>
      <c r="O28" s="56"/>
    </row>
    <row r="29" spans="1:29" ht="15.75" customHeight="1" x14ac:dyDescent="0.25">
      <c r="B29" s="93" t="s">
        <v>67</v>
      </c>
      <c r="C29" s="18" t="s">
        <v>11</v>
      </c>
      <c r="D29" s="18" t="s">
        <v>12</v>
      </c>
      <c r="E29" s="94"/>
      <c r="F29" s="18" t="s">
        <v>11</v>
      </c>
      <c r="G29" s="18" t="s">
        <v>12</v>
      </c>
      <c r="H29" s="94"/>
      <c r="I29" s="18" t="s">
        <v>11</v>
      </c>
      <c r="J29" s="18" t="s">
        <v>12</v>
      </c>
      <c r="K29" s="94"/>
      <c r="L29" s="18" t="s">
        <v>11</v>
      </c>
      <c r="M29" s="95" t="s">
        <v>12</v>
      </c>
      <c r="O29" s="56"/>
    </row>
    <row r="30" spans="1:29" ht="4.5" customHeight="1" x14ac:dyDescent="0.25">
      <c r="B30" s="96"/>
      <c r="C30" s="28"/>
      <c r="D30" s="28"/>
      <c r="E30" s="94"/>
      <c r="F30" s="28"/>
      <c r="G30" s="28"/>
      <c r="H30" s="94"/>
      <c r="I30" s="28"/>
      <c r="J30" s="28"/>
      <c r="K30" s="94"/>
      <c r="L30" s="28"/>
      <c r="M30" s="97"/>
      <c r="O30" s="56"/>
    </row>
    <row r="31" spans="1:29" ht="15.75" customHeight="1" x14ac:dyDescent="0.25">
      <c r="B31" s="96" t="s">
        <v>68</v>
      </c>
      <c r="C31" s="28">
        <v>57343</v>
      </c>
      <c r="D31" s="28">
        <v>49000</v>
      </c>
      <c r="E31" s="94"/>
      <c r="F31" s="28">
        <v>0</v>
      </c>
      <c r="G31" s="28">
        <v>0</v>
      </c>
      <c r="H31" s="94"/>
      <c r="I31" s="28">
        <v>0</v>
      </c>
      <c r="J31" s="28">
        <v>0</v>
      </c>
      <c r="K31" s="94"/>
      <c r="L31" s="28">
        <v>0</v>
      </c>
      <c r="M31" s="97">
        <v>0</v>
      </c>
      <c r="O31" s="56"/>
    </row>
    <row r="32" spans="1:29" ht="15.75" customHeight="1" x14ac:dyDescent="0.25">
      <c r="B32" s="98" t="s">
        <v>69</v>
      </c>
      <c r="C32" s="28">
        <f>3*(1429.83)</f>
        <v>4289.49</v>
      </c>
      <c r="D32" s="28">
        <v>0</v>
      </c>
      <c r="E32" s="94"/>
      <c r="F32" s="28">
        <f>12*(1429.83*1.02)</f>
        <v>17501.119200000001</v>
      </c>
      <c r="G32" s="28">
        <v>0</v>
      </c>
      <c r="H32" s="94"/>
      <c r="I32" s="28">
        <f>F32*1.02</f>
        <v>17851.141584000001</v>
      </c>
      <c r="J32" s="28">
        <f>6*(853+100)</f>
        <v>5718</v>
      </c>
      <c r="K32" s="94"/>
      <c r="L32" s="28">
        <f>I32*1.02</f>
        <v>18208.164415680003</v>
      </c>
      <c r="M32" s="97">
        <f>12*(853+100)*1.02</f>
        <v>11664.72</v>
      </c>
      <c r="O32" s="56"/>
    </row>
    <row r="33" spans="2:15" ht="15.75" customHeight="1" x14ac:dyDescent="0.25">
      <c r="B33" s="98" t="s">
        <v>70</v>
      </c>
      <c r="C33" s="65">
        <v>0</v>
      </c>
      <c r="D33" s="28">
        <v>0</v>
      </c>
      <c r="E33" s="94"/>
      <c r="F33" s="65">
        <v>0</v>
      </c>
      <c r="G33" s="28">
        <v>0</v>
      </c>
      <c r="H33" s="94"/>
      <c r="I33" s="28">
        <f>F33*1.02</f>
        <v>0</v>
      </c>
      <c r="J33" s="28">
        <f>I33</f>
        <v>0</v>
      </c>
      <c r="K33" s="94"/>
      <c r="L33" s="28">
        <f>I33*1.02</f>
        <v>0</v>
      </c>
      <c r="M33" s="97">
        <f>L33</f>
        <v>0</v>
      </c>
      <c r="O33" s="56"/>
    </row>
    <row r="34" spans="2:15" ht="15.75" customHeight="1" x14ac:dyDescent="0.25">
      <c r="B34" s="98" t="s">
        <v>71</v>
      </c>
      <c r="C34" s="28">
        <v>0</v>
      </c>
      <c r="D34" s="167">
        <f>G65</f>
        <v>129781</v>
      </c>
      <c r="E34" s="94"/>
      <c r="F34" s="28">
        <v>0</v>
      </c>
      <c r="G34" s="99">
        <f>G67</f>
        <v>0</v>
      </c>
      <c r="H34" s="94"/>
      <c r="I34" s="28">
        <v>0</v>
      </c>
      <c r="J34" s="28">
        <v>0</v>
      </c>
      <c r="K34" s="94"/>
      <c r="L34" s="28">
        <v>0</v>
      </c>
      <c r="M34" s="97">
        <v>0</v>
      </c>
      <c r="O34" s="56"/>
    </row>
    <row r="35" spans="2:15" ht="15.75" customHeight="1" x14ac:dyDescent="0.25">
      <c r="B35" s="96" t="s">
        <v>72</v>
      </c>
      <c r="C35" s="28">
        <f>111500+(123606.12-111500)*9/12</f>
        <v>120579.59</v>
      </c>
      <c r="D35" s="28">
        <f>1541.76*5</f>
        <v>7708.8</v>
      </c>
      <c r="E35" s="94"/>
      <c r="F35" s="65">
        <v>111942</v>
      </c>
      <c r="G35" s="28">
        <f>1541.76*12</f>
        <v>18501.12</v>
      </c>
      <c r="H35" s="94"/>
      <c r="I35" s="28">
        <f>F35*1.02</f>
        <v>114180.84</v>
      </c>
      <c r="J35" s="28">
        <f>G35*1.02</f>
        <v>18871.142400000001</v>
      </c>
      <c r="K35" s="94"/>
      <c r="L35" s="28">
        <f>I35*1.02</f>
        <v>116464.4568</v>
      </c>
      <c r="M35" s="97">
        <f>J35*1.02</f>
        <v>19248.565248000003</v>
      </c>
      <c r="O35" s="56"/>
    </row>
    <row r="36" spans="2:15" ht="15.75" customHeight="1" x14ac:dyDescent="0.25">
      <c r="B36" s="96" t="s">
        <v>73</v>
      </c>
      <c r="C36" s="65">
        <v>0</v>
      </c>
      <c r="D36" s="65">
        <v>0</v>
      </c>
      <c r="E36" s="94"/>
      <c r="F36" s="28">
        <v>0</v>
      </c>
      <c r="G36" s="28">
        <v>0</v>
      </c>
      <c r="H36" s="94"/>
      <c r="I36" s="65">
        <v>0</v>
      </c>
      <c r="J36" s="65">
        <v>43378.839183999997</v>
      </c>
      <c r="K36" s="94"/>
      <c r="L36" s="65">
        <v>0</v>
      </c>
      <c r="M36" s="100">
        <v>38413.335967680003</v>
      </c>
      <c r="O36" s="56"/>
    </row>
    <row r="37" spans="2:15" ht="15.75" customHeight="1" x14ac:dyDescent="0.25">
      <c r="B37" s="96" t="s">
        <v>74</v>
      </c>
      <c r="C37" s="101">
        <f>-D37</f>
        <v>-144</v>
      </c>
      <c r="D37" s="102">
        <v>144</v>
      </c>
      <c r="E37" s="94"/>
      <c r="F37" s="101">
        <f>-G37</f>
        <v>-55471</v>
      </c>
      <c r="G37" s="102">
        <v>55471</v>
      </c>
      <c r="H37" s="94"/>
      <c r="I37" s="102">
        <f>-J37</f>
        <v>-32032</v>
      </c>
      <c r="J37" s="102">
        <v>32032</v>
      </c>
      <c r="K37" s="94"/>
      <c r="L37" s="102">
        <f>-M37</f>
        <v>-32673</v>
      </c>
      <c r="M37" s="103">
        <v>32673</v>
      </c>
      <c r="O37" s="56"/>
    </row>
    <row r="38" spans="2:15" ht="15.75" customHeight="1" x14ac:dyDescent="0.25">
      <c r="B38" s="96" t="s">
        <v>75</v>
      </c>
      <c r="C38" s="28">
        <v>0</v>
      </c>
      <c r="D38" s="28">
        <v>0</v>
      </c>
      <c r="E38" s="94"/>
      <c r="F38" s="28">
        <v>0</v>
      </c>
      <c r="G38" s="28">
        <v>0</v>
      </c>
      <c r="H38" s="94"/>
      <c r="I38" s="65">
        <v>0</v>
      </c>
      <c r="J38" s="65">
        <v>0</v>
      </c>
      <c r="K38" s="94"/>
      <c r="L38" s="28"/>
      <c r="M38" s="97"/>
      <c r="O38" s="56"/>
    </row>
    <row r="39" spans="2:15" ht="15.75" customHeight="1" x14ac:dyDescent="0.25">
      <c r="B39" s="96" t="s">
        <v>76</v>
      </c>
      <c r="C39" s="104">
        <v>0</v>
      </c>
      <c r="D39" s="104">
        <v>0</v>
      </c>
      <c r="E39" s="94"/>
      <c r="F39" s="104">
        <v>0</v>
      </c>
      <c r="G39" s="104">
        <v>0</v>
      </c>
      <c r="H39" s="94"/>
      <c r="I39" s="104">
        <v>0</v>
      </c>
      <c r="J39" s="104">
        <v>0</v>
      </c>
      <c r="K39" s="94"/>
      <c r="L39" s="104">
        <v>0</v>
      </c>
      <c r="M39" s="105">
        <v>0</v>
      </c>
      <c r="O39" s="56"/>
    </row>
    <row r="40" spans="2:15" ht="5.25" customHeight="1" x14ac:dyDescent="0.25">
      <c r="B40" s="96"/>
      <c r="C40" s="67"/>
      <c r="D40" s="67"/>
      <c r="E40" s="106"/>
      <c r="F40" s="67"/>
      <c r="G40" s="67"/>
      <c r="H40" s="106"/>
      <c r="I40" s="67"/>
      <c r="J40" s="67"/>
      <c r="K40" s="107"/>
      <c r="L40" s="67"/>
      <c r="M40" s="108"/>
      <c r="O40" s="56"/>
    </row>
    <row r="41" spans="2:15" ht="15.75" customHeight="1" x14ac:dyDescent="0.25">
      <c r="B41" s="109" t="s">
        <v>77</v>
      </c>
      <c r="C41" s="68">
        <f>SUM(C31:C39)</f>
        <v>182068.08</v>
      </c>
      <c r="D41" s="68">
        <f>SUM(D31:D39)</f>
        <v>186633.8</v>
      </c>
      <c r="E41" s="110"/>
      <c r="F41" s="68">
        <f>SUM(F31:F39)</f>
        <v>73972.119200000001</v>
      </c>
      <c r="G41" s="68">
        <f>SUM(G31:G39)</f>
        <v>73972.12</v>
      </c>
      <c r="H41" s="110"/>
      <c r="I41" s="68">
        <f>SUM(I31:I39)</f>
        <v>99999.981583999994</v>
      </c>
      <c r="J41" s="68">
        <f>SUM(J31:J39)</f>
        <v>99999.981583999994</v>
      </c>
      <c r="K41" s="110"/>
      <c r="L41" s="68">
        <f>SUM(L31:L39)</f>
        <v>101999.62121568</v>
      </c>
      <c r="M41" s="111">
        <f>SUM(M31:M39)</f>
        <v>101999.62121568</v>
      </c>
      <c r="O41" s="56"/>
    </row>
    <row r="42" spans="2:15" x14ac:dyDescent="0.25">
      <c r="B42" s="98" t="s">
        <v>78</v>
      </c>
      <c r="C42" s="112">
        <v>-11000</v>
      </c>
      <c r="D42" s="112">
        <v>-15566</v>
      </c>
      <c r="E42" s="107"/>
      <c r="F42" s="112">
        <v>0</v>
      </c>
      <c r="G42" s="112">
        <v>0</v>
      </c>
      <c r="H42" s="107"/>
      <c r="I42" s="112">
        <v>0</v>
      </c>
      <c r="J42" s="112">
        <v>0</v>
      </c>
      <c r="K42" s="107"/>
      <c r="L42" s="112">
        <v>0</v>
      </c>
      <c r="M42" s="113">
        <v>0</v>
      </c>
      <c r="O42" s="56"/>
    </row>
    <row r="43" spans="2:15" ht="15.75" customHeight="1" x14ac:dyDescent="0.25">
      <c r="B43" s="114" t="s">
        <v>79</v>
      </c>
      <c r="C43" s="68">
        <f>C41+C42</f>
        <v>171068.08</v>
      </c>
      <c r="D43" s="68">
        <f>D41+D42</f>
        <v>171067.8</v>
      </c>
      <c r="E43" s="110"/>
      <c r="F43" s="68">
        <f>F41+F42</f>
        <v>73972.119200000001</v>
      </c>
      <c r="G43" s="68">
        <f>G41+G42</f>
        <v>73972.12</v>
      </c>
      <c r="H43" s="110"/>
      <c r="I43" s="68">
        <f>I41+I42</f>
        <v>99999.981583999994</v>
      </c>
      <c r="J43" s="68">
        <f>J41+J42</f>
        <v>99999.981583999994</v>
      </c>
      <c r="K43" s="110"/>
      <c r="L43" s="68">
        <f>L41+L42</f>
        <v>101999.62121568</v>
      </c>
      <c r="M43" s="111">
        <f>M41+M42</f>
        <v>101999.62121568</v>
      </c>
      <c r="O43" s="56"/>
    </row>
    <row r="44" spans="2:15" ht="5.25" customHeight="1" x14ac:dyDescent="0.25">
      <c r="B44" s="109"/>
      <c r="C44" s="68"/>
      <c r="D44" s="68"/>
      <c r="E44" s="110"/>
      <c r="F44" s="68"/>
      <c r="G44" s="68"/>
      <c r="H44" s="110"/>
      <c r="I44" s="68"/>
      <c r="J44" s="68"/>
      <c r="K44" s="110"/>
      <c r="L44" s="68"/>
      <c r="M44" s="111"/>
      <c r="O44" s="56"/>
    </row>
    <row r="45" spans="2:15" ht="15.75" customHeight="1" x14ac:dyDescent="0.25">
      <c r="B45" s="93" t="s">
        <v>80</v>
      </c>
      <c r="C45" s="28"/>
      <c r="D45" s="28"/>
      <c r="E45" s="94"/>
      <c r="F45" s="28"/>
      <c r="G45" s="28"/>
      <c r="H45" s="94"/>
      <c r="I45" s="28"/>
      <c r="J45" s="28"/>
      <c r="K45" s="94"/>
      <c r="L45" s="28"/>
      <c r="M45" s="97"/>
      <c r="O45" s="56"/>
    </row>
    <row r="46" spans="2:15" ht="15.75" customHeight="1" x14ac:dyDescent="0.25">
      <c r="B46" s="115" t="s">
        <v>81</v>
      </c>
      <c r="C46" s="28">
        <v>-12287.76</v>
      </c>
      <c r="D46" s="65">
        <v>-9933.9500000000007</v>
      </c>
      <c r="E46" s="94"/>
      <c r="F46" s="28">
        <v>0</v>
      </c>
      <c r="G46" s="28">
        <v>0</v>
      </c>
      <c r="H46" s="94"/>
      <c r="I46" s="28">
        <v>0</v>
      </c>
      <c r="J46" s="28">
        <v>0</v>
      </c>
      <c r="K46" s="94"/>
      <c r="L46" s="28">
        <v>0</v>
      </c>
      <c r="M46" s="97">
        <v>0</v>
      </c>
      <c r="O46" s="56"/>
    </row>
    <row r="47" spans="2:15" ht="15.75" customHeight="1" x14ac:dyDescent="0.25">
      <c r="B47" s="115" t="s">
        <v>82</v>
      </c>
      <c r="C47" s="28">
        <f>-(C35+C37)*0.25</f>
        <v>-30108.897499999999</v>
      </c>
      <c r="D47" s="28">
        <f>-(D35+D37)*0.25</f>
        <v>-1963.2</v>
      </c>
      <c r="E47" s="94"/>
      <c r="F47" s="28">
        <f>-(F35+F37)*0.25</f>
        <v>-14117.75</v>
      </c>
      <c r="G47" s="28">
        <f>-(G35+G37)*0.25</f>
        <v>-18493.03</v>
      </c>
      <c r="H47" s="94"/>
      <c r="I47" s="28">
        <f>-(I35+I37)*0.25</f>
        <v>-20537.21</v>
      </c>
      <c r="J47" s="28">
        <f>-(J35+J37)*0.25</f>
        <v>-12725.785599999999</v>
      </c>
      <c r="K47" s="94"/>
      <c r="L47" s="28">
        <f>-(L35+L37)*0.25</f>
        <v>-20947.8642</v>
      </c>
      <c r="M47" s="97">
        <f>-(M35+M37)*0.25</f>
        <v>-12980.391312</v>
      </c>
      <c r="O47" s="56"/>
    </row>
    <row r="48" spans="2:15" ht="15.75" customHeight="1" x14ac:dyDescent="0.25">
      <c r="B48" s="115" t="s">
        <v>83</v>
      </c>
      <c r="C48" s="67">
        <v>0</v>
      </c>
      <c r="D48" s="67">
        <v>0</v>
      </c>
      <c r="E48" s="116"/>
      <c r="F48" s="67">
        <f>-MIN(5000,F38)*0.1</f>
        <v>0</v>
      </c>
      <c r="G48" s="67">
        <v>0</v>
      </c>
      <c r="H48" s="116"/>
      <c r="I48" s="67">
        <f>-MIN(5000,I38)*0.1</f>
        <v>0</v>
      </c>
      <c r="J48" s="112">
        <v>0</v>
      </c>
      <c r="K48" s="94"/>
      <c r="L48" s="112">
        <v>0</v>
      </c>
      <c r="M48" s="113">
        <v>0</v>
      </c>
      <c r="O48" s="56"/>
    </row>
    <row r="49" spans="1:29" ht="15.75" customHeight="1" x14ac:dyDescent="0.25">
      <c r="B49" s="109" t="s">
        <v>84</v>
      </c>
      <c r="C49" s="68">
        <f>SUM(C43:C48)</f>
        <v>128671.42249999999</v>
      </c>
      <c r="D49" s="68">
        <f>SUM(D43:D48)</f>
        <v>159170.64999999997</v>
      </c>
      <c r="E49" s="117"/>
      <c r="F49" s="68">
        <f>SUM(F43:F48)</f>
        <v>59854.369200000001</v>
      </c>
      <c r="G49" s="68">
        <f>SUM(G43:G48)</f>
        <v>55479.09</v>
      </c>
      <c r="H49" s="117"/>
      <c r="I49" s="68">
        <f>SUM(I43:I48)</f>
        <v>79462.771584000002</v>
      </c>
      <c r="J49" s="68">
        <f>SUM(J43:J48)</f>
        <v>87274.195983999991</v>
      </c>
      <c r="K49" s="117"/>
      <c r="L49" s="68">
        <f>SUM(L43:L48)</f>
        <v>81051.757015680007</v>
      </c>
      <c r="M49" s="111">
        <f>SUM(M43:M48)</f>
        <v>89019.22990368001</v>
      </c>
      <c r="O49" s="56"/>
    </row>
    <row r="50" spans="1:29" ht="15.75" customHeight="1" x14ac:dyDescent="0.25">
      <c r="B50" s="98" t="s">
        <v>148</v>
      </c>
      <c r="C50" s="28">
        <f>-(C22+SUM(C46:C48))-C51</f>
        <v>-13503.222499999996</v>
      </c>
      <c r="D50" s="28">
        <f>-(C23+SUM(D46:D48))-D51</f>
        <v>-43369.49</v>
      </c>
      <c r="E50" s="94"/>
      <c r="F50" s="36">
        <f>-(F22+SUM(F46:F48))-F51</f>
        <v>43.059999999999491</v>
      </c>
      <c r="G50" s="36">
        <f>-(F23+SUM(G46:G48))</f>
        <v>4418.3399999999983</v>
      </c>
      <c r="H50" s="94"/>
      <c r="I50" s="28">
        <f>-(I22+SUM(I46:I48))-I51</f>
        <v>-1380.7299999999996</v>
      </c>
      <c r="J50" s="28">
        <f>-(I23+SUM(J46:J48))-J51</f>
        <v>-9192.1543999999994</v>
      </c>
      <c r="K50" s="94"/>
      <c r="L50" s="28">
        <f>-(L22+SUM(L46:L48))-L51</f>
        <v>-1599.6758000000009</v>
      </c>
      <c r="M50" s="97">
        <f>-(L23+SUM(M46:M48))-M51</f>
        <v>-9567.1486880000011</v>
      </c>
      <c r="O50" s="56"/>
    </row>
    <row r="51" spans="1:29" ht="15.75" customHeight="1" x14ac:dyDescent="0.25">
      <c r="B51" s="115" t="s">
        <v>86</v>
      </c>
      <c r="C51" s="28">
        <f>-C33</f>
        <v>0</v>
      </c>
      <c r="D51" s="28">
        <f>-D33</f>
        <v>0</v>
      </c>
      <c r="E51" s="94"/>
      <c r="F51" s="28">
        <f>-F33</f>
        <v>0</v>
      </c>
      <c r="G51" s="28">
        <f>-G33</f>
        <v>0</v>
      </c>
      <c r="H51" s="94"/>
      <c r="I51" s="28">
        <f>-I33</f>
        <v>0</v>
      </c>
      <c r="J51" s="28">
        <f>-J33</f>
        <v>0</v>
      </c>
      <c r="K51" s="94"/>
      <c r="L51" s="28">
        <f>-L33</f>
        <v>0</v>
      </c>
      <c r="M51" s="97">
        <f>-M33</f>
        <v>0</v>
      </c>
      <c r="O51" s="56"/>
    </row>
    <row r="52" spans="1:29" ht="5.25" customHeight="1" x14ac:dyDescent="0.25">
      <c r="B52" s="96"/>
      <c r="C52" s="28"/>
      <c r="D52" s="28"/>
      <c r="E52" s="107"/>
      <c r="F52" s="28"/>
      <c r="G52" s="28"/>
      <c r="H52" s="107"/>
      <c r="I52" s="28"/>
      <c r="J52" s="28"/>
      <c r="K52" s="107"/>
      <c r="L52" s="28"/>
      <c r="M52" s="97"/>
      <c r="O52" s="56"/>
    </row>
    <row r="53" spans="1:29" ht="15.75" customHeight="1" x14ac:dyDescent="0.25">
      <c r="A53" s="118"/>
      <c r="B53" s="119" t="s">
        <v>87</v>
      </c>
      <c r="C53" s="120">
        <f>IF(C14-(C20-C21)&lt;0,0,C14-(C20-C21))</f>
        <v>0</v>
      </c>
      <c r="D53" s="120"/>
      <c r="E53" s="121"/>
      <c r="F53" s="168">
        <f>IF(F14-(F20-F21)&lt;0,0,F14-(F20-F21))</f>
        <v>0</v>
      </c>
      <c r="G53" s="169" t="s">
        <v>144</v>
      </c>
      <c r="H53" s="121"/>
      <c r="I53" s="120">
        <f>IF(I14-(I20-I21)&lt;0,0,I14-(I20-I21))</f>
        <v>0</v>
      </c>
      <c r="J53" s="120"/>
      <c r="K53" s="121"/>
      <c r="L53" s="120">
        <f>IF(L14-(L20-L21)&lt;0,0,L14-(L20-L21))</f>
        <v>0</v>
      </c>
      <c r="M53" s="122"/>
      <c r="N53" s="118"/>
      <c r="O53" s="123"/>
      <c r="P53" s="118"/>
      <c r="Q53" s="118"/>
      <c r="R53" s="118"/>
      <c r="S53" s="118"/>
      <c r="T53" s="118"/>
      <c r="U53" s="118"/>
      <c r="V53" s="118"/>
      <c r="W53" s="118"/>
      <c r="X53" s="118"/>
      <c r="Y53" s="118"/>
      <c r="Z53" s="118"/>
      <c r="AA53" s="118"/>
      <c r="AB53" s="118"/>
      <c r="AC53" s="118"/>
    </row>
    <row r="54" spans="1:29" ht="5.25" customHeight="1" x14ac:dyDescent="0.25">
      <c r="B54" s="96"/>
      <c r="C54" s="28"/>
      <c r="D54" s="28"/>
      <c r="E54" s="107"/>
      <c r="F54" s="28"/>
      <c r="G54" s="28"/>
      <c r="H54" s="107"/>
      <c r="I54" s="28"/>
      <c r="J54" s="28"/>
      <c r="K54" s="107"/>
      <c r="L54" s="28"/>
      <c r="M54" s="97"/>
      <c r="O54" s="56"/>
    </row>
    <row r="55" spans="1:29" ht="15.75" customHeight="1" x14ac:dyDescent="0.25">
      <c r="B55" s="109" t="s">
        <v>88</v>
      </c>
      <c r="C55" s="124">
        <f>SUM(C49:D51)+C53</f>
        <v>230969.36</v>
      </c>
      <c r="D55" s="68"/>
      <c r="E55" s="117"/>
      <c r="F55" s="124">
        <f>SUM(F49:G51)+F53</f>
        <v>119794.85919999999</v>
      </c>
      <c r="G55" s="62"/>
      <c r="H55" s="117"/>
      <c r="I55" s="124">
        <f>SUM(I49:J51)+I53</f>
        <v>156164.08316799998</v>
      </c>
      <c r="J55" s="62"/>
      <c r="K55" s="117"/>
      <c r="L55" s="124">
        <f>SUM(L49:M51)+L53</f>
        <v>158904.16243135999</v>
      </c>
      <c r="M55" s="125"/>
      <c r="O55" s="56"/>
    </row>
    <row r="56" spans="1:29" ht="15.75" customHeight="1" x14ac:dyDescent="0.25">
      <c r="A56" s="126"/>
      <c r="B56" s="127" t="s">
        <v>89</v>
      </c>
      <c r="C56" s="128">
        <f>IF(C14-C55&lt;0,0,C14-C55)</f>
        <v>0</v>
      </c>
      <c r="D56" s="128"/>
      <c r="E56" s="129"/>
      <c r="F56" s="128">
        <f>IF(F14-F55&lt;0,0,F14-F55)</f>
        <v>0</v>
      </c>
      <c r="G56" s="130"/>
      <c r="H56" s="129"/>
      <c r="I56" s="128">
        <f>IF(I14-I55&lt;0,0,I14-I55)</f>
        <v>0</v>
      </c>
      <c r="J56" s="130"/>
      <c r="K56" s="129"/>
      <c r="L56" s="128">
        <f>IF(L14-L55&lt;0,0,L14-L55)</f>
        <v>0</v>
      </c>
      <c r="M56" s="131"/>
      <c r="N56" s="126"/>
      <c r="O56" s="132"/>
      <c r="P56" s="126"/>
      <c r="Q56" s="126"/>
      <c r="R56" s="126"/>
      <c r="S56" s="126"/>
      <c r="T56" s="126"/>
      <c r="U56" s="126"/>
      <c r="V56" s="126"/>
      <c r="W56" s="126"/>
      <c r="X56" s="126"/>
      <c r="Y56" s="126"/>
      <c r="Z56" s="126"/>
      <c r="AA56" s="126"/>
      <c r="AB56" s="126"/>
      <c r="AC56" s="126"/>
    </row>
    <row r="57" spans="1:29" ht="15.75" customHeight="1" x14ac:dyDescent="0.25">
      <c r="A57" s="118"/>
      <c r="B57" s="133" t="s">
        <v>90</v>
      </c>
      <c r="C57" s="168">
        <f>IF((C20-C21)-C14&lt;0,0,(C20-C21)-C14)</f>
        <v>167369.36000000002</v>
      </c>
      <c r="D57" s="170" t="s">
        <v>144</v>
      </c>
      <c r="E57" s="118"/>
      <c r="F57" s="171">
        <f>F50+G50</f>
        <v>4461.3999999999978</v>
      </c>
      <c r="G57" s="118"/>
      <c r="H57" s="118"/>
      <c r="I57" s="134">
        <f>IF((I20-I21)-I14&lt;0,0,(I20-I21)-I14)</f>
        <v>114964.24316799999</v>
      </c>
      <c r="J57" s="118"/>
      <c r="K57" s="118"/>
      <c r="L57" s="134">
        <f>IF((L20-L21)-L14&lt;0,0,(L20-L21)-L14)</f>
        <v>116881.32563135998</v>
      </c>
      <c r="M57" s="118"/>
      <c r="N57" s="118"/>
      <c r="O57" s="123"/>
      <c r="P57" s="118"/>
      <c r="Q57" s="118"/>
      <c r="R57" s="118"/>
      <c r="S57" s="118"/>
      <c r="T57" s="118"/>
      <c r="U57" s="118"/>
      <c r="V57" s="118"/>
      <c r="W57" s="118"/>
      <c r="X57" s="118"/>
      <c r="Y57" s="118"/>
      <c r="Z57" s="118"/>
      <c r="AA57" s="118"/>
      <c r="AB57" s="118"/>
      <c r="AC57" s="118"/>
    </row>
    <row r="58" spans="1:29" ht="15.75" customHeight="1" x14ac:dyDescent="0.25">
      <c r="A58" s="126"/>
      <c r="B58" s="135"/>
      <c r="C58" s="136" t="s">
        <v>91</v>
      </c>
      <c r="D58" s="137"/>
      <c r="E58" s="138"/>
      <c r="F58" s="136" t="s">
        <v>149</v>
      </c>
      <c r="G58" s="138"/>
      <c r="H58" s="138"/>
      <c r="I58" s="139" t="s">
        <v>93</v>
      </c>
      <c r="J58" s="126"/>
      <c r="K58" s="138"/>
      <c r="L58" s="139" t="s">
        <v>93</v>
      </c>
      <c r="M58" s="126"/>
      <c r="N58" s="126"/>
      <c r="O58" s="132"/>
      <c r="P58" s="126"/>
      <c r="Q58" s="126"/>
      <c r="R58" s="126"/>
      <c r="S58" s="126"/>
      <c r="T58" s="126"/>
      <c r="U58" s="126"/>
      <c r="V58" s="126"/>
      <c r="W58" s="126"/>
      <c r="X58" s="126"/>
      <c r="Y58" s="126"/>
      <c r="Z58" s="126"/>
      <c r="AA58" s="126"/>
      <c r="AB58" s="126"/>
      <c r="AC58" s="126"/>
    </row>
    <row r="59" spans="1:29" ht="8.25" customHeight="1" x14ac:dyDescent="0.25">
      <c r="A59" s="132"/>
      <c r="B59" s="140"/>
      <c r="C59" s="141"/>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1:29" ht="15.75" customHeight="1" x14ac:dyDescent="0.25"/>
    <row r="61" spans="1:29" ht="15.75" customHeight="1" x14ac:dyDescent="0.25"/>
    <row r="62" spans="1:29" ht="15.75" customHeight="1" x14ac:dyDescent="0.25"/>
    <row r="63" spans="1:29" ht="15.75" customHeight="1" x14ac:dyDescent="0.25"/>
    <row r="64" spans="1:29" ht="15.75" customHeight="1" x14ac:dyDescent="0.25">
      <c r="B64" s="142" t="s">
        <v>94</v>
      </c>
      <c r="F64" s="143" t="s">
        <v>95</v>
      </c>
      <c r="G64" s="118"/>
    </row>
    <row r="65" spans="1:29" ht="15.75" customHeight="1" x14ac:dyDescent="0.25">
      <c r="B65" s="118" t="s">
        <v>96</v>
      </c>
      <c r="F65" s="118" t="s">
        <v>97</v>
      </c>
      <c r="G65" s="144">
        <v>129781</v>
      </c>
    </row>
    <row r="66" spans="1:29" ht="15.75" customHeight="1" x14ac:dyDescent="0.25">
      <c r="B66" s="118" t="s">
        <v>98</v>
      </c>
      <c r="F66" s="118" t="s">
        <v>99</v>
      </c>
      <c r="G66" s="145">
        <f>-D34</f>
        <v>-129781</v>
      </c>
    </row>
    <row r="67" spans="1:29" ht="15.75" customHeight="1" x14ac:dyDescent="0.25">
      <c r="B67" s="118" t="s">
        <v>100</v>
      </c>
      <c r="F67" s="146" t="s">
        <v>101</v>
      </c>
      <c r="G67" s="147">
        <f>G65+G66</f>
        <v>0</v>
      </c>
    </row>
    <row r="68" spans="1:29" ht="15.75" customHeight="1" x14ac:dyDescent="0.25">
      <c r="B68" s="118" t="s">
        <v>102</v>
      </c>
    </row>
    <row r="69" spans="1:29" ht="15.75" customHeight="1" x14ac:dyDescent="0.25">
      <c r="B69" s="118" t="s">
        <v>103</v>
      </c>
    </row>
    <row r="70" spans="1:29" ht="15.75" customHeight="1" x14ac:dyDescent="0.25"/>
    <row r="71" spans="1:29" ht="15.75" customHeight="1" x14ac:dyDescent="0.25">
      <c r="B71" s="142" t="s">
        <v>104</v>
      </c>
      <c r="C71" s="85"/>
    </row>
    <row r="72" spans="1:29" ht="15.75" customHeight="1" x14ac:dyDescent="0.25">
      <c r="B72" s="118" t="s">
        <v>105</v>
      </c>
      <c r="C72" s="28"/>
    </row>
    <row r="73" spans="1:29" ht="15.75" customHeight="1" x14ac:dyDescent="0.25">
      <c r="B73" s="118" t="s">
        <v>106</v>
      </c>
      <c r="C73" s="85"/>
    </row>
    <row r="74" spans="1:29" ht="15.75" customHeight="1" x14ac:dyDescent="0.25">
      <c r="B74" s="118" t="s">
        <v>107</v>
      </c>
    </row>
    <row r="75" spans="1:29" ht="15.75" customHeight="1" x14ac:dyDescent="0.25"/>
    <row r="76" spans="1:29" ht="15.75" customHeight="1" x14ac:dyDescent="0.25">
      <c r="B76" s="142" t="s">
        <v>108</v>
      </c>
    </row>
    <row r="77" spans="1:29" ht="15.75" customHeight="1" x14ac:dyDescent="0.25">
      <c r="A77" s="148"/>
      <c r="B77" s="118" t="s">
        <v>109</v>
      </c>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row>
    <row r="78" spans="1:29" ht="15.75" customHeight="1" x14ac:dyDescent="0.25">
      <c r="B78" s="118" t="s">
        <v>110</v>
      </c>
    </row>
    <row r="79" spans="1:29" ht="15.75" customHeight="1" x14ac:dyDescent="0.25">
      <c r="B79" s="118"/>
    </row>
    <row r="80" spans="1:29" ht="15.75" customHeight="1" x14ac:dyDescent="0.25">
      <c r="B80" s="149" t="s">
        <v>111</v>
      </c>
    </row>
    <row r="81" spans="2:3" ht="15.75" customHeight="1" x14ac:dyDescent="0.25">
      <c r="B81" s="150" t="s">
        <v>112</v>
      </c>
    </row>
    <row r="82" spans="2:3" ht="15.75" customHeight="1" x14ac:dyDescent="0.25">
      <c r="B82" s="150" t="s">
        <v>113</v>
      </c>
    </row>
    <row r="83" spans="2:3" ht="15.75" customHeight="1" x14ac:dyDescent="0.25">
      <c r="B83" s="118"/>
    </row>
    <row r="84" spans="2:3" ht="15.75" customHeight="1" x14ac:dyDescent="0.25">
      <c r="B84" s="149" t="s">
        <v>114</v>
      </c>
    </row>
    <row r="85" spans="2:3" ht="15.75" customHeight="1" x14ac:dyDescent="0.25">
      <c r="B85" s="150" t="s">
        <v>115</v>
      </c>
    </row>
    <row r="86" spans="2:3" ht="15.75" customHeight="1" x14ac:dyDescent="0.25">
      <c r="B86" s="150" t="s">
        <v>116</v>
      </c>
    </row>
    <row r="87" spans="2:3" ht="15.75" customHeight="1" x14ac:dyDescent="0.25">
      <c r="B87" s="150" t="s">
        <v>117</v>
      </c>
    </row>
    <row r="88" spans="2:3" ht="15.75" customHeight="1" x14ac:dyDescent="0.25">
      <c r="B88" s="118"/>
    </row>
    <row r="89" spans="2:3" ht="15.75" customHeight="1" x14ac:dyDescent="0.25">
      <c r="B89" s="149" t="s">
        <v>118</v>
      </c>
      <c r="C89" s="118"/>
    </row>
    <row r="90" spans="2:3" ht="15.75" customHeight="1" x14ac:dyDescent="0.25">
      <c r="B90" s="150" t="s">
        <v>119</v>
      </c>
      <c r="C90" s="118"/>
    </row>
    <row r="91" spans="2:3" ht="15.75" customHeight="1" x14ac:dyDescent="0.25">
      <c r="B91" s="151"/>
      <c r="C91" s="118"/>
    </row>
    <row r="92" spans="2:3" ht="15.75" customHeight="1" x14ac:dyDescent="0.25">
      <c r="B92" s="149" t="s">
        <v>144</v>
      </c>
      <c r="C92" s="118"/>
    </row>
    <row r="93" spans="2:3" ht="15.75" customHeight="1" x14ac:dyDescent="0.25">
      <c r="B93" s="150" t="s">
        <v>150</v>
      </c>
      <c r="C93" s="118"/>
    </row>
    <row r="94" spans="2:3" ht="15.75" customHeight="1" x14ac:dyDescent="0.25">
      <c r="B94" s="150" t="s">
        <v>151</v>
      </c>
      <c r="C94" s="118"/>
    </row>
    <row r="95" spans="2:3" ht="15.75" customHeight="1" x14ac:dyDescent="0.25">
      <c r="B95" s="151"/>
      <c r="C95" s="118"/>
    </row>
    <row r="96" spans="2:3" ht="15.75" customHeight="1" x14ac:dyDescent="0.25">
      <c r="B96" s="151"/>
      <c r="C96" s="118"/>
    </row>
    <row r="97" spans="2:17" ht="15.75" customHeight="1" x14ac:dyDescent="0.25">
      <c r="B97" s="151" t="s">
        <v>120</v>
      </c>
      <c r="C97" s="118"/>
    </row>
    <row r="98" spans="2:17" ht="15.75" customHeight="1" x14ac:dyDescent="0.25">
      <c r="B98" s="152" t="s">
        <v>121</v>
      </c>
      <c r="C98" s="118"/>
    </row>
    <row r="99" spans="2:17" ht="15.75" customHeight="1" x14ac:dyDescent="0.25">
      <c r="B99" s="152" t="s">
        <v>122</v>
      </c>
      <c r="C99" s="118"/>
    </row>
    <row r="100" spans="2:17" ht="15.75" customHeight="1" x14ac:dyDescent="0.25">
      <c r="B100" s="152" t="s">
        <v>123</v>
      </c>
      <c r="C100" s="118"/>
    </row>
    <row r="101" spans="2:17" ht="15.75" customHeight="1" x14ac:dyDescent="0.25">
      <c r="B101" s="152" t="s">
        <v>124</v>
      </c>
      <c r="C101" s="118"/>
    </row>
    <row r="102" spans="2:17" ht="15.75" customHeight="1" x14ac:dyDescent="0.25">
      <c r="B102" s="152" t="s">
        <v>125</v>
      </c>
      <c r="C102" s="118"/>
    </row>
    <row r="103" spans="2:17" ht="15.75" customHeight="1" x14ac:dyDescent="0.25">
      <c r="B103" s="152" t="s">
        <v>126</v>
      </c>
      <c r="C103" s="118"/>
    </row>
    <row r="104" spans="2:17" ht="15.75" customHeight="1" x14ac:dyDescent="0.25">
      <c r="B104" s="152" t="s">
        <v>127</v>
      </c>
      <c r="C104" s="118"/>
    </row>
    <row r="105" spans="2:17" ht="15.75" customHeight="1" x14ac:dyDescent="0.25"/>
    <row r="106" spans="2:17" ht="15.75" customHeight="1" x14ac:dyDescent="0.25"/>
    <row r="107" spans="2:17" ht="15.75" customHeight="1" x14ac:dyDescent="0.25"/>
    <row r="108" spans="2:17" ht="15.75" customHeight="1" x14ac:dyDescent="0.25">
      <c r="Q108" s="23"/>
    </row>
    <row r="109" spans="2:17" ht="15.75" customHeight="1" x14ac:dyDescent="0.25">
      <c r="B109" s="59"/>
      <c r="C109" s="5" t="s">
        <v>128</v>
      </c>
      <c r="D109" s="5"/>
      <c r="E109" s="5"/>
      <c r="F109" s="5"/>
      <c r="G109" s="5"/>
      <c r="H109" s="5"/>
      <c r="I109" s="5"/>
      <c r="Q109" s="23"/>
    </row>
    <row r="110" spans="2:17" ht="15.75" customHeight="1" x14ac:dyDescent="0.25">
      <c r="B110" s="148"/>
      <c r="C110" s="153" t="s">
        <v>67</v>
      </c>
      <c r="D110" s="154" t="s">
        <v>129</v>
      </c>
      <c r="E110" s="148"/>
      <c r="F110" s="155" t="s">
        <v>130</v>
      </c>
      <c r="G110" s="156" t="s">
        <v>131</v>
      </c>
      <c r="H110" s="148"/>
      <c r="I110" s="153" t="s">
        <v>132</v>
      </c>
      <c r="J110" s="157" t="s">
        <v>133</v>
      </c>
      <c r="K110" s="148"/>
    </row>
    <row r="111" spans="2:17" ht="15.75" customHeight="1" x14ac:dyDescent="0.25">
      <c r="B111" s="158">
        <v>2025</v>
      </c>
      <c r="C111" s="85">
        <f>56000</f>
        <v>56000</v>
      </c>
      <c r="D111" s="85">
        <f>-18000</f>
        <v>-18000</v>
      </c>
      <c r="F111" s="85">
        <f>(C111+D111)*0.878</f>
        <v>33364</v>
      </c>
      <c r="G111" s="159">
        <f>-(C36+D36)</f>
        <v>0</v>
      </c>
      <c r="I111" s="85">
        <f>F111+G111</f>
        <v>33364</v>
      </c>
      <c r="J111" s="160">
        <f>I111+(-G111)</f>
        <v>33364</v>
      </c>
    </row>
    <row r="112" spans="2:17" ht="15.75" customHeight="1" x14ac:dyDescent="0.25">
      <c r="B112" s="158">
        <f>B111+1</f>
        <v>2026</v>
      </c>
      <c r="C112" s="85">
        <v>86000</v>
      </c>
      <c r="D112" s="85">
        <f>D111*1.02</f>
        <v>-18360</v>
      </c>
      <c r="F112" s="85">
        <f>(C112+D112)*0.878</f>
        <v>59387.92</v>
      </c>
      <c r="G112" s="159">
        <f>-(F36+G36)</f>
        <v>0</v>
      </c>
      <c r="I112" s="85">
        <f>I111+F112+G112</f>
        <v>92751.92</v>
      </c>
      <c r="J112" s="160">
        <f>I112+(-G112)</f>
        <v>92751.92</v>
      </c>
    </row>
    <row r="113" spans="2:10" ht="15.75" customHeight="1" x14ac:dyDescent="0.25">
      <c r="B113" s="158">
        <f>B112+1</f>
        <v>2027</v>
      </c>
      <c r="C113" s="85">
        <v>100000</v>
      </c>
      <c r="D113" s="85">
        <f>D112*1.02</f>
        <v>-18727.2</v>
      </c>
      <c r="F113" s="85">
        <f>(C113+D113)*0.878</f>
        <v>71357.518400000001</v>
      </c>
      <c r="G113" s="159">
        <f>-(I36+J36)</f>
        <v>-43378.839183999997</v>
      </c>
      <c r="I113" s="85">
        <f>I112+F113+G113</f>
        <v>120730.59921599999</v>
      </c>
      <c r="J113" s="160">
        <f>I113+(-G113)</f>
        <v>164109.43839999998</v>
      </c>
    </row>
    <row r="114" spans="2:10" ht="15.75" customHeight="1" x14ac:dyDescent="0.25">
      <c r="B114" s="158">
        <f>B113+1</f>
        <v>2028</v>
      </c>
      <c r="C114" s="85">
        <f>C113*1.02</f>
        <v>102000</v>
      </c>
      <c r="D114" s="85">
        <f>D113*1.02</f>
        <v>-19101.744000000002</v>
      </c>
      <c r="F114" s="85">
        <f>(C114+D114)*0.878</f>
        <v>72784.668767999989</v>
      </c>
      <c r="G114" s="159">
        <f>-M36</f>
        <v>-38413.335967680003</v>
      </c>
      <c r="I114" s="85">
        <f>I113+F114+G114</f>
        <v>155101.93201631997</v>
      </c>
      <c r="J114" s="160">
        <f>I114+(-G114)</f>
        <v>193515.26798399998</v>
      </c>
    </row>
    <row r="115" spans="2:10" ht="15.75" customHeight="1" x14ac:dyDescent="0.25">
      <c r="B115" s="158">
        <f>B114+1</f>
        <v>2029</v>
      </c>
      <c r="C115" s="85">
        <f>C114*1.02</f>
        <v>104040</v>
      </c>
      <c r="D115" s="85">
        <f>D114*1.02</f>
        <v>-19483.778880000002</v>
      </c>
      <c r="F115" s="85">
        <f>(C115+D115)*0.878</f>
        <v>74240.362143360006</v>
      </c>
      <c r="G115" s="161"/>
      <c r="I115" s="85">
        <f>I114+F115+G115</f>
        <v>229342.29415967996</v>
      </c>
      <c r="J115" s="160">
        <f>I115+(-G115)</f>
        <v>229342.29415967996</v>
      </c>
    </row>
    <row r="116" spans="2:10" ht="15.75" customHeight="1" x14ac:dyDescent="0.25"/>
    <row r="117" spans="2:10" ht="15.75" customHeight="1" x14ac:dyDescent="0.25">
      <c r="C117" s="4" t="s">
        <v>134</v>
      </c>
      <c r="D117" s="4"/>
      <c r="E117" s="4"/>
      <c r="F117" s="4"/>
      <c r="G117" s="4"/>
      <c r="H117" s="59"/>
      <c r="I117" s="59"/>
      <c r="J117" s="59"/>
    </row>
    <row r="118" spans="2:10" ht="15.75" customHeight="1" x14ac:dyDescent="0.25">
      <c r="B118" s="162" t="s">
        <v>11</v>
      </c>
      <c r="C118" s="153" t="s">
        <v>135</v>
      </c>
      <c r="D118" s="153" t="s">
        <v>136</v>
      </c>
      <c r="E118" s="148"/>
      <c r="F118" s="153" t="s">
        <v>137</v>
      </c>
      <c r="G118" s="156" t="s">
        <v>132</v>
      </c>
      <c r="H118" s="148"/>
      <c r="J118" s="157" t="s">
        <v>138</v>
      </c>
    </row>
    <row r="119" spans="2:10" ht="15.75" customHeight="1" x14ac:dyDescent="0.25">
      <c r="B119" s="13">
        <v>2026</v>
      </c>
      <c r="C119" s="163">
        <f>105781+11000</f>
        <v>116781</v>
      </c>
      <c r="D119" s="164">
        <v>0</v>
      </c>
      <c r="F119" s="164">
        <v>3.7999999999999999E-2</v>
      </c>
      <c r="G119" s="85">
        <f>C119-(D119*C119)</f>
        <v>116781</v>
      </c>
      <c r="J119" s="160">
        <f>C119*D119</f>
        <v>0</v>
      </c>
    </row>
    <row r="120" spans="2:10" ht="15.75" customHeight="1" x14ac:dyDescent="0.25">
      <c r="B120" s="13">
        <f>B119+1</f>
        <v>2027</v>
      </c>
      <c r="C120" s="85">
        <f>G119*(1+F120)</f>
        <v>121218.678</v>
      </c>
      <c r="D120" s="165">
        <v>0</v>
      </c>
      <c r="F120" s="164">
        <v>3.7999999999999999E-2</v>
      </c>
      <c r="G120" s="85">
        <f>C120-(D120*C120)</f>
        <v>121218.678</v>
      </c>
      <c r="J120" s="160">
        <f>C120*D120</f>
        <v>0</v>
      </c>
    </row>
    <row r="121" spans="2:10" ht="15.75" customHeight="1" x14ac:dyDescent="0.25">
      <c r="B121" s="13">
        <f>B120+1</f>
        <v>2028</v>
      </c>
      <c r="C121" s="85">
        <f>G120*(1+F121)</f>
        <v>125824.987764</v>
      </c>
      <c r="D121" s="165">
        <v>0</v>
      </c>
      <c r="F121" s="164">
        <f>F120</f>
        <v>3.7999999999999999E-2</v>
      </c>
      <c r="G121" s="85">
        <f>C121-(D121*C121)</f>
        <v>125824.987764</v>
      </c>
      <c r="J121" s="160">
        <f>C121*D121</f>
        <v>0</v>
      </c>
    </row>
    <row r="122" spans="2:10" ht="15.75" customHeight="1" x14ac:dyDescent="0.25">
      <c r="B122" s="13">
        <f>B121+1</f>
        <v>2029</v>
      </c>
      <c r="C122" s="85">
        <f>G121*(1+F122)</f>
        <v>130606.33729903201</v>
      </c>
      <c r="D122" s="165">
        <v>0</v>
      </c>
      <c r="F122" s="164">
        <f>F121</f>
        <v>3.7999999999999999E-2</v>
      </c>
      <c r="G122" s="85">
        <f>C122-(D122*C122)</f>
        <v>130606.33729903201</v>
      </c>
      <c r="J122" s="160">
        <f>C122*D122</f>
        <v>0</v>
      </c>
    </row>
    <row r="123" spans="2:10" ht="15.75" customHeight="1" x14ac:dyDescent="0.25"/>
    <row r="124" spans="2:10" ht="15.75" customHeight="1" x14ac:dyDescent="0.25">
      <c r="C124" s="4" t="s">
        <v>134</v>
      </c>
      <c r="D124" s="4"/>
      <c r="E124" s="4"/>
      <c r="F124" s="4"/>
      <c r="G124" s="4"/>
      <c r="H124" s="59"/>
      <c r="J124" s="59"/>
    </row>
    <row r="125" spans="2:10" ht="15.75" customHeight="1" x14ac:dyDescent="0.25">
      <c r="B125" s="162" t="s">
        <v>12</v>
      </c>
      <c r="C125" s="153" t="s">
        <v>135</v>
      </c>
      <c r="D125" s="153" t="s">
        <v>136</v>
      </c>
      <c r="E125" s="148"/>
      <c r="F125" s="153" t="s">
        <v>137</v>
      </c>
      <c r="G125" s="156" t="s">
        <v>132</v>
      </c>
      <c r="H125" s="148"/>
      <c r="J125" s="157" t="s">
        <v>138</v>
      </c>
    </row>
    <row r="126" spans="2:10" ht="15.75" customHeight="1" x14ac:dyDescent="0.25">
      <c r="B126" s="13">
        <v>2026</v>
      </c>
      <c r="C126" s="85">
        <f>(280380+89495)+15566</f>
        <v>385441</v>
      </c>
      <c r="D126" s="164">
        <v>0</v>
      </c>
      <c r="E126" s="148"/>
      <c r="F126" s="164">
        <v>3.7999999999999999E-2</v>
      </c>
      <c r="G126" s="85">
        <f>C126-(D126*C126)</f>
        <v>385441</v>
      </c>
      <c r="H126" s="148"/>
      <c r="J126" s="160">
        <f>C126*D126</f>
        <v>0</v>
      </c>
    </row>
    <row r="127" spans="2:10" ht="15.75" customHeight="1" x14ac:dyDescent="0.25">
      <c r="B127" s="13">
        <v>2027</v>
      </c>
      <c r="C127" s="85">
        <f>G126*(1+F127)</f>
        <v>400087.75800000003</v>
      </c>
      <c r="D127" s="165">
        <v>0</v>
      </c>
      <c r="F127" s="164">
        <v>3.7999999999999999E-2</v>
      </c>
      <c r="G127" s="85">
        <f>C127-(D127*C127)</f>
        <v>400087.75800000003</v>
      </c>
      <c r="J127" s="160">
        <f>C127*D127</f>
        <v>0</v>
      </c>
    </row>
    <row r="128" spans="2:10" ht="15.75" customHeight="1" x14ac:dyDescent="0.25">
      <c r="B128" s="13">
        <f>B127+1</f>
        <v>2028</v>
      </c>
      <c r="C128" s="85">
        <f>G127*(1+F128)</f>
        <v>415291.09280400007</v>
      </c>
      <c r="D128" s="165">
        <v>0</v>
      </c>
      <c r="F128" s="164">
        <f>F127</f>
        <v>3.7999999999999999E-2</v>
      </c>
      <c r="G128" s="85">
        <f>C128-(D128*C128)</f>
        <v>415291.09280400007</v>
      </c>
      <c r="J128" s="160">
        <f>C128*D128</f>
        <v>0</v>
      </c>
    </row>
    <row r="129" spans="2:10" ht="15.75" customHeight="1" x14ac:dyDescent="0.25">
      <c r="B129" s="13">
        <f>B128+1</f>
        <v>2029</v>
      </c>
      <c r="C129" s="85">
        <f>G128*(1+F129)</f>
        <v>431072.15433055209</v>
      </c>
      <c r="D129" s="165">
        <v>0</v>
      </c>
      <c r="F129" s="164">
        <f>F128</f>
        <v>3.7999999999999999E-2</v>
      </c>
      <c r="G129" s="85">
        <f>C129-(D129*C129)</f>
        <v>431072.15433055209</v>
      </c>
      <c r="J129" s="160">
        <f>C129*D129</f>
        <v>0</v>
      </c>
    </row>
    <row r="130" spans="2:10" ht="15.75" customHeight="1" x14ac:dyDescent="0.25"/>
    <row r="131" spans="2:10" ht="15.75" customHeight="1" x14ac:dyDescent="0.25"/>
    <row r="132" spans="2:10" ht="15.75" customHeight="1" x14ac:dyDescent="0.25"/>
    <row r="133" spans="2:10" ht="15.75" customHeight="1" x14ac:dyDescent="0.25"/>
    <row r="134" spans="2:10" ht="15.75" customHeight="1" x14ac:dyDescent="0.25"/>
    <row r="135" spans="2:10" ht="15.75" customHeight="1" x14ac:dyDescent="0.25"/>
    <row r="136" spans="2:10" ht="15.75" customHeight="1" x14ac:dyDescent="0.25"/>
    <row r="137" spans="2:10" ht="15.75" customHeight="1" x14ac:dyDescent="0.25"/>
    <row r="138" spans="2:10" ht="15.75" customHeight="1" x14ac:dyDescent="0.25"/>
    <row r="139" spans="2:10" ht="15.75" customHeight="1" x14ac:dyDescent="0.25"/>
    <row r="140" spans="2:10" ht="15.75" customHeight="1" x14ac:dyDescent="0.25"/>
    <row r="141" spans="2:10" ht="15.75" customHeight="1" x14ac:dyDescent="0.25"/>
    <row r="142" spans="2:10" ht="15.75" customHeight="1" x14ac:dyDescent="0.25"/>
    <row r="143" spans="2:10" ht="15.75" customHeight="1" x14ac:dyDescent="0.25"/>
    <row r="144" spans="2:10"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sheetData>
  <mergeCells count="7">
    <mergeCell ref="C117:G117"/>
    <mergeCell ref="C124:G124"/>
    <mergeCell ref="C28:D28"/>
    <mergeCell ref="F28:G28"/>
    <mergeCell ref="I28:J28"/>
    <mergeCell ref="L28:M28"/>
    <mergeCell ref="C109:I109"/>
  </mergeCells>
  <conditionalFormatting sqref="I96:I100 I108 I110:I115">
    <cfRule type="cellIs" dxfId="0" priority="2" operator="lessThan">
      <formula>0</formula>
    </cfRule>
  </conditionalFormatting>
  <pageMargins left="0.7" right="0.7" top="0.75" bottom="0.75" header="0.511811023622047" footer="0.511811023622047"/>
  <pageSetup paperSize="9" orientation="portrait" horizontalDpi="300" verticalDpi="30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K1000"/>
  <sheetViews>
    <sheetView zoomScaleNormal="100" workbookViewId="0"/>
  </sheetViews>
  <sheetFormatPr defaultColWidth="12.5703125" defaultRowHeight="15" x14ac:dyDescent="0.25"/>
  <cols>
    <col min="1" max="1" width="8.5703125" customWidth="1"/>
    <col min="2" max="2" width="22.42578125" customWidth="1"/>
    <col min="3" max="3" width="7.28515625" customWidth="1"/>
    <col min="4" max="4" width="12.140625" customWidth="1"/>
    <col min="5" max="6" width="7.28515625" customWidth="1"/>
    <col min="7" max="7" width="8.5703125" customWidth="1"/>
    <col min="8" max="11" width="20.28515625" customWidth="1"/>
    <col min="12" max="26" width="8.5703125" customWidth="1"/>
  </cols>
  <sheetData>
    <row r="4" spans="2:11" ht="15" customHeight="1" x14ac:dyDescent="0.25">
      <c r="B4" s="172"/>
      <c r="C4" s="3" t="s">
        <v>152</v>
      </c>
      <c r="D4" s="3"/>
      <c r="E4" s="3"/>
      <c r="F4" s="3"/>
      <c r="H4" s="2" t="s">
        <v>153</v>
      </c>
      <c r="I4" s="2"/>
      <c r="J4" s="2"/>
      <c r="K4" s="2"/>
    </row>
    <row r="5" spans="2:11" ht="15" customHeight="1" x14ac:dyDescent="0.25">
      <c r="B5" s="174"/>
      <c r="C5" s="175" t="s">
        <v>154</v>
      </c>
      <c r="D5" s="3" t="s">
        <v>155</v>
      </c>
      <c r="E5" s="3" t="s">
        <v>156</v>
      </c>
      <c r="F5" s="3"/>
      <c r="H5" s="5" t="s">
        <v>11</v>
      </c>
      <c r="I5" s="5"/>
      <c r="J5" s="1" t="s">
        <v>12</v>
      </c>
      <c r="K5" s="1"/>
    </row>
    <row r="6" spans="2:11" ht="26.25" customHeight="1" x14ac:dyDescent="0.25">
      <c r="B6" s="176" t="s">
        <v>157</v>
      </c>
      <c r="C6" s="176" t="s">
        <v>158</v>
      </c>
      <c r="D6" s="3"/>
      <c r="E6" s="173" t="s">
        <v>159</v>
      </c>
      <c r="F6" s="173" t="s">
        <v>160</v>
      </c>
      <c r="H6" s="177" t="s">
        <v>158</v>
      </c>
      <c r="I6" s="177" t="s">
        <v>161</v>
      </c>
      <c r="J6" s="178" t="s">
        <v>158</v>
      </c>
      <c r="K6" s="178" t="s">
        <v>161</v>
      </c>
    </row>
    <row r="7" spans="2:11" x14ac:dyDescent="0.25">
      <c r="B7" s="179">
        <v>52886</v>
      </c>
      <c r="C7" s="180">
        <v>0.20050000000000001</v>
      </c>
      <c r="D7" s="180">
        <v>0.1003</v>
      </c>
      <c r="E7" s="180">
        <v>-6.8599999999999994E-2</v>
      </c>
      <c r="F7" s="180">
        <v>9.2399999999999996E-2</v>
      </c>
      <c r="H7" s="181">
        <f>'Scenario 1 - Bonus in 2026 Only'!C41</f>
        <v>131500</v>
      </c>
      <c r="I7" s="181">
        <f>SUM(I8:I11)</f>
        <v>34367.933400000002</v>
      </c>
      <c r="J7" s="181">
        <f>'Scenario 1 - Bonus in 2026 Only'!D41</f>
        <v>120500</v>
      </c>
      <c r="K7" s="181">
        <f>SUM(K8:K11)</f>
        <v>30404.298999999999</v>
      </c>
    </row>
    <row r="8" spans="2:11" x14ac:dyDescent="0.25">
      <c r="B8" s="182">
        <f>57375-52886</f>
        <v>4489</v>
      </c>
      <c r="C8" s="183">
        <v>0.24149999999999999</v>
      </c>
      <c r="D8" s="183">
        <v>0.1208</v>
      </c>
      <c r="E8" s="183">
        <v>-1.2E-2</v>
      </c>
      <c r="F8" s="183">
        <v>0.13950000000000001</v>
      </c>
      <c r="H8" s="184">
        <f>MIN(H7,B7)</f>
        <v>52886</v>
      </c>
      <c r="I8" s="184">
        <f>H8*C7</f>
        <v>10603.643</v>
      </c>
      <c r="J8" s="184">
        <f>B7</f>
        <v>52886</v>
      </c>
      <c r="K8" s="184">
        <f>J8*C7</f>
        <v>10603.643</v>
      </c>
    </row>
    <row r="9" spans="2:11" x14ac:dyDescent="0.25">
      <c r="B9" s="179">
        <f>93132-57375</f>
        <v>35757</v>
      </c>
      <c r="C9" s="180">
        <v>0.29649999999999999</v>
      </c>
      <c r="D9" s="180">
        <v>0.14829999999999999</v>
      </c>
      <c r="E9" s="180">
        <v>6.3899999999999998E-2</v>
      </c>
      <c r="F9" s="180">
        <v>0.20280000000000001</v>
      </c>
      <c r="H9" s="184">
        <f>B8</f>
        <v>4489</v>
      </c>
      <c r="I9" s="184">
        <f>H9*C8</f>
        <v>1084.0934999999999</v>
      </c>
      <c r="J9" s="184">
        <f>B8</f>
        <v>4489</v>
      </c>
      <c r="K9" s="184">
        <f>J9*C8</f>
        <v>1084.0934999999999</v>
      </c>
    </row>
    <row r="10" spans="2:11" x14ac:dyDescent="0.25">
      <c r="B10" s="182">
        <f>105775-93132</f>
        <v>12643</v>
      </c>
      <c r="C10" s="183">
        <v>0.31480000000000002</v>
      </c>
      <c r="D10" s="183">
        <v>0.15740000000000001</v>
      </c>
      <c r="E10" s="183">
        <v>8.9200000000000002E-2</v>
      </c>
      <c r="F10" s="183">
        <v>0.2238</v>
      </c>
      <c r="H10" s="184">
        <f>B9</f>
        <v>35757</v>
      </c>
      <c r="I10" s="184">
        <f>H10*C9</f>
        <v>10601.950499999999</v>
      </c>
      <c r="J10" s="184">
        <f>J7-J8-J9</f>
        <v>63125</v>
      </c>
      <c r="K10" s="184">
        <f>J10*C9</f>
        <v>18716.5625</v>
      </c>
    </row>
    <row r="11" spans="2:11" x14ac:dyDescent="0.25">
      <c r="B11" s="179">
        <f>109727-105775</f>
        <v>3952</v>
      </c>
      <c r="C11" s="180">
        <v>0.33889999999999998</v>
      </c>
      <c r="D11" s="180">
        <v>0.16950000000000001</v>
      </c>
      <c r="E11" s="180">
        <v>0.12239999999999999</v>
      </c>
      <c r="F11" s="180">
        <v>0.25159999999999999</v>
      </c>
      <c r="H11" s="184">
        <f>H7-SUM(H8:H10)</f>
        <v>38368</v>
      </c>
      <c r="I11" s="184">
        <f>H11*C10</f>
        <v>12078.246400000002</v>
      </c>
      <c r="J11" s="184"/>
      <c r="K11" s="184"/>
    </row>
    <row r="12" spans="2:11" x14ac:dyDescent="0.25">
      <c r="B12" s="182">
        <f>114750-109727</f>
        <v>5023</v>
      </c>
      <c r="C12" s="183">
        <v>0.37909999999999999</v>
      </c>
      <c r="D12" s="183">
        <v>0.1895</v>
      </c>
      <c r="E12" s="183">
        <v>0.1779</v>
      </c>
      <c r="F12" s="183">
        <v>0.29780000000000001</v>
      </c>
    </row>
    <row r="13" spans="2:11" x14ac:dyDescent="0.25">
      <c r="B13" s="179">
        <f>150000-114750</f>
        <v>35250</v>
      </c>
      <c r="C13" s="180">
        <v>0.43409999999999999</v>
      </c>
      <c r="D13" s="180">
        <v>0.217</v>
      </c>
      <c r="E13" s="180">
        <v>0.25380000000000003</v>
      </c>
      <c r="F13" s="180">
        <v>0.36099999999999999</v>
      </c>
    </row>
    <row r="14" spans="2:11" x14ac:dyDescent="0.25">
      <c r="B14" s="182">
        <f>177882-150000</f>
        <v>27882</v>
      </c>
      <c r="C14" s="183">
        <v>0.44969999999999999</v>
      </c>
      <c r="D14" s="183">
        <v>0.2248</v>
      </c>
      <c r="E14" s="183">
        <v>0.27529999999999999</v>
      </c>
      <c r="F14" s="183">
        <v>0.379</v>
      </c>
    </row>
    <row r="15" spans="2:11" x14ac:dyDescent="0.25">
      <c r="B15" s="185">
        <f>220000-177882</f>
        <v>42118</v>
      </c>
      <c r="C15" s="186">
        <v>0.4829</v>
      </c>
      <c r="D15" s="186">
        <v>0.2414</v>
      </c>
      <c r="E15" s="186">
        <v>0.3211</v>
      </c>
      <c r="F15" s="186">
        <v>0.41720000000000002</v>
      </c>
    </row>
    <row r="16" spans="2:11" x14ac:dyDescent="0.25">
      <c r="B16" s="187">
        <f>253414-220000</f>
        <v>33414</v>
      </c>
      <c r="C16" s="188">
        <v>0.4985</v>
      </c>
      <c r="D16" s="188">
        <v>0.2492</v>
      </c>
      <c r="E16" s="188">
        <v>0.34260000000000002</v>
      </c>
      <c r="F16" s="188">
        <v>0.43509999999999999</v>
      </c>
    </row>
    <row r="17" spans="2:6" x14ac:dyDescent="0.25">
      <c r="B17" s="179"/>
      <c r="C17" s="180">
        <v>0.5353</v>
      </c>
      <c r="D17" s="180">
        <v>0.2676</v>
      </c>
      <c r="E17" s="180">
        <v>0.39340000000000003</v>
      </c>
      <c r="F17" s="180">
        <v>0.47739999999999999</v>
      </c>
    </row>
    <row r="21" spans="2:6" ht="15.75" customHeight="1" x14ac:dyDescent="0.25"/>
    <row r="22" spans="2:6" ht="15.75" customHeight="1" x14ac:dyDescent="0.25"/>
    <row r="23" spans="2:6" ht="15.75" customHeight="1" x14ac:dyDescent="0.25"/>
    <row r="24" spans="2:6" ht="15.75" customHeight="1" x14ac:dyDescent="0.25"/>
    <row r="25" spans="2:6" ht="15.75" customHeight="1" x14ac:dyDescent="0.25"/>
    <row r="26" spans="2:6" ht="15.75" customHeight="1" x14ac:dyDescent="0.25"/>
    <row r="27" spans="2:6" ht="15.75" customHeight="1" x14ac:dyDescent="0.25"/>
    <row r="28" spans="2:6" ht="15.75" customHeight="1" x14ac:dyDescent="0.25"/>
    <row r="29" spans="2:6" ht="15.75" customHeight="1" x14ac:dyDescent="0.25"/>
    <row r="30" spans="2:6" ht="15.75" customHeight="1" x14ac:dyDescent="0.25"/>
    <row r="31" spans="2:6" ht="15.75" customHeight="1" x14ac:dyDescent="0.25"/>
    <row r="32" spans="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C4:F4"/>
    <mergeCell ref="H4:K4"/>
    <mergeCell ref="D5:D6"/>
    <mergeCell ref="E5:F5"/>
    <mergeCell ref="H5:I5"/>
    <mergeCell ref="J5:K5"/>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H1001"/>
  <sheetViews>
    <sheetView zoomScaleNormal="100" workbookViewId="0"/>
  </sheetViews>
  <sheetFormatPr defaultColWidth="12.5703125" defaultRowHeight="15" x14ac:dyDescent="0.25"/>
  <cols>
    <col min="1" max="1" width="8.5703125" customWidth="1"/>
    <col min="2" max="2" width="36.5703125" customWidth="1"/>
    <col min="3" max="3" width="13.85546875" customWidth="1"/>
    <col min="4" max="5" width="8.5703125" customWidth="1"/>
    <col min="6" max="6" width="14.7109375" customWidth="1"/>
    <col min="7" max="7" width="13.85546875" customWidth="1"/>
    <col min="8" max="8" width="11.5703125" customWidth="1"/>
    <col min="9" max="26" width="8.5703125" customWidth="1"/>
  </cols>
  <sheetData>
    <row r="1" spans="1:8" x14ac:dyDescent="0.25">
      <c r="A1" s="189">
        <v>45778</v>
      </c>
      <c r="C1" s="85"/>
      <c r="H1" s="85"/>
    </row>
    <row r="2" spans="1:8" x14ac:dyDescent="0.25">
      <c r="B2" s="59" t="s">
        <v>162</v>
      </c>
      <c r="C2" s="190" t="s">
        <v>163</v>
      </c>
      <c r="G2" s="59" t="s">
        <v>158</v>
      </c>
      <c r="H2" s="85"/>
    </row>
    <row r="3" spans="1:8" x14ac:dyDescent="0.25">
      <c r="C3" s="85"/>
      <c r="H3" s="85"/>
    </row>
    <row r="4" spans="1:8" x14ac:dyDescent="0.25">
      <c r="B4" s="62" t="s">
        <v>164</v>
      </c>
      <c r="C4" s="85">
        <v>2677</v>
      </c>
      <c r="G4" s="62" t="s">
        <v>165</v>
      </c>
      <c r="H4" s="85">
        <v>7575</v>
      </c>
    </row>
    <row r="5" spans="1:8" x14ac:dyDescent="0.25">
      <c r="B5" s="62" t="s">
        <v>166</v>
      </c>
      <c r="C5" s="85">
        <v>800</v>
      </c>
      <c r="G5" s="62" t="s">
        <v>167</v>
      </c>
      <c r="H5" s="85">
        <v>3606</v>
      </c>
    </row>
    <row r="6" spans="1:8" x14ac:dyDescent="0.25">
      <c r="B6" s="62" t="s">
        <v>168</v>
      </c>
      <c r="C6" s="85">
        <v>356</v>
      </c>
      <c r="G6" s="62" t="s">
        <v>169</v>
      </c>
      <c r="H6" s="85">
        <v>5370</v>
      </c>
    </row>
    <row r="7" spans="1:8" x14ac:dyDescent="0.25">
      <c r="B7" s="62" t="s">
        <v>170</v>
      </c>
      <c r="C7" s="85">
        <v>50</v>
      </c>
      <c r="H7" s="85"/>
    </row>
    <row r="8" spans="1:8" x14ac:dyDescent="0.25">
      <c r="B8" s="62" t="s">
        <v>171</v>
      </c>
      <c r="C8" s="85">
        <v>275</v>
      </c>
      <c r="G8" s="59" t="s">
        <v>172</v>
      </c>
      <c r="H8" s="190">
        <f>SUM(H4:H7)</f>
        <v>16551</v>
      </c>
    </row>
    <row r="9" spans="1:8" x14ac:dyDescent="0.25">
      <c r="B9" s="62" t="s">
        <v>173</v>
      </c>
      <c r="C9" s="85">
        <v>266</v>
      </c>
      <c r="H9" s="85"/>
    </row>
    <row r="10" spans="1:8" x14ac:dyDescent="0.25">
      <c r="B10" s="62" t="s">
        <v>174</v>
      </c>
      <c r="C10" s="85">
        <v>846</v>
      </c>
      <c r="H10" s="85"/>
    </row>
    <row r="11" spans="1:8" x14ac:dyDescent="0.25">
      <c r="B11" s="62" t="s">
        <v>175</v>
      </c>
      <c r="C11" s="85">
        <v>180</v>
      </c>
      <c r="H11" s="85"/>
    </row>
    <row r="12" spans="1:8" x14ac:dyDescent="0.25">
      <c r="B12" s="62" t="s">
        <v>176</v>
      </c>
      <c r="C12" s="85">
        <v>73</v>
      </c>
      <c r="H12" s="85"/>
    </row>
    <row r="13" spans="1:8" x14ac:dyDescent="0.25">
      <c r="B13" s="62" t="s">
        <v>177</v>
      </c>
      <c r="C13" s="85">
        <v>58</v>
      </c>
      <c r="H13" s="85"/>
    </row>
    <row r="14" spans="1:8" x14ac:dyDescent="0.25">
      <c r="B14" s="62" t="s">
        <v>178</v>
      </c>
      <c r="C14" s="85">
        <v>71</v>
      </c>
      <c r="H14" s="85"/>
    </row>
    <row r="15" spans="1:8" x14ac:dyDescent="0.25">
      <c r="B15" s="62" t="s">
        <v>179</v>
      </c>
      <c r="C15" s="85">
        <v>113</v>
      </c>
      <c r="H15" s="85"/>
    </row>
    <row r="16" spans="1:8" x14ac:dyDescent="0.25">
      <c r="B16" s="62" t="s">
        <v>180</v>
      </c>
      <c r="C16" s="85">
        <f>89+6+15+22+8+6</f>
        <v>146</v>
      </c>
      <c r="H16" s="85"/>
    </row>
    <row r="17" spans="1:8" x14ac:dyDescent="0.25">
      <c r="C17" s="85"/>
      <c r="H17" s="85"/>
    </row>
    <row r="18" spans="1:8" x14ac:dyDescent="0.25">
      <c r="B18" s="59" t="s">
        <v>172</v>
      </c>
      <c r="C18" s="190">
        <f>SUM(C4:C17)</f>
        <v>5911</v>
      </c>
      <c r="H18" s="85"/>
    </row>
    <row r="19" spans="1:8" x14ac:dyDescent="0.25">
      <c r="C19" s="85"/>
      <c r="H19" s="85"/>
    </row>
    <row r="20" spans="1:8" x14ac:dyDescent="0.25">
      <c r="B20" s="59" t="s">
        <v>181</v>
      </c>
      <c r="C20" s="85"/>
      <c r="H20" s="85"/>
    </row>
    <row r="21" spans="1:8" ht="15.75" customHeight="1" x14ac:dyDescent="0.25">
      <c r="C21" s="85"/>
      <c r="H21" s="85"/>
    </row>
    <row r="22" spans="1:8" ht="15.75" customHeight="1" x14ac:dyDescent="0.25">
      <c r="B22" s="62" t="s">
        <v>182</v>
      </c>
      <c r="C22" s="85">
        <v>2000</v>
      </c>
      <c r="D22" s="191" t="s">
        <v>183</v>
      </c>
      <c r="G22" s="58" t="s">
        <v>184</v>
      </c>
      <c r="H22" s="85"/>
    </row>
    <row r="23" spans="1:8" ht="15.75" customHeight="1" x14ac:dyDescent="0.25">
      <c r="B23" s="62" t="s">
        <v>185</v>
      </c>
      <c r="C23" s="85">
        <v>840</v>
      </c>
      <c r="H23" s="85"/>
    </row>
    <row r="24" spans="1:8" ht="15.75" customHeight="1" x14ac:dyDescent="0.25">
      <c r="B24" s="62" t="s">
        <v>186</v>
      </c>
      <c r="C24" s="85">
        <v>500</v>
      </c>
      <c r="H24" s="85"/>
    </row>
    <row r="25" spans="1:8" ht="15.75" customHeight="1" x14ac:dyDescent="0.25">
      <c r="B25" s="62" t="s">
        <v>187</v>
      </c>
      <c r="C25" s="85">
        <v>300</v>
      </c>
      <c r="H25" s="85"/>
    </row>
    <row r="26" spans="1:8" ht="15.75" customHeight="1" x14ac:dyDescent="0.25">
      <c r="B26" s="62" t="s">
        <v>188</v>
      </c>
      <c r="C26" s="85">
        <v>400</v>
      </c>
      <c r="H26" s="85"/>
    </row>
    <row r="27" spans="1:8" ht="15.75" customHeight="1" x14ac:dyDescent="0.25">
      <c r="B27" s="62" t="s">
        <v>189</v>
      </c>
      <c r="C27" s="85">
        <v>475</v>
      </c>
      <c r="H27" s="85"/>
    </row>
    <row r="28" spans="1:8" ht="15.75" customHeight="1" x14ac:dyDescent="0.25">
      <c r="B28" s="62" t="s">
        <v>190</v>
      </c>
      <c r="C28" s="85">
        <v>800</v>
      </c>
      <c r="H28" s="85"/>
    </row>
    <row r="29" spans="1:8" ht="15.75" customHeight="1" x14ac:dyDescent="0.25">
      <c r="B29" s="62" t="s">
        <v>191</v>
      </c>
      <c r="C29" s="85">
        <v>400</v>
      </c>
      <c r="H29" s="85"/>
    </row>
    <row r="30" spans="1:8" ht="15.75" customHeight="1" x14ac:dyDescent="0.25">
      <c r="B30" s="62" t="s">
        <v>192</v>
      </c>
      <c r="C30" s="85">
        <v>120</v>
      </c>
      <c r="H30" s="85"/>
    </row>
    <row r="31" spans="1:8" ht="15.75" customHeight="1" x14ac:dyDescent="0.25">
      <c r="C31" s="85"/>
      <c r="H31" s="85"/>
    </row>
    <row r="32" spans="1:8" ht="15.75" customHeight="1" x14ac:dyDescent="0.25">
      <c r="A32" s="23"/>
      <c r="B32" s="59" t="s">
        <v>172</v>
      </c>
      <c r="C32" s="190">
        <f>SUM(C22:C31)</f>
        <v>5835</v>
      </c>
      <c r="H32" s="85"/>
    </row>
    <row r="33" spans="2:8" ht="15.75" customHeight="1" x14ac:dyDescent="0.25">
      <c r="C33" s="85"/>
      <c r="H33" s="85"/>
    </row>
    <row r="34" spans="2:8" ht="15.75" customHeight="1" x14ac:dyDescent="0.25">
      <c r="C34" s="85"/>
      <c r="H34" s="85"/>
    </row>
    <row r="35" spans="2:8" ht="15.75" customHeight="1" x14ac:dyDescent="0.25">
      <c r="C35" s="85"/>
      <c r="H35" s="85"/>
    </row>
    <row r="36" spans="2:8" ht="15.75" customHeight="1" x14ac:dyDescent="0.25">
      <c r="B36" s="59" t="s">
        <v>193</v>
      </c>
      <c r="C36" s="85"/>
      <c r="H36" s="85"/>
    </row>
    <row r="37" spans="2:8" ht="15.75" customHeight="1" x14ac:dyDescent="0.25">
      <c r="C37" s="85"/>
      <c r="H37" s="85"/>
    </row>
    <row r="38" spans="2:8" ht="15.75" customHeight="1" x14ac:dyDescent="0.25">
      <c r="B38" s="62" t="s">
        <v>194</v>
      </c>
      <c r="C38" s="85">
        <v>506</v>
      </c>
      <c r="H38" s="85"/>
    </row>
    <row r="39" spans="2:8" ht="15.75" customHeight="1" x14ac:dyDescent="0.25">
      <c r="B39" s="62" t="s">
        <v>195</v>
      </c>
      <c r="C39" s="85">
        <v>5200</v>
      </c>
      <c r="H39" s="85"/>
    </row>
    <row r="40" spans="2:8" ht="15.75" customHeight="1" x14ac:dyDescent="0.25">
      <c r="B40" s="62" t="s">
        <v>196</v>
      </c>
      <c r="C40" s="85">
        <v>980</v>
      </c>
      <c r="H40" s="85"/>
    </row>
    <row r="41" spans="2:8" ht="15.75" customHeight="1" x14ac:dyDescent="0.25">
      <c r="B41" s="62" t="s">
        <v>197</v>
      </c>
      <c r="C41" s="85">
        <v>530</v>
      </c>
      <c r="H41" s="85"/>
    </row>
    <row r="42" spans="2:8" ht="15.75" customHeight="1" x14ac:dyDescent="0.25">
      <c r="B42" s="62" t="s">
        <v>198</v>
      </c>
      <c r="C42" s="85">
        <v>600</v>
      </c>
      <c r="H42" s="85"/>
    </row>
    <row r="43" spans="2:8" ht="15.75" customHeight="1" x14ac:dyDescent="0.25">
      <c r="B43" s="62" t="s">
        <v>199</v>
      </c>
      <c r="C43" s="85">
        <v>600</v>
      </c>
      <c r="H43" s="85"/>
    </row>
    <row r="44" spans="2:8" ht="15.75" customHeight="1" x14ac:dyDescent="0.25">
      <c r="B44" s="62" t="s">
        <v>200</v>
      </c>
      <c r="C44" s="85">
        <v>20000</v>
      </c>
      <c r="H44" s="85"/>
    </row>
    <row r="45" spans="2:8" ht="15.75" customHeight="1" x14ac:dyDescent="0.25">
      <c r="B45" s="23" t="s">
        <v>201</v>
      </c>
      <c r="C45" s="163">
        <v>600</v>
      </c>
      <c r="H45" s="85"/>
    </row>
    <row r="46" spans="2:8" ht="15.75" customHeight="1" x14ac:dyDescent="0.25">
      <c r="B46" s="59"/>
      <c r="C46" s="190"/>
      <c r="H46" s="85"/>
    </row>
    <row r="47" spans="2:8" ht="15.75" customHeight="1" x14ac:dyDescent="0.25">
      <c r="B47" s="59" t="s">
        <v>172</v>
      </c>
      <c r="C47" s="190">
        <f>SUM(C38:C45)</f>
        <v>29016</v>
      </c>
      <c r="H47" s="85"/>
    </row>
    <row r="48" spans="2:8" ht="15.75" customHeight="1" x14ac:dyDescent="0.25">
      <c r="B48" s="59" t="s">
        <v>202</v>
      </c>
      <c r="C48" s="190">
        <f>C47/12</f>
        <v>2418</v>
      </c>
      <c r="H48" s="85"/>
    </row>
    <row r="49" spans="2:8" ht="15.75" customHeight="1" x14ac:dyDescent="0.25">
      <c r="C49" s="85"/>
      <c r="H49" s="85"/>
    </row>
    <row r="50" spans="2:8" ht="15.75" customHeight="1" x14ac:dyDescent="0.25">
      <c r="C50" s="85"/>
      <c r="H50" s="85"/>
    </row>
    <row r="51" spans="2:8" ht="15.75" customHeight="1" x14ac:dyDescent="0.25">
      <c r="B51" s="59" t="s">
        <v>203</v>
      </c>
      <c r="C51" s="190">
        <f>SUM(C18,C32,C48)</f>
        <v>14164</v>
      </c>
      <c r="H51" s="85"/>
    </row>
    <row r="52" spans="2:8" ht="15.75" customHeight="1" x14ac:dyDescent="0.25">
      <c r="C52" s="85"/>
      <c r="H52" s="85"/>
    </row>
    <row r="53" spans="2:8" ht="15.75" customHeight="1" x14ac:dyDescent="0.25">
      <c r="C53" s="85"/>
      <c r="H53" s="85"/>
    </row>
    <row r="54" spans="2:8" ht="15.75" customHeight="1" x14ac:dyDescent="0.25">
      <c r="B54" s="58" t="s">
        <v>204</v>
      </c>
      <c r="C54" s="192">
        <f>150000/4</f>
        <v>37500</v>
      </c>
      <c r="D54" s="193" t="s">
        <v>205</v>
      </c>
      <c r="H54" s="85"/>
    </row>
    <row r="55" spans="2:8" ht="15.75" customHeight="1" x14ac:dyDescent="0.25">
      <c r="B55" s="58" t="s">
        <v>95</v>
      </c>
      <c r="C55" s="192">
        <v>129781</v>
      </c>
      <c r="D55" s="193"/>
      <c r="H55" s="85"/>
    </row>
    <row r="56" spans="2:8" ht="15.75" customHeight="1" x14ac:dyDescent="0.25">
      <c r="C56" s="194" t="s">
        <v>206</v>
      </c>
      <c r="D56" s="195"/>
      <c r="E56" s="195"/>
      <c r="H56" s="85"/>
    </row>
    <row r="57" spans="2:8" ht="15.75" customHeight="1" x14ac:dyDescent="0.25">
      <c r="C57" s="194" t="s">
        <v>207</v>
      </c>
      <c r="D57" s="195"/>
      <c r="E57" s="58">
        <v>2026</v>
      </c>
      <c r="H57" s="85"/>
    </row>
    <row r="58" spans="2:8" ht="15.75" customHeight="1" x14ac:dyDescent="0.25">
      <c r="C58" s="194" t="s">
        <v>208</v>
      </c>
      <c r="D58" s="195"/>
      <c r="E58" s="58">
        <v>2025</v>
      </c>
      <c r="H58" s="85"/>
    </row>
    <row r="59" spans="2:8" ht="15.75" customHeight="1" x14ac:dyDescent="0.25">
      <c r="C59" s="194" t="s">
        <v>209</v>
      </c>
      <c r="D59" s="195"/>
      <c r="E59" s="58">
        <v>2025</v>
      </c>
      <c r="H59" s="85"/>
    </row>
    <row r="60" spans="2:8" ht="15.75" customHeight="1" x14ac:dyDescent="0.25">
      <c r="C60" s="196"/>
      <c r="D60" s="195"/>
      <c r="E60" s="195"/>
      <c r="H60" s="85"/>
    </row>
    <row r="61" spans="2:8" ht="15.75" customHeight="1" x14ac:dyDescent="0.25">
      <c r="C61" s="194" t="s">
        <v>210</v>
      </c>
      <c r="D61" s="195"/>
      <c r="E61" s="195"/>
      <c r="F61" s="192">
        <v>11000</v>
      </c>
      <c r="H61" s="85"/>
    </row>
    <row r="62" spans="2:8" ht="15.75" customHeight="1" x14ac:dyDescent="0.25">
      <c r="C62" s="85"/>
      <c r="H62" s="85"/>
    </row>
    <row r="63" spans="2:8" ht="15.75" customHeight="1" x14ac:dyDescent="0.25">
      <c r="C63" s="85"/>
      <c r="H63" s="85"/>
    </row>
    <row r="64" spans="2:8" ht="15.75" customHeight="1" x14ac:dyDescent="0.25">
      <c r="C64" s="85"/>
      <c r="H64" s="85"/>
    </row>
    <row r="65" spans="3:8" ht="15.75" customHeight="1" x14ac:dyDescent="0.25">
      <c r="C65" s="85"/>
      <c r="H65" s="85"/>
    </row>
    <row r="66" spans="3:8" ht="15.75" customHeight="1" x14ac:dyDescent="0.25">
      <c r="C66" s="85"/>
      <c r="H66" s="85"/>
    </row>
    <row r="67" spans="3:8" ht="15.75" customHeight="1" x14ac:dyDescent="0.25">
      <c r="C67" s="85"/>
      <c r="H67" s="85"/>
    </row>
    <row r="68" spans="3:8" ht="15.75" customHeight="1" x14ac:dyDescent="0.25">
      <c r="C68" s="85"/>
      <c r="H68" s="85"/>
    </row>
    <row r="69" spans="3:8" ht="15.75" customHeight="1" x14ac:dyDescent="0.25">
      <c r="C69" s="85"/>
      <c r="H69" s="85"/>
    </row>
    <row r="70" spans="3:8" ht="15.75" customHeight="1" x14ac:dyDescent="0.25">
      <c r="C70" s="85"/>
      <c r="H70" s="85"/>
    </row>
    <row r="71" spans="3:8" ht="15.75" customHeight="1" x14ac:dyDescent="0.25">
      <c r="C71" s="85"/>
      <c r="H71" s="85"/>
    </row>
    <row r="72" spans="3:8" ht="15.75" customHeight="1" x14ac:dyDescent="0.25">
      <c r="C72" s="85"/>
      <c r="H72" s="85"/>
    </row>
    <row r="73" spans="3:8" ht="15.75" customHeight="1" x14ac:dyDescent="0.25">
      <c r="C73" s="85"/>
      <c r="H73" s="85"/>
    </row>
    <row r="74" spans="3:8" ht="15.75" customHeight="1" x14ac:dyDescent="0.25">
      <c r="C74" s="85"/>
      <c r="H74" s="85"/>
    </row>
    <row r="75" spans="3:8" ht="15.75" customHeight="1" x14ac:dyDescent="0.25">
      <c r="C75" s="85"/>
      <c r="H75" s="85"/>
    </row>
    <row r="76" spans="3:8" ht="15.75" customHeight="1" x14ac:dyDescent="0.25">
      <c r="C76" s="85"/>
      <c r="H76" s="85"/>
    </row>
    <row r="77" spans="3:8" ht="15.75" customHeight="1" x14ac:dyDescent="0.25">
      <c r="C77" s="85"/>
      <c r="H77" s="85"/>
    </row>
    <row r="78" spans="3:8" ht="15.75" customHeight="1" x14ac:dyDescent="0.25">
      <c r="C78" s="85"/>
      <c r="H78" s="85"/>
    </row>
    <row r="79" spans="3:8" ht="15.75" customHeight="1" x14ac:dyDescent="0.25">
      <c r="C79" s="85"/>
      <c r="H79" s="85"/>
    </row>
    <row r="80" spans="3:8" ht="15.75" customHeight="1" x14ac:dyDescent="0.25">
      <c r="C80" s="85"/>
      <c r="H80" s="85"/>
    </row>
    <row r="81" spans="3:8" ht="15.75" customHeight="1" x14ac:dyDescent="0.25">
      <c r="C81" s="85"/>
      <c r="H81" s="85"/>
    </row>
    <row r="82" spans="3:8" ht="15.75" customHeight="1" x14ac:dyDescent="0.25">
      <c r="C82" s="85"/>
      <c r="H82" s="85"/>
    </row>
    <row r="83" spans="3:8" ht="15.75" customHeight="1" x14ac:dyDescent="0.25">
      <c r="C83" s="85"/>
      <c r="H83" s="85"/>
    </row>
    <row r="84" spans="3:8" ht="15.75" customHeight="1" x14ac:dyDescent="0.25">
      <c r="C84" s="85"/>
      <c r="H84" s="85"/>
    </row>
    <row r="85" spans="3:8" ht="15.75" customHeight="1" x14ac:dyDescent="0.25">
      <c r="C85" s="85"/>
      <c r="H85" s="85"/>
    </row>
    <row r="86" spans="3:8" ht="15.75" customHeight="1" x14ac:dyDescent="0.25">
      <c r="C86" s="85"/>
      <c r="H86" s="85"/>
    </row>
    <row r="87" spans="3:8" ht="15.75" customHeight="1" x14ac:dyDescent="0.25">
      <c r="C87" s="85"/>
      <c r="H87" s="85"/>
    </row>
    <row r="88" spans="3:8" ht="15.75" customHeight="1" x14ac:dyDescent="0.25">
      <c r="C88" s="85"/>
      <c r="H88" s="85"/>
    </row>
    <row r="89" spans="3:8" ht="15.75" customHeight="1" x14ac:dyDescent="0.25">
      <c r="C89" s="85"/>
      <c r="H89" s="85"/>
    </row>
    <row r="90" spans="3:8" ht="15.75" customHeight="1" x14ac:dyDescent="0.25">
      <c r="C90" s="85"/>
      <c r="H90" s="85"/>
    </row>
    <row r="91" spans="3:8" ht="15.75" customHeight="1" x14ac:dyDescent="0.25">
      <c r="C91" s="85"/>
      <c r="H91" s="85"/>
    </row>
    <row r="92" spans="3:8" ht="15.75" customHeight="1" x14ac:dyDescent="0.25">
      <c r="C92" s="85"/>
      <c r="H92" s="85"/>
    </row>
    <row r="93" spans="3:8" ht="15.75" customHeight="1" x14ac:dyDescent="0.25">
      <c r="C93" s="85"/>
      <c r="H93" s="85"/>
    </row>
    <row r="94" spans="3:8" ht="15.75" customHeight="1" x14ac:dyDescent="0.25">
      <c r="C94" s="85"/>
      <c r="H94" s="85"/>
    </row>
    <row r="95" spans="3:8" ht="15.75" customHeight="1" x14ac:dyDescent="0.25">
      <c r="C95" s="85"/>
      <c r="H95" s="85"/>
    </row>
    <row r="96" spans="3:8" ht="15.75" customHeight="1" x14ac:dyDescent="0.25">
      <c r="C96" s="85"/>
      <c r="H96" s="85"/>
    </row>
    <row r="97" spans="3:8" ht="15.75" customHeight="1" x14ac:dyDescent="0.25">
      <c r="C97" s="85"/>
      <c r="H97" s="85"/>
    </row>
    <row r="98" spans="3:8" ht="15.75" customHeight="1" x14ac:dyDescent="0.25">
      <c r="C98" s="85"/>
      <c r="H98" s="85"/>
    </row>
    <row r="99" spans="3:8" ht="15.75" customHeight="1" x14ac:dyDescent="0.25">
      <c r="C99" s="85"/>
      <c r="H99" s="85"/>
    </row>
    <row r="100" spans="3:8" ht="15.75" customHeight="1" x14ac:dyDescent="0.25">
      <c r="C100" s="85"/>
      <c r="H100" s="85"/>
    </row>
    <row r="101" spans="3:8" ht="15.75" customHeight="1" x14ac:dyDescent="0.25">
      <c r="C101" s="85"/>
      <c r="H101" s="85"/>
    </row>
    <row r="102" spans="3:8" ht="15.75" customHeight="1" x14ac:dyDescent="0.25">
      <c r="C102" s="85"/>
      <c r="H102" s="85"/>
    </row>
    <row r="103" spans="3:8" ht="15.75" customHeight="1" x14ac:dyDescent="0.25">
      <c r="C103" s="85"/>
      <c r="H103" s="85"/>
    </row>
    <row r="104" spans="3:8" ht="15.75" customHeight="1" x14ac:dyDescent="0.25">
      <c r="C104" s="85"/>
      <c r="H104" s="85"/>
    </row>
    <row r="105" spans="3:8" ht="15.75" customHeight="1" x14ac:dyDescent="0.25">
      <c r="C105" s="85"/>
      <c r="H105" s="85"/>
    </row>
    <row r="106" spans="3:8" ht="15.75" customHeight="1" x14ac:dyDescent="0.25">
      <c r="C106" s="85"/>
      <c r="H106" s="85"/>
    </row>
    <row r="107" spans="3:8" ht="15.75" customHeight="1" x14ac:dyDescent="0.25">
      <c r="C107" s="85"/>
      <c r="H107" s="85"/>
    </row>
    <row r="108" spans="3:8" ht="15.75" customHeight="1" x14ac:dyDescent="0.25">
      <c r="C108" s="85"/>
      <c r="H108" s="85"/>
    </row>
    <row r="109" spans="3:8" ht="15.75" customHeight="1" x14ac:dyDescent="0.25">
      <c r="C109" s="85"/>
      <c r="H109" s="85"/>
    </row>
    <row r="110" spans="3:8" ht="15.75" customHeight="1" x14ac:dyDescent="0.25">
      <c r="C110" s="85"/>
      <c r="H110" s="85"/>
    </row>
    <row r="111" spans="3:8" ht="15.75" customHeight="1" x14ac:dyDescent="0.25">
      <c r="C111" s="85"/>
      <c r="H111" s="85"/>
    </row>
    <row r="112" spans="3:8" ht="15.75" customHeight="1" x14ac:dyDescent="0.25">
      <c r="C112" s="85"/>
      <c r="H112" s="85"/>
    </row>
    <row r="113" spans="3:8" ht="15.75" customHeight="1" x14ac:dyDescent="0.25">
      <c r="C113" s="85"/>
      <c r="H113" s="85"/>
    </row>
    <row r="114" spans="3:8" ht="15.75" customHeight="1" x14ac:dyDescent="0.25">
      <c r="C114" s="85"/>
      <c r="H114" s="85"/>
    </row>
    <row r="115" spans="3:8" ht="15.75" customHeight="1" x14ac:dyDescent="0.25">
      <c r="C115" s="85"/>
      <c r="H115" s="85"/>
    </row>
    <row r="116" spans="3:8" ht="15.75" customHeight="1" x14ac:dyDescent="0.25">
      <c r="C116" s="85"/>
      <c r="H116" s="85"/>
    </row>
    <row r="117" spans="3:8" ht="15.75" customHeight="1" x14ac:dyDescent="0.25">
      <c r="C117" s="85"/>
      <c r="H117" s="85"/>
    </row>
    <row r="118" spans="3:8" ht="15.75" customHeight="1" x14ac:dyDescent="0.25">
      <c r="C118" s="85"/>
      <c r="H118" s="85"/>
    </row>
    <row r="119" spans="3:8" ht="15.75" customHeight="1" x14ac:dyDescent="0.25">
      <c r="C119" s="85"/>
      <c r="H119" s="85"/>
    </row>
    <row r="120" spans="3:8" ht="15.75" customHeight="1" x14ac:dyDescent="0.25">
      <c r="C120" s="85"/>
      <c r="H120" s="85"/>
    </row>
    <row r="121" spans="3:8" ht="15.75" customHeight="1" x14ac:dyDescent="0.25">
      <c r="C121" s="85"/>
      <c r="H121" s="85"/>
    </row>
    <row r="122" spans="3:8" ht="15.75" customHeight="1" x14ac:dyDescent="0.25">
      <c r="C122" s="85"/>
      <c r="H122" s="85"/>
    </row>
    <row r="123" spans="3:8" ht="15.75" customHeight="1" x14ac:dyDescent="0.25">
      <c r="C123" s="85"/>
      <c r="H123" s="85"/>
    </row>
    <row r="124" spans="3:8" ht="15.75" customHeight="1" x14ac:dyDescent="0.25">
      <c r="C124" s="85"/>
      <c r="H124" s="85"/>
    </row>
    <row r="125" spans="3:8" ht="15.75" customHeight="1" x14ac:dyDescent="0.25">
      <c r="C125" s="85"/>
      <c r="H125" s="85"/>
    </row>
    <row r="126" spans="3:8" ht="15.75" customHeight="1" x14ac:dyDescent="0.25">
      <c r="C126" s="85"/>
      <c r="H126" s="85"/>
    </row>
    <row r="127" spans="3:8" ht="15.75" customHeight="1" x14ac:dyDescent="0.25">
      <c r="C127" s="85"/>
      <c r="H127" s="85"/>
    </row>
    <row r="128" spans="3:8" ht="15.75" customHeight="1" x14ac:dyDescent="0.25">
      <c r="C128" s="85"/>
      <c r="H128" s="85"/>
    </row>
    <row r="129" spans="3:8" ht="15.75" customHeight="1" x14ac:dyDescent="0.25">
      <c r="C129" s="85"/>
      <c r="H129" s="85"/>
    </row>
    <row r="130" spans="3:8" ht="15.75" customHeight="1" x14ac:dyDescent="0.25">
      <c r="C130" s="85"/>
      <c r="H130" s="85"/>
    </row>
    <row r="131" spans="3:8" ht="15.75" customHeight="1" x14ac:dyDescent="0.25">
      <c r="C131" s="85"/>
      <c r="H131" s="85"/>
    </row>
    <row r="132" spans="3:8" ht="15.75" customHeight="1" x14ac:dyDescent="0.25">
      <c r="C132" s="85"/>
      <c r="H132" s="85"/>
    </row>
    <row r="133" spans="3:8" ht="15.75" customHeight="1" x14ac:dyDescent="0.25">
      <c r="C133" s="85"/>
      <c r="H133" s="85"/>
    </row>
    <row r="134" spans="3:8" ht="15.75" customHeight="1" x14ac:dyDescent="0.25">
      <c r="C134" s="85"/>
      <c r="H134" s="85"/>
    </row>
    <row r="135" spans="3:8" ht="15.75" customHeight="1" x14ac:dyDescent="0.25">
      <c r="C135" s="85"/>
      <c r="H135" s="85"/>
    </row>
    <row r="136" spans="3:8" ht="15.75" customHeight="1" x14ac:dyDescent="0.25">
      <c r="C136" s="85"/>
      <c r="H136" s="85"/>
    </row>
    <row r="137" spans="3:8" ht="15.75" customHeight="1" x14ac:dyDescent="0.25">
      <c r="C137" s="85"/>
      <c r="H137" s="85"/>
    </row>
    <row r="138" spans="3:8" ht="15.75" customHeight="1" x14ac:dyDescent="0.25">
      <c r="C138" s="85"/>
      <c r="H138" s="85"/>
    </row>
    <row r="139" spans="3:8" ht="15.75" customHeight="1" x14ac:dyDescent="0.25">
      <c r="C139" s="85"/>
      <c r="H139" s="85"/>
    </row>
    <row r="140" spans="3:8" ht="15.75" customHeight="1" x14ac:dyDescent="0.25">
      <c r="C140" s="85"/>
      <c r="H140" s="85"/>
    </row>
    <row r="141" spans="3:8" ht="15.75" customHeight="1" x14ac:dyDescent="0.25">
      <c r="C141" s="85"/>
      <c r="H141" s="85"/>
    </row>
    <row r="142" spans="3:8" ht="15.75" customHeight="1" x14ac:dyDescent="0.25">
      <c r="C142" s="85"/>
      <c r="H142" s="85"/>
    </row>
    <row r="143" spans="3:8" ht="15.75" customHeight="1" x14ac:dyDescent="0.25">
      <c r="C143" s="85"/>
      <c r="H143" s="85"/>
    </row>
    <row r="144" spans="3:8" ht="15.75" customHeight="1" x14ac:dyDescent="0.25">
      <c r="C144" s="85"/>
      <c r="H144" s="85"/>
    </row>
    <row r="145" spans="3:8" ht="15.75" customHeight="1" x14ac:dyDescent="0.25">
      <c r="C145" s="85"/>
      <c r="H145" s="85"/>
    </row>
    <row r="146" spans="3:8" ht="15.75" customHeight="1" x14ac:dyDescent="0.25">
      <c r="C146" s="85"/>
      <c r="H146" s="85"/>
    </row>
    <row r="147" spans="3:8" ht="15.75" customHeight="1" x14ac:dyDescent="0.25">
      <c r="C147" s="85"/>
      <c r="H147" s="85"/>
    </row>
    <row r="148" spans="3:8" ht="15.75" customHeight="1" x14ac:dyDescent="0.25">
      <c r="C148" s="85"/>
      <c r="H148" s="85"/>
    </row>
    <row r="149" spans="3:8" ht="15.75" customHeight="1" x14ac:dyDescent="0.25">
      <c r="C149" s="85"/>
      <c r="H149" s="85"/>
    </row>
    <row r="150" spans="3:8" ht="15.75" customHeight="1" x14ac:dyDescent="0.25">
      <c r="C150" s="85"/>
      <c r="H150" s="85"/>
    </row>
    <row r="151" spans="3:8" ht="15.75" customHeight="1" x14ac:dyDescent="0.25">
      <c r="C151" s="85"/>
      <c r="H151" s="85"/>
    </row>
    <row r="152" spans="3:8" ht="15.75" customHeight="1" x14ac:dyDescent="0.25">
      <c r="C152" s="85"/>
      <c r="H152" s="85"/>
    </row>
    <row r="153" spans="3:8" ht="15.75" customHeight="1" x14ac:dyDescent="0.25">
      <c r="C153" s="85"/>
      <c r="H153" s="85"/>
    </row>
    <row r="154" spans="3:8" ht="15.75" customHeight="1" x14ac:dyDescent="0.25">
      <c r="C154" s="85"/>
      <c r="H154" s="85"/>
    </row>
    <row r="155" spans="3:8" ht="15.75" customHeight="1" x14ac:dyDescent="0.25">
      <c r="C155" s="85"/>
      <c r="H155" s="85"/>
    </row>
    <row r="156" spans="3:8" ht="15.75" customHeight="1" x14ac:dyDescent="0.25">
      <c r="C156" s="85"/>
      <c r="H156" s="85"/>
    </row>
    <row r="157" spans="3:8" ht="15.75" customHeight="1" x14ac:dyDescent="0.25">
      <c r="C157" s="85"/>
      <c r="H157" s="85"/>
    </row>
    <row r="158" spans="3:8" ht="15.75" customHeight="1" x14ac:dyDescent="0.25">
      <c r="C158" s="85"/>
      <c r="H158" s="85"/>
    </row>
    <row r="159" spans="3:8" ht="15.75" customHeight="1" x14ac:dyDescent="0.25">
      <c r="C159" s="85"/>
      <c r="H159" s="85"/>
    </row>
    <row r="160" spans="3:8" ht="15.75" customHeight="1" x14ac:dyDescent="0.25">
      <c r="C160" s="85"/>
      <c r="H160" s="85"/>
    </row>
    <row r="161" spans="3:8" ht="15.75" customHeight="1" x14ac:dyDescent="0.25">
      <c r="C161" s="85"/>
      <c r="H161" s="85"/>
    </row>
    <row r="162" spans="3:8" ht="15.75" customHeight="1" x14ac:dyDescent="0.25">
      <c r="C162" s="85"/>
      <c r="H162" s="85"/>
    </row>
    <row r="163" spans="3:8" ht="15.75" customHeight="1" x14ac:dyDescent="0.25">
      <c r="C163" s="85"/>
      <c r="H163" s="85"/>
    </row>
    <row r="164" spans="3:8" ht="15.75" customHeight="1" x14ac:dyDescent="0.25">
      <c r="C164" s="85"/>
      <c r="H164" s="85"/>
    </row>
    <row r="165" spans="3:8" ht="15.75" customHeight="1" x14ac:dyDescent="0.25">
      <c r="C165" s="85"/>
      <c r="H165" s="85"/>
    </row>
    <row r="166" spans="3:8" ht="15.75" customHeight="1" x14ac:dyDescent="0.25">
      <c r="C166" s="85"/>
      <c r="H166" s="85"/>
    </row>
    <row r="167" spans="3:8" ht="15.75" customHeight="1" x14ac:dyDescent="0.25">
      <c r="C167" s="85"/>
      <c r="H167" s="85"/>
    </row>
    <row r="168" spans="3:8" ht="15.75" customHeight="1" x14ac:dyDescent="0.25">
      <c r="C168" s="85"/>
      <c r="H168" s="85"/>
    </row>
    <row r="169" spans="3:8" ht="15.75" customHeight="1" x14ac:dyDescent="0.25">
      <c r="C169" s="85"/>
      <c r="H169" s="85"/>
    </row>
    <row r="170" spans="3:8" ht="15.75" customHeight="1" x14ac:dyDescent="0.25">
      <c r="C170" s="85"/>
      <c r="H170" s="85"/>
    </row>
    <row r="171" spans="3:8" ht="15.75" customHeight="1" x14ac:dyDescent="0.25">
      <c r="C171" s="85"/>
      <c r="H171" s="85"/>
    </row>
    <row r="172" spans="3:8" ht="15.75" customHeight="1" x14ac:dyDescent="0.25">
      <c r="C172" s="85"/>
      <c r="H172" s="85"/>
    </row>
    <row r="173" spans="3:8" ht="15.75" customHeight="1" x14ac:dyDescent="0.25">
      <c r="C173" s="85"/>
      <c r="H173" s="85"/>
    </row>
    <row r="174" spans="3:8" ht="15.75" customHeight="1" x14ac:dyDescent="0.25">
      <c r="C174" s="85"/>
      <c r="H174" s="85"/>
    </row>
    <row r="175" spans="3:8" ht="15.75" customHeight="1" x14ac:dyDescent="0.25">
      <c r="C175" s="85"/>
      <c r="H175" s="85"/>
    </row>
    <row r="176" spans="3:8" ht="15.75" customHeight="1" x14ac:dyDescent="0.25">
      <c r="C176" s="85"/>
      <c r="H176" s="85"/>
    </row>
    <row r="177" spans="3:8" ht="15.75" customHeight="1" x14ac:dyDescent="0.25">
      <c r="C177" s="85"/>
      <c r="H177" s="85"/>
    </row>
    <row r="178" spans="3:8" ht="15.75" customHeight="1" x14ac:dyDescent="0.25">
      <c r="C178" s="85"/>
      <c r="H178" s="85"/>
    </row>
    <row r="179" spans="3:8" ht="15.75" customHeight="1" x14ac:dyDescent="0.25">
      <c r="C179" s="85"/>
      <c r="H179" s="85"/>
    </row>
    <row r="180" spans="3:8" ht="15.75" customHeight="1" x14ac:dyDescent="0.25">
      <c r="C180" s="85"/>
      <c r="H180" s="85"/>
    </row>
    <row r="181" spans="3:8" ht="15.75" customHeight="1" x14ac:dyDescent="0.25">
      <c r="C181" s="85"/>
      <c r="H181" s="85"/>
    </row>
    <row r="182" spans="3:8" ht="15.75" customHeight="1" x14ac:dyDescent="0.25">
      <c r="C182" s="85"/>
      <c r="H182" s="85"/>
    </row>
    <row r="183" spans="3:8" ht="15.75" customHeight="1" x14ac:dyDescent="0.25">
      <c r="C183" s="85"/>
      <c r="H183" s="85"/>
    </row>
    <row r="184" spans="3:8" ht="15.75" customHeight="1" x14ac:dyDescent="0.25">
      <c r="C184" s="85"/>
      <c r="H184" s="85"/>
    </row>
    <row r="185" spans="3:8" ht="15.75" customHeight="1" x14ac:dyDescent="0.25">
      <c r="C185" s="85"/>
      <c r="H185" s="85"/>
    </row>
    <row r="186" spans="3:8" ht="15.75" customHeight="1" x14ac:dyDescent="0.25">
      <c r="C186" s="85"/>
      <c r="H186" s="85"/>
    </row>
    <row r="187" spans="3:8" ht="15.75" customHeight="1" x14ac:dyDescent="0.25">
      <c r="C187" s="85"/>
      <c r="H187" s="85"/>
    </row>
    <row r="188" spans="3:8" ht="15.75" customHeight="1" x14ac:dyDescent="0.25">
      <c r="C188" s="85"/>
      <c r="H188" s="85"/>
    </row>
    <row r="189" spans="3:8" ht="15.75" customHeight="1" x14ac:dyDescent="0.25">
      <c r="C189" s="85"/>
      <c r="H189" s="85"/>
    </row>
    <row r="190" spans="3:8" ht="15.75" customHeight="1" x14ac:dyDescent="0.25">
      <c r="C190" s="85"/>
      <c r="H190" s="85"/>
    </row>
    <row r="191" spans="3:8" ht="15.75" customHeight="1" x14ac:dyDescent="0.25">
      <c r="C191" s="85"/>
      <c r="H191" s="85"/>
    </row>
    <row r="192" spans="3:8" ht="15.75" customHeight="1" x14ac:dyDescent="0.25">
      <c r="C192" s="85"/>
      <c r="H192" s="85"/>
    </row>
    <row r="193" spans="3:8" ht="15.75" customHeight="1" x14ac:dyDescent="0.25">
      <c r="C193" s="85"/>
      <c r="H193" s="85"/>
    </row>
    <row r="194" spans="3:8" ht="15.75" customHeight="1" x14ac:dyDescent="0.25">
      <c r="C194" s="85"/>
      <c r="H194" s="85"/>
    </row>
    <row r="195" spans="3:8" ht="15.75" customHeight="1" x14ac:dyDescent="0.25">
      <c r="C195" s="85"/>
      <c r="H195" s="85"/>
    </row>
    <row r="196" spans="3:8" ht="15.75" customHeight="1" x14ac:dyDescent="0.25">
      <c r="C196" s="85"/>
      <c r="H196" s="85"/>
    </row>
    <row r="197" spans="3:8" ht="15.75" customHeight="1" x14ac:dyDescent="0.25">
      <c r="C197" s="85"/>
      <c r="H197" s="85"/>
    </row>
    <row r="198" spans="3:8" ht="15.75" customHeight="1" x14ac:dyDescent="0.25">
      <c r="C198" s="85"/>
      <c r="H198" s="85"/>
    </row>
    <row r="199" spans="3:8" ht="15.75" customHeight="1" x14ac:dyDescent="0.25">
      <c r="C199" s="85"/>
      <c r="H199" s="85"/>
    </row>
    <row r="200" spans="3:8" ht="15.75" customHeight="1" x14ac:dyDescent="0.25">
      <c r="C200" s="85"/>
      <c r="H200" s="85"/>
    </row>
    <row r="201" spans="3:8" ht="15.75" customHeight="1" x14ac:dyDescent="0.25">
      <c r="C201" s="85"/>
      <c r="H201" s="85"/>
    </row>
    <row r="202" spans="3:8" ht="15.75" customHeight="1" x14ac:dyDescent="0.25">
      <c r="C202" s="85"/>
      <c r="H202" s="85"/>
    </row>
    <row r="203" spans="3:8" ht="15.75" customHeight="1" x14ac:dyDescent="0.25">
      <c r="C203" s="85"/>
      <c r="H203" s="85"/>
    </row>
    <row r="204" spans="3:8" ht="15.75" customHeight="1" x14ac:dyDescent="0.25">
      <c r="C204" s="85"/>
      <c r="H204" s="85"/>
    </row>
    <row r="205" spans="3:8" ht="15.75" customHeight="1" x14ac:dyDescent="0.25">
      <c r="C205" s="85"/>
      <c r="H205" s="85"/>
    </row>
    <row r="206" spans="3:8" ht="15.75" customHeight="1" x14ac:dyDescent="0.25">
      <c r="C206" s="85"/>
      <c r="H206" s="85"/>
    </row>
    <row r="207" spans="3:8" ht="15.75" customHeight="1" x14ac:dyDescent="0.25">
      <c r="C207" s="85"/>
      <c r="H207" s="85"/>
    </row>
    <row r="208" spans="3:8" ht="15.75" customHeight="1" x14ac:dyDescent="0.25">
      <c r="C208" s="85"/>
      <c r="H208" s="85"/>
    </row>
    <row r="209" spans="3:8" ht="15.75" customHeight="1" x14ac:dyDescent="0.25">
      <c r="C209" s="85"/>
      <c r="H209" s="85"/>
    </row>
    <row r="210" spans="3:8" ht="15.75" customHeight="1" x14ac:dyDescent="0.25">
      <c r="C210" s="85"/>
      <c r="H210" s="85"/>
    </row>
    <row r="211" spans="3:8" ht="15.75" customHeight="1" x14ac:dyDescent="0.25">
      <c r="C211" s="85"/>
      <c r="H211" s="85"/>
    </row>
    <row r="212" spans="3:8" ht="15.75" customHeight="1" x14ac:dyDescent="0.25">
      <c r="C212" s="85"/>
      <c r="H212" s="85"/>
    </row>
    <row r="213" spans="3:8" ht="15.75" customHeight="1" x14ac:dyDescent="0.25">
      <c r="C213" s="85"/>
      <c r="H213" s="85"/>
    </row>
    <row r="214" spans="3:8" ht="15.75" customHeight="1" x14ac:dyDescent="0.25">
      <c r="C214" s="85"/>
      <c r="H214" s="85"/>
    </row>
    <row r="215" spans="3:8" ht="15.75" customHeight="1" x14ac:dyDescent="0.25">
      <c r="C215" s="85"/>
      <c r="H215" s="85"/>
    </row>
    <row r="216" spans="3:8" ht="15.75" customHeight="1" x14ac:dyDescent="0.25">
      <c r="C216" s="85"/>
      <c r="H216" s="85"/>
    </row>
    <row r="217" spans="3:8" ht="15.75" customHeight="1" x14ac:dyDescent="0.25">
      <c r="C217" s="85"/>
      <c r="H217" s="85"/>
    </row>
    <row r="218" spans="3:8" ht="15.75" customHeight="1" x14ac:dyDescent="0.25">
      <c r="C218" s="85"/>
      <c r="H218" s="85"/>
    </row>
    <row r="219" spans="3:8" ht="15.75" customHeight="1" x14ac:dyDescent="0.25">
      <c r="C219" s="85"/>
      <c r="H219" s="85"/>
    </row>
    <row r="220" spans="3:8" ht="15.75" customHeight="1" x14ac:dyDescent="0.25">
      <c r="C220" s="85"/>
      <c r="H220" s="85"/>
    </row>
    <row r="221" spans="3:8" ht="15.75" customHeight="1" x14ac:dyDescent="0.25">
      <c r="C221" s="85"/>
      <c r="H221" s="85"/>
    </row>
    <row r="222" spans="3:8" ht="15.75" customHeight="1" x14ac:dyDescent="0.25">
      <c r="C222" s="85"/>
      <c r="H222" s="85"/>
    </row>
    <row r="223" spans="3:8" ht="15.75" customHeight="1" x14ac:dyDescent="0.25">
      <c r="C223" s="85"/>
      <c r="H223" s="85"/>
    </row>
    <row r="224" spans="3:8" ht="15.75" customHeight="1" x14ac:dyDescent="0.25">
      <c r="C224" s="85"/>
      <c r="H224" s="85"/>
    </row>
    <row r="225" spans="3:8" ht="15.75" customHeight="1" x14ac:dyDescent="0.25">
      <c r="C225" s="85"/>
      <c r="H225" s="85"/>
    </row>
    <row r="226" spans="3:8" ht="15.75" customHeight="1" x14ac:dyDescent="0.25">
      <c r="C226" s="85"/>
      <c r="H226" s="85"/>
    </row>
    <row r="227" spans="3:8" ht="15.75" customHeight="1" x14ac:dyDescent="0.25">
      <c r="C227" s="85"/>
      <c r="H227" s="85"/>
    </row>
    <row r="228" spans="3:8" ht="15.75" customHeight="1" x14ac:dyDescent="0.25">
      <c r="C228" s="85"/>
      <c r="H228" s="85"/>
    </row>
    <row r="229" spans="3:8" ht="15.75" customHeight="1" x14ac:dyDescent="0.25">
      <c r="C229" s="85"/>
      <c r="H229" s="85"/>
    </row>
    <row r="230" spans="3:8" ht="15.75" customHeight="1" x14ac:dyDescent="0.25">
      <c r="C230" s="85"/>
      <c r="H230" s="85"/>
    </row>
    <row r="231" spans="3:8" ht="15.75" customHeight="1" x14ac:dyDescent="0.25">
      <c r="C231" s="85"/>
      <c r="H231" s="85"/>
    </row>
    <row r="232" spans="3:8" ht="15.75" customHeight="1" x14ac:dyDescent="0.25">
      <c r="C232" s="85"/>
      <c r="H232" s="85"/>
    </row>
    <row r="233" spans="3:8" ht="15.75" customHeight="1" x14ac:dyDescent="0.25">
      <c r="C233" s="85"/>
      <c r="H233" s="85"/>
    </row>
    <row r="234" spans="3:8" ht="15.75" customHeight="1" x14ac:dyDescent="0.25">
      <c r="C234" s="85"/>
      <c r="H234" s="85"/>
    </row>
    <row r="235" spans="3:8" ht="15.75" customHeight="1" x14ac:dyDescent="0.25">
      <c r="C235" s="85"/>
      <c r="H235" s="85"/>
    </row>
    <row r="236" spans="3:8" ht="15.75" customHeight="1" x14ac:dyDescent="0.25">
      <c r="C236" s="85"/>
      <c r="H236" s="85"/>
    </row>
    <row r="237" spans="3:8" ht="15.75" customHeight="1" x14ac:dyDescent="0.25">
      <c r="C237" s="85"/>
      <c r="H237" s="85"/>
    </row>
    <row r="238" spans="3:8" ht="15.75" customHeight="1" x14ac:dyDescent="0.25">
      <c r="C238" s="85"/>
      <c r="H238" s="85"/>
    </row>
    <row r="239" spans="3:8" ht="15.75" customHeight="1" x14ac:dyDescent="0.25">
      <c r="C239" s="85"/>
      <c r="H239" s="85"/>
    </row>
    <row r="240" spans="3:8" ht="15.75" customHeight="1" x14ac:dyDescent="0.25">
      <c r="C240" s="85"/>
      <c r="H240" s="85"/>
    </row>
    <row r="241" spans="3:8" ht="15.75" customHeight="1" x14ac:dyDescent="0.25">
      <c r="C241" s="85"/>
      <c r="H241" s="85"/>
    </row>
    <row r="242" spans="3:8" ht="15.75" customHeight="1" x14ac:dyDescent="0.25">
      <c r="C242" s="85"/>
      <c r="H242" s="85"/>
    </row>
    <row r="243" spans="3:8" ht="15.75" customHeight="1" x14ac:dyDescent="0.25">
      <c r="C243" s="85"/>
      <c r="H243" s="85"/>
    </row>
    <row r="244" spans="3:8" ht="15.75" customHeight="1" x14ac:dyDescent="0.25">
      <c r="C244" s="85"/>
      <c r="H244" s="85"/>
    </row>
    <row r="245" spans="3:8" ht="15.75" customHeight="1" x14ac:dyDescent="0.25">
      <c r="C245" s="85"/>
      <c r="H245" s="85"/>
    </row>
    <row r="246" spans="3:8" ht="15.75" customHeight="1" x14ac:dyDescent="0.25">
      <c r="C246" s="85"/>
      <c r="H246" s="85"/>
    </row>
    <row r="247" spans="3:8" ht="15.75" customHeight="1" x14ac:dyDescent="0.25">
      <c r="C247" s="85"/>
      <c r="H247" s="85"/>
    </row>
    <row r="248" spans="3:8" ht="15.75" customHeight="1" x14ac:dyDescent="0.25">
      <c r="C248" s="85"/>
      <c r="H248" s="85"/>
    </row>
    <row r="249" spans="3:8" ht="15.75" customHeight="1" x14ac:dyDescent="0.25">
      <c r="C249" s="85"/>
      <c r="H249" s="85"/>
    </row>
    <row r="250" spans="3:8" ht="15.75" customHeight="1" x14ac:dyDescent="0.25">
      <c r="C250" s="85"/>
      <c r="H250" s="85"/>
    </row>
    <row r="251" spans="3:8" ht="15.75" customHeight="1" x14ac:dyDescent="0.25">
      <c r="C251" s="85"/>
      <c r="H251" s="85"/>
    </row>
    <row r="252" spans="3:8" ht="15.75" customHeight="1" x14ac:dyDescent="0.25">
      <c r="C252" s="85"/>
      <c r="H252" s="85"/>
    </row>
    <row r="253" spans="3:8" ht="15.75" customHeight="1" x14ac:dyDescent="0.25">
      <c r="C253" s="85"/>
      <c r="H253" s="85"/>
    </row>
    <row r="254" spans="3:8" ht="15.75" customHeight="1" x14ac:dyDescent="0.25">
      <c r="C254" s="85"/>
      <c r="H254" s="85"/>
    </row>
    <row r="255" spans="3:8" ht="15.75" customHeight="1" x14ac:dyDescent="0.25">
      <c r="C255" s="85"/>
      <c r="H255" s="85"/>
    </row>
    <row r="256" spans="3:8" ht="15.75" customHeight="1" x14ac:dyDescent="0.25">
      <c r="C256" s="85"/>
      <c r="H256" s="85"/>
    </row>
    <row r="257" spans="3:8" ht="15.75" customHeight="1" x14ac:dyDescent="0.25">
      <c r="C257" s="85"/>
      <c r="H257" s="85"/>
    </row>
    <row r="258" spans="3:8" ht="15.75" customHeight="1" x14ac:dyDescent="0.25">
      <c r="C258" s="85"/>
      <c r="H258" s="85"/>
    </row>
    <row r="259" spans="3:8" ht="15.75" customHeight="1" x14ac:dyDescent="0.25">
      <c r="C259" s="85"/>
      <c r="H259" s="85"/>
    </row>
    <row r="260" spans="3:8" ht="15.75" customHeight="1" x14ac:dyDescent="0.25">
      <c r="C260" s="85"/>
      <c r="H260" s="85"/>
    </row>
    <row r="261" spans="3:8" ht="15.75" customHeight="1" x14ac:dyDescent="0.25">
      <c r="C261" s="85"/>
      <c r="H261" s="85"/>
    </row>
    <row r="262" spans="3:8" ht="15.75" customHeight="1" x14ac:dyDescent="0.25">
      <c r="C262" s="85"/>
      <c r="H262" s="85"/>
    </row>
    <row r="263" spans="3:8" ht="15.75" customHeight="1" x14ac:dyDescent="0.25">
      <c r="C263" s="85"/>
      <c r="H263" s="85"/>
    </row>
    <row r="264" spans="3:8" ht="15.75" customHeight="1" x14ac:dyDescent="0.25">
      <c r="C264" s="85"/>
      <c r="H264" s="85"/>
    </row>
    <row r="265" spans="3:8" ht="15.75" customHeight="1" x14ac:dyDescent="0.25">
      <c r="C265" s="85"/>
      <c r="H265" s="85"/>
    </row>
    <row r="266" spans="3:8" ht="15.75" customHeight="1" x14ac:dyDescent="0.25">
      <c r="C266" s="85"/>
      <c r="H266" s="85"/>
    </row>
    <row r="267" spans="3:8" ht="15.75" customHeight="1" x14ac:dyDescent="0.25">
      <c r="C267" s="85"/>
      <c r="H267" s="85"/>
    </row>
    <row r="268" spans="3:8" ht="15.75" customHeight="1" x14ac:dyDescent="0.25">
      <c r="C268" s="85"/>
      <c r="H268" s="85"/>
    </row>
    <row r="269" spans="3:8" ht="15.75" customHeight="1" x14ac:dyDescent="0.25">
      <c r="C269" s="85"/>
      <c r="H269" s="85"/>
    </row>
    <row r="270" spans="3:8" ht="15.75" customHeight="1" x14ac:dyDescent="0.25">
      <c r="C270" s="85"/>
      <c r="H270" s="85"/>
    </row>
    <row r="271" spans="3:8" ht="15.75" customHeight="1" x14ac:dyDescent="0.25">
      <c r="C271" s="85"/>
      <c r="H271" s="85"/>
    </row>
    <row r="272" spans="3:8" ht="15.75" customHeight="1" x14ac:dyDescent="0.25">
      <c r="C272" s="85"/>
      <c r="H272" s="85"/>
    </row>
    <row r="273" spans="3:8" ht="15.75" customHeight="1" x14ac:dyDescent="0.25">
      <c r="C273" s="85"/>
      <c r="H273" s="85"/>
    </row>
    <row r="274" spans="3:8" ht="15.75" customHeight="1" x14ac:dyDescent="0.25">
      <c r="C274" s="85"/>
      <c r="H274" s="85"/>
    </row>
    <row r="275" spans="3:8" ht="15.75" customHeight="1" x14ac:dyDescent="0.25">
      <c r="C275" s="85"/>
      <c r="H275" s="85"/>
    </row>
    <row r="276" spans="3:8" ht="15.75" customHeight="1" x14ac:dyDescent="0.25">
      <c r="C276" s="85"/>
      <c r="H276" s="85"/>
    </row>
    <row r="277" spans="3:8" ht="15.75" customHeight="1" x14ac:dyDescent="0.25">
      <c r="C277" s="85"/>
      <c r="H277" s="85"/>
    </row>
    <row r="278" spans="3:8" ht="15.75" customHeight="1" x14ac:dyDescent="0.25">
      <c r="C278" s="85"/>
      <c r="H278" s="85"/>
    </row>
    <row r="279" spans="3:8" ht="15.75" customHeight="1" x14ac:dyDescent="0.25">
      <c r="C279" s="85"/>
      <c r="H279" s="85"/>
    </row>
    <row r="280" spans="3:8" ht="15.75" customHeight="1" x14ac:dyDescent="0.25">
      <c r="C280" s="85"/>
      <c r="H280" s="85"/>
    </row>
    <row r="281" spans="3:8" ht="15.75" customHeight="1" x14ac:dyDescent="0.25">
      <c r="C281" s="85"/>
      <c r="H281" s="85"/>
    </row>
    <row r="282" spans="3:8" ht="15.75" customHeight="1" x14ac:dyDescent="0.25">
      <c r="C282" s="85"/>
      <c r="H282" s="85"/>
    </row>
    <row r="283" spans="3:8" ht="15.75" customHeight="1" x14ac:dyDescent="0.25">
      <c r="C283" s="85"/>
      <c r="H283" s="85"/>
    </row>
    <row r="284" spans="3:8" ht="15.75" customHeight="1" x14ac:dyDescent="0.25">
      <c r="C284" s="85"/>
      <c r="H284" s="85"/>
    </row>
    <row r="285" spans="3:8" ht="15.75" customHeight="1" x14ac:dyDescent="0.25">
      <c r="C285" s="85"/>
      <c r="H285" s="85"/>
    </row>
    <row r="286" spans="3:8" ht="15.75" customHeight="1" x14ac:dyDescent="0.25">
      <c r="C286" s="85"/>
      <c r="H286" s="85"/>
    </row>
    <row r="287" spans="3:8" ht="15.75" customHeight="1" x14ac:dyDescent="0.25">
      <c r="C287" s="85"/>
      <c r="H287" s="85"/>
    </row>
    <row r="288" spans="3:8" ht="15.75" customHeight="1" x14ac:dyDescent="0.25">
      <c r="C288" s="85"/>
      <c r="H288" s="85"/>
    </row>
    <row r="289" spans="3:8" ht="15.75" customHeight="1" x14ac:dyDescent="0.25">
      <c r="C289" s="85"/>
      <c r="H289" s="85"/>
    </row>
    <row r="290" spans="3:8" ht="15.75" customHeight="1" x14ac:dyDescent="0.25">
      <c r="C290" s="85"/>
      <c r="H290" s="85"/>
    </row>
    <row r="291" spans="3:8" ht="15.75" customHeight="1" x14ac:dyDescent="0.25">
      <c r="C291" s="85"/>
      <c r="H291" s="85"/>
    </row>
    <row r="292" spans="3:8" ht="15.75" customHeight="1" x14ac:dyDescent="0.25">
      <c r="C292" s="85"/>
      <c r="H292" s="85"/>
    </row>
    <row r="293" spans="3:8" ht="15.75" customHeight="1" x14ac:dyDescent="0.25">
      <c r="C293" s="85"/>
      <c r="H293" s="85"/>
    </row>
    <row r="294" spans="3:8" ht="15.75" customHeight="1" x14ac:dyDescent="0.25">
      <c r="C294" s="85"/>
      <c r="H294" s="85"/>
    </row>
    <row r="295" spans="3:8" ht="15.75" customHeight="1" x14ac:dyDescent="0.25">
      <c r="C295" s="85"/>
      <c r="H295" s="85"/>
    </row>
    <row r="296" spans="3:8" ht="15.75" customHeight="1" x14ac:dyDescent="0.25">
      <c r="C296" s="85"/>
      <c r="H296" s="85"/>
    </row>
    <row r="297" spans="3:8" ht="15.75" customHeight="1" x14ac:dyDescent="0.25">
      <c r="C297" s="85"/>
      <c r="H297" s="85"/>
    </row>
    <row r="298" spans="3:8" ht="15.75" customHeight="1" x14ac:dyDescent="0.25">
      <c r="C298" s="85"/>
      <c r="H298" s="85"/>
    </row>
    <row r="299" spans="3:8" ht="15.75" customHeight="1" x14ac:dyDescent="0.25">
      <c r="C299" s="85"/>
      <c r="H299" s="85"/>
    </row>
    <row r="300" spans="3:8" ht="15.75" customHeight="1" x14ac:dyDescent="0.25">
      <c r="C300" s="85"/>
      <c r="H300" s="85"/>
    </row>
    <row r="301" spans="3:8" ht="15.75" customHeight="1" x14ac:dyDescent="0.25">
      <c r="C301" s="85"/>
      <c r="H301" s="85"/>
    </row>
    <row r="302" spans="3:8" ht="15.75" customHeight="1" x14ac:dyDescent="0.25">
      <c r="C302" s="85"/>
      <c r="H302" s="85"/>
    </row>
    <row r="303" spans="3:8" ht="15.75" customHeight="1" x14ac:dyDescent="0.25">
      <c r="C303" s="85"/>
      <c r="H303" s="85"/>
    </row>
    <row r="304" spans="3:8" ht="15.75" customHeight="1" x14ac:dyDescent="0.25">
      <c r="C304" s="85"/>
      <c r="H304" s="85"/>
    </row>
    <row r="305" spans="3:8" ht="15.75" customHeight="1" x14ac:dyDescent="0.25">
      <c r="C305" s="85"/>
      <c r="H305" s="85"/>
    </row>
    <row r="306" spans="3:8" ht="15.75" customHeight="1" x14ac:dyDescent="0.25">
      <c r="C306" s="85"/>
      <c r="H306" s="85"/>
    </row>
    <row r="307" spans="3:8" ht="15.75" customHeight="1" x14ac:dyDescent="0.25">
      <c r="C307" s="85"/>
      <c r="H307" s="85"/>
    </row>
    <row r="308" spans="3:8" ht="15.75" customHeight="1" x14ac:dyDescent="0.25">
      <c r="C308" s="85"/>
      <c r="H308" s="85"/>
    </row>
    <row r="309" spans="3:8" ht="15.75" customHeight="1" x14ac:dyDescent="0.25">
      <c r="C309" s="85"/>
      <c r="H309" s="85"/>
    </row>
    <row r="310" spans="3:8" ht="15.75" customHeight="1" x14ac:dyDescent="0.25">
      <c r="C310" s="85"/>
      <c r="H310" s="85"/>
    </row>
    <row r="311" spans="3:8" ht="15.75" customHeight="1" x14ac:dyDescent="0.25">
      <c r="C311" s="85"/>
      <c r="H311" s="85"/>
    </row>
    <row r="312" spans="3:8" ht="15.75" customHeight="1" x14ac:dyDescent="0.25">
      <c r="C312" s="85"/>
      <c r="H312" s="85"/>
    </row>
    <row r="313" spans="3:8" ht="15.75" customHeight="1" x14ac:dyDescent="0.25">
      <c r="C313" s="85"/>
      <c r="H313" s="85"/>
    </row>
    <row r="314" spans="3:8" ht="15.75" customHeight="1" x14ac:dyDescent="0.25">
      <c r="C314" s="85"/>
      <c r="H314" s="85"/>
    </row>
    <row r="315" spans="3:8" ht="15.75" customHeight="1" x14ac:dyDescent="0.25">
      <c r="C315" s="85"/>
      <c r="H315" s="85"/>
    </row>
    <row r="316" spans="3:8" ht="15.75" customHeight="1" x14ac:dyDescent="0.25">
      <c r="C316" s="85"/>
      <c r="H316" s="85"/>
    </row>
    <row r="317" spans="3:8" ht="15.75" customHeight="1" x14ac:dyDescent="0.25">
      <c r="C317" s="85"/>
      <c r="H317" s="85"/>
    </row>
    <row r="318" spans="3:8" ht="15.75" customHeight="1" x14ac:dyDescent="0.25">
      <c r="C318" s="85"/>
      <c r="H318" s="85"/>
    </row>
    <row r="319" spans="3:8" ht="15.75" customHeight="1" x14ac:dyDescent="0.25">
      <c r="C319" s="85"/>
      <c r="H319" s="85"/>
    </row>
    <row r="320" spans="3:8" ht="15.75" customHeight="1" x14ac:dyDescent="0.25">
      <c r="C320" s="85"/>
      <c r="H320" s="85"/>
    </row>
    <row r="321" spans="3:8" ht="15.75" customHeight="1" x14ac:dyDescent="0.25">
      <c r="C321" s="85"/>
      <c r="H321" s="85"/>
    </row>
    <row r="322" spans="3:8" ht="15.75" customHeight="1" x14ac:dyDescent="0.25">
      <c r="C322" s="85"/>
      <c r="H322" s="85"/>
    </row>
    <row r="323" spans="3:8" ht="15.75" customHeight="1" x14ac:dyDescent="0.25">
      <c r="C323" s="85"/>
      <c r="H323" s="85"/>
    </row>
    <row r="324" spans="3:8" ht="15.75" customHeight="1" x14ac:dyDescent="0.25">
      <c r="C324" s="85"/>
      <c r="H324" s="85"/>
    </row>
    <row r="325" spans="3:8" ht="15.75" customHeight="1" x14ac:dyDescent="0.25">
      <c r="C325" s="85"/>
      <c r="H325" s="85"/>
    </row>
    <row r="326" spans="3:8" ht="15.75" customHeight="1" x14ac:dyDescent="0.25">
      <c r="C326" s="85"/>
      <c r="H326" s="85"/>
    </row>
    <row r="327" spans="3:8" ht="15.75" customHeight="1" x14ac:dyDescent="0.25">
      <c r="C327" s="85"/>
      <c r="H327" s="85"/>
    </row>
    <row r="328" spans="3:8" ht="15.75" customHeight="1" x14ac:dyDescent="0.25">
      <c r="C328" s="85"/>
      <c r="H328" s="85"/>
    </row>
    <row r="329" spans="3:8" ht="15.75" customHeight="1" x14ac:dyDescent="0.25">
      <c r="C329" s="85"/>
      <c r="H329" s="85"/>
    </row>
    <row r="330" spans="3:8" ht="15.75" customHeight="1" x14ac:dyDescent="0.25">
      <c r="C330" s="85"/>
      <c r="H330" s="85"/>
    </row>
    <row r="331" spans="3:8" ht="15.75" customHeight="1" x14ac:dyDescent="0.25">
      <c r="C331" s="85"/>
      <c r="H331" s="85"/>
    </row>
    <row r="332" spans="3:8" ht="15.75" customHeight="1" x14ac:dyDescent="0.25">
      <c r="C332" s="85"/>
      <c r="H332" s="85"/>
    </row>
    <row r="333" spans="3:8" ht="15.75" customHeight="1" x14ac:dyDescent="0.25">
      <c r="C333" s="85"/>
      <c r="H333" s="85"/>
    </row>
    <row r="334" spans="3:8" ht="15.75" customHeight="1" x14ac:dyDescent="0.25">
      <c r="C334" s="85"/>
      <c r="H334" s="85"/>
    </row>
    <row r="335" spans="3:8" ht="15.75" customHeight="1" x14ac:dyDescent="0.25">
      <c r="C335" s="85"/>
      <c r="H335" s="85"/>
    </row>
    <row r="336" spans="3:8" ht="15.75" customHeight="1" x14ac:dyDescent="0.25">
      <c r="C336" s="85"/>
      <c r="H336" s="85"/>
    </row>
    <row r="337" spans="3:8" ht="15.75" customHeight="1" x14ac:dyDescent="0.25">
      <c r="C337" s="85"/>
      <c r="H337" s="85"/>
    </row>
    <row r="338" spans="3:8" ht="15.75" customHeight="1" x14ac:dyDescent="0.25">
      <c r="C338" s="85"/>
      <c r="H338" s="85"/>
    </row>
    <row r="339" spans="3:8" ht="15.75" customHeight="1" x14ac:dyDescent="0.25">
      <c r="C339" s="85"/>
      <c r="H339" s="85"/>
    </row>
    <row r="340" spans="3:8" ht="15.75" customHeight="1" x14ac:dyDescent="0.25">
      <c r="C340" s="85"/>
      <c r="H340" s="85"/>
    </row>
    <row r="341" spans="3:8" ht="15.75" customHeight="1" x14ac:dyDescent="0.25">
      <c r="C341" s="85"/>
      <c r="H341" s="85"/>
    </row>
    <row r="342" spans="3:8" ht="15.75" customHeight="1" x14ac:dyDescent="0.25">
      <c r="C342" s="85"/>
      <c r="H342" s="85"/>
    </row>
    <row r="343" spans="3:8" ht="15.75" customHeight="1" x14ac:dyDescent="0.25">
      <c r="C343" s="85"/>
      <c r="H343" s="85"/>
    </row>
    <row r="344" spans="3:8" ht="15.75" customHeight="1" x14ac:dyDescent="0.25">
      <c r="C344" s="85"/>
      <c r="H344" s="85"/>
    </row>
    <row r="345" spans="3:8" ht="15.75" customHeight="1" x14ac:dyDescent="0.25">
      <c r="C345" s="85"/>
      <c r="H345" s="85"/>
    </row>
    <row r="346" spans="3:8" ht="15.75" customHeight="1" x14ac:dyDescent="0.25">
      <c r="C346" s="85"/>
      <c r="H346" s="85"/>
    </row>
    <row r="347" spans="3:8" ht="15.75" customHeight="1" x14ac:dyDescent="0.25">
      <c r="C347" s="85"/>
      <c r="H347" s="85"/>
    </row>
    <row r="348" spans="3:8" ht="15.75" customHeight="1" x14ac:dyDescent="0.25">
      <c r="C348" s="85"/>
      <c r="H348" s="85"/>
    </row>
    <row r="349" spans="3:8" ht="15.75" customHeight="1" x14ac:dyDescent="0.25">
      <c r="C349" s="85"/>
      <c r="H349" s="85"/>
    </row>
    <row r="350" spans="3:8" ht="15.75" customHeight="1" x14ac:dyDescent="0.25">
      <c r="C350" s="85"/>
      <c r="H350" s="85"/>
    </row>
    <row r="351" spans="3:8" ht="15.75" customHeight="1" x14ac:dyDescent="0.25">
      <c r="C351" s="85"/>
      <c r="H351" s="85"/>
    </row>
    <row r="352" spans="3:8" ht="15.75" customHeight="1" x14ac:dyDescent="0.25">
      <c r="C352" s="85"/>
      <c r="H352" s="85"/>
    </row>
    <row r="353" spans="3:8" ht="15.75" customHeight="1" x14ac:dyDescent="0.25">
      <c r="C353" s="85"/>
      <c r="H353" s="85"/>
    </row>
    <row r="354" spans="3:8" ht="15.75" customHeight="1" x14ac:dyDescent="0.25">
      <c r="C354" s="85"/>
      <c r="H354" s="85"/>
    </row>
    <row r="355" spans="3:8" ht="15.75" customHeight="1" x14ac:dyDescent="0.25">
      <c r="C355" s="85"/>
      <c r="H355" s="85"/>
    </row>
    <row r="356" spans="3:8" ht="15.75" customHeight="1" x14ac:dyDescent="0.25">
      <c r="C356" s="85"/>
      <c r="H356" s="85"/>
    </row>
    <row r="357" spans="3:8" ht="15.75" customHeight="1" x14ac:dyDescent="0.25">
      <c r="C357" s="85"/>
      <c r="H357" s="85"/>
    </row>
    <row r="358" spans="3:8" ht="15.75" customHeight="1" x14ac:dyDescent="0.25">
      <c r="C358" s="85"/>
      <c r="H358" s="85"/>
    </row>
    <row r="359" spans="3:8" ht="15.75" customHeight="1" x14ac:dyDescent="0.25">
      <c r="C359" s="85"/>
      <c r="H359" s="85"/>
    </row>
    <row r="360" spans="3:8" ht="15.75" customHeight="1" x14ac:dyDescent="0.25">
      <c r="C360" s="85"/>
      <c r="H360" s="85"/>
    </row>
    <row r="361" spans="3:8" ht="15.75" customHeight="1" x14ac:dyDescent="0.25">
      <c r="C361" s="85"/>
      <c r="H361" s="85"/>
    </row>
    <row r="362" spans="3:8" ht="15.75" customHeight="1" x14ac:dyDescent="0.25">
      <c r="C362" s="85"/>
      <c r="H362" s="85"/>
    </row>
    <row r="363" spans="3:8" ht="15.75" customHeight="1" x14ac:dyDescent="0.25">
      <c r="C363" s="85"/>
      <c r="H363" s="85"/>
    </row>
    <row r="364" spans="3:8" ht="15.75" customHeight="1" x14ac:dyDescent="0.25">
      <c r="C364" s="85"/>
      <c r="H364" s="85"/>
    </row>
    <row r="365" spans="3:8" ht="15.75" customHeight="1" x14ac:dyDescent="0.25">
      <c r="C365" s="85"/>
      <c r="H365" s="85"/>
    </row>
    <row r="366" spans="3:8" ht="15.75" customHeight="1" x14ac:dyDescent="0.25">
      <c r="C366" s="85"/>
      <c r="H366" s="85"/>
    </row>
    <row r="367" spans="3:8" ht="15.75" customHeight="1" x14ac:dyDescent="0.25">
      <c r="C367" s="85"/>
      <c r="H367" s="85"/>
    </row>
    <row r="368" spans="3:8" ht="15.75" customHeight="1" x14ac:dyDescent="0.25">
      <c r="C368" s="85"/>
      <c r="H368" s="85"/>
    </row>
    <row r="369" spans="3:8" ht="15.75" customHeight="1" x14ac:dyDescent="0.25">
      <c r="C369" s="85"/>
      <c r="H369" s="85"/>
    </row>
    <row r="370" spans="3:8" ht="15.75" customHeight="1" x14ac:dyDescent="0.25">
      <c r="C370" s="85"/>
      <c r="H370" s="85"/>
    </row>
    <row r="371" spans="3:8" ht="15.75" customHeight="1" x14ac:dyDescent="0.25">
      <c r="C371" s="85"/>
      <c r="H371" s="85"/>
    </row>
    <row r="372" spans="3:8" ht="15.75" customHeight="1" x14ac:dyDescent="0.25">
      <c r="C372" s="85"/>
      <c r="H372" s="85"/>
    </row>
    <row r="373" spans="3:8" ht="15.75" customHeight="1" x14ac:dyDescent="0.25">
      <c r="C373" s="85"/>
      <c r="H373" s="85"/>
    </row>
    <row r="374" spans="3:8" ht="15.75" customHeight="1" x14ac:dyDescent="0.25">
      <c r="C374" s="85"/>
      <c r="H374" s="85"/>
    </row>
    <row r="375" spans="3:8" ht="15.75" customHeight="1" x14ac:dyDescent="0.25">
      <c r="C375" s="85"/>
      <c r="H375" s="85"/>
    </row>
    <row r="376" spans="3:8" ht="15.75" customHeight="1" x14ac:dyDescent="0.25">
      <c r="C376" s="85"/>
      <c r="H376" s="85"/>
    </row>
    <row r="377" spans="3:8" ht="15.75" customHeight="1" x14ac:dyDescent="0.25">
      <c r="C377" s="85"/>
      <c r="H377" s="85"/>
    </row>
    <row r="378" spans="3:8" ht="15.75" customHeight="1" x14ac:dyDescent="0.25">
      <c r="C378" s="85"/>
      <c r="H378" s="85"/>
    </row>
    <row r="379" spans="3:8" ht="15.75" customHeight="1" x14ac:dyDescent="0.25">
      <c r="C379" s="85"/>
      <c r="H379" s="85"/>
    </row>
    <row r="380" spans="3:8" ht="15.75" customHeight="1" x14ac:dyDescent="0.25">
      <c r="C380" s="85"/>
      <c r="H380" s="85"/>
    </row>
    <row r="381" spans="3:8" ht="15.75" customHeight="1" x14ac:dyDescent="0.25">
      <c r="C381" s="85"/>
      <c r="H381" s="85"/>
    </row>
    <row r="382" spans="3:8" ht="15.75" customHeight="1" x14ac:dyDescent="0.25">
      <c r="C382" s="85"/>
      <c r="H382" s="85"/>
    </row>
    <row r="383" spans="3:8" ht="15.75" customHeight="1" x14ac:dyDescent="0.25">
      <c r="C383" s="85"/>
      <c r="H383" s="85"/>
    </row>
    <row r="384" spans="3:8" ht="15.75" customHeight="1" x14ac:dyDescent="0.25">
      <c r="C384" s="85"/>
      <c r="H384" s="85"/>
    </row>
    <row r="385" spans="3:8" ht="15.75" customHeight="1" x14ac:dyDescent="0.25">
      <c r="C385" s="85"/>
      <c r="H385" s="85"/>
    </row>
    <row r="386" spans="3:8" ht="15.75" customHeight="1" x14ac:dyDescent="0.25">
      <c r="C386" s="85"/>
      <c r="H386" s="85"/>
    </row>
    <row r="387" spans="3:8" ht="15.75" customHeight="1" x14ac:dyDescent="0.25">
      <c r="C387" s="85"/>
      <c r="H387" s="85"/>
    </row>
    <row r="388" spans="3:8" ht="15.75" customHeight="1" x14ac:dyDescent="0.25">
      <c r="C388" s="85"/>
      <c r="H388" s="85"/>
    </row>
    <row r="389" spans="3:8" ht="15.75" customHeight="1" x14ac:dyDescent="0.25">
      <c r="C389" s="85"/>
      <c r="H389" s="85"/>
    </row>
    <row r="390" spans="3:8" ht="15.75" customHeight="1" x14ac:dyDescent="0.25">
      <c r="C390" s="85"/>
      <c r="H390" s="85"/>
    </row>
    <row r="391" spans="3:8" ht="15.75" customHeight="1" x14ac:dyDescent="0.25">
      <c r="C391" s="85"/>
      <c r="H391" s="85"/>
    </row>
    <row r="392" spans="3:8" ht="15.75" customHeight="1" x14ac:dyDescent="0.25">
      <c r="C392" s="85"/>
      <c r="H392" s="85"/>
    </row>
    <row r="393" spans="3:8" ht="15.75" customHeight="1" x14ac:dyDescent="0.25">
      <c r="C393" s="85"/>
      <c r="H393" s="85"/>
    </row>
    <row r="394" spans="3:8" ht="15.75" customHeight="1" x14ac:dyDescent="0.25">
      <c r="C394" s="85"/>
      <c r="H394" s="85"/>
    </row>
    <row r="395" spans="3:8" ht="15.75" customHeight="1" x14ac:dyDescent="0.25">
      <c r="C395" s="85"/>
      <c r="H395" s="85"/>
    </row>
    <row r="396" spans="3:8" ht="15.75" customHeight="1" x14ac:dyDescent="0.25">
      <c r="C396" s="85"/>
      <c r="H396" s="85"/>
    </row>
    <row r="397" spans="3:8" ht="15.75" customHeight="1" x14ac:dyDescent="0.25">
      <c r="C397" s="85"/>
      <c r="H397" s="85"/>
    </row>
    <row r="398" spans="3:8" ht="15.75" customHeight="1" x14ac:dyDescent="0.25">
      <c r="C398" s="85"/>
      <c r="H398" s="85"/>
    </row>
    <row r="399" spans="3:8" ht="15.75" customHeight="1" x14ac:dyDescent="0.25">
      <c r="C399" s="85"/>
      <c r="H399" s="85"/>
    </row>
    <row r="400" spans="3:8" ht="15.75" customHeight="1" x14ac:dyDescent="0.25">
      <c r="C400" s="85"/>
      <c r="H400" s="85"/>
    </row>
    <row r="401" spans="3:8" ht="15.75" customHeight="1" x14ac:dyDescent="0.25">
      <c r="C401" s="85"/>
      <c r="H401" s="85"/>
    </row>
    <row r="402" spans="3:8" ht="15.75" customHeight="1" x14ac:dyDescent="0.25">
      <c r="C402" s="85"/>
      <c r="H402" s="85"/>
    </row>
    <row r="403" spans="3:8" ht="15.75" customHeight="1" x14ac:dyDescent="0.25">
      <c r="C403" s="85"/>
      <c r="H403" s="85"/>
    </row>
    <row r="404" spans="3:8" ht="15.75" customHeight="1" x14ac:dyDescent="0.25">
      <c r="C404" s="85"/>
      <c r="H404" s="85"/>
    </row>
    <row r="405" spans="3:8" ht="15.75" customHeight="1" x14ac:dyDescent="0.25">
      <c r="C405" s="85"/>
      <c r="H405" s="85"/>
    </row>
    <row r="406" spans="3:8" ht="15.75" customHeight="1" x14ac:dyDescent="0.25">
      <c r="C406" s="85"/>
      <c r="H406" s="85"/>
    </row>
    <row r="407" spans="3:8" ht="15.75" customHeight="1" x14ac:dyDescent="0.25">
      <c r="C407" s="85"/>
      <c r="H407" s="85"/>
    </row>
    <row r="408" spans="3:8" ht="15.75" customHeight="1" x14ac:dyDescent="0.25">
      <c r="C408" s="85"/>
      <c r="H408" s="85"/>
    </row>
    <row r="409" spans="3:8" ht="15.75" customHeight="1" x14ac:dyDescent="0.25">
      <c r="C409" s="85"/>
      <c r="H409" s="85"/>
    </row>
    <row r="410" spans="3:8" ht="15.75" customHeight="1" x14ac:dyDescent="0.25">
      <c r="C410" s="85"/>
      <c r="H410" s="85"/>
    </row>
    <row r="411" spans="3:8" ht="15.75" customHeight="1" x14ac:dyDescent="0.25">
      <c r="C411" s="85"/>
      <c r="H411" s="85"/>
    </row>
    <row r="412" spans="3:8" ht="15.75" customHeight="1" x14ac:dyDescent="0.25">
      <c r="C412" s="85"/>
      <c r="H412" s="85"/>
    </row>
    <row r="413" spans="3:8" ht="15.75" customHeight="1" x14ac:dyDescent="0.25">
      <c r="C413" s="85"/>
      <c r="H413" s="85"/>
    </row>
    <row r="414" spans="3:8" ht="15.75" customHeight="1" x14ac:dyDescent="0.25">
      <c r="C414" s="85"/>
      <c r="H414" s="85"/>
    </row>
    <row r="415" spans="3:8" ht="15.75" customHeight="1" x14ac:dyDescent="0.25">
      <c r="C415" s="85"/>
      <c r="H415" s="85"/>
    </row>
    <row r="416" spans="3:8" ht="15.75" customHeight="1" x14ac:dyDescent="0.25">
      <c r="C416" s="85"/>
      <c r="H416" s="85"/>
    </row>
    <row r="417" spans="3:8" ht="15.75" customHeight="1" x14ac:dyDescent="0.25">
      <c r="C417" s="85"/>
      <c r="H417" s="85"/>
    </row>
    <row r="418" spans="3:8" ht="15.75" customHeight="1" x14ac:dyDescent="0.25">
      <c r="C418" s="85"/>
      <c r="H418" s="85"/>
    </row>
    <row r="419" spans="3:8" ht="15.75" customHeight="1" x14ac:dyDescent="0.25">
      <c r="C419" s="85"/>
      <c r="H419" s="85"/>
    </row>
    <row r="420" spans="3:8" ht="15.75" customHeight="1" x14ac:dyDescent="0.25">
      <c r="C420" s="85"/>
      <c r="H420" s="85"/>
    </row>
    <row r="421" spans="3:8" ht="15.75" customHeight="1" x14ac:dyDescent="0.25">
      <c r="C421" s="85"/>
      <c r="H421" s="85"/>
    </row>
    <row r="422" spans="3:8" ht="15.75" customHeight="1" x14ac:dyDescent="0.25">
      <c r="C422" s="85"/>
      <c r="H422" s="85"/>
    </row>
    <row r="423" spans="3:8" ht="15.75" customHeight="1" x14ac:dyDescent="0.25">
      <c r="C423" s="85"/>
      <c r="H423" s="85"/>
    </row>
    <row r="424" spans="3:8" ht="15.75" customHeight="1" x14ac:dyDescent="0.25">
      <c r="C424" s="85"/>
      <c r="H424" s="85"/>
    </row>
    <row r="425" spans="3:8" ht="15.75" customHeight="1" x14ac:dyDescent="0.25">
      <c r="C425" s="85"/>
      <c r="H425" s="85"/>
    </row>
    <row r="426" spans="3:8" ht="15.75" customHeight="1" x14ac:dyDescent="0.25">
      <c r="C426" s="85"/>
      <c r="H426" s="85"/>
    </row>
    <row r="427" spans="3:8" ht="15.75" customHeight="1" x14ac:dyDescent="0.25">
      <c r="C427" s="85"/>
      <c r="H427" s="85"/>
    </row>
    <row r="428" spans="3:8" ht="15.75" customHeight="1" x14ac:dyDescent="0.25">
      <c r="C428" s="85"/>
      <c r="H428" s="85"/>
    </row>
    <row r="429" spans="3:8" ht="15.75" customHeight="1" x14ac:dyDescent="0.25">
      <c r="C429" s="85"/>
      <c r="H429" s="85"/>
    </row>
    <row r="430" spans="3:8" ht="15.75" customHeight="1" x14ac:dyDescent="0.25">
      <c r="C430" s="85"/>
      <c r="H430" s="85"/>
    </row>
    <row r="431" spans="3:8" ht="15.75" customHeight="1" x14ac:dyDescent="0.25">
      <c r="C431" s="85"/>
      <c r="H431" s="85"/>
    </row>
    <row r="432" spans="3:8" ht="15.75" customHeight="1" x14ac:dyDescent="0.25">
      <c r="C432" s="85"/>
      <c r="H432" s="85"/>
    </row>
    <row r="433" spans="3:8" ht="15.75" customHeight="1" x14ac:dyDescent="0.25">
      <c r="C433" s="85"/>
      <c r="H433" s="85"/>
    </row>
    <row r="434" spans="3:8" ht="15.75" customHeight="1" x14ac:dyDescent="0.25">
      <c r="C434" s="85"/>
      <c r="H434" s="85"/>
    </row>
    <row r="435" spans="3:8" ht="15.75" customHeight="1" x14ac:dyDescent="0.25">
      <c r="C435" s="85"/>
      <c r="H435" s="85"/>
    </row>
    <row r="436" spans="3:8" ht="15.75" customHeight="1" x14ac:dyDescent="0.25">
      <c r="C436" s="85"/>
      <c r="H436" s="85"/>
    </row>
    <row r="437" spans="3:8" ht="15.75" customHeight="1" x14ac:dyDescent="0.25">
      <c r="C437" s="85"/>
      <c r="H437" s="85"/>
    </row>
    <row r="438" spans="3:8" ht="15.75" customHeight="1" x14ac:dyDescent="0.25">
      <c r="C438" s="85"/>
      <c r="H438" s="85"/>
    </row>
    <row r="439" spans="3:8" ht="15.75" customHeight="1" x14ac:dyDescent="0.25">
      <c r="C439" s="85"/>
      <c r="H439" s="85"/>
    </row>
    <row r="440" spans="3:8" ht="15.75" customHeight="1" x14ac:dyDescent="0.25">
      <c r="C440" s="85"/>
      <c r="H440" s="85"/>
    </row>
    <row r="441" spans="3:8" ht="15.75" customHeight="1" x14ac:dyDescent="0.25">
      <c r="C441" s="85"/>
      <c r="H441" s="85"/>
    </row>
    <row r="442" spans="3:8" ht="15.75" customHeight="1" x14ac:dyDescent="0.25">
      <c r="C442" s="85"/>
      <c r="H442" s="85"/>
    </row>
    <row r="443" spans="3:8" ht="15.75" customHeight="1" x14ac:dyDescent="0.25">
      <c r="C443" s="85"/>
      <c r="H443" s="85"/>
    </row>
    <row r="444" spans="3:8" ht="15.75" customHeight="1" x14ac:dyDescent="0.25">
      <c r="C444" s="85"/>
      <c r="H444" s="85"/>
    </row>
    <row r="445" spans="3:8" ht="15.75" customHeight="1" x14ac:dyDescent="0.25">
      <c r="C445" s="85"/>
      <c r="H445" s="85"/>
    </row>
    <row r="446" spans="3:8" ht="15.75" customHeight="1" x14ac:dyDescent="0.25">
      <c r="C446" s="85"/>
      <c r="H446" s="85"/>
    </row>
    <row r="447" spans="3:8" ht="15.75" customHeight="1" x14ac:dyDescent="0.25">
      <c r="C447" s="85"/>
      <c r="H447" s="85"/>
    </row>
    <row r="448" spans="3:8" ht="15.75" customHeight="1" x14ac:dyDescent="0.25">
      <c r="C448" s="85"/>
      <c r="H448" s="85"/>
    </row>
    <row r="449" spans="3:8" ht="15.75" customHeight="1" x14ac:dyDescent="0.25">
      <c r="C449" s="85"/>
      <c r="H449" s="85"/>
    </row>
    <row r="450" spans="3:8" ht="15.75" customHeight="1" x14ac:dyDescent="0.25">
      <c r="C450" s="85"/>
      <c r="H450" s="85"/>
    </row>
    <row r="451" spans="3:8" ht="15.75" customHeight="1" x14ac:dyDescent="0.25">
      <c r="C451" s="85"/>
      <c r="H451" s="85"/>
    </row>
    <row r="452" spans="3:8" ht="15.75" customHeight="1" x14ac:dyDescent="0.25">
      <c r="C452" s="85"/>
      <c r="H452" s="85"/>
    </row>
    <row r="453" spans="3:8" ht="15.75" customHeight="1" x14ac:dyDescent="0.25">
      <c r="C453" s="85"/>
      <c r="H453" s="85"/>
    </row>
    <row r="454" spans="3:8" ht="15.75" customHeight="1" x14ac:dyDescent="0.25">
      <c r="C454" s="85"/>
      <c r="H454" s="85"/>
    </row>
    <row r="455" spans="3:8" ht="15.75" customHeight="1" x14ac:dyDescent="0.25">
      <c r="C455" s="85"/>
      <c r="H455" s="85"/>
    </row>
    <row r="456" spans="3:8" ht="15.75" customHeight="1" x14ac:dyDescent="0.25">
      <c r="C456" s="85"/>
      <c r="H456" s="85"/>
    </row>
    <row r="457" spans="3:8" ht="15.75" customHeight="1" x14ac:dyDescent="0.25">
      <c r="C457" s="85"/>
      <c r="H457" s="85"/>
    </row>
    <row r="458" spans="3:8" ht="15.75" customHeight="1" x14ac:dyDescent="0.25">
      <c r="C458" s="85"/>
      <c r="H458" s="85"/>
    </row>
    <row r="459" spans="3:8" ht="15.75" customHeight="1" x14ac:dyDescent="0.25">
      <c r="C459" s="85"/>
      <c r="H459" s="85"/>
    </row>
    <row r="460" spans="3:8" ht="15.75" customHeight="1" x14ac:dyDescent="0.25">
      <c r="C460" s="85"/>
      <c r="H460" s="85"/>
    </row>
    <row r="461" spans="3:8" ht="15.75" customHeight="1" x14ac:dyDescent="0.25">
      <c r="C461" s="85"/>
      <c r="H461" s="85"/>
    </row>
    <row r="462" spans="3:8" ht="15.75" customHeight="1" x14ac:dyDescent="0.25">
      <c r="C462" s="85"/>
      <c r="H462" s="85"/>
    </row>
    <row r="463" spans="3:8" ht="15.75" customHeight="1" x14ac:dyDescent="0.25">
      <c r="C463" s="85"/>
      <c r="H463" s="85"/>
    </row>
    <row r="464" spans="3:8" ht="15.75" customHeight="1" x14ac:dyDescent="0.25">
      <c r="C464" s="85"/>
      <c r="H464" s="85"/>
    </row>
    <row r="465" spans="3:8" ht="15.75" customHeight="1" x14ac:dyDescent="0.25">
      <c r="C465" s="85"/>
      <c r="H465" s="85"/>
    </row>
    <row r="466" spans="3:8" ht="15.75" customHeight="1" x14ac:dyDescent="0.25">
      <c r="C466" s="85"/>
      <c r="H466" s="85"/>
    </row>
    <row r="467" spans="3:8" ht="15.75" customHeight="1" x14ac:dyDescent="0.25">
      <c r="C467" s="85"/>
      <c r="H467" s="85"/>
    </row>
    <row r="468" spans="3:8" ht="15.75" customHeight="1" x14ac:dyDescent="0.25">
      <c r="C468" s="85"/>
      <c r="H468" s="85"/>
    </row>
    <row r="469" spans="3:8" ht="15.75" customHeight="1" x14ac:dyDescent="0.25">
      <c r="C469" s="85"/>
      <c r="H469" s="85"/>
    </row>
    <row r="470" spans="3:8" ht="15.75" customHeight="1" x14ac:dyDescent="0.25">
      <c r="C470" s="85"/>
      <c r="H470" s="85"/>
    </row>
    <row r="471" spans="3:8" ht="15.75" customHeight="1" x14ac:dyDescent="0.25">
      <c r="C471" s="85"/>
      <c r="H471" s="85"/>
    </row>
    <row r="472" spans="3:8" ht="15.75" customHeight="1" x14ac:dyDescent="0.25">
      <c r="C472" s="85"/>
      <c r="H472" s="85"/>
    </row>
    <row r="473" spans="3:8" ht="15.75" customHeight="1" x14ac:dyDescent="0.25">
      <c r="C473" s="85"/>
      <c r="H473" s="85"/>
    </row>
    <row r="474" spans="3:8" ht="15.75" customHeight="1" x14ac:dyDescent="0.25">
      <c r="C474" s="85"/>
      <c r="H474" s="85"/>
    </row>
    <row r="475" spans="3:8" ht="15.75" customHeight="1" x14ac:dyDescent="0.25">
      <c r="C475" s="85"/>
      <c r="H475" s="85"/>
    </row>
    <row r="476" spans="3:8" ht="15.75" customHeight="1" x14ac:dyDescent="0.25">
      <c r="C476" s="85"/>
      <c r="H476" s="85"/>
    </row>
    <row r="477" spans="3:8" ht="15.75" customHeight="1" x14ac:dyDescent="0.25">
      <c r="C477" s="85"/>
      <c r="H477" s="85"/>
    </row>
    <row r="478" spans="3:8" ht="15.75" customHeight="1" x14ac:dyDescent="0.25">
      <c r="C478" s="85"/>
      <c r="H478" s="85"/>
    </row>
    <row r="479" spans="3:8" ht="15.75" customHeight="1" x14ac:dyDescent="0.25">
      <c r="C479" s="85"/>
      <c r="H479" s="85"/>
    </row>
    <row r="480" spans="3:8" ht="15.75" customHeight="1" x14ac:dyDescent="0.25">
      <c r="C480" s="85"/>
      <c r="H480" s="85"/>
    </row>
    <row r="481" spans="3:8" ht="15.75" customHeight="1" x14ac:dyDescent="0.25">
      <c r="C481" s="85"/>
      <c r="H481" s="85"/>
    </row>
    <row r="482" spans="3:8" ht="15.75" customHeight="1" x14ac:dyDescent="0.25">
      <c r="C482" s="85"/>
      <c r="H482" s="85"/>
    </row>
    <row r="483" spans="3:8" ht="15.75" customHeight="1" x14ac:dyDescent="0.25">
      <c r="C483" s="85"/>
      <c r="H483" s="85"/>
    </row>
    <row r="484" spans="3:8" ht="15.75" customHeight="1" x14ac:dyDescent="0.25">
      <c r="C484" s="85"/>
      <c r="H484" s="85"/>
    </row>
    <row r="485" spans="3:8" ht="15.75" customHeight="1" x14ac:dyDescent="0.25">
      <c r="C485" s="85"/>
      <c r="H485" s="85"/>
    </row>
    <row r="486" spans="3:8" ht="15.75" customHeight="1" x14ac:dyDescent="0.25">
      <c r="C486" s="85"/>
      <c r="H486" s="85"/>
    </row>
    <row r="487" spans="3:8" ht="15.75" customHeight="1" x14ac:dyDescent="0.25">
      <c r="C487" s="85"/>
      <c r="H487" s="85"/>
    </row>
    <row r="488" spans="3:8" ht="15.75" customHeight="1" x14ac:dyDescent="0.25">
      <c r="C488" s="85"/>
      <c r="H488" s="85"/>
    </row>
    <row r="489" spans="3:8" ht="15.75" customHeight="1" x14ac:dyDescent="0.25">
      <c r="C489" s="85"/>
      <c r="H489" s="85"/>
    </row>
    <row r="490" spans="3:8" ht="15.75" customHeight="1" x14ac:dyDescent="0.25">
      <c r="C490" s="85"/>
      <c r="H490" s="85"/>
    </row>
    <row r="491" spans="3:8" ht="15.75" customHeight="1" x14ac:dyDescent="0.25">
      <c r="C491" s="85"/>
      <c r="H491" s="85"/>
    </row>
    <row r="492" spans="3:8" ht="15.75" customHeight="1" x14ac:dyDescent="0.25">
      <c r="C492" s="85"/>
      <c r="H492" s="85"/>
    </row>
    <row r="493" spans="3:8" ht="15.75" customHeight="1" x14ac:dyDescent="0.25">
      <c r="C493" s="85"/>
      <c r="H493" s="85"/>
    </row>
    <row r="494" spans="3:8" ht="15.75" customHeight="1" x14ac:dyDescent="0.25">
      <c r="C494" s="85"/>
      <c r="H494" s="85"/>
    </row>
    <row r="495" spans="3:8" ht="15.75" customHeight="1" x14ac:dyDescent="0.25">
      <c r="C495" s="85"/>
      <c r="H495" s="85"/>
    </row>
    <row r="496" spans="3:8" ht="15.75" customHeight="1" x14ac:dyDescent="0.25">
      <c r="C496" s="85"/>
      <c r="H496" s="85"/>
    </row>
    <row r="497" spans="3:8" ht="15.75" customHeight="1" x14ac:dyDescent="0.25">
      <c r="C497" s="85"/>
      <c r="H497" s="85"/>
    </row>
    <row r="498" spans="3:8" ht="15.75" customHeight="1" x14ac:dyDescent="0.25">
      <c r="C498" s="85"/>
      <c r="H498" s="85"/>
    </row>
    <row r="499" spans="3:8" ht="15.75" customHeight="1" x14ac:dyDescent="0.25">
      <c r="C499" s="85"/>
      <c r="H499" s="85"/>
    </row>
    <row r="500" spans="3:8" ht="15.75" customHeight="1" x14ac:dyDescent="0.25">
      <c r="C500" s="85"/>
      <c r="H500" s="85"/>
    </row>
    <row r="501" spans="3:8" ht="15.75" customHeight="1" x14ac:dyDescent="0.25">
      <c r="C501" s="85"/>
      <c r="H501" s="85"/>
    </row>
    <row r="502" spans="3:8" ht="15.75" customHeight="1" x14ac:dyDescent="0.25">
      <c r="C502" s="85"/>
      <c r="H502" s="85"/>
    </row>
    <row r="503" spans="3:8" ht="15.75" customHeight="1" x14ac:dyDescent="0.25">
      <c r="C503" s="85"/>
      <c r="H503" s="85"/>
    </row>
    <row r="504" spans="3:8" ht="15.75" customHeight="1" x14ac:dyDescent="0.25">
      <c r="C504" s="85"/>
      <c r="H504" s="85"/>
    </row>
    <row r="505" spans="3:8" ht="15.75" customHeight="1" x14ac:dyDescent="0.25">
      <c r="C505" s="85"/>
      <c r="H505" s="85"/>
    </row>
    <row r="506" spans="3:8" ht="15.75" customHeight="1" x14ac:dyDescent="0.25">
      <c r="C506" s="85"/>
      <c r="H506" s="85"/>
    </row>
    <row r="507" spans="3:8" ht="15.75" customHeight="1" x14ac:dyDescent="0.25">
      <c r="C507" s="85"/>
      <c r="H507" s="85"/>
    </row>
    <row r="508" spans="3:8" ht="15.75" customHeight="1" x14ac:dyDescent="0.25">
      <c r="C508" s="85"/>
      <c r="H508" s="85"/>
    </row>
    <row r="509" spans="3:8" ht="15.75" customHeight="1" x14ac:dyDescent="0.25">
      <c r="C509" s="85"/>
      <c r="H509" s="85"/>
    </row>
    <row r="510" spans="3:8" ht="15.75" customHeight="1" x14ac:dyDescent="0.25">
      <c r="C510" s="85"/>
      <c r="H510" s="85"/>
    </row>
    <row r="511" spans="3:8" ht="15.75" customHeight="1" x14ac:dyDescent="0.25">
      <c r="C511" s="85"/>
      <c r="H511" s="85"/>
    </row>
    <row r="512" spans="3:8" ht="15.75" customHeight="1" x14ac:dyDescent="0.25">
      <c r="C512" s="85"/>
      <c r="H512" s="85"/>
    </row>
    <row r="513" spans="3:8" ht="15.75" customHeight="1" x14ac:dyDescent="0.25">
      <c r="C513" s="85"/>
      <c r="H513" s="85"/>
    </row>
    <row r="514" spans="3:8" ht="15.75" customHeight="1" x14ac:dyDescent="0.25">
      <c r="C514" s="85"/>
      <c r="H514" s="85"/>
    </row>
    <row r="515" spans="3:8" ht="15.75" customHeight="1" x14ac:dyDescent="0.25">
      <c r="C515" s="85"/>
      <c r="H515" s="85"/>
    </row>
    <row r="516" spans="3:8" ht="15.75" customHeight="1" x14ac:dyDescent="0.25">
      <c r="C516" s="85"/>
      <c r="H516" s="85"/>
    </row>
    <row r="517" spans="3:8" ht="15.75" customHeight="1" x14ac:dyDescent="0.25">
      <c r="C517" s="85"/>
      <c r="H517" s="85"/>
    </row>
    <row r="518" spans="3:8" ht="15.75" customHeight="1" x14ac:dyDescent="0.25">
      <c r="C518" s="85"/>
      <c r="H518" s="85"/>
    </row>
    <row r="519" spans="3:8" ht="15.75" customHeight="1" x14ac:dyDescent="0.25">
      <c r="C519" s="85"/>
      <c r="H519" s="85"/>
    </row>
    <row r="520" spans="3:8" ht="15.75" customHeight="1" x14ac:dyDescent="0.25">
      <c r="C520" s="85"/>
      <c r="H520" s="85"/>
    </row>
    <row r="521" spans="3:8" ht="15.75" customHeight="1" x14ac:dyDescent="0.25">
      <c r="C521" s="85"/>
      <c r="H521" s="85"/>
    </row>
    <row r="522" spans="3:8" ht="15.75" customHeight="1" x14ac:dyDescent="0.25">
      <c r="C522" s="85"/>
      <c r="H522" s="85"/>
    </row>
    <row r="523" spans="3:8" ht="15.75" customHeight="1" x14ac:dyDescent="0.25">
      <c r="C523" s="85"/>
      <c r="H523" s="85"/>
    </row>
    <row r="524" spans="3:8" ht="15.75" customHeight="1" x14ac:dyDescent="0.25">
      <c r="C524" s="85"/>
      <c r="H524" s="85"/>
    </row>
    <row r="525" spans="3:8" ht="15.75" customHeight="1" x14ac:dyDescent="0.25">
      <c r="C525" s="85"/>
      <c r="H525" s="85"/>
    </row>
    <row r="526" spans="3:8" ht="15.75" customHeight="1" x14ac:dyDescent="0.25">
      <c r="C526" s="85"/>
      <c r="H526" s="85"/>
    </row>
    <row r="527" spans="3:8" ht="15.75" customHeight="1" x14ac:dyDescent="0.25">
      <c r="C527" s="85"/>
      <c r="H527" s="85"/>
    </row>
    <row r="528" spans="3:8" ht="15.75" customHeight="1" x14ac:dyDescent="0.25">
      <c r="C528" s="85"/>
      <c r="H528" s="85"/>
    </row>
    <row r="529" spans="3:8" ht="15.75" customHeight="1" x14ac:dyDescent="0.25">
      <c r="C529" s="85"/>
      <c r="H529" s="85"/>
    </row>
    <row r="530" spans="3:8" ht="15.75" customHeight="1" x14ac:dyDescent="0.25">
      <c r="C530" s="85"/>
      <c r="H530" s="85"/>
    </row>
    <row r="531" spans="3:8" ht="15.75" customHeight="1" x14ac:dyDescent="0.25">
      <c r="C531" s="85"/>
      <c r="H531" s="85"/>
    </row>
    <row r="532" spans="3:8" ht="15.75" customHeight="1" x14ac:dyDescent="0.25">
      <c r="C532" s="85"/>
      <c r="H532" s="85"/>
    </row>
    <row r="533" spans="3:8" ht="15.75" customHeight="1" x14ac:dyDescent="0.25">
      <c r="C533" s="85"/>
      <c r="H533" s="85"/>
    </row>
    <row r="534" spans="3:8" ht="15.75" customHeight="1" x14ac:dyDescent="0.25">
      <c r="C534" s="85"/>
      <c r="H534" s="85"/>
    </row>
    <row r="535" spans="3:8" ht="15.75" customHeight="1" x14ac:dyDescent="0.25">
      <c r="C535" s="85"/>
      <c r="H535" s="85"/>
    </row>
    <row r="536" spans="3:8" ht="15.75" customHeight="1" x14ac:dyDescent="0.25">
      <c r="C536" s="85"/>
      <c r="H536" s="85"/>
    </row>
    <row r="537" spans="3:8" ht="15.75" customHeight="1" x14ac:dyDescent="0.25">
      <c r="C537" s="85"/>
      <c r="H537" s="85"/>
    </row>
    <row r="538" spans="3:8" ht="15.75" customHeight="1" x14ac:dyDescent="0.25">
      <c r="C538" s="85"/>
      <c r="H538" s="85"/>
    </row>
    <row r="539" spans="3:8" ht="15.75" customHeight="1" x14ac:dyDescent="0.25">
      <c r="C539" s="85"/>
      <c r="H539" s="85"/>
    </row>
    <row r="540" spans="3:8" ht="15.75" customHeight="1" x14ac:dyDescent="0.25">
      <c r="C540" s="85"/>
      <c r="H540" s="85"/>
    </row>
    <row r="541" spans="3:8" ht="15.75" customHeight="1" x14ac:dyDescent="0.25">
      <c r="C541" s="85"/>
      <c r="H541" s="85"/>
    </row>
    <row r="542" spans="3:8" ht="15.75" customHeight="1" x14ac:dyDescent="0.25">
      <c r="C542" s="85"/>
      <c r="H542" s="85"/>
    </row>
    <row r="543" spans="3:8" ht="15.75" customHeight="1" x14ac:dyDescent="0.25">
      <c r="C543" s="85"/>
      <c r="H543" s="85"/>
    </row>
    <row r="544" spans="3:8" ht="15.75" customHeight="1" x14ac:dyDescent="0.25">
      <c r="C544" s="85"/>
      <c r="H544" s="85"/>
    </row>
    <row r="545" spans="3:8" ht="15.75" customHeight="1" x14ac:dyDescent="0.25">
      <c r="C545" s="85"/>
      <c r="H545" s="85"/>
    </row>
    <row r="546" spans="3:8" ht="15.75" customHeight="1" x14ac:dyDescent="0.25">
      <c r="C546" s="85"/>
      <c r="H546" s="85"/>
    </row>
    <row r="547" spans="3:8" ht="15.75" customHeight="1" x14ac:dyDescent="0.25">
      <c r="C547" s="85"/>
      <c r="H547" s="85"/>
    </row>
    <row r="548" spans="3:8" ht="15.75" customHeight="1" x14ac:dyDescent="0.25">
      <c r="C548" s="85"/>
      <c r="H548" s="85"/>
    </row>
    <row r="549" spans="3:8" ht="15.75" customHeight="1" x14ac:dyDescent="0.25">
      <c r="C549" s="85"/>
      <c r="H549" s="85"/>
    </row>
    <row r="550" spans="3:8" ht="15.75" customHeight="1" x14ac:dyDescent="0.25">
      <c r="C550" s="85"/>
      <c r="H550" s="85"/>
    </row>
    <row r="551" spans="3:8" ht="15.75" customHeight="1" x14ac:dyDescent="0.25">
      <c r="C551" s="85"/>
      <c r="H551" s="85"/>
    </row>
    <row r="552" spans="3:8" ht="15.75" customHeight="1" x14ac:dyDescent="0.25">
      <c r="C552" s="85"/>
      <c r="H552" s="85"/>
    </row>
    <row r="553" spans="3:8" ht="15.75" customHeight="1" x14ac:dyDescent="0.25">
      <c r="C553" s="85"/>
      <c r="H553" s="85"/>
    </row>
    <row r="554" spans="3:8" ht="15.75" customHeight="1" x14ac:dyDescent="0.25">
      <c r="C554" s="85"/>
      <c r="H554" s="85"/>
    </row>
    <row r="555" spans="3:8" ht="15.75" customHeight="1" x14ac:dyDescent="0.25">
      <c r="C555" s="85"/>
      <c r="H555" s="85"/>
    </row>
    <row r="556" spans="3:8" ht="15.75" customHeight="1" x14ac:dyDescent="0.25">
      <c r="C556" s="85"/>
      <c r="H556" s="85"/>
    </row>
    <row r="557" spans="3:8" ht="15.75" customHeight="1" x14ac:dyDescent="0.25">
      <c r="C557" s="85"/>
      <c r="H557" s="85"/>
    </row>
    <row r="558" spans="3:8" ht="15.75" customHeight="1" x14ac:dyDescent="0.25">
      <c r="C558" s="85"/>
      <c r="H558" s="85"/>
    </row>
    <row r="559" spans="3:8" ht="15.75" customHeight="1" x14ac:dyDescent="0.25">
      <c r="C559" s="85"/>
      <c r="H559" s="85"/>
    </row>
    <row r="560" spans="3:8" ht="15.75" customHeight="1" x14ac:dyDescent="0.25">
      <c r="C560" s="85"/>
      <c r="H560" s="85"/>
    </row>
    <row r="561" spans="3:8" ht="15.75" customHeight="1" x14ac:dyDescent="0.25">
      <c r="C561" s="85"/>
      <c r="H561" s="85"/>
    </row>
    <row r="562" spans="3:8" ht="15.75" customHeight="1" x14ac:dyDescent="0.25">
      <c r="C562" s="85"/>
      <c r="H562" s="85"/>
    </row>
    <row r="563" spans="3:8" ht="15.75" customHeight="1" x14ac:dyDescent="0.25">
      <c r="C563" s="85"/>
      <c r="H563" s="85"/>
    </row>
    <row r="564" spans="3:8" ht="15.75" customHeight="1" x14ac:dyDescent="0.25">
      <c r="C564" s="85"/>
      <c r="H564" s="85"/>
    </row>
    <row r="565" spans="3:8" ht="15.75" customHeight="1" x14ac:dyDescent="0.25">
      <c r="C565" s="85"/>
      <c r="H565" s="85"/>
    </row>
    <row r="566" spans="3:8" ht="15.75" customHeight="1" x14ac:dyDescent="0.25">
      <c r="C566" s="85"/>
      <c r="H566" s="85"/>
    </row>
    <row r="567" spans="3:8" ht="15.75" customHeight="1" x14ac:dyDescent="0.25">
      <c r="C567" s="85"/>
      <c r="H567" s="85"/>
    </row>
    <row r="568" spans="3:8" ht="15.75" customHeight="1" x14ac:dyDescent="0.25">
      <c r="C568" s="85"/>
      <c r="H568" s="85"/>
    </row>
    <row r="569" spans="3:8" ht="15.75" customHeight="1" x14ac:dyDescent="0.25">
      <c r="C569" s="85"/>
      <c r="H569" s="85"/>
    </row>
    <row r="570" spans="3:8" ht="15.75" customHeight="1" x14ac:dyDescent="0.25">
      <c r="C570" s="85"/>
      <c r="H570" s="85"/>
    </row>
    <row r="571" spans="3:8" ht="15.75" customHeight="1" x14ac:dyDescent="0.25">
      <c r="C571" s="85"/>
      <c r="H571" s="85"/>
    </row>
    <row r="572" spans="3:8" ht="15.75" customHeight="1" x14ac:dyDescent="0.25">
      <c r="C572" s="85"/>
      <c r="H572" s="85"/>
    </row>
    <row r="573" spans="3:8" ht="15.75" customHeight="1" x14ac:dyDescent="0.25">
      <c r="C573" s="85"/>
      <c r="H573" s="85"/>
    </row>
    <row r="574" spans="3:8" ht="15.75" customHeight="1" x14ac:dyDescent="0.25">
      <c r="C574" s="85"/>
      <c r="H574" s="85"/>
    </row>
    <row r="575" spans="3:8" ht="15.75" customHeight="1" x14ac:dyDescent="0.25">
      <c r="C575" s="85"/>
      <c r="H575" s="85"/>
    </row>
    <row r="576" spans="3:8" ht="15.75" customHeight="1" x14ac:dyDescent="0.25">
      <c r="C576" s="85"/>
      <c r="H576" s="85"/>
    </row>
    <row r="577" spans="3:8" ht="15.75" customHeight="1" x14ac:dyDescent="0.25">
      <c r="C577" s="85"/>
      <c r="H577" s="85"/>
    </row>
    <row r="578" spans="3:8" ht="15.75" customHeight="1" x14ac:dyDescent="0.25">
      <c r="C578" s="85"/>
      <c r="H578" s="85"/>
    </row>
    <row r="579" spans="3:8" ht="15.75" customHeight="1" x14ac:dyDescent="0.25">
      <c r="C579" s="85"/>
      <c r="H579" s="85"/>
    </row>
    <row r="580" spans="3:8" ht="15.75" customHeight="1" x14ac:dyDescent="0.25">
      <c r="C580" s="85"/>
      <c r="H580" s="85"/>
    </row>
    <row r="581" spans="3:8" ht="15.75" customHeight="1" x14ac:dyDescent="0.25">
      <c r="C581" s="85"/>
      <c r="H581" s="85"/>
    </row>
    <row r="582" spans="3:8" ht="15.75" customHeight="1" x14ac:dyDescent="0.25">
      <c r="C582" s="85"/>
      <c r="H582" s="85"/>
    </row>
    <row r="583" spans="3:8" ht="15.75" customHeight="1" x14ac:dyDescent="0.25">
      <c r="C583" s="85"/>
      <c r="H583" s="85"/>
    </row>
    <row r="584" spans="3:8" ht="15.75" customHeight="1" x14ac:dyDescent="0.25">
      <c r="C584" s="85"/>
      <c r="H584" s="85"/>
    </row>
    <row r="585" spans="3:8" ht="15.75" customHeight="1" x14ac:dyDescent="0.25">
      <c r="C585" s="85"/>
      <c r="H585" s="85"/>
    </row>
    <row r="586" spans="3:8" ht="15.75" customHeight="1" x14ac:dyDescent="0.25">
      <c r="C586" s="85"/>
      <c r="H586" s="85"/>
    </row>
    <row r="587" spans="3:8" ht="15.75" customHeight="1" x14ac:dyDescent="0.25">
      <c r="C587" s="85"/>
      <c r="H587" s="85"/>
    </row>
    <row r="588" spans="3:8" ht="15.75" customHeight="1" x14ac:dyDescent="0.25">
      <c r="C588" s="85"/>
      <c r="H588" s="85"/>
    </row>
    <row r="589" spans="3:8" ht="15.75" customHeight="1" x14ac:dyDescent="0.25">
      <c r="C589" s="85"/>
      <c r="H589" s="85"/>
    </row>
    <row r="590" spans="3:8" ht="15.75" customHeight="1" x14ac:dyDescent="0.25">
      <c r="C590" s="85"/>
      <c r="H590" s="85"/>
    </row>
    <row r="591" spans="3:8" ht="15.75" customHeight="1" x14ac:dyDescent="0.25">
      <c r="C591" s="85"/>
      <c r="H591" s="85"/>
    </row>
    <row r="592" spans="3:8" ht="15.75" customHeight="1" x14ac:dyDescent="0.25">
      <c r="C592" s="85"/>
      <c r="H592" s="85"/>
    </row>
    <row r="593" spans="3:8" ht="15.75" customHeight="1" x14ac:dyDescent="0.25">
      <c r="C593" s="85"/>
      <c r="H593" s="85"/>
    </row>
    <row r="594" spans="3:8" ht="15.75" customHeight="1" x14ac:dyDescent="0.25">
      <c r="C594" s="85"/>
      <c r="H594" s="85"/>
    </row>
    <row r="595" spans="3:8" ht="15.75" customHeight="1" x14ac:dyDescent="0.25">
      <c r="C595" s="85"/>
      <c r="H595" s="85"/>
    </row>
    <row r="596" spans="3:8" ht="15.75" customHeight="1" x14ac:dyDescent="0.25">
      <c r="C596" s="85"/>
      <c r="H596" s="85"/>
    </row>
    <row r="597" spans="3:8" ht="15.75" customHeight="1" x14ac:dyDescent="0.25">
      <c r="C597" s="85"/>
      <c r="H597" s="85"/>
    </row>
    <row r="598" spans="3:8" ht="15.75" customHeight="1" x14ac:dyDescent="0.25">
      <c r="C598" s="85"/>
      <c r="H598" s="85"/>
    </row>
    <row r="599" spans="3:8" ht="15.75" customHeight="1" x14ac:dyDescent="0.25">
      <c r="C599" s="85"/>
      <c r="H599" s="85"/>
    </row>
    <row r="600" spans="3:8" ht="15.75" customHeight="1" x14ac:dyDescent="0.25">
      <c r="C600" s="85"/>
      <c r="H600" s="85"/>
    </row>
    <row r="601" spans="3:8" ht="15.75" customHeight="1" x14ac:dyDescent="0.25">
      <c r="C601" s="85"/>
      <c r="H601" s="85"/>
    </row>
    <row r="602" spans="3:8" ht="15.75" customHeight="1" x14ac:dyDescent="0.25">
      <c r="C602" s="85"/>
      <c r="H602" s="85"/>
    </row>
    <row r="603" spans="3:8" ht="15.75" customHeight="1" x14ac:dyDescent="0.25">
      <c r="C603" s="85"/>
      <c r="H603" s="85"/>
    </row>
    <row r="604" spans="3:8" ht="15.75" customHeight="1" x14ac:dyDescent="0.25">
      <c r="C604" s="85"/>
      <c r="H604" s="85"/>
    </row>
    <row r="605" spans="3:8" ht="15.75" customHeight="1" x14ac:dyDescent="0.25">
      <c r="C605" s="85"/>
      <c r="H605" s="85"/>
    </row>
    <row r="606" spans="3:8" ht="15.75" customHeight="1" x14ac:dyDescent="0.25">
      <c r="C606" s="85"/>
      <c r="H606" s="85"/>
    </row>
    <row r="607" spans="3:8" ht="15.75" customHeight="1" x14ac:dyDescent="0.25">
      <c r="C607" s="85"/>
      <c r="H607" s="85"/>
    </row>
    <row r="608" spans="3:8" ht="15.75" customHeight="1" x14ac:dyDescent="0.25">
      <c r="C608" s="85"/>
      <c r="H608" s="85"/>
    </row>
    <row r="609" spans="3:8" ht="15.75" customHeight="1" x14ac:dyDescent="0.25">
      <c r="C609" s="85"/>
      <c r="H609" s="85"/>
    </row>
    <row r="610" spans="3:8" ht="15.75" customHeight="1" x14ac:dyDescent="0.25">
      <c r="C610" s="85"/>
      <c r="H610" s="85"/>
    </row>
    <row r="611" spans="3:8" ht="15.75" customHeight="1" x14ac:dyDescent="0.25">
      <c r="C611" s="85"/>
      <c r="H611" s="85"/>
    </row>
    <row r="612" spans="3:8" ht="15.75" customHeight="1" x14ac:dyDescent="0.25">
      <c r="C612" s="85"/>
      <c r="H612" s="85"/>
    </row>
    <row r="613" spans="3:8" ht="15.75" customHeight="1" x14ac:dyDescent="0.25">
      <c r="C613" s="85"/>
      <c r="H613" s="85"/>
    </row>
    <row r="614" spans="3:8" ht="15.75" customHeight="1" x14ac:dyDescent="0.25">
      <c r="C614" s="85"/>
      <c r="H614" s="85"/>
    </row>
    <row r="615" spans="3:8" ht="15.75" customHeight="1" x14ac:dyDescent="0.25">
      <c r="C615" s="85"/>
      <c r="H615" s="85"/>
    </row>
    <row r="616" spans="3:8" ht="15.75" customHeight="1" x14ac:dyDescent="0.25">
      <c r="C616" s="85"/>
      <c r="H616" s="85"/>
    </row>
    <row r="617" spans="3:8" ht="15.75" customHeight="1" x14ac:dyDescent="0.25">
      <c r="C617" s="85"/>
      <c r="H617" s="85"/>
    </row>
    <row r="618" spans="3:8" ht="15.75" customHeight="1" x14ac:dyDescent="0.25">
      <c r="C618" s="85"/>
      <c r="H618" s="85"/>
    </row>
    <row r="619" spans="3:8" ht="15.75" customHeight="1" x14ac:dyDescent="0.25">
      <c r="C619" s="85"/>
      <c r="H619" s="85"/>
    </row>
    <row r="620" spans="3:8" ht="15.75" customHeight="1" x14ac:dyDescent="0.25">
      <c r="C620" s="85"/>
      <c r="H620" s="85"/>
    </row>
    <row r="621" spans="3:8" ht="15.75" customHeight="1" x14ac:dyDescent="0.25">
      <c r="C621" s="85"/>
      <c r="H621" s="85"/>
    </row>
    <row r="622" spans="3:8" ht="15.75" customHeight="1" x14ac:dyDescent="0.25">
      <c r="C622" s="85"/>
      <c r="H622" s="85"/>
    </row>
    <row r="623" spans="3:8" ht="15.75" customHeight="1" x14ac:dyDescent="0.25">
      <c r="C623" s="85"/>
      <c r="H623" s="85"/>
    </row>
    <row r="624" spans="3:8" ht="15.75" customHeight="1" x14ac:dyDescent="0.25">
      <c r="C624" s="85"/>
      <c r="H624" s="85"/>
    </row>
    <row r="625" spans="3:8" ht="15.75" customHeight="1" x14ac:dyDescent="0.25">
      <c r="C625" s="85"/>
      <c r="H625" s="85"/>
    </row>
    <row r="626" spans="3:8" ht="15.75" customHeight="1" x14ac:dyDescent="0.25">
      <c r="C626" s="85"/>
      <c r="H626" s="85"/>
    </row>
    <row r="627" spans="3:8" ht="15.75" customHeight="1" x14ac:dyDescent="0.25">
      <c r="C627" s="85"/>
      <c r="H627" s="85"/>
    </row>
    <row r="628" spans="3:8" ht="15.75" customHeight="1" x14ac:dyDescent="0.25">
      <c r="C628" s="85"/>
      <c r="H628" s="85"/>
    </row>
    <row r="629" spans="3:8" ht="15.75" customHeight="1" x14ac:dyDescent="0.25">
      <c r="C629" s="85"/>
      <c r="H629" s="85"/>
    </row>
    <row r="630" spans="3:8" ht="15.75" customHeight="1" x14ac:dyDescent="0.25">
      <c r="C630" s="85"/>
      <c r="H630" s="85"/>
    </row>
    <row r="631" spans="3:8" ht="15.75" customHeight="1" x14ac:dyDescent="0.25">
      <c r="C631" s="85"/>
      <c r="H631" s="85"/>
    </row>
    <row r="632" spans="3:8" ht="15.75" customHeight="1" x14ac:dyDescent="0.25">
      <c r="C632" s="85"/>
      <c r="H632" s="85"/>
    </row>
    <row r="633" spans="3:8" ht="15.75" customHeight="1" x14ac:dyDescent="0.25">
      <c r="C633" s="85"/>
      <c r="H633" s="85"/>
    </row>
    <row r="634" spans="3:8" ht="15.75" customHeight="1" x14ac:dyDescent="0.25">
      <c r="C634" s="85"/>
      <c r="H634" s="85"/>
    </row>
    <row r="635" spans="3:8" ht="15.75" customHeight="1" x14ac:dyDescent="0.25">
      <c r="C635" s="85"/>
      <c r="H635" s="85"/>
    </row>
    <row r="636" spans="3:8" ht="15.75" customHeight="1" x14ac:dyDescent="0.25">
      <c r="C636" s="85"/>
      <c r="H636" s="85"/>
    </row>
    <row r="637" spans="3:8" ht="15.75" customHeight="1" x14ac:dyDescent="0.25">
      <c r="C637" s="85"/>
      <c r="H637" s="85"/>
    </row>
    <row r="638" spans="3:8" ht="15.75" customHeight="1" x14ac:dyDescent="0.25">
      <c r="C638" s="85"/>
      <c r="H638" s="85"/>
    </row>
    <row r="639" spans="3:8" ht="15.75" customHeight="1" x14ac:dyDescent="0.25">
      <c r="C639" s="85"/>
      <c r="H639" s="85"/>
    </row>
    <row r="640" spans="3:8" ht="15.75" customHeight="1" x14ac:dyDescent="0.25">
      <c r="C640" s="85"/>
      <c r="H640" s="85"/>
    </row>
    <row r="641" spans="3:8" ht="15.75" customHeight="1" x14ac:dyDescent="0.25">
      <c r="C641" s="85"/>
      <c r="H641" s="85"/>
    </row>
    <row r="642" spans="3:8" ht="15.75" customHeight="1" x14ac:dyDescent="0.25">
      <c r="C642" s="85"/>
      <c r="H642" s="85"/>
    </row>
    <row r="643" spans="3:8" ht="15.75" customHeight="1" x14ac:dyDescent="0.25">
      <c r="C643" s="85"/>
      <c r="H643" s="85"/>
    </row>
    <row r="644" spans="3:8" ht="15.75" customHeight="1" x14ac:dyDescent="0.25">
      <c r="C644" s="85"/>
      <c r="H644" s="85"/>
    </row>
    <row r="645" spans="3:8" ht="15.75" customHeight="1" x14ac:dyDescent="0.25">
      <c r="C645" s="85"/>
      <c r="H645" s="85"/>
    </row>
    <row r="646" spans="3:8" ht="15.75" customHeight="1" x14ac:dyDescent="0.25">
      <c r="C646" s="85"/>
      <c r="H646" s="85"/>
    </row>
    <row r="647" spans="3:8" ht="15.75" customHeight="1" x14ac:dyDescent="0.25">
      <c r="C647" s="85"/>
      <c r="H647" s="85"/>
    </row>
    <row r="648" spans="3:8" ht="15.75" customHeight="1" x14ac:dyDescent="0.25">
      <c r="C648" s="85"/>
      <c r="H648" s="85"/>
    </row>
    <row r="649" spans="3:8" ht="15.75" customHeight="1" x14ac:dyDescent="0.25">
      <c r="C649" s="85"/>
      <c r="H649" s="85"/>
    </row>
    <row r="650" spans="3:8" ht="15.75" customHeight="1" x14ac:dyDescent="0.25">
      <c r="C650" s="85"/>
      <c r="H650" s="85"/>
    </row>
    <row r="651" spans="3:8" ht="15.75" customHeight="1" x14ac:dyDescent="0.25">
      <c r="C651" s="85"/>
      <c r="H651" s="85"/>
    </row>
    <row r="652" spans="3:8" ht="15.75" customHeight="1" x14ac:dyDescent="0.25">
      <c r="C652" s="85"/>
      <c r="H652" s="85"/>
    </row>
    <row r="653" spans="3:8" ht="15.75" customHeight="1" x14ac:dyDescent="0.25">
      <c r="C653" s="85"/>
      <c r="H653" s="85"/>
    </row>
    <row r="654" spans="3:8" ht="15.75" customHeight="1" x14ac:dyDescent="0.25">
      <c r="C654" s="85"/>
      <c r="H654" s="85"/>
    </row>
    <row r="655" spans="3:8" ht="15.75" customHeight="1" x14ac:dyDescent="0.25">
      <c r="C655" s="85"/>
      <c r="H655" s="85"/>
    </row>
    <row r="656" spans="3:8" ht="15.75" customHeight="1" x14ac:dyDescent="0.25">
      <c r="C656" s="85"/>
      <c r="H656" s="85"/>
    </row>
    <row r="657" spans="3:8" ht="15.75" customHeight="1" x14ac:dyDescent="0.25">
      <c r="C657" s="85"/>
      <c r="H657" s="85"/>
    </row>
    <row r="658" spans="3:8" ht="15.75" customHeight="1" x14ac:dyDescent="0.25">
      <c r="C658" s="85"/>
      <c r="H658" s="85"/>
    </row>
    <row r="659" spans="3:8" ht="15.75" customHeight="1" x14ac:dyDescent="0.25">
      <c r="C659" s="85"/>
      <c r="H659" s="85"/>
    </row>
    <row r="660" spans="3:8" ht="15.75" customHeight="1" x14ac:dyDescent="0.25">
      <c r="C660" s="85"/>
      <c r="H660" s="85"/>
    </row>
    <row r="661" spans="3:8" ht="15.75" customHeight="1" x14ac:dyDescent="0.25">
      <c r="C661" s="85"/>
      <c r="H661" s="85"/>
    </row>
    <row r="662" spans="3:8" ht="15.75" customHeight="1" x14ac:dyDescent="0.25">
      <c r="C662" s="85"/>
      <c r="H662" s="85"/>
    </row>
    <row r="663" spans="3:8" ht="15.75" customHeight="1" x14ac:dyDescent="0.25">
      <c r="C663" s="85"/>
      <c r="H663" s="85"/>
    </row>
    <row r="664" spans="3:8" ht="15.75" customHeight="1" x14ac:dyDescent="0.25">
      <c r="C664" s="85"/>
      <c r="H664" s="85"/>
    </row>
    <row r="665" spans="3:8" ht="15.75" customHeight="1" x14ac:dyDescent="0.25">
      <c r="C665" s="85"/>
      <c r="H665" s="85"/>
    </row>
    <row r="666" spans="3:8" ht="15.75" customHeight="1" x14ac:dyDescent="0.25">
      <c r="C666" s="85"/>
      <c r="H666" s="85"/>
    </row>
    <row r="667" spans="3:8" ht="15.75" customHeight="1" x14ac:dyDescent="0.25">
      <c r="C667" s="85"/>
      <c r="H667" s="85"/>
    </row>
    <row r="668" spans="3:8" ht="15.75" customHeight="1" x14ac:dyDescent="0.25">
      <c r="C668" s="85"/>
      <c r="H668" s="85"/>
    </row>
    <row r="669" spans="3:8" ht="15.75" customHeight="1" x14ac:dyDescent="0.25">
      <c r="C669" s="85"/>
      <c r="H669" s="85"/>
    </row>
    <row r="670" spans="3:8" ht="15.75" customHeight="1" x14ac:dyDescent="0.25">
      <c r="C670" s="85"/>
      <c r="H670" s="85"/>
    </row>
    <row r="671" spans="3:8" ht="15.75" customHeight="1" x14ac:dyDescent="0.25">
      <c r="C671" s="85"/>
      <c r="H671" s="85"/>
    </row>
    <row r="672" spans="3:8" ht="15.75" customHeight="1" x14ac:dyDescent="0.25">
      <c r="C672" s="85"/>
      <c r="H672" s="85"/>
    </row>
    <row r="673" spans="3:8" ht="15.75" customHeight="1" x14ac:dyDescent="0.25">
      <c r="C673" s="85"/>
      <c r="H673" s="85"/>
    </row>
    <row r="674" spans="3:8" ht="15.75" customHeight="1" x14ac:dyDescent="0.25">
      <c r="C674" s="85"/>
      <c r="H674" s="85"/>
    </row>
    <row r="675" spans="3:8" ht="15.75" customHeight="1" x14ac:dyDescent="0.25">
      <c r="C675" s="85"/>
      <c r="H675" s="85"/>
    </row>
    <row r="676" spans="3:8" ht="15.75" customHeight="1" x14ac:dyDescent="0.25">
      <c r="C676" s="85"/>
      <c r="H676" s="85"/>
    </row>
    <row r="677" spans="3:8" ht="15.75" customHeight="1" x14ac:dyDescent="0.25">
      <c r="C677" s="85"/>
      <c r="H677" s="85"/>
    </row>
    <row r="678" spans="3:8" ht="15.75" customHeight="1" x14ac:dyDescent="0.25">
      <c r="C678" s="85"/>
      <c r="H678" s="85"/>
    </row>
    <row r="679" spans="3:8" ht="15.75" customHeight="1" x14ac:dyDescent="0.25">
      <c r="C679" s="85"/>
      <c r="H679" s="85"/>
    </row>
    <row r="680" spans="3:8" ht="15.75" customHeight="1" x14ac:dyDescent="0.25">
      <c r="C680" s="85"/>
      <c r="H680" s="85"/>
    </row>
    <row r="681" spans="3:8" ht="15.75" customHeight="1" x14ac:dyDescent="0.25">
      <c r="C681" s="85"/>
      <c r="H681" s="85"/>
    </row>
    <row r="682" spans="3:8" ht="15.75" customHeight="1" x14ac:dyDescent="0.25">
      <c r="C682" s="85"/>
      <c r="H682" s="85"/>
    </row>
    <row r="683" spans="3:8" ht="15.75" customHeight="1" x14ac:dyDescent="0.25">
      <c r="C683" s="85"/>
      <c r="H683" s="85"/>
    </row>
    <row r="684" spans="3:8" ht="15.75" customHeight="1" x14ac:dyDescent="0.25">
      <c r="C684" s="85"/>
      <c r="H684" s="85"/>
    </row>
    <row r="685" spans="3:8" ht="15.75" customHeight="1" x14ac:dyDescent="0.25">
      <c r="C685" s="85"/>
      <c r="H685" s="85"/>
    </row>
    <row r="686" spans="3:8" ht="15.75" customHeight="1" x14ac:dyDescent="0.25">
      <c r="C686" s="85"/>
      <c r="H686" s="85"/>
    </row>
    <row r="687" spans="3:8" ht="15.75" customHeight="1" x14ac:dyDescent="0.25">
      <c r="C687" s="85"/>
      <c r="H687" s="85"/>
    </row>
    <row r="688" spans="3:8" ht="15.75" customHeight="1" x14ac:dyDescent="0.25">
      <c r="C688" s="85"/>
      <c r="H688" s="85"/>
    </row>
    <row r="689" spans="3:8" ht="15.75" customHeight="1" x14ac:dyDescent="0.25">
      <c r="C689" s="85"/>
      <c r="H689" s="85"/>
    </row>
    <row r="690" spans="3:8" ht="15.75" customHeight="1" x14ac:dyDescent="0.25">
      <c r="C690" s="85"/>
      <c r="H690" s="85"/>
    </row>
    <row r="691" spans="3:8" ht="15.75" customHeight="1" x14ac:dyDescent="0.25">
      <c r="C691" s="85"/>
      <c r="H691" s="85"/>
    </row>
    <row r="692" spans="3:8" ht="15.75" customHeight="1" x14ac:dyDescent="0.25">
      <c r="C692" s="85"/>
      <c r="H692" s="85"/>
    </row>
    <row r="693" spans="3:8" ht="15.75" customHeight="1" x14ac:dyDescent="0.25">
      <c r="C693" s="85"/>
      <c r="H693" s="85"/>
    </row>
    <row r="694" spans="3:8" ht="15.75" customHeight="1" x14ac:dyDescent="0.25">
      <c r="C694" s="85"/>
      <c r="H694" s="85"/>
    </row>
    <row r="695" spans="3:8" ht="15.75" customHeight="1" x14ac:dyDescent="0.25">
      <c r="C695" s="85"/>
      <c r="H695" s="85"/>
    </row>
    <row r="696" spans="3:8" ht="15.75" customHeight="1" x14ac:dyDescent="0.25">
      <c r="C696" s="85"/>
      <c r="H696" s="85"/>
    </row>
    <row r="697" spans="3:8" ht="15.75" customHeight="1" x14ac:dyDescent="0.25">
      <c r="C697" s="85"/>
      <c r="H697" s="85"/>
    </row>
    <row r="698" spans="3:8" ht="15.75" customHeight="1" x14ac:dyDescent="0.25">
      <c r="C698" s="85"/>
      <c r="H698" s="85"/>
    </row>
    <row r="699" spans="3:8" ht="15.75" customHeight="1" x14ac:dyDescent="0.25">
      <c r="C699" s="85"/>
      <c r="H699" s="85"/>
    </row>
    <row r="700" spans="3:8" ht="15.75" customHeight="1" x14ac:dyDescent="0.25">
      <c r="C700" s="85"/>
      <c r="H700" s="85"/>
    </row>
    <row r="701" spans="3:8" ht="15.75" customHeight="1" x14ac:dyDescent="0.25">
      <c r="C701" s="85"/>
      <c r="H701" s="85"/>
    </row>
    <row r="702" spans="3:8" ht="15.75" customHeight="1" x14ac:dyDescent="0.25">
      <c r="C702" s="85"/>
      <c r="H702" s="85"/>
    </row>
    <row r="703" spans="3:8" ht="15.75" customHeight="1" x14ac:dyDescent="0.25">
      <c r="C703" s="85"/>
      <c r="H703" s="85"/>
    </row>
    <row r="704" spans="3:8" ht="15.75" customHeight="1" x14ac:dyDescent="0.25">
      <c r="C704" s="85"/>
      <c r="H704" s="85"/>
    </row>
    <row r="705" spans="3:8" ht="15.75" customHeight="1" x14ac:dyDescent="0.25">
      <c r="C705" s="85"/>
      <c r="H705" s="85"/>
    </row>
    <row r="706" spans="3:8" ht="15.75" customHeight="1" x14ac:dyDescent="0.25">
      <c r="C706" s="85"/>
      <c r="H706" s="85"/>
    </row>
    <row r="707" spans="3:8" ht="15.75" customHeight="1" x14ac:dyDescent="0.25">
      <c r="C707" s="85"/>
      <c r="H707" s="85"/>
    </row>
    <row r="708" spans="3:8" ht="15.75" customHeight="1" x14ac:dyDescent="0.25">
      <c r="C708" s="85"/>
      <c r="H708" s="85"/>
    </row>
    <row r="709" spans="3:8" ht="15.75" customHeight="1" x14ac:dyDescent="0.25">
      <c r="C709" s="85"/>
      <c r="H709" s="85"/>
    </row>
    <row r="710" spans="3:8" ht="15.75" customHeight="1" x14ac:dyDescent="0.25">
      <c r="C710" s="85"/>
      <c r="H710" s="85"/>
    </row>
    <row r="711" spans="3:8" ht="15.75" customHeight="1" x14ac:dyDescent="0.25">
      <c r="C711" s="85"/>
      <c r="H711" s="85"/>
    </row>
    <row r="712" spans="3:8" ht="15.75" customHeight="1" x14ac:dyDescent="0.25">
      <c r="C712" s="85"/>
      <c r="H712" s="85"/>
    </row>
    <row r="713" spans="3:8" ht="15.75" customHeight="1" x14ac:dyDescent="0.25">
      <c r="C713" s="85"/>
      <c r="H713" s="85"/>
    </row>
    <row r="714" spans="3:8" ht="15.75" customHeight="1" x14ac:dyDescent="0.25">
      <c r="C714" s="85"/>
      <c r="H714" s="85"/>
    </row>
    <row r="715" spans="3:8" ht="15.75" customHeight="1" x14ac:dyDescent="0.25">
      <c r="C715" s="85"/>
      <c r="H715" s="85"/>
    </row>
    <row r="716" spans="3:8" ht="15.75" customHeight="1" x14ac:dyDescent="0.25">
      <c r="C716" s="85"/>
      <c r="H716" s="85"/>
    </row>
    <row r="717" spans="3:8" ht="15.75" customHeight="1" x14ac:dyDescent="0.25">
      <c r="C717" s="85"/>
      <c r="H717" s="85"/>
    </row>
    <row r="718" spans="3:8" ht="15.75" customHeight="1" x14ac:dyDescent="0.25">
      <c r="C718" s="85"/>
      <c r="H718" s="85"/>
    </row>
    <row r="719" spans="3:8" ht="15.75" customHeight="1" x14ac:dyDescent="0.25">
      <c r="C719" s="85"/>
      <c r="H719" s="85"/>
    </row>
    <row r="720" spans="3:8" ht="15.75" customHeight="1" x14ac:dyDescent="0.25">
      <c r="C720" s="85"/>
      <c r="H720" s="85"/>
    </row>
    <row r="721" spans="3:8" ht="15.75" customHeight="1" x14ac:dyDescent="0.25">
      <c r="C721" s="85"/>
      <c r="H721" s="85"/>
    </row>
    <row r="722" spans="3:8" ht="15.75" customHeight="1" x14ac:dyDescent="0.25">
      <c r="C722" s="85"/>
      <c r="H722" s="85"/>
    </row>
    <row r="723" spans="3:8" ht="15.75" customHeight="1" x14ac:dyDescent="0.25">
      <c r="C723" s="85"/>
      <c r="H723" s="85"/>
    </row>
    <row r="724" spans="3:8" ht="15.75" customHeight="1" x14ac:dyDescent="0.25">
      <c r="C724" s="85"/>
      <c r="H724" s="85"/>
    </row>
    <row r="725" spans="3:8" ht="15.75" customHeight="1" x14ac:dyDescent="0.25">
      <c r="C725" s="85"/>
      <c r="H725" s="85"/>
    </row>
    <row r="726" spans="3:8" ht="15.75" customHeight="1" x14ac:dyDescent="0.25">
      <c r="C726" s="85"/>
      <c r="H726" s="85"/>
    </row>
    <row r="727" spans="3:8" ht="15.75" customHeight="1" x14ac:dyDescent="0.25">
      <c r="C727" s="85"/>
      <c r="H727" s="85"/>
    </row>
    <row r="728" spans="3:8" ht="15.75" customHeight="1" x14ac:dyDescent="0.25">
      <c r="C728" s="85"/>
      <c r="H728" s="85"/>
    </row>
    <row r="729" spans="3:8" ht="15.75" customHeight="1" x14ac:dyDescent="0.25">
      <c r="C729" s="85"/>
      <c r="H729" s="85"/>
    </row>
    <row r="730" spans="3:8" ht="15.75" customHeight="1" x14ac:dyDescent="0.25">
      <c r="C730" s="85"/>
      <c r="H730" s="85"/>
    </row>
    <row r="731" spans="3:8" ht="15.75" customHeight="1" x14ac:dyDescent="0.25">
      <c r="C731" s="85"/>
      <c r="H731" s="85"/>
    </row>
    <row r="732" spans="3:8" ht="15.75" customHeight="1" x14ac:dyDescent="0.25">
      <c r="C732" s="85"/>
      <c r="H732" s="85"/>
    </row>
    <row r="733" spans="3:8" ht="15.75" customHeight="1" x14ac:dyDescent="0.25">
      <c r="C733" s="85"/>
      <c r="H733" s="85"/>
    </row>
    <row r="734" spans="3:8" ht="15.75" customHeight="1" x14ac:dyDescent="0.25">
      <c r="C734" s="85"/>
      <c r="H734" s="85"/>
    </row>
    <row r="735" spans="3:8" ht="15.75" customHeight="1" x14ac:dyDescent="0.25">
      <c r="C735" s="85"/>
      <c r="H735" s="85"/>
    </row>
    <row r="736" spans="3:8" ht="15.75" customHeight="1" x14ac:dyDescent="0.25">
      <c r="C736" s="85"/>
      <c r="H736" s="85"/>
    </row>
    <row r="737" spans="3:8" ht="15.75" customHeight="1" x14ac:dyDescent="0.25">
      <c r="C737" s="85"/>
      <c r="H737" s="85"/>
    </row>
    <row r="738" spans="3:8" ht="15.75" customHeight="1" x14ac:dyDescent="0.25">
      <c r="C738" s="85"/>
      <c r="H738" s="85"/>
    </row>
    <row r="739" spans="3:8" ht="15.75" customHeight="1" x14ac:dyDescent="0.25">
      <c r="C739" s="85"/>
      <c r="H739" s="85"/>
    </row>
    <row r="740" spans="3:8" ht="15.75" customHeight="1" x14ac:dyDescent="0.25">
      <c r="C740" s="85"/>
      <c r="H740" s="85"/>
    </row>
    <row r="741" spans="3:8" ht="15.75" customHeight="1" x14ac:dyDescent="0.25">
      <c r="C741" s="85"/>
      <c r="H741" s="85"/>
    </row>
    <row r="742" spans="3:8" ht="15.75" customHeight="1" x14ac:dyDescent="0.25">
      <c r="C742" s="85"/>
      <c r="H742" s="85"/>
    </row>
    <row r="743" spans="3:8" ht="15.75" customHeight="1" x14ac:dyDescent="0.25">
      <c r="C743" s="85"/>
      <c r="H743" s="85"/>
    </row>
    <row r="744" spans="3:8" ht="15.75" customHeight="1" x14ac:dyDescent="0.25">
      <c r="C744" s="85"/>
      <c r="H744" s="85"/>
    </row>
    <row r="745" spans="3:8" ht="15.75" customHeight="1" x14ac:dyDescent="0.25">
      <c r="C745" s="85"/>
      <c r="H745" s="85"/>
    </row>
    <row r="746" spans="3:8" ht="15.75" customHeight="1" x14ac:dyDescent="0.25">
      <c r="C746" s="85"/>
      <c r="H746" s="85"/>
    </row>
    <row r="747" spans="3:8" ht="15.75" customHeight="1" x14ac:dyDescent="0.25">
      <c r="C747" s="85"/>
      <c r="H747" s="85"/>
    </row>
    <row r="748" spans="3:8" ht="15.75" customHeight="1" x14ac:dyDescent="0.25">
      <c r="C748" s="85"/>
      <c r="H748" s="85"/>
    </row>
    <row r="749" spans="3:8" ht="15.75" customHeight="1" x14ac:dyDescent="0.25">
      <c r="C749" s="85"/>
      <c r="H749" s="85"/>
    </row>
    <row r="750" spans="3:8" ht="15.75" customHeight="1" x14ac:dyDescent="0.25">
      <c r="C750" s="85"/>
      <c r="H750" s="85"/>
    </row>
    <row r="751" spans="3:8" ht="15.75" customHeight="1" x14ac:dyDescent="0.25">
      <c r="C751" s="85"/>
      <c r="H751" s="85"/>
    </row>
    <row r="752" spans="3:8" ht="15.75" customHeight="1" x14ac:dyDescent="0.25">
      <c r="C752" s="85"/>
      <c r="H752" s="85"/>
    </row>
    <row r="753" spans="3:8" ht="15.75" customHeight="1" x14ac:dyDescent="0.25">
      <c r="C753" s="85"/>
      <c r="H753" s="85"/>
    </row>
    <row r="754" spans="3:8" ht="15.75" customHeight="1" x14ac:dyDescent="0.25">
      <c r="C754" s="85"/>
      <c r="H754" s="85"/>
    </row>
    <row r="755" spans="3:8" ht="15.75" customHeight="1" x14ac:dyDescent="0.25">
      <c r="C755" s="85"/>
      <c r="H755" s="85"/>
    </row>
    <row r="756" spans="3:8" ht="15.75" customHeight="1" x14ac:dyDescent="0.25">
      <c r="C756" s="85"/>
      <c r="H756" s="85"/>
    </row>
    <row r="757" spans="3:8" ht="15.75" customHeight="1" x14ac:dyDescent="0.25">
      <c r="C757" s="85"/>
      <c r="H757" s="85"/>
    </row>
    <row r="758" spans="3:8" ht="15.75" customHeight="1" x14ac:dyDescent="0.25">
      <c r="C758" s="85"/>
      <c r="H758" s="85"/>
    </row>
    <row r="759" spans="3:8" ht="15.75" customHeight="1" x14ac:dyDescent="0.25">
      <c r="C759" s="85"/>
      <c r="H759" s="85"/>
    </row>
    <row r="760" spans="3:8" ht="15.75" customHeight="1" x14ac:dyDescent="0.25">
      <c r="C760" s="85"/>
      <c r="H760" s="85"/>
    </row>
    <row r="761" spans="3:8" ht="15.75" customHeight="1" x14ac:dyDescent="0.25">
      <c r="C761" s="85"/>
      <c r="H761" s="85"/>
    </row>
    <row r="762" spans="3:8" ht="15.75" customHeight="1" x14ac:dyDescent="0.25">
      <c r="C762" s="85"/>
      <c r="H762" s="85"/>
    </row>
    <row r="763" spans="3:8" ht="15.75" customHeight="1" x14ac:dyDescent="0.25">
      <c r="C763" s="85"/>
      <c r="H763" s="85"/>
    </row>
    <row r="764" spans="3:8" ht="15.75" customHeight="1" x14ac:dyDescent="0.25">
      <c r="C764" s="85"/>
      <c r="H764" s="85"/>
    </row>
    <row r="765" spans="3:8" ht="15.75" customHeight="1" x14ac:dyDescent="0.25">
      <c r="C765" s="85"/>
      <c r="H765" s="85"/>
    </row>
    <row r="766" spans="3:8" ht="15.75" customHeight="1" x14ac:dyDescent="0.25">
      <c r="C766" s="85"/>
      <c r="H766" s="85"/>
    </row>
    <row r="767" spans="3:8" ht="15.75" customHeight="1" x14ac:dyDescent="0.25">
      <c r="C767" s="85"/>
      <c r="H767" s="85"/>
    </row>
    <row r="768" spans="3:8" ht="15.75" customHeight="1" x14ac:dyDescent="0.25">
      <c r="C768" s="85"/>
      <c r="H768" s="85"/>
    </row>
    <row r="769" spans="3:8" ht="15.75" customHeight="1" x14ac:dyDescent="0.25">
      <c r="C769" s="85"/>
      <c r="H769" s="85"/>
    </row>
    <row r="770" spans="3:8" ht="15.75" customHeight="1" x14ac:dyDescent="0.25">
      <c r="C770" s="85"/>
      <c r="H770" s="85"/>
    </row>
    <row r="771" spans="3:8" ht="15.75" customHeight="1" x14ac:dyDescent="0.25">
      <c r="C771" s="85"/>
      <c r="H771" s="85"/>
    </row>
    <row r="772" spans="3:8" ht="15.75" customHeight="1" x14ac:dyDescent="0.25">
      <c r="C772" s="85"/>
      <c r="H772" s="85"/>
    </row>
    <row r="773" spans="3:8" ht="15.75" customHeight="1" x14ac:dyDescent="0.25">
      <c r="C773" s="85"/>
      <c r="H773" s="85"/>
    </row>
    <row r="774" spans="3:8" ht="15.75" customHeight="1" x14ac:dyDescent="0.25">
      <c r="C774" s="85"/>
      <c r="H774" s="85"/>
    </row>
    <row r="775" spans="3:8" ht="15.75" customHeight="1" x14ac:dyDescent="0.25">
      <c r="C775" s="85"/>
      <c r="H775" s="85"/>
    </row>
    <row r="776" spans="3:8" ht="15.75" customHeight="1" x14ac:dyDescent="0.25">
      <c r="C776" s="85"/>
      <c r="H776" s="85"/>
    </row>
    <row r="777" spans="3:8" ht="15.75" customHeight="1" x14ac:dyDescent="0.25">
      <c r="C777" s="85"/>
      <c r="H777" s="85"/>
    </row>
    <row r="778" spans="3:8" ht="15.75" customHeight="1" x14ac:dyDescent="0.25">
      <c r="C778" s="85"/>
      <c r="H778" s="85"/>
    </row>
    <row r="779" spans="3:8" ht="15.75" customHeight="1" x14ac:dyDescent="0.25">
      <c r="C779" s="85"/>
      <c r="H779" s="85"/>
    </row>
    <row r="780" spans="3:8" ht="15.75" customHeight="1" x14ac:dyDescent="0.25">
      <c r="C780" s="85"/>
      <c r="H780" s="85"/>
    </row>
    <row r="781" spans="3:8" ht="15.75" customHeight="1" x14ac:dyDescent="0.25">
      <c r="C781" s="85"/>
      <c r="H781" s="85"/>
    </row>
    <row r="782" spans="3:8" ht="15.75" customHeight="1" x14ac:dyDescent="0.25">
      <c r="C782" s="85"/>
      <c r="H782" s="85"/>
    </row>
    <row r="783" spans="3:8" ht="15.75" customHeight="1" x14ac:dyDescent="0.25">
      <c r="C783" s="85"/>
      <c r="H783" s="85"/>
    </row>
    <row r="784" spans="3:8" ht="15.75" customHeight="1" x14ac:dyDescent="0.25">
      <c r="C784" s="85"/>
      <c r="H784" s="85"/>
    </row>
    <row r="785" spans="3:8" ht="15.75" customHeight="1" x14ac:dyDescent="0.25">
      <c r="C785" s="85"/>
      <c r="H785" s="85"/>
    </row>
    <row r="786" spans="3:8" ht="15.75" customHeight="1" x14ac:dyDescent="0.25">
      <c r="C786" s="85"/>
      <c r="H786" s="85"/>
    </row>
    <row r="787" spans="3:8" ht="15.75" customHeight="1" x14ac:dyDescent="0.25">
      <c r="C787" s="85"/>
      <c r="H787" s="85"/>
    </row>
    <row r="788" spans="3:8" ht="15.75" customHeight="1" x14ac:dyDescent="0.25">
      <c r="C788" s="85"/>
      <c r="H788" s="85"/>
    </row>
    <row r="789" spans="3:8" ht="15.75" customHeight="1" x14ac:dyDescent="0.25">
      <c r="C789" s="85"/>
      <c r="H789" s="85"/>
    </row>
    <row r="790" spans="3:8" ht="15.75" customHeight="1" x14ac:dyDescent="0.25">
      <c r="C790" s="85"/>
      <c r="H790" s="85"/>
    </row>
    <row r="791" spans="3:8" ht="15.75" customHeight="1" x14ac:dyDescent="0.25">
      <c r="C791" s="85"/>
      <c r="H791" s="85"/>
    </row>
    <row r="792" spans="3:8" ht="15.75" customHeight="1" x14ac:dyDescent="0.25">
      <c r="C792" s="85"/>
      <c r="H792" s="85"/>
    </row>
    <row r="793" spans="3:8" ht="15.75" customHeight="1" x14ac:dyDescent="0.25">
      <c r="C793" s="85"/>
      <c r="H793" s="85"/>
    </row>
    <row r="794" spans="3:8" ht="15.75" customHeight="1" x14ac:dyDescent="0.25">
      <c r="C794" s="85"/>
      <c r="H794" s="85"/>
    </row>
    <row r="795" spans="3:8" ht="15.75" customHeight="1" x14ac:dyDescent="0.25">
      <c r="C795" s="85"/>
      <c r="H795" s="85"/>
    </row>
    <row r="796" spans="3:8" ht="15.75" customHeight="1" x14ac:dyDescent="0.25">
      <c r="C796" s="85"/>
      <c r="H796" s="85"/>
    </row>
    <row r="797" spans="3:8" ht="15.75" customHeight="1" x14ac:dyDescent="0.25">
      <c r="C797" s="85"/>
      <c r="H797" s="85"/>
    </row>
    <row r="798" spans="3:8" ht="15.75" customHeight="1" x14ac:dyDescent="0.25">
      <c r="C798" s="85"/>
      <c r="H798" s="85"/>
    </row>
    <row r="799" spans="3:8" ht="15.75" customHeight="1" x14ac:dyDescent="0.25">
      <c r="C799" s="85"/>
      <c r="H799" s="85"/>
    </row>
    <row r="800" spans="3:8" ht="15.75" customHeight="1" x14ac:dyDescent="0.25">
      <c r="C800" s="85"/>
      <c r="H800" s="85"/>
    </row>
    <row r="801" spans="3:8" ht="15.75" customHeight="1" x14ac:dyDescent="0.25">
      <c r="C801" s="85"/>
      <c r="H801" s="85"/>
    </row>
    <row r="802" spans="3:8" ht="15.75" customHeight="1" x14ac:dyDescent="0.25">
      <c r="C802" s="85"/>
      <c r="H802" s="85"/>
    </row>
    <row r="803" spans="3:8" ht="15.75" customHeight="1" x14ac:dyDescent="0.25">
      <c r="C803" s="85"/>
      <c r="H803" s="85"/>
    </row>
    <row r="804" spans="3:8" ht="15.75" customHeight="1" x14ac:dyDescent="0.25">
      <c r="C804" s="85"/>
      <c r="H804" s="85"/>
    </row>
    <row r="805" spans="3:8" ht="15.75" customHeight="1" x14ac:dyDescent="0.25">
      <c r="C805" s="85"/>
      <c r="H805" s="85"/>
    </row>
    <row r="806" spans="3:8" ht="15.75" customHeight="1" x14ac:dyDescent="0.25">
      <c r="C806" s="85"/>
      <c r="H806" s="85"/>
    </row>
    <row r="807" spans="3:8" ht="15.75" customHeight="1" x14ac:dyDescent="0.25">
      <c r="C807" s="85"/>
      <c r="H807" s="85"/>
    </row>
    <row r="808" spans="3:8" ht="15.75" customHeight="1" x14ac:dyDescent="0.25">
      <c r="C808" s="85"/>
      <c r="H808" s="85"/>
    </row>
    <row r="809" spans="3:8" ht="15.75" customHeight="1" x14ac:dyDescent="0.25">
      <c r="C809" s="85"/>
      <c r="H809" s="85"/>
    </row>
    <row r="810" spans="3:8" ht="15.75" customHeight="1" x14ac:dyDescent="0.25">
      <c r="C810" s="85"/>
      <c r="H810" s="85"/>
    </row>
    <row r="811" spans="3:8" ht="15.75" customHeight="1" x14ac:dyDescent="0.25">
      <c r="C811" s="85"/>
      <c r="H811" s="85"/>
    </row>
    <row r="812" spans="3:8" ht="15.75" customHeight="1" x14ac:dyDescent="0.25">
      <c r="C812" s="85"/>
      <c r="H812" s="85"/>
    </row>
    <row r="813" spans="3:8" ht="15.75" customHeight="1" x14ac:dyDescent="0.25">
      <c r="C813" s="85"/>
      <c r="H813" s="85"/>
    </row>
    <row r="814" spans="3:8" ht="15.75" customHeight="1" x14ac:dyDescent="0.25">
      <c r="C814" s="85"/>
      <c r="H814" s="85"/>
    </row>
    <row r="815" spans="3:8" ht="15.75" customHeight="1" x14ac:dyDescent="0.25">
      <c r="C815" s="85"/>
      <c r="H815" s="85"/>
    </row>
    <row r="816" spans="3:8" ht="15.75" customHeight="1" x14ac:dyDescent="0.25">
      <c r="C816" s="85"/>
      <c r="H816" s="85"/>
    </row>
    <row r="817" spans="3:8" ht="15.75" customHeight="1" x14ac:dyDescent="0.25">
      <c r="C817" s="85"/>
      <c r="H817" s="85"/>
    </row>
    <row r="818" spans="3:8" ht="15.75" customHeight="1" x14ac:dyDescent="0.25">
      <c r="C818" s="85"/>
      <c r="H818" s="85"/>
    </row>
    <row r="819" spans="3:8" ht="15.75" customHeight="1" x14ac:dyDescent="0.25">
      <c r="C819" s="85"/>
      <c r="H819" s="85"/>
    </row>
    <row r="820" spans="3:8" ht="15.75" customHeight="1" x14ac:dyDescent="0.25">
      <c r="C820" s="85"/>
      <c r="H820" s="85"/>
    </row>
    <row r="821" spans="3:8" ht="15.75" customHeight="1" x14ac:dyDescent="0.25">
      <c r="C821" s="85"/>
      <c r="H821" s="85"/>
    </row>
    <row r="822" spans="3:8" ht="15.75" customHeight="1" x14ac:dyDescent="0.25">
      <c r="C822" s="85"/>
      <c r="H822" s="85"/>
    </row>
    <row r="823" spans="3:8" ht="15.75" customHeight="1" x14ac:dyDescent="0.25">
      <c r="C823" s="85"/>
      <c r="H823" s="85"/>
    </row>
    <row r="824" spans="3:8" ht="15.75" customHeight="1" x14ac:dyDescent="0.25">
      <c r="C824" s="85"/>
      <c r="H824" s="85"/>
    </row>
    <row r="825" spans="3:8" ht="15.75" customHeight="1" x14ac:dyDescent="0.25">
      <c r="C825" s="85"/>
      <c r="H825" s="85"/>
    </row>
    <row r="826" spans="3:8" ht="15.75" customHeight="1" x14ac:dyDescent="0.25">
      <c r="C826" s="85"/>
      <c r="H826" s="85"/>
    </row>
    <row r="827" spans="3:8" ht="15.75" customHeight="1" x14ac:dyDescent="0.25">
      <c r="C827" s="85"/>
      <c r="H827" s="85"/>
    </row>
    <row r="828" spans="3:8" ht="15.75" customHeight="1" x14ac:dyDescent="0.25">
      <c r="C828" s="85"/>
      <c r="H828" s="85"/>
    </row>
    <row r="829" spans="3:8" ht="15.75" customHeight="1" x14ac:dyDescent="0.25">
      <c r="C829" s="85"/>
      <c r="H829" s="85"/>
    </row>
    <row r="830" spans="3:8" ht="15.75" customHeight="1" x14ac:dyDescent="0.25">
      <c r="C830" s="85"/>
      <c r="H830" s="85"/>
    </row>
    <row r="831" spans="3:8" ht="15.75" customHeight="1" x14ac:dyDescent="0.25">
      <c r="C831" s="85"/>
      <c r="H831" s="85"/>
    </row>
    <row r="832" spans="3:8" ht="15.75" customHeight="1" x14ac:dyDescent="0.25">
      <c r="C832" s="85"/>
      <c r="H832" s="85"/>
    </row>
    <row r="833" spans="3:8" ht="15.75" customHeight="1" x14ac:dyDescent="0.25">
      <c r="C833" s="85"/>
      <c r="H833" s="85"/>
    </row>
    <row r="834" spans="3:8" ht="15.75" customHeight="1" x14ac:dyDescent="0.25">
      <c r="C834" s="85"/>
      <c r="H834" s="85"/>
    </row>
    <row r="835" spans="3:8" ht="15.75" customHeight="1" x14ac:dyDescent="0.25">
      <c r="C835" s="85"/>
      <c r="H835" s="85"/>
    </row>
    <row r="836" spans="3:8" ht="15.75" customHeight="1" x14ac:dyDescent="0.25">
      <c r="C836" s="85"/>
      <c r="H836" s="85"/>
    </row>
    <row r="837" spans="3:8" ht="15.75" customHeight="1" x14ac:dyDescent="0.25">
      <c r="C837" s="85"/>
      <c r="H837" s="85"/>
    </row>
    <row r="838" spans="3:8" ht="15.75" customHeight="1" x14ac:dyDescent="0.25">
      <c r="C838" s="85"/>
      <c r="H838" s="85"/>
    </row>
    <row r="839" spans="3:8" ht="15.75" customHeight="1" x14ac:dyDescent="0.25">
      <c r="C839" s="85"/>
      <c r="H839" s="85"/>
    </row>
    <row r="840" spans="3:8" ht="15.75" customHeight="1" x14ac:dyDescent="0.25">
      <c r="C840" s="85"/>
      <c r="H840" s="85"/>
    </row>
    <row r="841" spans="3:8" ht="15.75" customHeight="1" x14ac:dyDescent="0.25">
      <c r="C841" s="85"/>
      <c r="H841" s="85"/>
    </row>
    <row r="842" spans="3:8" ht="15.75" customHeight="1" x14ac:dyDescent="0.25">
      <c r="C842" s="85"/>
      <c r="H842" s="85"/>
    </row>
    <row r="843" spans="3:8" ht="15.75" customHeight="1" x14ac:dyDescent="0.25">
      <c r="C843" s="85"/>
      <c r="H843" s="85"/>
    </row>
    <row r="844" spans="3:8" ht="15.75" customHeight="1" x14ac:dyDescent="0.25">
      <c r="C844" s="85"/>
      <c r="H844" s="85"/>
    </row>
    <row r="845" spans="3:8" ht="15.75" customHeight="1" x14ac:dyDescent="0.25">
      <c r="C845" s="85"/>
      <c r="H845" s="85"/>
    </row>
    <row r="846" spans="3:8" ht="15.75" customHeight="1" x14ac:dyDescent="0.25">
      <c r="C846" s="85"/>
      <c r="H846" s="85"/>
    </row>
    <row r="847" spans="3:8" ht="15.75" customHeight="1" x14ac:dyDescent="0.25">
      <c r="C847" s="85"/>
      <c r="H847" s="85"/>
    </row>
    <row r="848" spans="3:8" ht="15.75" customHeight="1" x14ac:dyDescent="0.25">
      <c r="C848" s="85"/>
      <c r="H848" s="85"/>
    </row>
    <row r="849" spans="3:8" ht="15.75" customHeight="1" x14ac:dyDescent="0.25">
      <c r="C849" s="85"/>
      <c r="H849" s="85"/>
    </row>
    <row r="850" spans="3:8" ht="15.75" customHeight="1" x14ac:dyDescent="0.25">
      <c r="C850" s="85"/>
      <c r="H850" s="85"/>
    </row>
    <row r="851" spans="3:8" ht="15.75" customHeight="1" x14ac:dyDescent="0.25">
      <c r="C851" s="85"/>
      <c r="H851" s="85"/>
    </row>
    <row r="852" spans="3:8" ht="15.75" customHeight="1" x14ac:dyDescent="0.25">
      <c r="C852" s="85"/>
      <c r="H852" s="85"/>
    </row>
    <row r="853" spans="3:8" ht="15.75" customHeight="1" x14ac:dyDescent="0.25">
      <c r="C853" s="85"/>
      <c r="H853" s="85"/>
    </row>
    <row r="854" spans="3:8" ht="15.75" customHeight="1" x14ac:dyDescent="0.25">
      <c r="C854" s="85"/>
      <c r="H854" s="85"/>
    </row>
    <row r="855" spans="3:8" ht="15.75" customHeight="1" x14ac:dyDescent="0.25">
      <c r="C855" s="85"/>
      <c r="H855" s="85"/>
    </row>
    <row r="856" spans="3:8" ht="15.75" customHeight="1" x14ac:dyDescent="0.25">
      <c r="C856" s="85"/>
      <c r="H856" s="85"/>
    </row>
    <row r="857" spans="3:8" ht="15.75" customHeight="1" x14ac:dyDescent="0.25">
      <c r="C857" s="85"/>
      <c r="H857" s="85"/>
    </row>
    <row r="858" spans="3:8" ht="15.75" customHeight="1" x14ac:dyDescent="0.25">
      <c r="C858" s="85"/>
      <c r="H858" s="85"/>
    </row>
    <row r="859" spans="3:8" ht="15.75" customHeight="1" x14ac:dyDescent="0.25">
      <c r="C859" s="85"/>
      <c r="H859" s="85"/>
    </row>
    <row r="860" spans="3:8" ht="15.75" customHeight="1" x14ac:dyDescent="0.25">
      <c r="C860" s="85"/>
      <c r="H860" s="85"/>
    </row>
    <row r="861" spans="3:8" ht="15.75" customHeight="1" x14ac:dyDescent="0.25">
      <c r="C861" s="85"/>
      <c r="H861" s="85"/>
    </row>
    <row r="862" spans="3:8" ht="15.75" customHeight="1" x14ac:dyDescent="0.25">
      <c r="C862" s="85"/>
      <c r="H862" s="85"/>
    </row>
    <row r="863" spans="3:8" ht="15.75" customHeight="1" x14ac:dyDescent="0.25">
      <c r="C863" s="85"/>
      <c r="H863" s="85"/>
    </row>
    <row r="864" spans="3:8" ht="15.75" customHeight="1" x14ac:dyDescent="0.25">
      <c r="C864" s="85"/>
      <c r="H864" s="85"/>
    </row>
    <row r="865" spans="3:8" ht="15.75" customHeight="1" x14ac:dyDescent="0.25">
      <c r="C865" s="85"/>
      <c r="H865" s="85"/>
    </row>
    <row r="866" spans="3:8" ht="15.75" customHeight="1" x14ac:dyDescent="0.25">
      <c r="C866" s="85"/>
      <c r="H866" s="85"/>
    </row>
    <row r="867" spans="3:8" ht="15.75" customHeight="1" x14ac:dyDescent="0.25">
      <c r="C867" s="85"/>
      <c r="H867" s="85"/>
    </row>
    <row r="868" spans="3:8" ht="15.75" customHeight="1" x14ac:dyDescent="0.25">
      <c r="C868" s="85"/>
      <c r="H868" s="85"/>
    </row>
    <row r="869" spans="3:8" ht="15.75" customHeight="1" x14ac:dyDescent="0.25">
      <c r="C869" s="85"/>
      <c r="H869" s="85"/>
    </row>
    <row r="870" spans="3:8" ht="15.75" customHeight="1" x14ac:dyDescent="0.25">
      <c r="C870" s="85"/>
      <c r="H870" s="85"/>
    </row>
    <row r="871" spans="3:8" ht="15.75" customHeight="1" x14ac:dyDescent="0.25">
      <c r="C871" s="85"/>
      <c r="H871" s="85"/>
    </row>
    <row r="872" spans="3:8" ht="15.75" customHeight="1" x14ac:dyDescent="0.25">
      <c r="C872" s="85"/>
      <c r="H872" s="85"/>
    </row>
    <row r="873" spans="3:8" ht="15.75" customHeight="1" x14ac:dyDescent="0.25">
      <c r="C873" s="85"/>
      <c r="H873" s="85"/>
    </row>
    <row r="874" spans="3:8" ht="15.75" customHeight="1" x14ac:dyDescent="0.25">
      <c r="C874" s="85"/>
      <c r="H874" s="85"/>
    </row>
    <row r="875" spans="3:8" ht="15.75" customHeight="1" x14ac:dyDescent="0.25">
      <c r="C875" s="85"/>
      <c r="H875" s="85"/>
    </row>
    <row r="876" spans="3:8" ht="15.75" customHeight="1" x14ac:dyDescent="0.25">
      <c r="C876" s="85"/>
      <c r="H876" s="85"/>
    </row>
    <row r="877" spans="3:8" ht="15.75" customHeight="1" x14ac:dyDescent="0.25">
      <c r="C877" s="85"/>
      <c r="H877" s="85"/>
    </row>
    <row r="878" spans="3:8" ht="15.75" customHeight="1" x14ac:dyDescent="0.25">
      <c r="C878" s="85"/>
      <c r="H878" s="85"/>
    </row>
    <row r="879" spans="3:8" ht="15.75" customHeight="1" x14ac:dyDescent="0.25">
      <c r="C879" s="85"/>
      <c r="H879" s="85"/>
    </row>
    <row r="880" spans="3:8" ht="15.75" customHeight="1" x14ac:dyDescent="0.25">
      <c r="C880" s="85"/>
      <c r="H880" s="85"/>
    </row>
    <row r="881" spans="3:8" ht="15.75" customHeight="1" x14ac:dyDescent="0.25">
      <c r="C881" s="85"/>
      <c r="H881" s="85"/>
    </row>
    <row r="882" spans="3:8" ht="15.75" customHeight="1" x14ac:dyDescent="0.25">
      <c r="C882" s="85"/>
      <c r="H882" s="85"/>
    </row>
    <row r="883" spans="3:8" ht="15.75" customHeight="1" x14ac:dyDescent="0.25">
      <c r="C883" s="85"/>
      <c r="H883" s="85"/>
    </row>
    <row r="884" spans="3:8" ht="15.75" customHeight="1" x14ac:dyDescent="0.25">
      <c r="C884" s="85"/>
      <c r="H884" s="85"/>
    </row>
    <row r="885" spans="3:8" ht="15.75" customHeight="1" x14ac:dyDescent="0.25">
      <c r="C885" s="85"/>
      <c r="H885" s="85"/>
    </row>
    <row r="886" spans="3:8" ht="15.75" customHeight="1" x14ac:dyDescent="0.25">
      <c r="C886" s="85"/>
      <c r="H886" s="85"/>
    </row>
    <row r="887" spans="3:8" ht="15.75" customHeight="1" x14ac:dyDescent="0.25">
      <c r="C887" s="85"/>
      <c r="H887" s="85"/>
    </row>
    <row r="888" spans="3:8" ht="15.75" customHeight="1" x14ac:dyDescent="0.25">
      <c r="C888" s="85"/>
      <c r="H888" s="85"/>
    </row>
    <row r="889" spans="3:8" ht="15.75" customHeight="1" x14ac:dyDescent="0.25">
      <c r="C889" s="85"/>
      <c r="H889" s="85"/>
    </row>
    <row r="890" spans="3:8" ht="15.75" customHeight="1" x14ac:dyDescent="0.25">
      <c r="C890" s="85"/>
      <c r="H890" s="85"/>
    </row>
    <row r="891" spans="3:8" ht="15.75" customHeight="1" x14ac:dyDescent="0.25">
      <c r="C891" s="85"/>
      <c r="H891" s="85"/>
    </row>
    <row r="892" spans="3:8" ht="15.75" customHeight="1" x14ac:dyDescent="0.25">
      <c r="C892" s="85"/>
      <c r="H892" s="85"/>
    </row>
    <row r="893" spans="3:8" ht="15.75" customHeight="1" x14ac:dyDescent="0.25">
      <c r="C893" s="85"/>
      <c r="H893" s="85"/>
    </row>
    <row r="894" spans="3:8" ht="15.75" customHeight="1" x14ac:dyDescent="0.25">
      <c r="C894" s="85"/>
      <c r="H894" s="85"/>
    </row>
    <row r="895" spans="3:8" ht="15.75" customHeight="1" x14ac:dyDescent="0.25">
      <c r="C895" s="85"/>
      <c r="H895" s="85"/>
    </row>
    <row r="896" spans="3:8" ht="15.75" customHeight="1" x14ac:dyDescent="0.25">
      <c r="C896" s="85"/>
      <c r="H896" s="85"/>
    </row>
    <row r="897" spans="3:8" ht="15.75" customHeight="1" x14ac:dyDescent="0.25">
      <c r="C897" s="85"/>
      <c r="H897" s="85"/>
    </row>
    <row r="898" spans="3:8" ht="15.75" customHeight="1" x14ac:dyDescent="0.25">
      <c r="C898" s="85"/>
      <c r="H898" s="85"/>
    </row>
    <row r="899" spans="3:8" ht="15.75" customHeight="1" x14ac:dyDescent="0.25">
      <c r="C899" s="85"/>
      <c r="H899" s="85"/>
    </row>
    <row r="900" spans="3:8" ht="15.75" customHeight="1" x14ac:dyDescent="0.25">
      <c r="C900" s="85"/>
      <c r="H900" s="85"/>
    </row>
    <row r="901" spans="3:8" ht="15.75" customHeight="1" x14ac:dyDescent="0.25">
      <c r="C901" s="85"/>
      <c r="H901" s="85"/>
    </row>
    <row r="902" spans="3:8" ht="15.75" customHeight="1" x14ac:dyDescent="0.25">
      <c r="C902" s="85"/>
      <c r="H902" s="85"/>
    </row>
    <row r="903" spans="3:8" ht="15.75" customHeight="1" x14ac:dyDescent="0.25">
      <c r="C903" s="85"/>
      <c r="H903" s="85"/>
    </row>
    <row r="904" spans="3:8" ht="15.75" customHeight="1" x14ac:dyDescent="0.25">
      <c r="C904" s="85"/>
      <c r="H904" s="85"/>
    </row>
    <row r="905" spans="3:8" ht="15.75" customHeight="1" x14ac:dyDescent="0.25">
      <c r="C905" s="85"/>
      <c r="H905" s="85"/>
    </row>
    <row r="906" spans="3:8" ht="15.75" customHeight="1" x14ac:dyDescent="0.25">
      <c r="C906" s="85"/>
      <c r="H906" s="85"/>
    </row>
    <row r="907" spans="3:8" ht="15.75" customHeight="1" x14ac:dyDescent="0.25">
      <c r="C907" s="85"/>
      <c r="H907" s="85"/>
    </row>
    <row r="908" spans="3:8" ht="15.75" customHeight="1" x14ac:dyDescent="0.25">
      <c r="C908" s="85"/>
      <c r="H908" s="85"/>
    </row>
    <row r="909" spans="3:8" ht="15.75" customHeight="1" x14ac:dyDescent="0.25">
      <c r="C909" s="85"/>
      <c r="H909" s="85"/>
    </row>
    <row r="910" spans="3:8" ht="15.75" customHeight="1" x14ac:dyDescent="0.25">
      <c r="C910" s="85"/>
      <c r="H910" s="85"/>
    </row>
    <row r="911" spans="3:8" ht="15.75" customHeight="1" x14ac:dyDescent="0.25">
      <c r="C911" s="85"/>
      <c r="H911" s="85"/>
    </row>
    <row r="912" spans="3:8" ht="15.75" customHeight="1" x14ac:dyDescent="0.25">
      <c r="C912" s="85"/>
      <c r="H912" s="85"/>
    </row>
    <row r="913" spans="3:8" ht="15.75" customHeight="1" x14ac:dyDescent="0.25">
      <c r="C913" s="85"/>
      <c r="H913" s="85"/>
    </row>
    <row r="914" spans="3:8" ht="15.75" customHeight="1" x14ac:dyDescent="0.25">
      <c r="C914" s="85"/>
      <c r="H914" s="85"/>
    </row>
    <row r="915" spans="3:8" ht="15.75" customHeight="1" x14ac:dyDescent="0.25">
      <c r="C915" s="85"/>
      <c r="H915" s="85"/>
    </row>
    <row r="916" spans="3:8" ht="15.75" customHeight="1" x14ac:dyDescent="0.25">
      <c r="C916" s="85"/>
      <c r="H916" s="85"/>
    </row>
    <row r="917" spans="3:8" ht="15.75" customHeight="1" x14ac:dyDescent="0.25">
      <c r="C917" s="85"/>
      <c r="H917" s="85"/>
    </row>
    <row r="918" spans="3:8" ht="15.75" customHeight="1" x14ac:dyDescent="0.25">
      <c r="C918" s="85"/>
      <c r="H918" s="85"/>
    </row>
    <row r="919" spans="3:8" ht="15.75" customHeight="1" x14ac:dyDescent="0.25">
      <c r="C919" s="85"/>
      <c r="H919" s="85"/>
    </row>
    <row r="920" spans="3:8" ht="15.75" customHeight="1" x14ac:dyDescent="0.25">
      <c r="C920" s="85"/>
      <c r="H920" s="85"/>
    </row>
    <row r="921" spans="3:8" ht="15.75" customHeight="1" x14ac:dyDescent="0.25">
      <c r="C921" s="85"/>
      <c r="H921" s="85"/>
    </row>
    <row r="922" spans="3:8" ht="15.75" customHeight="1" x14ac:dyDescent="0.25">
      <c r="C922" s="85"/>
      <c r="H922" s="85"/>
    </row>
    <row r="923" spans="3:8" ht="15.75" customHeight="1" x14ac:dyDescent="0.25">
      <c r="C923" s="85"/>
      <c r="H923" s="85"/>
    </row>
    <row r="924" spans="3:8" ht="15.75" customHeight="1" x14ac:dyDescent="0.25">
      <c r="C924" s="85"/>
      <c r="H924" s="85"/>
    </row>
    <row r="925" spans="3:8" ht="15.75" customHeight="1" x14ac:dyDescent="0.25">
      <c r="C925" s="85"/>
      <c r="H925" s="85"/>
    </row>
    <row r="926" spans="3:8" ht="15.75" customHeight="1" x14ac:dyDescent="0.25">
      <c r="C926" s="85"/>
      <c r="H926" s="85"/>
    </row>
    <row r="927" spans="3:8" ht="15.75" customHeight="1" x14ac:dyDescent="0.25">
      <c r="C927" s="85"/>
      <c r="H927" s="85"/>
    </row>
    <row r="928" spans="3:8" ht="15.75" customHeight="1" x14ac:dyDescent="0.25">
      <c r="C928" s="85"/>
      <c r="H928" s="85"/>
    </row>
    <row r="929" spans="3:8" ht="15.75" customHeight="1" x14ac:dyDescent="0.25">
      <c r="C929" s="85"/>
      <c r="H929" s="85"/>
    </row>
    <row r="930" spans="3:8" ht="15.75" customHeight="1" x14ac:dyDescent="0.25">
      <c r="C930" s="85"/>
      <c r="H930" s="85"/>
    </row>
    <row r="931" spans="3:8" ht="15.75" customHeight="1" x14ac:dyDescent="0.25">
      <c r="C931" s="85"/>
      <c r="H931" s="85"/>
    </row>
    <row r="932" spans="3:8" ht="15.75" customHeight="1" x14ac:dyDescent="0.25">
      <c r="C932" s="85"/>
      <c r="H932" s="85"/>
    </row>
    <row r="933" spans="3:8" ht="15.75" customHeight="1" x14ac:dyDescent="0.25">
      <c r="C933" s="85"/>
      <c r="H933" s="85"/>
    </row>
    <row r="934" spans="3:8" ht="15.75" customHeight="1" x14ac:dyDescent="0.25">
      <c r="C934" s="85"/>
      <c r="H934" s="85"/>
    </row>
    <row r="935" spans="3:8" ht="15.75" customHeight="1" x14ac:dyDescent="0.25">
      <c r="C935" s="85"/>
      <c r="H935" s="85"/>
    </row>
    <row r="936" spans="3:8" ht="15.75" customHeight="1" x14ac:dyDescent="0.25">
      <c r="C936" s="85"/>
      <c r="H936" s="85"/>
    </row>
    <row r="937" spans="3:8" ht="15.75" customHeight="1" x14ac:dyDescent="0.25">
      <c r="C937" s="85"/>
      <c r="H937" s="85"/>
    </row>
    <row r="938" spans="3:8" ht="15.75" customHeight="1" x14ac:dyDescent="0.25">
      <c r="C938" s="85"/>
      <c r="H938" s="85"/>
    </row>
    <row r="939" spans="3:8" ht="15.75" customHeight="1" x14ac:dyDescent="0.25">
      <c r="C939" s="85"/>
      <c r="H939" s="85"/>
    </row>
    <row r="940" spans="3:8" ht="15.75" customHeight="1" x14ac:dyDescent="0.25">
      <c r="C940" s="85"/>
      <c r="H940" s="85"/>
    </row>
    <row r="941" spans="3:8" ht="15.75" customHeight="1" x14ac:dyDescent="0.25">
      <c r="C941" s="85"/>
      <c r="H941" s="85"/>
    </row>
    <row r="942" spans="3:8" ht="15.75" customHeight="1" x14ac:dyDescent="0.25">
      <c r="C942" s="85"/>
      <c r="H942" s="85"/>
    </row>
    <row r="943" spans="3:8" ht="15.75" customHeight="1" x14ac:dyDescent="0.25">
      <c r="C943" s="85"/>
      <c r="H943" s="85"/>
    </row>
    <row r="944" spans="3:8" ht="15.75" customHeight="1" x14ac:dyDescent="0.25">
      <c r="C944" s="85"/>
      <c r="H944" s="85"/>
    </row>
    <row r="945" spans="3:8" ht="15.75" customHeight="1" x14ac:dyDescent="0.25">
      <c r="C945" s="85"/>
      <c r="H945" s="85"/>
    </row>
    <row r="946" spans="3:8" ht="15.75" customHeight="1" x14ac:dyDescent="0.25">
      <c r="C946" s="85"/>
      <c r="H946" s="85"/>
    </row>
    <row r="947" spans="3:8" ht="15.75" customHeight="1" x14ac:dyDescent="0.25">
      <c r="C947" s="85"/>
      <c r="H947" s="85"/>
    </row>
    <row r="948" spans="3:8" ht="15.75" customHeight="1" x14ac:dyDescent="0.25">
      <c r="C948" s="85"/>
      <c r="H948" s="85"/>
    </row>
    <row r="949" spans="3:8" ht="15.75" customHeight="1" x14ac:dyDescent="0.25">
      <c r="C949" s="85"/>
      <c r="H949" s="85"/>
    </row>
    <row r="950" spans="3:8" ht="15.75" customHeight="1" x14ac:dyDescent="0.25">
      <c r="C950" s="85"/>
      <c r="H950" s="85"/>
    </row>
    <row r="951" spans="3:8" ht="15.75" customHeight="1" x14ac:dyDescent="0.25">
      <c r="C951" s="85"/>
      <c r="H951" s="85"/>
    </row>
    <row r="952" spans="3:8" ht="15.75" customHeight="1" x14ac:dyDescent="0.25">
      <c r="C952" s="85"/>
      <c r="H952" s="85"/>
    </row>
    <row r="953" spans="3:8" ht="15.75" customHeight="1" x14ac:dyDescent="0.25">
      <c r="C953" s="85"/>
      <c r="H953" s="85"/>
    </row>
    <row r="954" spans="3:8" ht="15.75" customHeight="1" x14ac:dyDescent="0.25">
      <c r="C954" s="85"/>
      <c r="H954" s="85"/>
    </row>
    <row r="955" spans="3:8" ht="15.75" customHeight="1" x14ac:dyDescent="0.25">
      <c r="C955" s="85"/>
      <c r="H955" s="85"/>
    </row>
    <row r="956" spans="3:8" ht="15.75" customHeight="1" x14ac:dyDescent="0.25">
      <c r="C956" s="85"/>
      <c r="H956" s="85"/>
    </row>
    <row r="957" spans="3:8" ht="15.75" customHeight="1" x14ac:dyDescent="0.25">
      <c r="C957" s="85"/>
      <c r="H957" s="85"/>
    </row>
    <row r="958" spans="3:8" ht="15.75" customHeight="1" x14ac:dyDescent="0.25">
      <c r="C958" s="85"/>
      <c r="H958" s="85"/>
    </row>
    <row r="959" spans="3:8" ht="15.75" customHeight="1" x14ac:dyDescent="0.25">
      <c r="C959" s="85"/>
      <c r="H959" s="85"/>
    </row>
    <row r="960" spans="3:8" ht="15.75" customHeight="1" x14ac:dyDescent="0.25">
      <c r="C960" s="85"/>
      <c r="H960" s="85"/>
    </row>
    <row r="961" spans="3:8" ht="15.75" customHeight="1" x14ac:dyDescent="0.25">
      <c r="C961" s="85"/>
      <c r="H961" s="85"/>
    </row>
    <row r="962" spans="3:8" ht="15.75" customHeight="1" x14ac:dyDescent="0.25">
      <c r="C962" s="85"/>
      <c r="H962" s="85"/>
    </row>
    <row r="963" spans="3:8" ht="15.75" customHeight="1" x14ac:dyDescent="0.25">
      <c r="C963" s="85"/>
      <c r="H963" s="85"/>
    </row>
    <row r="964" spans="3:8" ht="15.75" customHeight="1" x14ac:dyDescent="0.25">
      <c r="C964" s="85"/>
      <c r="H964" s="85"/>
    </row>
    <row r="965" spans="3:8" ht="15.75" customHeight="1" x14ac:dyDescent="0.25">
      <c r="C965" s="85"/>
      <c r="H965" s="85"/>
    </row>
    <row r="966" spans="3:8" ht="15.75" customHeight="1" x14ac:dyDescent="0.25">
      <c r="C966" s="85"/>
      <c r="H966" s="85"/>
    </row>
    <row r="967" spans="3:8" ht="15.75" customHeight="1" x14ac:dyDescent="0.25">
      <c r="C967" s="85"/>
      <c r="H967" s="85"/>
    </row>
    <row r="968" spans="3:8" ht="15.75" customHeight="1" x14ac:dyDescent="0.25">
      <c r="C968" s="85"/>
      <c r="H968" s="85"/>
    </row>
    <row r="969" spans="3:8" ht="15.75" customHeight="1" x14ac:dyDescent="0.25">
      <c r="C969" s="85"/>
      <c r="H969" s="85"/>
    </row>
    <row r="970" spans="3:8" ht="15.75" customHeight="1" x14ac:dyDescent="0.25">
      <c r="C970" s="85"/>
      <c r="H970" s="85"/>
    </row>
    <row r="971" spans="3:8" ht="15.75" customHeight="1" x14ac:dyDescent="0.25">
      <c r="C971" s="85"/>
      <c r="H971" s="85"/>
    </row>
    <row r="972" spans="3:8" ht="15.75" customHeight="1" x14ac:dyDescent="0.25">
      <c r="C972" s="85"/>
      <c r="H972" s="85"/>
    </row>
    <row r="973" spans="3:8" ht="15.75" customHeight="1" x14ac:dyDescent="0.25">
      <c r="C973" s="85"/>
      <c r="H973" s="85"/>
    </row>
    <row r="974" spans="3:8" ht="15.75" customHeight="1" x14ac:dyDescent="0.25">
      <c r="C974" s="85"/>
      <c r="H974" s="85"/>
    </row>
    <row r="975" spans="3:8" ht="15.75" customHeight="1" x14ac:dyDescent="0.25">
      <c r="C975" s="85"/>
      <c r="H975" s="85"/>
    </row>
    <row r="976" spans="3:8" ht="15.75" customHeight="1" x14ac:dyDescent="0.25">
      <c r="C976" s="85"/>
      <c r="H976" s="85"/>
    </row>
    <row r="977" spans="3:8" ht="15.75" customHeight="1" x14ac:dyDescent="0.25">
      <c r="C977" s="85"/>
      <c r="H977" s="85"/>
    </row>
    <row r="978" spans="3:8" ht="15.75" customHeight="1" x14ac:dyDescent="0.25">
      <c r="C978" s="85"/>
      <c r="H978" s="85"/>
    </row>
    <row r="979" spans="3:8" ht="15.75" customHeight="1" x14ac:dyDescent="0.25">
      <c r="C979" s="85"/>
      <c r="H979" s="85"/>
    </row>
    <row r="980" spans="3:8" ht="15.75" customHeight="1" x14ac:dyDescent="0.25">
      <c r="C980" s="85"/>
      <c r="H980" s="85"/>
    </row>
    <row r="981" spans="3:8" ht="15.75" customHeight="1" x14ac:dyDescent="0.25">
      <c r="C981" s="85"/>
      <c r="H981" s="85"/>
    </row>
    <row r="982" spans="3:8" ht="15.75" customHeight="1" x14ac:dyDescent="0.25">
      <c r="C982" s="85"/>
      <c r="H982" s="85"/>
    </row>
    <row r="983" spans="3:8" ht="15.75" customHeight="1" x14ac:dyDescent="0.25">
      <c r="C983" s="85"/>
      <c r="H983" s="85"/>
    </row>
    <row r="984" spans="3:8" ht="15.75" customHeight="1" x14ac:dyDescent="0.25">
      <c r="C984" s="85"/>
      <c r="H984" s="85"/>
    </row>
    <row r="985" spans="3:8" ht="15.75" customHeight="1" x14ac:dyDescent="0.25">
      <c r="C985" s="85"/>
      <c r="H985" s="85"/>
    </row>
    <row r="986" spans="3:8" ht="15.75" customHeight="1" x14ac:dyDescent="0.25">
      <c r="C986" s="85"/>
      <c r="H986" s="85"/>
    </row>
    <row r="987" spans="3:8" ht="15.75" customHeight="1" x14ac:dyDescent="0.25">
      <c r="C987" s="85"/>
      <c r="H987" s="85"/>
    </row>
    <row r="988" spans="3:8" ht="15.75" customHeight="1" x14ac:dyDescent="0.25">
      <c r="C988" s="85"/>
      <c r="H988" s="85"/>
    </row>
    <row r="989" spans="3:8" ht="15.75" customHeight="1" x14ac:dyDescent="0.25">
      <c r="C989" s="85"/>
      <c r="H989" s="85"/>
    </row>
    <row r="990" spans="3:8" ht="15.75" customHeight="1" x14ac:dyDescent="0.25">
      <c r="C990" s="85"/>
      <c r="H990" s="85"/>
    </row>
    <row r="991" spans="3:8" ht="15.75" customHeight="1" x14ac:dyDescent="0.25">
      <c r="C991" s="85"/>
      <c r="H991" s="85"/>
    </row>
    <row r="992" spans="3:8" ht="15.75" customHeight="1" x14ac:dyDescent="0.25">
      <c r="C992" s="85"/>
      <c r="H992" s="85"/>
    </row>
    <row r="993" spans="3:8" ht="15.75" customHeight="1" x14ac:dyDescent="0.25">
      <c r="C993" s="85"/>
      <c r="H993" s="85"/>
    </row>
    <row r="994" spans="3:8" ht="15.75" customHeight="1" x14ac:dyDescent="0.25">
      <c r="C994" s="85"/>
      <c r="H994" s="85"/>
    </row>
    <row r="995" spans="3:8" ht="15.75" customHeight="1" x14ac:dyDescent="0.25">
      <c r="C995" s="85"/>
      <c r="H995" s="85"/>
    </row>
    <row r="996" spans="3:8" ht="15.75" customHeight="1" x14ac:dyDescent="0.25">
      <c r="C996" s="85"/>
      <c r="H996" s="85"/>
    </row>
    <row r="997" spans="3:8" ht="15.75" customHeight="1" x14ac:dyDescent="0.25">
      <c r="C997" s="85"/>
      <c r="H997" s="85"/>
    </row>
    <row r="998" spans="3:8" ht="15.75" customHeight="1" x14ac:dyDescent="0.25">
      <c r="C998" s="85"/>
      <c r="H998" s="85"/>
    </row>
    <row r="999" spans="3:8" ht="15.75" customHeight="1" x14ac:dyDescent="0.25">
      <c r="C999" s="85"/>
      <c r="H999" s="85"/>
    </row>
    <row r="1000" spans="3:8" ht="15.75" customHeight="1" x14ac:dyDescent="0.25">
      <c r="C1000" s="85"/>
      <c r="H1000" s="85"/>
    </row>
    <row r="1001" spans="3:8" ht="15.75" customHeight="1" x14ac:dyDescent="0.25">
      <c r="C1001" s="85"/>
      <c r="H1001" s="85"/>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Scenario 1 - Bonus in 2026 Only</vt:lpstr>
      <vt:lpstr>Scenario 2 - Client Split</vt:lpstr>
      <vt:lpstr>Scenario 3 - Optimized Split</vt:lpstr>
      <vt:lpstr>Scenario 4 - Bonus in 2025 Only</vt:lpstr>
      <vt:lpstr>Tax Brackets (ON)</vt:lpstr>
      <vt:lpstr>Sample Expenses (Inputs)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Illustrative Personal Tax Plan - Retirement Bonus Timing</dc:title>
  <dc:subject>Sample four-scenario personal tax model</dc:subject>
  <dc:creator>Zenbooks Tax Services Professional Corporation</dc:creator>
  <cp:keywords>personal tax planning retiring allowance pension income splitting Ontario marginal rates</cp:keywords>
  <dc:description>Illustrative sample. Seven tabs: summary comparison, four scenario models, Ontario marginal rate table, household expenditure schedule. Not tax advice.</dc:description>
  <cp:lastModifiedBy>Eric Saumure</cp:lastModifiedBy>
  <cp:revision>0</cp:revision>
  <dcterms:created xsi:type="dcterms:W3CDTF">2026-07-28T17:41:40Z</dcterms:created>
  <dcterms:modified xsi:type="dcterms:W3CDTF">2026-08-20T14:26:47Z</dcterms:modified>
  <cp:category>Work sample</cp:category>
  <dc:language>en-US</dc:language>
</cp:coreProperties>
</file>