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R&amp;D\- NPD\- Clark Warner-Hill\Medium Louver Work\Final Upload\"/>
    </mc:Choice>
  </mc:AlternateContent>
  <xr:revisionPtr revIDLastSave="0" documentId="13_ncr:1_{C5BA15FC-108C-467D-875F-0C235B149469}" xr6:coauthVersionLast="47" xr6:coauthVersionMax="47" xr10:uidLastSave="{00000000-0000-0000-0000-000000000000}"/>
  <workbookProtection workbookAlgorithmName="SHA-512" workbookHashValue="z91znzpmQ809xyvYcOrPCr5dc2p7yj/iNS6JN/ug+Wg+6K1tOZ+xFjA9XUv0WD2eIsIfPCXdp2LfvEy4Rj+F7g==" workbookSaltValue="9rRRN+C6YV/G+xziEg6j6g==" workbookSpinCount="100000" lockStructure="1"/>
  <bookViews>
    <workbookView xWindow="-25320" yWindow="-60" windowWidth="25440" windowHeight="15390" activeTab="1" xr2:uid="{00000000-000D-0000-FFFF-FFFF00000000}"/>
  </bookViews>
  <sheets>
    <sheet name="Data input and results" sheetId="1" r:id="rId1"/>
    <sheet name="information" sheetId="5" r:id="rId2"/>
    <sheet name="Acoustics" sheetId="6" state="hidden" r:id="rId3"/>
    <sheet name="selection" sheetId="4" state="hidden" r:id="rId4"/>
    <sheet name="ulpanel" sheetId="2" state="hidden" r:id="rId5"/>
    <sheet name="ulpress" sheetId="3" state="hidden" r:id="rId6"/>
  </sheets>
  <definedNames>
    <definedName name="acc">'Data input and results'!$C$15</definedName>
    <definedName name="class1">selection!$E$19</definedName>
    <definedName name="class2">selection!$H$19</definedName>
    <definedName name="con">'Data input and results'!$C$15</definedName>
    <definedName name="conn">'Data input and results'!$C$19</definedName>
    <definedName name="cvel1">selection!$E$23</definedName>
    <definedName name="cvel2">selection!$H$23</definedName>
    <definedName name="dense">'Data input and results'!$H$23</definedName>
    <definedName name="dir">'Data input and results'!$C$17</definedName>
    <definedName name="drop1">selection!$E$21</definedName>
    <definedName name="drop2">selection!$H$21</definedName>
    <definedName name="flow">'Data input and results'!$C$21</definedName>
    <definedName name="free1">selection!$E$29</definedName>
    <definedName name="free2">selection!$H$29</definedName>
    <definedName name="high">'Data input and results'!$C$29</definedName>
    <definedName name="high1">selection!$E$25</definedName>
    <definedName name="high2">selection!$H$25</definedName>
    <definedName name="httable">ulpanel!$J$4:$Q$31</definedName>
    <definedName name="loc">'Data input and results'!$C$13</definedName>
    <definedName name="mat">'Data input and results'!$H$9</definedName>
    <definedName name="mfree1">selection!$E$31</definedName>
    <definedName name="mfree2">selection!$H$31</definedName>
    <definedName name="mull">'Data input and results'!$H$13</definedName>
    <definedName name="mulltyp">'Data input and results'!$H$15</definedName>
    <definedName name="other">'Data input and results'!$C$23</definedName>
    <definedName name="othercv">'Data input and results'!$C$25</definedName>
    <definedName name="pdrop">'Data input and results'!$C$27</definedName>
    <definedName name="space1">'Data input and results'!$H$17</definedName>
    <definedName name="space2">'Data input and results'!$H$18</definedName>
    <definedName name="space3">'Data input and results'!$H$19</definedName>
    <definedName name="steel">'Data input and results'!#REF!</definedName>
    <definedName name="thick">'Data input and results'!$H$21</definedName>
    <definedName name="type">'Data input and results'!$C$9</definedName>
    <definedName name="type1">selection!$E$17</definedName>
    <definedName name="type2">selection!$H$17</definedName>
    <definedName name="wide">'Data input and results'!$C$31</definedName>
    <definedName name="wide1">selection!$E$27</definedName>
    <definedName name="wide2">selection!$H$27</definedName>
    <definedName name="wind">'Data input and results'!#REF!</definedName>
    <definedName name="witable">ulpanel!$J$35:$N$62</definedName>
    <definedName name="wres">'Data input and results'!$C$11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4" l="1"/>
  <c r="K18" i="4"/>
  <c r="K17" i="4"/>
  <c r="Q4" i="6"/>
  <c r="Q3" i="6"/>
  <c r="U39" i="6"/>
  <c r="V39" i="6" s="1"/>
  <c r="T39" i="6" a="1"/>
  <c r="T39" i="6" s="1"/>
  <c r="T38" i="6" a="1"/>
  <c r="T38" i="6" s="1"/>
  <c r="U38" i="6"/>
  <c r="Q7" i="6"/>
  <c r="Q6" i="6"/>
  <c r="Q5" i="6"/>
  <c r="A13" i="1"/>
  <c r="A11" i="1"/>
  <c r="D6" i="4"/>
  <c r="D9" i="4" s="1"/>
  <c r="L8" i="2"/>
  <c r="L9" i="2"/>
  <c r="L10" i="2"/>
  <c r="L11" i="2"/>
  <c r="L12" i="2"/>
  <c r="K9" i="2"/>
  <c r="K11" i="2" s="1"/>
  <c r="K8" i="2"/>
  <c r="K10" i="2" s="1"/>
  <c r="K5" i="2"/>
  <c r="K7" i="2" s="1"/>
  <c r="K4" i="2"/>
  <c r="K6" i="2" s="1"/>
  <c r="C45" i="3"/>
  <c r="K9" i="3"/>
  <c r="K11" i="3" s="1"/>
  <c r="B45" i="3"/>
  <c r="C54" i="2"/>
  <c r="B54" i="2"/>
  <c r="B53" i="2"/>
  <c r="I55" i="2"/>
  <c r="H55" i="2"/>
  <c r="F55" i="2"/>
  <c r="E55" i="2"/>
  <c r="C55" i="2"/>
  <c r="B55" i="2"/>
  <c r="I53" i="2"/>
  <c r="H53" i="2"/>
  <c r="F53" i="2"/>
  <c r="E53" i="2"/>
  <c r="C53" i="2"/>
  <c r="C48" i="2"/>
  <c r="B48" i="2"/>
  <c r="D7" i="4"/>
  <c r="D10" i="4" s="1"/>
  <c r="L8" i="3"/>
  <c r="L9" i="3"/>
  <c r="L10" i="3"/>
  <c r="L11" i="3"/>
  <c r="L7" i="3"/>
  <c r="K8" i="3"/>
  <c r="K10" i="3" s="1"/>
  <c r="K29" i="3"/>
  <c r="K31" i="3" s="1"/>
  <c r="K28" i="3"/>
  <c r="K30" i="3" s="1"/>
  <c r="K25" i="3"/>
  <c r="K27" i="3" s="1"/>
  <c r="K24" i="3"/>
  <c r="K26" i="3" s="1"/>
  <c r="K21" i="3"/>
  <c r="K23" i="3" s="1"/>
  <c r="K20" i="3"/>
  <c r="K22" i="3" s="1"/>
  <c r="K17" i="3"/>
  <c r="K19" i="3" s="1"/>
  <c r="K16" i="3"/>
  <c r="K18" i="3" s="1"/>
  <c r="K13" i="3"/>
  <c r="K15" i="3" s="1"/>
  <c r="K12" i="3"/>
  <c r="K14" i="3" s="1"/>
  <c r="K5" i="3"/>
  <c r="K7" i="3" s="1"/>
  <c r="K4" i="3"/>
  <c r="K6" i="3" s="1"/>
  <c r="B46" i="3"/>
  <c r="C39" i="3"/>
  <c r="B39" i="3"/>
  <c r="C46" i="3"/>
  <c r="E46" i="3"/>
  <c r="F46" i="3"/>
  <c r="H46" i="3"/>
  <c r="I46" i="3"/>
  <c r="C44" i="3"/>
  <c r="E44" i="3"/>
  <c r="F44" i="3"/>
  <c r="H44" i="3"/>
  <c r="I44" i="3"/>
  <c r="B44" i="3"/>
  <c r="D13" i="4"/>
  <c r="G10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A25" i="1"/>
  <c r="B48" i="1"/>
  <c r="G20" i="2"/>
  <c r="H20" i="2"/>
  <c r="F20" i="2"/>
  <c r="G10" i="3"/>
  <c r="G11" i="3"/>
  <c r="G12" i="3"/>
  <c r="G13" i="3"/>
  <c r="O19" i="3" s="1"/>
  <c r="H15" i="3"/>
  <c r="H16" i="3"/>
  <c r="G17" i="2"/>
  <c r="G11" i="2"/>
  <c r="L29" i="2"/>
  <c r="G13" i="2"/>
  <c r="H19" i="2"/>
  <c r="G12" i="2"/>
  <c r="G16" i="2"/>
  <c r="L31" i="2"/>
  <c r="L28" i="2"/>
  <c r="L30" i="2"/>
  <c r="L25" i="2"/>
  <c r="L27" i="2"/>
  <c r="L24" i="2"/>
  <c r="L26" i="2"/>
  <c r="L21" i="2"/>
  <c r="G19" i="2"/>
  <c r="L23" i="2"/>
  <c r="L20" i="2"/>
  <c r="L22" i="2"/>
  <c r="L17" i="2"/>
  <c r="L19" i="2"/>
  <c r="L16" i="2"/>
  <c r="L18" i="2"/>
  <c r="L13" i="2"/>
  <c r="F19" i="2"/>
  <c r="L15" i="2"/>
  <c r="L14" i="2"/>
  <c r="L5" i="2"/>
  <c r="L7" i="2"/>
  <c r="L4" i="2"/>
  <c r="L6" i="2"/>
  <c r="G17" i="3"/>
  <c r="L25" i="3"/>
  <c r="L27" i="3"/>
  <c r="L24" i="3"/>
  <c r="L26" i="3"/>
  <c r="L29" i="3"/>
  <c r="L31" i="3"/>
  <c r="L28" i="3"/>
  <c r="L30" i="3"/>
  <c r="G15" i="3"/>
  <c r="G16" i="3"/>
  <c r="L17" i="3"/>
  <c r="L19" i="3"/>
  <c r="L16" i="3"/>
  <c r="L18" i="3"/>
  <c r="L21" i="3"/>
  <c r="L23" i="3"/>
  <c r="L20" i="3"/>
  <c r="L22" i="3"/>
  <c r="F15" i="3"/>
  <c r="F16" i="3"/>
  <c r="L5" i="3"/>
  <c r="L4" i="3"/>
  <c r="L6" i="3"/>
  <c r="L13" i="3"/>
  <c r="L15" i="3"/>
  <c r="L12" i="3"/>
  <c r="L14" i="3"/>
  <c r="M17" i="2" l="1"/>
  <c r="K42" i="2"/>
  <c r="L42" i="2" s="1"/>
  <c r="O31" i="3"/>
  <c r="O25" i="3"/>
  <c r="O29" i="3"/>
  <c r="O24" i="3"/>
  <c r="M5" i="2"/>
  <c r="M27" i="2"/>
  <c r="M15" i="2"/>
  <c r="N15" i="2" s="1"/>
  <c r="M9" i="3"/>
  <c r="N9" i="3" s="1"/>
  <c r="O28" i="3"/>
  <c r="O26" i="3"/>
  <c r="M6" i="3"/>
  <c r="N6" i="3" s="1"/>
  <c r="O23" i="3"/>
  <c r="O8" i="3"/>
  <c r="K36" i="2"/>
  <c r="L36" i="2" s="1"/>
  <c r="M28" i="2"/>
  <c r="N28" i="2" s="1"/>
  <c r="O28" i="2" s="1"/>
  <c r="O18" i="3"/>
  <c r="O30" i="3"/>
  <c r="O27" i="3"/>
  <c r="N17" i="2"/>
  <c r="O17" i="2" s="1"/>
  <c r="O22" i="3"/>
  <c r="O20" i="3"/>
  <c r="O10" i="3"/>
  <c r="O21" i="3"/>
  <c r="M20" i="2"/>
  <c r="N20" i="2" s="1"/>
  <c r="M30" i="2"/>
  <c r="N30" i="2" s="1"/>
  <c r="O30" i="2" s="1"/>
  <c r="M11" i="2"/>
  <c r="M14" i="2"/>
  <c r="I24" i="2" s="1"/>
  <c r="M10" i="2"/>
  <c r="N10" i="2" s="1"/>
  <c r="O10" i="2" s="1"/>
  <c r="M8" i="2"/>
  <c r="N8" i="2" s="1"/>
  <c r="M12" i="2"/>
  <c r="N12" i="2" s="1"/>
  <c r="O5" i="3"/>
  <c r="M23" i="2"/>
  <c r="N23" i="2" s="1"/>
  <c r="O23" i="2" s="1"/>
  <c r="P23" i="2" s="1"/>
  <c r="Q23" i="2" s="1"/>
  <c r="O17" i="3"/>
  <c r="O11" i="3"/>
  <c r="M13" i="2"/>
  <c r="N13" i="2" s="1"/>
  <c r="M31" i="2"/>
  <c r="N31" i="2" s="1"/>
  <c r="O7" i="3"/>
  <c r="K53" i="2"/>
  <c r="L53" i="2" s="1"/>
  <c r="O15" i="3"/>
  <c r="O4" i="3"/>
  <c r="O12" i="3"/>
  <c r="M6" i="2"/>
  <c r="N6" i="2" s="1"/>
  <c r="O6" i="2" s="1"/>
  <c r="M18" i="2"/>
  <c r="N18" i="2" s="1"/>
  <c r="O18" i="2" s="1"/>
  <c r="P18" i="2" s="1"/>
  <c r="Q18" i="2" s="1"/>
  <c r="M21" i="2"/>
  <c r="M22" i="2"/>
  <c r="I27" i="2" s="1"/>
  <c r="M25" i="2"/>
  <c r="N25" i="2" s="1"/>
  <c r="M9" i="2"/>
  <c r="N9" i="2" s="1"/>
  <c r="O9" i="2" s="1"/>
  <c r="O13" i="3"/>
  <c r="M29" i="2"/>
  <c r="N29" i="2" s="1"/>
  <c r="O29" i="2" s="1"/>
  <c r="O6" i="3"/>
  <c r="O14" i="3"/>
  <c r="O9" i="3"/>
  <c r="M4" i="2"/>
  <c r="N4" i="2" s="1"/>
  <c r="O4" i="2" s="1"/>
  <c r="M16" i="2"/>
  <c r="N16" i="2" s="1"/>
  <c r="O16" i="2" s="1"/>
  <c r="M26" i="2"/>
  <c r="N26" i="2" s="1"/>
  <c r="O26" i="2" s="1"/>
  <c r="O16" i="3"/>
  <c r="M7" i="2"/>
  <c r="N7" i="2" s="1"/>
  <c r="M19" i="2"/>
  <c r="N19" i="2" s="1"/>
  <c r="M24" i="2"/>
  <c r="N24" i="2" s="1"/>
  <c r="O24" i="2" s="1"/>
  <c r="K62" i="2"/>
  <c r="L62" i="2" s="1"/>
  <c r="K45" i="2"/>
  <c r="L45" i="2" s="1"/>
  <c r="K35" i="2"/>
  <c r="L35" i="2" s="1"/>
  <c r="K46" i="2"/>
  <c r="L46" i="2" s="1"/>
  <c r="K52" i="2"/>
  <c r="L52" i="2" s="1"/>
  <c r="K50" i="2"/>
  <c r="L50" i="2" s="1"/>
  <c r="K47" i="2"/>
  <c r="L47" i="2" s="1"/>
  <c r="K44" i="2"/>
  <c r="L44" i="2" s="1"/>
  <c r="M17" i="3"/>
  <c r="N17" i="3" s="1"/>
  <c r="K58" i="2"/>
  <c r="L58" i="2" s="1"/>
  <c r="M24" i="3"/>
  <c r="N24" i="3" s="1"/>
  <c r="K51" i="2"/>
  <c r="L51" i="2" s="1"/>
  <c r="K48" i="2"/>
  <c r="L48" i="2" s="1"/>
  <c r="K49" i="2"/>
  <c r="L49" i="2" s="1"/>
  <c r="K57" i="2"/>
  <c r="L57" i="2" s="1"/>
  <c r="K60" i="2"/>
  <c r="L60" i="2" s="1"/>
  <c r="M21" i="3"/>
  <c r="N21" i="3" s="1"/>
  <c r="K39" i="2"/>
  <c r="L39" i="2" s="1"/>
  <c r="K38" i="2"/>
  <c r="L38" i="2" s="1"/>
  <c r="K59" i="2"/>
  <c r="L59" i="2" s="1"/>
  <c r="M8" i="3"/>
  <c r="N8" i="3" s="1"/>
  <c r="K61" i="2"/>
  <c r="L61" i="2" s="1"/>
  <c r="K43" i="2"/>
  <c r="L43" i="2" s="1"/>
  <c r="K55" i="2"/>
  <c r="L55" i="2" s="1"/>
  <c r="M26" i="3"/>
  <c r="N26" i="3" s="1"/>
  <c r="K37" i="2"/>
  <c r="L37" i="2" s="1"/>
  <c r="K40" i="2"/>
  <c r="L40" i="2" s="1"/>
  <c r="K56" i="2"/>
  <c r="L56" i="2" s="1"/>
  <c r="M10" i="3"/>
  <c r="N10" i="3" s="1"/>
  <c r="M19" i="3"/>
  <c r="N19" i="3" s="1"/>
  <c r="P19" i="3" s="1"/>
  <c r="Q19" i="3" s="1"/>
  <c r="M7" i="3"/>
  <c r="N7" i="3" s="1"/>
  <c r="M11" i="3"/>
  <c r="N11" i="3" s="1"/>
  <c r="M12" i="3"/>
  <c r="N12" i="3" s="1"/>
  <c r="M28" i="3"/>
  <c r="N28" i="3" s="1"/>
  <c r="M25" i="3"/>
  <c r="N25" i="3" s="1"/>
  <c r="M31" i="3"/>
  <c r="N31" i="3" s="1"/>
  <c r="M14" i="3"/>
  <c r="N14" i="3" s="1"/>
  <c r="M16" i="3"/>
  <c r="N16" i="3" s="1"/>
  <c r="M20" i="3"/>
  <c r="N20" i="3" s="1"/>
  <c r="M18" i="3"/>
  <c r="N18" i="3" s="1"/>
  <c r="M4" i="3"/>
  <c r="N4" i="3" s="1"/>
  <c r="K54" i="2"/>
  <c r="L54" i="2" s="1"/>
  <c r="M15" i="3"/>
  <c r="N15" i="3" s="1"/>
  <c r="M27" i="3"/>
  <c r="N27" i="3" s="1"/>
  <c r="M5" i="3"/>
  <c r="N5" i="3" s="1"/>
  <c r="M29" i="3"/>
  <c r="N29" i="3" s="1"/>
  <c r="M30" i="3"/>
  <c r="N30" i="3" s="1"/>
  <c r="M23" i="3"/>
  <c r="N23" i="3" s="1"/>
  <c r="P23" i="3" s="1"/>
  <c r="Q23" i="3" s="1"/>
  <c r="K41" i="2"/>
  <c r="L41" i="2" s="1"/>
  <c r="M13" i="3"/>
  <c r="N13" i="3" s="1"/>
  <c r="M22" i="3"/>
  <c r="N22" i="3" s="1"/>
  <c r="N21" i="2"/>
  <c r="O21" i="2" s="1"/>
  <c r="N5" i="2"/>
  <c r="N27" i="2"/>
  <c r="I26" i="2"/>
  <c r="D11" i="4"/>
  <c r="H17" i="4" s="1"/>
  <c r="E17" i="4"/>
  <c r="R38" i="6" s="1"/>
  <c r="P20" i="3" l="1"/>
  <c r="Q20" i="3" s="1"/>
  <c r="P7" i="3"/>
  <c r="Q7" i="3" s="1"/>
  <c r="M41" i="2"/>
  <c r="N41" i="2" s="1"/>
  <c r="E26" i="2" s="1"/>
  <c r="AI41" i="6"/>
  <c r="P31" i="3"/>
  <c r="Q31" i="3" s="1"/>
  <c r="D31" i="3" s="1"/>
  <c r="N14" i="2"/>
  <c r="O14" i="2" s="1"/>
  <c r="P14" i="2" s="1"/>
  <c r="Q14" i="2" s="1"/>
  <c r="M48" i="2"/>
  <c r="N48" i="2" s="1"/>
  <c r="P24" i="3"/>
  <c r="Q24" i="3" s="1"/>
  <c r="H32" i="3" s="1"/>
  <c r="P28" i="3"/>
  <c r="Q28" i="3" s="1"/>
  <c r="P14" i="3"/>
  <c r="Q14" i="3" s="1"/>
  <c r="C26" i="3" s="1"/>
  <c r="I28" i="2"/>
  <c r="P12" i="3"/>
  <c r="Q12" i="3" s="1"/>
  <c r="P26" i="3"/>
  <c r="Q26" i="3" s="1"/>
  <c r="C32" i="3" s="1"/>
  <c r="P17" i="3"/>
  <c r="Q17" i="3" s="1"/>
  <c r="P18" i="3"/>
  <c r="Q18" i="3" s="1"/>
  <c r="C30" i="3" s="1"/>
  <c r="M36" i="2"/>
  <c r="N36" i="2" s="1"/>
  <c r="P29" i="3"/>
  <c r="Q29" i="3" s="1"/>
  <c r="P6" i="3"/>
  <c r="Q6" i="3" s="1"/>
  <c r="C28" i="3" s="1"/>
  <c r="P25" i="3"/>
  <c r="Q25" i="3" s="1"/>
  <c r="M46" i="2"/>
  <c r="N46" i="2" s="1"/>
  <c r="E29" i="2" s="1"/>
  <c r="O15" i="2"/>
  <c r="P15" i="2" s="1"/>
  <c r="Q15" i="2" s="1"/>
  <c r="I29" i="2"/>
  <c r="M58" i="2"/>
  <c r="N58" i="2" s="1"/>
  <c r="E35" i="2" s="1"/>
  <c r="P8" i="3"/>
  <c r="Q8" i="3" s="1"/>
  <c r="P9" i="3"/>
  <c r="Q9" i="3" s="1"/>
  <c r="M35" i="2"/>
  <c r="N35" i="2" s="1"/>
  <c r="P27" i="3"/>
  <c r="Q27" i="3" s="1"/>
  <c r="D32" i="3" s="1"/>
  <c r="M47" i="2"/>
  <c r="N47" i="2" s="1"/>
  <c r="M56" i="2"/>
  <c r="N56" i="2" s="1"/>
  <c r="P30" i="3"/>
  <c r="Q30" i="3" s="1"/>
  <c r="C31" i="3" s="1"/>
  <c r="M44" i="2"/>
  <c r="N44" i="2" s="1"/>
  <c r="P10" i="3"/>
  <c r="Q10" i="3" s="1"/>
  <c r="C27" i="3" s="1"/>
  <c r="M59" i="2"/>
  <c r="N59" i="2" s="1"/>
  <c r="I25" i="2"/>
  <c r="N22" i="2"/>
  <c r="O22" i="2" s="1"/>
  <c r="P22" i="2" s="1"/>
  <c r="Q22" i="2" s="1"/>
  <c r="P22" i="3"/>
  <c r="Q22" i="3" s="1"/>
  <c r="C29" i="3" s="1"/>
  <c r="O5" i="2"/>
  <c r="P5" i="2" s="1"/>
  <c r="Q5" i="2" s="1"/>
  <c r="S38" i="6"/>
  <c r="V38" i="6" s="1"/>
  <c r="AA38" i="6"/>
  <c r="M45" i="2"/>
  <c r="N45" i="2" s="1"/>
  <c r="E28" i="2" s="1"/>
  <c r="M49" i="2"/>
  <c r="N49" i="2" s="1"/>
  <c r="E30" i="2" s="1"/>
  <c r="M51" i="2"/>
  <c r="N51" i="2" s="1"/>
  <c r="O20" i="2"/>
  <c r="P20" i="2" s="1"/>
  <c r="Q20" i="2" s="1"/>
  <c r="O8" i="2"/>
  <c r="P8" i="2" s="1"/>
  <c r="Q8" i="2" s="1"/>
  <c r="M39" i="2"/>
  <c r="N39" i="2" s="1"/>
  <c r="M43" i="2"/>
  <c r="N43" i="2" s="1"/>
  <c r="O12" i="2"/>
  <c r="P12" i="2" s="1"/>
  <c r="Q12" i="2" s="1"/>
  <c r="P16" i="3"/>
  <c r="Q16" i="3" s="1"/>
  <c r="H29" i="3" s="1"/>
  <c r="M61" i="2"/>
  <c r="N61" i="2" s="1"/>
  <c r="E36" i="2" s="1"/>
  <c r="M57" i="2"/>
  <c r="N57" i="2" s="1"/>
  <c r="E34" i="2" s="1"/>
  <c r="P5" i="3"/>
  <c r="Q5" i="3" s="1"/>
  <c r="P13" i="3"/>
  <c r="Q13" i="3" s="1"/>
  <c r="P15" i="3"/>
  <c r="Q15" i="3" s="1"/>
  <c r="M54" i="2"/>
  <c r="N54" i="2" s="1"/>
  <c r="E33" i="2" s="1"/>
  <c r="M37" i="2"/>
  <c r="N37" i="2" s="1"/>
  <c r="E24" i="2" s="1"/>
  <c r="P4" i="3"/>
  <c r="Q4" i="3" s="1"/>
  <c r="H27" i="3" s="1"/>
  <c r="P21" i="3"/>
  <c r="Q21" i="3" s="1"/>
  <c r="D30" i="3"/>
  <c r="N11" i="2"/>
  <c r="O11" i="2" s="1"/>
  <c r="P11" i="2" s="1"/>
  <c r="Q11" i="2" s="1"/>
  <c r="P11" i="3"/>
  <c r="Q11" i="3" s="1"/>
  <c r="D27" i="3" s="1"/>
  <c r="I30" i="2"/>
  <c r="R39" i="6"/>
  <c r="AL39" i="6" s="1" a="1"/>
  <c r="AL39" i="6" s="1"/>
  <c r="AM39" i="6" s="1"/>
  <c r="O25" i="2"/>
  <c r="P25" i="2" s="1"/>
  <c r="Q25" i="2" s="1"/>
  <c r="M52" i="2"/>
  <c r="N52" i="2" s="1"/>
  <c r="M40" i="2"/>
  <c r="N40" i="2" s="1"/>
  <c r="M55" i="2"/>
  <c r="N55" i="2" s="1"/>
  <c r="M60" i="2"/>
  <c r="N60" i="2" s="1"/>
  <c r="O13" i="2"/>
  <c r="P13" i="2" s="1"/>
  <c r="Q13" i="2" s="1"/>
  <c r="D29" i="2" s="1"/>
  <c r="D28" i="3"/>
  <c r="D29" i="3"/>
  <c r="O27" i="2"/>
  <c r="P27" i="2" s="1"/>
  <c r="Q27" i="2" s="1"/>
  <c r="D35" i="2" s="1"/>
  <c r="P9" i="2"/>
  <c r="Q9" i="2" s="1"/>
  <c r="P17" i="2"/>
  <c r="Q17" i="2" s="1"/>
  <c r="P16" i="2"/>
  <c r="Q16" i="2" s="1"/>
  <c r="D30" i="2" s="1"/>
  <c r="P21" i="2"/>
  <c r="Q21" i="2" s="1"/>
  <c r="D33" i="2" s="1"/>
  <c r="P10" i="2"/>
  <c r="Q10" i="2" s="1"/>
  <c r="O31" i="2"/>
  <c r="M62" i="2"/>
  <c r="N62" i="2" s="1"/>
  <c r="E37" i="2" s="1"/>
  <c r="M50" i="2"/>
  <c r="N50" i="2" s="1"/>
  <c r="E31" i="2" s="1"/>
  <c r="O19" i="2"/>
  <c r="P30" i="2"/>
  <c r="Q30" i="2" s="1"/>
  <c r="P26" i="2"/>
  <c r="Q26" i="2" s="1"/>
  <c r="P4" i="2"/>
  <c r="Q4" i="2" s="1"/>
  <c r="O7" i="2"/>
  <c r="M38" i="2"/>
  <c r="N38" i="2" s="1"/>
  <c r="E25" i="2" s="1"/>
  <c r="P24" i="2"/>
  <c r="Q24" i="2" s="1"/>
  <c r="P28" i="2"/>
  <c r="Q28" i="2" s="1"/>
  <c r="P29" i="2"/>
  <c r="Q29" i="2" s="1"/>
  <c r="P6" i="2"/>
  <c r="Q6" i="2" s="1"/>
  <c r="D24" i="2" s="1"/>
  <c r="D36" i="1"/>
  <c r="H27" i="4"/>
  <c r="G48" i="1" s="1"/>
  <c r="G36" i="1"/>
  <c r="H25" i="4"/>
  <c r="H31" i="3" l="1"/>
  <c r="F30" i="3"/>
  <c r="H21" i="4" s="1"/>
  <c r="G42" i="1" s="1"/>
  <c r="F31" i="3"/>
  <c r="F32" i="3"/>
  <c r="F29" i="3"/>
  <c r="M53" i="2"/>
  <c r="N53" i="2" s="1"/>
  <c r="E32" i="2" s="1"/>
  <c r="H28" i="3"/>
  <c r="H26" i="3"/>
  <c r="D27" i="2"/>
  <c r="Y38" i="6"/>
  <c r="S39" i="6"/>
  <c r="Y39" i="6" s="1"/>
  <c r="AA39" i="6"/>
  <c r="F27" i="3"/>
  <c r="E21" i="4" s="1"/>
  <c r="D42" i="1" s="1"/>
  <c r="H30" i="3"/>
  <c r="D26" i="3"/>
  <c r="F26" i="3" s="1"/>
  <c r="M42" i="2"/>
  <c r="N42" i="2" s="1"/>
  <c r="E27" i="2" s="1"/>
  <c r="F28" i="3"/>
  <c r="D34" i="2"/>
  <c r="H30" i="2" s="1"/>
  <c r="D36" i="2"/>
  <c r="D26" i="2"/>
  <c r="D32" i="2"/>
  <c r="H27" i="2" s="1"/>
  <c r="D28" i="2"/>
  <c r="H24" i="2" s="1"/>
  <c r="H29" i="4"/>
  <c r="H31" i="4" s="1"/>
  <c r="P19" i="2"/>
  <c r="Q19" i="2" s="1"/>
  <c r="D31" i="2" s="1"/>
  <c r="H28" i="2" s="1"/>
  <c r="P7" i="2"/>
  <c r="Q7" i="2" s="1"/>
  <c r="D25" i="2" s="1"/>
  <c r="H26" i="2" s="1"/>
  <c r="P31" i="2"/>
  <c r="Q31" i="2" s="1"/>
  <c r="D37" i="2" s="1"/>
  <c r="H29" i="2" s="1"/>
  <c r="O10" i="4"/>
  <c r="O9" i="4"/>
  <c r="M6" i="4"/>
  <c r="G46" i="1"/>
  <c r="Q9" i="4"/>
  <c r="M12" i="4"/>
  <c r="M8" i="4"/>
  <c r="Q6" i="4"/>
  <c r="Q11" i="4"/>
  <c r="O12" i="4"/>
  <c r="M11" i="4"/>
  <c r="Q7" i="4"/>
  <c r="M9" i="4"/>
  <c r="Q12" i="4"/>
  <c r="O8" i="4"/>
  <c r="M10" i="4"/>
  <c r="Q8" i="4"/>
  <c r="O6" i="4"/>
  <c r="O7" i="4"/>
  <c r="Q10" i="4"/>
  <c r="H33" i="4" s="1"/>
  <c r="G50" i="1" s="1"/>
  <c r="H25" i="2" l="1"/>
  <c r="F10" i="4"/>
  <c r="F11" i="4" s="1"/>
  <c r="H19" i="4" s="1"/>
  <c r="G40" i="1" s="1"/>
  <c r="F9" i="4"/>
  <c r="E27" i="4" l="1"/>
  <c r="D48" i="1" s="1"/>
  <c r="E25" i="4"/>
  <c r="H23" i="4"/>
  <c r="G44" i="1" s="1"/>
  <c r="E23" i="4"/>
  <c r="E19" i="4"/>
  <c r="D40" i="1" s="1"/>
  <c r="D46" i="1" l="1"/>
  <c r="P8" i="4"/>
  <c r="M7" i="4"/>
  <c r="N12" i="4"/>
  <c r="P9" i="4"/>
  <c r="O11" i="4"/>
  <c r="L8" i="4"/>
  <c r="L9" i="4"/>
  <c r="N9" i="4"/>
  <c r="P7" i="4"/>
  <c r="E33" i="4" s="1"/>
  <c r="D50" i="1" s="1"/>
  <c r="P12" i="4"/>
  <c r="L11" i="4"/>
  <c r="N10" i="4"/>
  <c r="L7" i="4"/>
  <c r="E29" i="4"/>
  <c r="E31" i="4" s="1"/>
  <c r="N7" i="4"/>
  <c r="P10" i="4"/>
  <c r="N8" i="4"/>
  <c r="L10" i="4"/>
  <c r="N11" i="4"/>
  <c r="P6" i="4"/>
  <c r="P11" i="4"/>
  <c r="L6" i="4"/>
  <c r="N6" i="4"/>
  <c r="L12" i="4"/>
  <c r="AC39" i="6" a="1"/>
  <c r="AC39" i="6" s="1"/>
  <c r="AF39" i="6" s="1"/>
  <c r="AH39" i="6" s="1"/>
  <c r="AI39" i="6" s="1"/>
  <c r="AK39" i="6"/>
  <c r="AK38" i="6"/>
  <c r="D44" i="1"/>
  <c r="AC38" i="6" a="1"/>
  <c r="AC38" i="6" s="1"/>
  <c r="AF38" i="6" s="1"/>
  <c r="AH38" i="6" s="1"/>
  <c r="AI38" i="6" s="1"/>
  <c r="AL38" i="6" l="1"/>
  <c r="AM38" i="6" s="1"/>
  <c r="AL40" i="6"/>
  <c r="AM40" i="6" s="1"/>
  <c r="K20" i="4" l="1" a="1"/>
  <c r="K20" i="4" s="1"/>
  <c r="K25" i="4" s="1" a="1"/>
  <c r="K25" i="4" s="1"/>
  <c r="O26" i="4" s="1"/>
  <c r="K34" i="4" l="1" a="1"/>
  <c r="K34" i="4" s="1"/>
  <c r="K33" i="4" a="1"/>
  <c r="K33" i="4" s="1"/>
  <c r="K37" i="4" a="1"/>
  <c r="K37" i="4" s="1"/>
  <c r="K38" i="4" a="1"/>
  <c r="K38" i="4" s="1"/>
  <c r="K36" i="4" a="1"/>
  <c r="K36" i="4" s="1"/>
  <c r="K35" i="4" a="1"/>
  <c r="K35" i="4" s="1"/>
  <c r="B52" i="1" l="1" a="1"/>
  <c r="B5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<sst xmlns="http://schemas.openxmlformats.org/spreadsheetml/2006/main" count="686" uniqueCount="229">
  <si>
    <t>PROJECT:</t>
  </si>
  <si>
    <t>DATE:</t>
  </si>
  <si>
    <t>BY:</t>
  </si>
  <si>
    <t>INPUT DATA:</t>
  </si>
  <si>
    <t>Louvre type</t>
  </si>
  <si>
    <t>Air flow rate</t>
  </si>
  <si>
    <t>Direction of air flow</t>
  </si>
  <si>
    <t>Maximum air pressure drop</t>
  </si>
  <si>
    <t>Maximum louvre height</t>
  </si>
  <si>
    <t>Maximum louvre width</t>
  </si>
  <si>
    <t>RESULTS</t>
  </si>
  <si>
    <t>Selected louvre type</t>
  </si>
  <si>
    <t>HEVAC classification</t>
  </si>
  <si>
    <t>Pressure drop</t>
  </si>
  <si>
    <t>Option 1</t>
  </si>
  <si>
    <t>Option 2</t>
  </si>
  <si>
    <t>Pa</t>
  </si>
  <si>
    <t>m3/s</t>
  </si>
  <si>
    <t>m</t>
  </si>
  <si>
    <t>(Best weather protection)</t>
  </si>
  <si>
    <t>(Best air flow performance)</t>
  </si>
  <si>
    <t>Measured free area</t>
  </si>
  <si>
    <t>Accessories</t>
  </si>
  <si>
    <t>Fill in 2 out of 3</t>
  </si>
  <si>
    <t>Leave 3rd blank</t>
  </si>
  <si>
    <t>Connections</t>
  </si>
  <si>
    <t>Calculations:</t>
  </si>
  <si>
    <t>if height entered....</t>
  </si>
  <si>
    <t>zeta</t>
  </si>
  <si>
    <t>nummull</t>
  </si>
  <si>
    <t>Colt Universal Louvre Systems</t>
  </si>
  <si>
    <t>Calculation of Panel Size if Flowrate and Maximum Pressure Drop are known</t>
  </si>
  <si>
    <t>(Louvre panels fitted with birdguard)</t>
  </si>
  <si>
    <t>Input Data:</t>
  </si>
  <si>
    <t>Volume flow rate:</t>
  </si>
  <si>
    <t>Maximum Pressure Drop:</t>
  </si>
  <si>
    <t>Mullion spacing:</t>
  </si>
  <si>
    <t>Site ambient air density:</t>
  </si>
  <si>
    <t>kg/m3</t>
  </si>
  <si>
    <t>Limiting Dimension:</t>
  </si>
  <si>
    <t>h or w</t>
  </si>
  <si>
    <t>(h = height, w = width)</t>
  </si>
  <si>
    <t>value</t>
  </si>
  <si>
    <t>Thickness of horizontal steelwork:</t>
  </si>
  <si>
    <t>Width (m)</t>
  </si>
  <si>
    <t>Height (m)</t>
  </si>
  <si>
    <t>1UL/SH:</t>
  </si>
  <si>
    <t>1UL/DH:</t>
  </si>
  <si>
    <t>if width entered....</t>
  </si>
  <si>
    <t>oaht</t>
  </si>
  <si>
    <t>2UL/SH:</t>
  </si>
  <si>
    <t>2UL/DH:</t>
  </si>
  <si>
    <t>3UL/SH:</t>
  </si>
  <si>
    <t>3UL/DH:</t>
  </si>
  <si>
    <t>Notes:</t>
  </si>
  <si>
    <t>a)   Pressure drops are based upon the following values of Cv:</t>
  </si>
  <si>
    <t>Inlet</t>
  </si>
  <si>
    <t>Extract</t>
  </si>
  <si>
    <t>oawid</t>
  </si>
  <si>
    <t>Calculation of Pressure Drop if Flowrate and Panel Size are known</t>
  </si>
  <si>
    <t>Total panel width:</t>
  </si>
  <si>
    <t>Total panel height:</t>
  </si>
  <si>
    <t>Thickness of  intermediate steelwork:</t>
  </si>
  <si>
    <t xml:space="preserve">  </t>
  </si>
  <si>
    <t>1UL</t>
  </si>
  <si>
    <t>2UL</t>
  </si>
  <si>
    <t>3UL</t>
  </si>
  <si>
    <t>Pressure Drop:</t>
  </si>
  <si>
    <t>Spacing of horizontal steelwork:</t>
  </si>
  <si>
    <t>Spacing of intermediate steelwork:</t>
  </si>
  <si>
    <t>Table of choices</t>
  </si>
  <si>
    <t>choice 1</t>
  </si>
  <si>
    <t>choice 2</t>
  </si>
  <si>
    <t>important</t>
  </si>
  <si>
    <t>N/A</t>
  </si>
  <si>
    <t>Choice from table:</t>
  </si>
  <si>
    <t>Louvre type:</t>
  </si>
  <si>
    <t>inlet</t>
  </si>
  <si>
    <t>exhaust</t>
  </si>
  <si>
    <t xml:space="preserve"> inlet</t>
  </si>
  <si>
    <t>Panel width</t>
  </si>
  <si>
    <t>Panel height</t>
  </si>
  <si>
    <t>Value for selection</t>
  </si>
  <si>
    <t>1UL/S</t>
  </si>
  <si>
    <t>1UL/D</t>
  </si>
  <si>
    <t>2UL/S</t>
  </si>
  <si>
    <t>3UL/S</t>
  </si>
  <si>
    <t>3UL/D</t>
  </si>
  <si>
    <t>2UL/D</t>
  </si>
  <si>
    <t>Percentage free area</t>
  </si>
  <si>
    <t>m2</t>
  </si>
  <si>
    <t>core velocity</t>
  </si>
  <si>
    <t>cvel</t>
  </si>
  <si>
    <t>carea</t>
  </si>
  <si>
    <t>cwidth</t>
  </si>
  <si>
    <t>cheight</t>
  </si>
  <si>
    <t>Core Velocity</t>
  </si>
  <si>
    <t>m/s</t>
  </si>
  <si>
    <t>Core velocity</t>
  </si>
  <si>
    <t>Panel weight</t>
  </si>
  <si>
    <t>kg</t>
  </si>
  <si>
    <t>Weight</t>
  </si>
  <si>
    <t>weight</t>
  </si>
  <si>
    <t>Steelwork thickness</t>
  </si>
  <si>
    <t>This program was written by Paul Compton.</t>
  </si>
  <si>
    <t>The classifications for 'location' are taken from CIBSE Guide A, 3.3.9.4</t>
  </si>
  <si>
    <t>sheltered is up to 3rd floor in city centres</t>
  </si>
  <si>
    <t>normal is 4th to 8th floors in city centres and most rural and suburban buildings</t>
  </si>
  <si>
    <t>severe is 9th floor and above in city centres, floors above 5th in rural and suburban areas and coastal and hill sites.</t>
  </si>
  <si>
    <t>The default values used are typical values for' normal' locations.</t>
  </si>
  <si>
    <t>A = 99% rainfall rejection or better</t>
  </si>
  <si>
    <t>B = 95% to 98.99% rainfall rejection</t>
  </si>
  <si>
    <t>C = 80% to 94.99% rainfall rejection</t>
  </si>
  <si>
    <t>D = less than 80% rainfall rejection</t>
  </si>
  <si>
    <t>Core velocity is the nominal velocity through the louvre panel ignoring the blockage effect of the louvres themselves.</t>
  </si>
  <si>
    <t xml:space="preserve">Steelwork spacing should be as calculated from the design charts in GPTS 1200 or Colt leaflets. </t>
  </si>
  <si>
    <t xml:space="preserve">Louvre codes take the form 1UL/S where the first number is the number of louvre banks (1, 2 or 3) </t>
  </si>
  <si>
    <t>and the final letter denotes whether the lovre is shallow section 50mm pitch (S) or deep section 100mm pitch (D).</t>
  </si>
  <si>
    <t>Classifications are taken from BS EN 13030 (formerly the HEVAC test method).</t>
  </si>
  <si>
    <t>1 = Airflow coefficient (Cv) of 0.4 or better</t>
  </si>
  <si>
    <t>2 = Airflow coefficient (Cv) of 0.3 to 0.399</t>
  </si>
  <si>
    <t>3 = Airflow coeficient (Cv) of 0.2 to 0.299</t>
  </si>
  <si>
    <t>4 = Airflow coefficient (Cv) of less than 0.2</t>
  </si>
  <si>
    <t>Mullion spacing</t>
  </si>
  <si>
    <t>The louvre performance data is taken from BSRIA report number 55130/1 dated December 1988.</t>
  </si>
  <si>
    <t>Amendment record</t>
  </si>
  <si>
    <t>Issued as draft for comment version 1.0dev</t>
  </si>
  <si>
    <t>Material</t>
  </si>
  <si>
    <t>al</t>
  </si>
  <si>
    <t>ss</t>
  </si>
  <si>
    <t>gs</t>
  </si>
  <si>
    <t>The louvre weights are calculated using the formulae in Colt GPTS 1200.</t>
  </si>
  <si>
    <t>They exclude any support steelwork.</t>
  </si>
  <si>
    <t>The program combines the existing Colt programs 'ulpress' and 'ulpanel' with a new front end.</t>
  </si>
  <si>
    <t xml:space="preserve">Steelwork </t>
  </si>
  <si>
    <t>spacing</t>
  </si>
  <si>
    <t>Ambient air density</t>
  </si>
  <si>
    <t>Issued as second draft incorporating comments version 1.a dev</t>
  </si>
  <si>
    <t>With i.m.</t>
  </si>
  <si>
    <t>No b.g.</t>
  </si>
  <si>
    <t>Percent change in Cv is taken as:</t>
  </si>
  <si>
    <t xml:space="preserve">Louvre air flow performance was measured with birdguard fitted. </t>
  </si>
  <si>
    <t>accfac</t>
  </si>
  <si>
    <t>The results will not be the same as the old programs since the opportunity was taken to update some data.</t>
  </si>
  <si>
    <t>UNIVERSAL LOUVRE SELECTION</t>
  </si>
  <si>
    <t>The easiest way to copy into Word for a report is to highlight and copy, then go to the Word document and click on</t>
  </si>
  <si>
    <t xml:space="preserve">edit, paste special, picture. The text is not editable but is correctly laid out and can be moved and resized. </t>
  </si>
  <si>
    <t>Correction made to height in ulpress and issued as version 1.0a</t>
  </si>
  <si>
    <t>Correction made to selection of louvre type to make more robust and issued as version 1.1</t>
  </si>
  <si>
    <t>Other equipment in series</t>
  </si>
  <si>
    <t>Addition of option to add other equipment in series and issued as version 1.2</t>
  </si>
  <si>
    <t>Where other equipment in series is selected the program assumes a useful throat area equivalent to the louvre core area.</t>
  </si>
  <si>
    <t>This is intended to provide a conservative selection.</t>
  </si>
  <si>
    <r>
      <t>kg/m</t>
    </r>
    <r>
      <rPr>
        <vertAlign val="superscript"/>
        <sz val="10"/>
        <rFont val="Arial"/>
        <family val="2"/>
      </rPr>
      <t>3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</si>
  <si>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/s</t>
    </r>
  </si>
  <si>
    <t>Critical</t>
  </si>
  <si>
    <t>Chosen from table choice 1</t>
  </si>
  <si>
    <t>loc</t>
  </si>
  <si>
    <t>wres</t>
  </si>
  <si>
    <t>Exposed</t>
  </si>
  <si>
    <t>Normal</t>
  </si>
  <si>
    <t>Sheltered</t>
  </si>
  <si>
    <t>Unimportant</t>
  </si>
  <si>
    <t>UL/D</t>
  </si>
  <si>
    <t>zeta = k</t>
  </si>
  <si>
    <t>k</t>
  </si>
  <si>
    <t>mod for BG</t>
  </si>
  <si>
    <t>And K</t>
  </si>
  <si>
    <t>1UL/MH:</t>
  </si>
  <si>
    <t>UL/S</t>
  </si>
  <si>
    <t>NOTE:</t>
  </si>
  <si>
    <t>1UL/MH has not been indepently tested, these values are only meant for very rough estimation</t>
  </si>
  <si>
    <t>1UL/M</t>
  </si>
  <si>
    <t>UL/M</t>
  </si>
  <si>
    <t>Type</t>
  </si>
  <si>
    <t>Important</t>
  </si>
  <si>
    <t>louvre type</t>
  </si>
  <si>
    <t>choice 2*</t>
  </si>
  <si>
    <t>Hevac Classifications</t>
  </si>
  <si>
    <t>1UL.D</t>
  </si>
  <si>
    <t>D1</t>
  </si>
  <si>
    <t>Air Flow Speed (m/s)</t>
  </si>
  <si>
    <t>A2</t>
  </si>
  <si>
    <t>B2</t>
  </si>
  <si>
    <t>C2</t>
  </si>
  <si>
    <t>D2</t>
  </si>
  <si>
    <t>A3</t>
  </si>
  <si>
    <t>1UL/H</t>
  </si>
  <si>
    <t>PDROP</t>
  </si>
  <si>
    <t>*</t>
  </si>
  <si>
    <t>Corrections to multiple lookups on the selection tab and addition of the 1UL/M option. Issued as version 1.3</t>
  </si>
  <si>
    <t>Modification to louvre choice if number of banks not selected and issued as version 1.2a</t>
  </si>
  <si>
    <t>Warning added when number of banks not specified if core velocity exceeds 3.5m/s and issued as 1.2b</t>
  </si>
  <si>
    <t>Correction made to selection of height or width and issued as 1.2c</t>
  </si>
  <si>
    <t>Reviewed and tidied up with no technical changes and issued as 1.2d</t>
  </si>
  <si>
    <t>Please Note: Medium Louvre does not come in stainless steel as standard</t>
  </si>
  <si>
    <t>Unit</t>
  </si>
  <si>
    <t>Mullion Centres</t>
  </si>
  <si>
    <t>Half</t>
  </si>
  <si>
    <t>Direction</t>
  </si>
  <si>
    <t>Mullions</t>
  </si>
  <si>
    <t>Face Speed (m/s)</t>
  </si>
  <si>
    <t>Full</t>
  </si>
  <si>
    <t>Unit Row</t>
  </si>
  <si>
    <t>Noise</t>
  </si>
  <si>
    <t>Mullion type at ends</t>
  </si>
  <si>
    <t>Unit Col</t>
  </si>
  <si>
    <t>Final Row</t>
  </si>
  <si>
    <t>Final Col</t>
  </si>
  <si>
    <t>Centre Row Add</t>
  </si>
  <si>
    <t>Direction Row Add</t>
  </si>
  <si>
    <t>Mull Row Add</t>
  </si>
  <si>
    <t>Speed Col Add</t>
  </si>
  <si>
    <t>Final Cell</t>
  </si>
  <si>
    <t>Vibration</t>
  </si>
  <si>
    <t>Key</t>
  </si>
  <si>
    <t>No Noise</t>
  </si>
  <si>
    <t>Core Vel Err</t>
  </si>
  <si>
    <t>Notes</t>
  </si>
  <si>
    <t>Note Index</t>
  </si>
  <si>
    <t>Notes Count</t>
  </si>
  <si>
    <t>Notes Blanks Removed</t>
  </si>
  <si>
    <t>The notes section collates all the different notes</t>
  </si>
  <si>
    <t>The Notes Blanks Removed section removes any blank notes</t>
  </si>
  <si>
    <t>The Notes Index section gives the index of the valid notes and the total note count</t>
  </si>
  <si>
    <t>Addition of the acoustic section and handling notes on the selection page. Issued as version 1.4</t>
  </si>
  <si>
    <t>v1.4 May 2024</t>
  </si>
  <si>
    <r>
      <rPr>
        <sz val="8"/>
        <rFont val="Calibri"/>
        <family val="2"/>
      </rPr>
      <t>©</t>
    </r>
    <r>
      <rPr>
        <sz val="8"/>
        <rFont val="Arial"/>
        <family val="2"/>
      </rPr>
      <t xml:space="preserve"> Colt International Limited 2024</t>
    </r>
  </si>
  <si>
    <t>NA corrected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</si>
</sst>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27" x14ac:knownFonts="1">
    <font>
      <sz val="10"/>
      <name val="Arial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8"/>
      <name val="Arial"/>
      <family val="2"/>
    </font>
    <font>
      <sz val="10"/>
      <color indexed="8"/>
      <name val="MS Sans Serif"/>
      <family val="2"/>
    </font>
    <font>
      <b/>
      <sz val="10"/>
      <name val="MS Sans Serif"/>
    </font>
    <font>
      <i/>
      <sz val="10"/>
      <name val="MS Sans Serif"/>
    </font>
    <font>
      <sz val="10"/>
      <name val="MS Sans Serif"/>
    </font>
    <font>
      <sz val="10"/>
      <color indexed="12"/>
      <name val="MS Sans Serif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sz val="36"/>
      <name val="Coltfont1"/>
    </font>
    <font>
      <sz val="10"/>
      <name val="Arial"/>
      <family val="2"/>
    </font>
    <font>
      <b/>
      <sz val="10"/>
      <color indexed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vertAlign val="superscript"/>
      <sz val="10"/>
      <name val="Arial"/>
      <family val="2"/>
    </font>
    <font>
      <b/>
      <sz val="10"/>
      <color indexed="12"/>
      <name val="MS Sans Serif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7"/>
        <bgColor indexed="51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</fills>
  <borders count="43">
    <border>
      <left/>
      <right/>
      <top/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0" xfId="0" applyFont="1"/>
    <xf numFmtId="0" fontId="4" fillId="0" borderId="0" xfId="0" applyFont="1"/>
    <xf numFmtId="0" fontId="6" fillId="0" borderId="0" xfId="0" applyFont="1"/>
    <xf numFmtId="0" fontId="0" fillId="0" borderId="0" xfId="0" applyBorder="1"/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5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Protection="1"/>
    <xf numFmtId="164" fontId="0" fillId="0" borderId="0" xfId="0" applyNumberFormat="1" applyAlignment="1">
      <alignment horizontal="right"/>
    </xf>
    <xf numFmtId="0" fontId="0" fillId="0" borderId="0" xfId="0" quotePrefix="1" applyProtection="1"/>
    <xf numFmtId="0" fontId="0" fillId="0" borderId="0" xfId="0" quotePrefix="1"/>
    <xf numFmtId="0" fontId="5" fillId="0" borderId="0" xfId="0" applyFont="1"/>
    <xf numFmtId="2" fontId="0" fillId="0" borderId="0" xfId="0" applyNumberFormat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16" fillId="0" borderId="0" xfId="0" applyFont="1"/>
    <xf numFmtId="0" fontId="2" fillId="0" borderId="0" xfId="0" applyFont="1" applyAlignment="1">
      <alignment horizontal="left"/>
    </xf>
    <xf numFmtId="17" fontId="0" fillId="0" borderId="0" xfId="0" applyNumberFormat="1" applyAlignment="1">
      <alignment horizontal="center"/>
    </xf>
    <xf numFmtId="0" fontId="0" fillId="0" borderId="4" xfId="0" applyBorder="1" applyProtection="1">
      <protection locked="0"/>
    </xf>
    <xf numFmtId="0" fontId="18" fillId="0" borderId="0" xfId="0" applyFont="1"/>
    <xf numFmtId="0" fontId="14" fillId="0" borderId="0" xfId="0" applyFont="1"/>
    <xf numFmtId="0" fontId="5" fillId="0" borderId="3" xfId="0" applyFont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5" fillId="0" borderId="3" xfId="0" applyNumberFormat="1" applyFon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2" fontId="5" fillId="0" borderId="3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4" fontId="5" fillId="0" borderId="3" xfId="0" applyNumberFormat="1" applyFont="1" applyBorder="1" applyAlignment="1" applyProtection="1">
      <alignment horizontal="center"/>
      <protection hidden="1"/>
    </xf>
    <xf numFmtId="164" fontId="0" fillId="0" borderId="0" xfId="0" applyNumberFormat="1" applyBorder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8" fillId="0" borderId="0" xfId="0" applyFont="1" applyFill="1" applyProtection="1">
      <protection hidden="1"/>
    </xf>
    <xf numFmtId="0" fontId="13" fillId="0" borderId="0" xfId="0" applyFont="1" applyProtection="1">
      <protection hidden="1"/>
    </xf>
    <xf numFmtId="14" fontId="0" fillId="0" borderId="0" xfId="0" applyNumberFormat="1" applyFill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0" fontId="16" fillId="0" borderId="0" xfId="0" applyFont="1" applyFill="1" applyBorder="1" applyProtection="1">
      <protection hidden="1"/>
    </xf>
    <xf numFmtId="164" fontId="0" fillId="0" borderId="0" xfId="0" applyNumberFormat="1" applyProtection="1">
      <protection hidden="1"/>
    </xf>
    <xf numFmtId="0" fontId="10" fillId="0" borderId="0" xfId="0" applyFont="1" applyProtection="1">
      <protection hidden="1"/>
    </xf>
    <xf numFmtId="2" fontId="0" fillId="2" borderId="5" xfId="0" applyNumberFormat="1" applyFill="1" applyBorder="1" applyProtection="1">
      <protection hidden="1"/>
    </xf>
    <xf numFmtId="2" fontId="16" fillId="2" borderId="5" xfId="0" applyNumberFormat="1" applyFont="1" applyFill="1" applyBorder="1" applyProtection="1">
      <protection hidden="1"/>
    </xf>
    <xf numFmtId="0" fontId="16" fillId="2" borderId="5" xfId="0" applyFont="1" applyFill="1" applyBorder="1" applyProtection="1">
      <protection hidden="1"/>
    </xf>
    <xf numFmtId="0" fontId="0" fillId="2" borderId="5" xfId="0" applyFill="1" applyBorder="1" applyAlignment="1" applyProtection="1">
      <alignment horizontal="right"/>
      <protection hidden="1"/>
    </xf>
    <xf numFmtId="0" fontId="11" fillId="0" borderId="0" xfId="0" applyFont="1" applyProtection="1">
      <protection hidden="1"/>
    </xf>
    <xf numFmtId="0" fontId="5" fillId="0" borderId="0" xfId="0" applyFont="1" applyProtection="1">
      <protection hidden="1"/>
    </xf>
    <xf numFmtId="165" fontId="16" fillId="2" borderId="5" xfId="0" applyNumberFormat="1" applyFont="1" applyFill="1" applyBorder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12" fillId="0" borderId="0" xfId="0" quotePrefix="1" applyFont="1" applyProtection="1">
      <protection hidden="1"/>
    </xf>
    <xf numFmtId="0" fontId="12" fillId="0" borderId="0" xfId="0" applyFont="1" applyProtection="1">
      <protection hidden="1"/>
    </xf>
    <xf numFmtId="164" fontId="0" fillId="0" borderId="6" xfId="0" applyNumberFormat="1" applyBorder="1" applyAlignment="1" applyProtection="1">
      <alignment horizontal="right"/>
      <protection hidden="1"/>
    </xf>
    <xf numFmtId="164" fontId="0" fillId="0" borderId="7" xfId="0" applyNumberFormat="1" applyBorder="1" applyAlignment="1" applyProtection="1">
      <alignment horizontal="right"/>
      <protection hidden="1"/>
    </xf>
    <xf numFmtId="164" fontId="0" fillId="0" borderId="8" xfId="0" applyNumberFormat="1" applyBorder="1" applyAlignment="1" applyProtection="1">
      <alignment horizontal="right"/>
      <protection hidden="1"/>
    </xf>
    <xf numFmtId="164" fontId="0" fillId="0" borderId="0" xfId="0" applyNumberFormat="1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  <protection hidden="1"/>
    </xf>
    <xf numFmtId="0" fontId="12" fillId="0" borderId="0" xfId="0" applyFont="1" applyAlignment="1" applyProtection="1">
      <alignment horizontal="right"/>
      <protection hidden="1"/>
    </xf>
    <xf numFmtId="164" fontId="14" fillId="0" borderId="0" xfId="0" applyNumberFormat="1" applyFont="1" applyAlignment="1" applyProtection="1">
      <alignment horizontal="right"/>
      <protection hidden="1"/>
    </xf>
    <xf numFmtId="0" fontId="0" fillId="0" borderId="0" xfId="0" quotePrefix="1" applyProtection="1">
      <protection hidden="1"/>
    </xf>
    <xf numFmtId="164" fontId="0" fillId="2" borderId="5" xfId="0" applyNumberFormat="1" applyFill="1" applyBorder="1" applyProtection="1">
      <protection hidden="1"/>
    </xf>
    <xf numFmtId="164" fontId="0" fillId="2" borderId="9" xfId="0" applyNumberFormat="1" applyFill="1" applyBorder="1" applyProtection="1">
      <protection hidden="1"/>
    </xf>
    <xf numFmtId="0" fontId="16" fillId="3" borderId="5" xfId="0" applyFont="1" applyFill="1" applyBorder="1" applyProtection="1">
      <protection hidden="1"/>
    </xf>
    <xf numFmtId="165" fontId="16" fillId="3" borderId="5" xfId="0" applyNumberFormat="1" applyFont="1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16" fillId="0" borderId="10" xfId="0" applyFont="1" applyFill="1" applyBorder="1" applyProtection="1">
      <protection hidden="1"/>
    </xf>
    <xf numFmtId="2" fontId="0" fillId="0" borderId="0" xfId="0" applyNumberFormat="1" applyProtection="1">
      <protection hidden="1"/>
    </xf>
    <xf numFmtId="0" fontId="12" fillId="0" borderId="0" xfId="0" applyFont="1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165" fontId="0" fillId="0" borderId="6" xfId="0" applyNumberFormat="1" applyBorder="1" applyProtection="1">
      <protection hidden="1"/>
    </xf>
    <xf numFmtId="0" fontId="12" fillId="4" borderId="0" xfId="0" applyFont="1" applyFill="1" applyProtection="1">
      <protection hidden="1"/>
    </xf>
    <xf numFmtId="165" fontId="0" fillId="0" borderId="7" xfId="0" applyNumberFormat="1" applyBorder="1" applyProtection="1">
      <protection hidden="1"/>
    </xf>
    <xf numFmtId="165" fontId="0" fillId="0" borderId="8" xfId="0" applyNumberFormat="1" applyBorder="1" applyProtection="1">
      <protection hidden="1"/>
    </xf>
    <xf numFmtId="0" fontId="0" fillId="0" borderId="5" xfId="0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horizontal="right"/>
      <protection hidden="1"/>
    </xf>
    <xf numFmtId="0" fontId="16" fillId="0" borderId="0" xfId="0" quotePrefix="1" applyFont="1" applyProtection="1"/>
    <xf numFmtId="164" fontId="0" fillId="0" borderId="0" xfId="0" applyNumberFormat="1"/>
    <xf numFmtId="164" fontId="22" fillId="0" borderId="0" xfId="0" applyNumberFormat="1" applyFont="1" applyProtection="1">
      <protection hidden="1"/>
    </xf>
    <xf numFmtId="164" fontId="22" fillId="0" borderId="0" xfId="0" applyNumberFormat="1" applyFont="1"/>
    <xf numFmtId="2" fontId="22" fillId="0" borderId="0" xfId="0" applyNumberFormat="1" applyFont="1"/>
    <xf numFmtId="0" fontId="22" fillId="0" borderId="0" xfId="0" applyFont="1" applyProtection="1"/>
    <xf numFmtId="0" fontId="22" fillId="0" borderId="0" xfId="0" applyFont="1"/>
    <xf numFmtId="0" fontId="21" fillId="0" borderId="0" xfId="0" quotePrefix="1" applyFont="1" applyAlignment="1" applyProtection="1">
      <alignment horizontal="right"/>
      <protection hidden="1"/>
    </xf>
    <xf numFmtId="0" fontId="16" fillId="0" borderId="0" xfId="0" applyFont="1" applyProtection="1"/>
    <xf numFmtId="165" fontId="0" fillId="0" borderId="0" xfId="0" applyNumberFormat="1"/>
    <xf numFmtId="0" fontId="16" fillId="0" borderId="5" xfId="0" applyFont="1" applyBorder="1" applyAlignment="1">
      <alignment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5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Fill="1"/>
    <xf numFmtId="0" fontId="16" fillId="0" borderId="0" xfId="0" applyFont="1" applyFill="1"/>
    <xf numFmtId="0" fontId="0" fillId="0" borderId="0" xfId="0" applyBorder="1" applyProtection="1">
      <protection hidden="1"/>
    </xf>
    <xf numFmtId="0" fontId="15" fillId="0" borderId="11" xfId="0" applyFont="1" applyBorder="1" applyProtection="1"/>
    <xf numFmtId="0" fontId="0" fillId="0" borderId="12" xfId="0" applyBorder="1" applyProtection="1"/>
    <xf numFmtId="0" fontId="1" fillId="0" borderId="12" xfId="0" applyFont="1" applyBorder="1" applyAlignment="1" applyProtection="1">
      <alignment horizontal="left"/>
    </xf>
    <xf numFmtId="0" fontId="0" fillId="0" borderId="12" xfId="0" applyBorder="1" applyAlignment="1" applyProtection="1">
      <alignment horizontal="center"/>
    </xf>
    <xf numFmtId="0" fontId="0" fillId="0" borderId="13" xfId="0" applyBorder="1" applyProtection="1"/>
    <xf numFmtId="0" fontId="0" fillId="0" borderId="14" xfId="0" applyBorder="1" applyProtection="1"/>
    <xf numFmtId="0" fontId="0" fillId="0" borderId="0" xfId="0" applyBorder="1" applyProtection="1"/>
    <xf numFmtId="0" fontId="0" fillId="0" borderId="15" xfId="0" applyBorder="1" applyProtection="1"/>
    <xf numFmtId="0" fontId="2" fillId="0" borderId="14" xfId="0" applyFont="1" applyBorder="1" applyProtection="1"/>
    <xf numFmtId="0" fontId="2" fillId="0" borderId="0" xfId="0" applyFont="1" applyBorder="1" applyProtection="1"/>
    <xf numFmtId="0" fontId="3" fillId="0" borderId="14" xfId="0" applyFont="1" applyBorder="1" applyProtection="1"/>
    <xf numFmtId="0" fontId="3" fillId="0" borderId="0" xfId="0" applyFont="1" applyBorder="1" applyProtection="1"/>
    <xf numFmtId="0" fontId="1" fillId="0" borderId="14" xfId="0" applyFont="1" applyBorder="1" applyProtection="1"/>
    <xf numFmtId="0" fontId="2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16" xfId="0" applyBorder="1" applyProtection="1"/>
    <xf numFmtId="0" fontId="0" fillId="0" borderId="17" xfId="0" applyBorder="1" applyProtection="1"/>
    <xf numFmtId="0" fontId="17" fillId="0" borderId="0" xfId="0" applyFont="1" applyBorder="1" applyProtection="1"/>
    <xf numFmtId="0" fontId="0" fillId="0" borderId="18" xfId="0" applyBorder="1" applyProtection="1"/>
    <xf numFmtId="0" fontId="4" fillId="0" borderId="14" xfId="0" applyFont="1" applyBorder="1" applyProtection="1"/>
    <xf numFmtId="0" fontId="6" fillId="0" borderId="0" xfId="0" applyFont="1" applyBorder="1" applyProtection="1"/>
    <xf numFmtId="0" fontId="5" fillId="0" borderId="0" xfId="0" applyFont="1" applyBorder="1" applyAlignment="1" applyProtection="1">
      <alignment horizontal="center"/>
    </xf>
    <xf numFmtId="0" fontId="6" fillId="0" borderId="14" xfId="0" applyFont="1" applyBorder="1" applyProtection="1"/>
    <xf numFmtId="0" fontId="14" fillId="0" borderId="0" xfId="0" applyFont="1" applyBorder="1" applyProtection="1"/>
    <xf numFmtId="2" fontId="0" fillId="0" borderId="0" xfId="0" applyNumberFormat="1" applyBorder="1" applyProtection="1"/>
    <xf numFmtId="0" fontId="23" fillId="0" borderId="0" xfId="0" applyFont="1" applyBorder="1" applyProtection="1"/>
    <xf numFmtId="0" fontId="7" fillId="0" borderId="19" xfId="0" applyFont="1" applyBorder="1" applyProtection="1"/>
    <xf numFmtId="0" fontId="0" fillId="0" borderId="20" xfId="0" applyBorder="1" applyProtection="1"/>
    <xf numFmtId="0" fontId="7" fillId="0" borderId="20" xfId="0" applyFont="1" applyBorder="1" applyProtection="1"/>
    <xf numFmtId="0" fontId="0" fillId="0" borderId="21" xfId="0" applyBorder="1" applyProtection="1"/>
    <xf numFmtId="0" fontId="0" fillId="0" borderId="22" xfId="0" applyBorder="1" applyProtection="1">
      <protection locked="0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23" xfId="0" applyFont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/>
      <protection locked="0"/>
    </xf>
    <xf numFmtId="0" fontId="25" fillId="5" borderId="23" xfId="0" applyFont="1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39" xfId="0" applyFont="1" applyBorder="1" applyProtection="1"/>
    <xf numFmtId="0" fontId="0" fillId="0" borderId="10" xfId="0" applyBorder="1"/>
    <xf numFmtId="0" fontId="0" fillId="0" borderId="16" xfId="0" applyBorder="1"/>
    <xf numFmtId="0" fontId="2" fillId="0" borderId="37" xfId="0" applyFont="1" applyBorder="1" applyProtection="1"/>
    <xf numFmtId="0" fontId="0" fillId="0" borderId="17" xfId="0" applyBorder="1"/>
    <xf numFmtId="0" fontId="23" fillId="0" borderId="37" xfId="0" applyFont="1" applyBorder="1" applyProtection="1"/>
    <xf numFmtId="0" fontId="16" fillId="0" borderId="0" xfId="0" applyFont="1" applyBorder="1"/>
    <xf numFmtId="0" fontId="0" fillId="0" borderId="37" xfId="0" applyBorder="1"/>
    <xf numFmtId="0" fontId="0" fillId="0" borderId="40" xfId="0" applyBorder="1"/>
    <xf numFmtId="0" fontId="0" fillId="0" borderId="41" xfId="0" applyBorder="1"/>
    <xf numFmtId="0" fontId="16" fillId="0" borderId="41" xfId="0" applyFont="1" applyBorder="1"/>
    <xf numFmtId="0" fontId="0" fillId="0" borderId="18" xfId="0" applyBorder="1"/>
    <xf numFmtId="0" fontId="0" fillId="0" borderId="9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9" xfId="0" applyBorder="1"/>
    <xf numFmtId="0" fontId="13" fillId="0" borderId="0" xfId="0" applyFont="1"/>
    <xf numFmtId="1" fontId="5" fillId="0" borderId="0" xfId="0" applyNumberFormat="1" applyFont="1" applyBorder="1" applyAlignment="1" applyProtection="1">
      <alignment horizontal="center"/>
      <protection hidden="1"/>
    </xf>
    <xf numFmtId="0" fontId="24" fillId="0" borderId="0" xfId="0" applyFont="1" applyBorder="1" applyAlignment="1" applyProtection="1">
      <alignment horizontal="left" wrapText="1"/>
    </xf>
    <xf numFmtId="0" fontId="16" fillId="0" borderId="26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0" borderId="9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</cellXfs>
  <cellStyles count="1">
    <cellStyle name="Normal" xfId="0" builtinId="0"/>
  </cellStyles>
  <dxfs count="6">
    <dxf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/>
        <horizontal/>
      </border>
    </dxf>
    <dxf>
      <font>
        <color theme="0"/>
      </font>
      <fill>
        <patternFill>
          <bgColor theme="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</border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28575</xdr:colOff>
      <xdr:row>0</xdr:row>
      <xdr:rowOff>400050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ACC8630A-44E8-2B21-4C76-8713DD40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59"/>
  <sheetViews>
    <sheetView view="pageBreakPreview" zoomScaleNormal="75" zoomScaleSheetLayoutView="100" workbookViewId="0">
      <selection activeCell="C5" sqref="C5"/>
    </sheetView>
  </sheetViews>
  <sheetFormatPr defaultRowHeight="12.75" x14ac:dyDescent="0.2"/>
  <cols>
    <col min="1" max="1" width="18.28515625" customWidth="1"/>
    <col min="3" max="3" width="14.140625" customWidth="1"/>
    <col min="6" max="6" width="6.42578125" customWidth="1"/>
    <col min="8" max="8" width="14.7109375" bestFit="1" customWidth="1"/>
  </cols>
  <sheetData>
    <row r="1" spans="1:9" ht="45.75" x14ac:dyDescent="0.35">
      <c r="A1" s="106"/>
      <c r="B1" s="107"/>
      <c r="C1" s="108" t="s">
        <v>144</v>
      </c>
      <c r="D1" s="107"/>
      <c r="E1" s="107"/>
      <c r="F1" s="107"/>
      <c r="G1" s="109"/>
      <c r="H1" s="107"/>
      <c r="I1" s="110"/>
    </row>
    <row r="2" spans="1:9" ht="13.5" thickBot="1" x14ac:dyDescent="0.25">
      <c r="A2" s="111"/>
      <c r="B2" s="112"/>
      <c r="C2" s="112"/>
      <c r="D2" s="112"/>
      <c r="E2" s="112"/>
      <c r="F2" s="112"/>
      <c r="G2" s="112"/>
      <c r="H2" s="112"/>
      <c r="I2" s="113"/>
    </row>
    <row r="3" spans="1:9" ht="13.5" thickBot="1" x14ac:dyDescent="0.25">
      <c r="A3" s="114" t="s">
        <v>0</v>
      </c>
      <c r="B3" s="112"/>
      <c r="C3" s="5"/>
      <c r="D3" s="21"/>
      <c r="E3" s="21"/>
      <c r="F3" s="21"/>
      <c r="G3" s="21"/>
      <c r="H3" s="137"/>
      <c r="I3" s="113"/>
    </row>
    <row r="4" spans="1:9" ht="13.5" thickBot="1" x14ac:dyDescent="0.25">
      <c r="A4" s="111"/>
      <c r="B4" s="112"/>
      <c r="C4" s="112"/>
      <c r="D4" s="112"/>
      <c r="E4" s="112"/>
      <c r="F4" s="112"/>
      <c r="G4" s="112"/>
      <c r="H4" s="112"/>
      <c r="I4" s="113"/>
    </row>
    <row r="5" spans="1:9" ht="13.5" thickBot="1" x14ac:dyDescent="0.25">
      <c r="A5" s="114" t="s">
        <v>1</v>
      </c>
      <c r="B5" s="112"/>
      <c r="C5" s="17"/>
      <c r="D5" s="112"/>
      <c r="E5" s="112"/>
      <c r="F5" s="115" t="s">
        <v>2</v>
      </c>
      <c r="G5" s="5"/>
      <c r="H5" s="137"/>
      <c r="I5" s="113"/>
    </row>
    <row r="6" spans="1:9" ht="15.75" x14ac:dyDescent="0.25">
      <c r="A6" s="116"/>
      <c r="B6" s="112"/>
      <c r="C6" s="112"/>
      <c r="D6" s="112"/>
      <c r="E6" s="112"/>
      <c r="F6" s="117"/>
      <c r="G6" s="112"/>
      <c r="H6" s="112"/>
      <c r="I6" s="113"/>
    </row>
    <row r="7" spans="1:9" ht="18" x14ac:dyDescent="0.25">
      <c r="A7" s="118" t="s">
        <v>3</v>
      </c>
      <c r="B7" s="112"/>
      <c r="C7" s="112"/>
      <c r="D7" s="112"/>
      <c r="E7" s="112"/>
      <c r="F7" s="112"/>
      <c r="G7" s="112"/>
      <c r="H7" s="112"/>
      <c r="I7" s="113"/>
    </row>
    <row r="8" spans="1:9" ht="18.75" thickBot="1" x14ac:dyDescent="0.3">
      <c r="A8" s="118"/>
      <c r="B8" s="112"/>
      <c r="C8" s="112"/>
      <c r="D8" s="112"/>
      <c r="E8" s="112"/>
      <c r="F8" s="112"/>
      <c r="G8" s="112"/>
      <c r="H8" s="112"/>
      <c r="I8" s="113"/>
    </row>
    <row r="9" spans="1:9" ht="13.5" thickBot="1" x14ac:dyDescent="0.25">
      <c r="A9" s="114" t="s">
        <v>4</v>
      </c>
      <c r="B9" s="112"/>
      <c r="C9" s="150"/>
      <c r="D9" s="112"/>
      <c r="E9" s="115" t="s">
        <v>127</v>
      </c>
      <c r="F9" s="112"/>
      <c r="G9" s="112"/>
      <c r="H9" s="17"/>
      <c r="I9" s="113"/>
    </row>
    <row r="10" spans="1:9" ht="13.5" thickBot="1" x14ac:dyDescent="0.25">
      <c r="A10" s="111"/>
      <c r="B10" s="112"/>
      <c r="C10" s="121"/>
      <c r="D10" s="112"/>
      <c r="E10" s="185" t="s">
        <v>195</v>
      </c>
      <c r="F10" s="185"/>
      <c r="G10" s="185"/>
      <c r="H10" s="185"/>
      <c r="I10" s="113"/>
    </row>
    <row r="11" spans="1:9" ht="13.5" thickBot="1" x14ac:dyDescent="0.25">
      <c r="A11" s="114" t="str">
        <f>IF(OR(type="UL/D",type="UL/M",type="UL/S"),"Weather resistance","")</f>
        <v/>
      </c>
      <c r="B11" s="112"/>
      <c r="C11" s="17"/>
      <c r="D11" s="112"/>
      <c r="E11" s="185"/>
      <c r="F11" s="185"/>
      <c r="G11" s="185"/>
      <c r="H11" s="185"/>
      <c r="I11" s="113"/>
    </row>
    <row r="12" spans="1:9" ht="13.5" thickBot="1" x14ac:dyDescent="0.25">
      <c r="A12" s="111"/>
      <c r="B12" s="112"/>
      <c r="C12" s="121"/>
      <c r="D12" s="112"/>
      <c r="E12" s="112"/>
      <c r="F12" s="112"/>
      <c r="G12" s="112"/>
      <c r="H12" s="112"/>
      <c r="I12" s="113"/>
    </row>
    <row r="13" spans="1:9" ht="13.5" thickBot="1" x14ac:dyDescent="0.25">
      <c r="A13" s="114" t="str">
        <f>IF(OR(type="UL/D",type="UL/M",type="UL/S"),"Location","")</f>
        <v/>
      </c>
      <c r="B13" s="112"/>
      <c r="C13" s="17"/>
      <c r="D13" s="112"/>
      <c r="E13" s="119" t="s">
        <v>123</v>
      </c>
      <c r="F13" s="112"/>
      <c r="G13" s="112"/>
      <c r="H13" s="17"/>
      <c r="I13" s="113" t="s">
        <v>18</v>
      </c>
    </row>
    <row r="14" spans="1:9" ht="13.5" thickBot="1" x14ac:dyDescent="0.25">
      <c r="A14" s="114"/>
      <c r="B14" s="112"/>
      <c r="C14" s="121"/>
      <c r="D14" s="112"/>
      <c r="E14" s="112"/>
      <c r="F14" s="112"/>
      <c r="G14" s="112"/>
      <c r="H14" s="112"/>
      <c r="I14" s="113"/>
    </row>
    <row r="15" spans="1:9" ht="13.5" thickBot="1" x14ac:dyDescent="0.25">
      <c r="A15" s="114" t="s">
        <v>22</v>
      </c>
      <c r="B15" s="112"/>
      <c r="C15" s="17"/>
      <c r="D15" s="112"/>
      <c r="E15" s="119" t="s">
        <v>205</v>
      </c>
      <c r="H15" s="17"/>
    </row>
    <row r="16" spans="1:9" ht="13.5" thickBot="1" x14ac:dyDescent="0.25">
      <c r="A16" s="114"/>
      <c r="B16" s="112"/>
      <c r="C16" s="121"/>
      <c r="D16" s="112"/>
    </row>
    <row r="17" spans="1:9" ht="13.5" thickBot="1" x14ac:dyDescent="0.25">
      <c r="A17" s="114" t="s">
        <v>6</v>
      </c>
      <c r="B17" s="112"/>
      <c r="C17" s="17"/>
      <c r="D17" s="112"/>
      <c r="E17" s="119" t="s">
        <v>134</v>
      </c>
      <c r="F17" s="112"/>
      <c r="G17" s="120" t="s">
        <v>64</v>
      </c>
      <c r="H17" s="6"/>
      <c r="I17" s="113" t="s">
        <v>18</v>
      </c>
    </row>
    <row r="18" spans="1:9" ht="13.5" thickBot="1" x14ac:dyDescent="0.25">
      <c r="A18" s="111"/>
      <c r="B18" s="112"/>
      <c r="C18" s="121"/>
      <c r="D18" s="112"/>
      <c r="E18" s="115" t="s">
        <v>135</v>
      </c>
      <c r="F18" s="112"/>
      <c r="G18" s="120" t="s">
        <v>65</v>
      </c>
      <c r="H18" s="6"/>
      <c r="I18" s="113" t="s">
        <v>18</v>
      </c>
    </row>
    <row r="19" spans="1:9" ht="13.5" thickBot="1" x14ac:dyDescent="0.25">
      <c r="A19" s="114" t="s">
        <v>25</v>
      </c>
      <c r="B19" s="112"/>
      <c r="C19" s="17"/>
      <c r="D19" s="112"/>
      <c r="E19" s="112"/>
      <c r="F19" s="112"/>
      <c r="G19" s="120" t="s">
        <v>66</v>
      </c>
      <c r="H19" s="6"/>
      <c r="I19" s="113" t="s">
        <v>18</v>
      </c>
    </row>
    <row r="20" spans="1:9" ht="13.5" thickBot="1" x14ac:dyDescent="0.25">
      <c r="A20" s="114"/>
      <c r="B20" s="112"/>
      <c r="C20" s="121"/>
      <c r="D20" s="112"/>
      <c r="E20" s="112"/>
      <c r="F20" s="112"/>
      <c r="G20" s="112"/>
      <c r="H20" s="112"/>
      <c r="I20" s="113"/>
    </row>
    <row r="21" spans="1:9" ht="15" thickBot="1" x14ac:dyDescent="0.25">
      <c r="A21" s="114" t="s">
        <v>5</v>
      </c>
      <c r="B21" s="112"/>
      <c r="C21" s="17"/>
      <c r="D21" s="112" t="s">
        <v>154</v>
      </c>
      <c r="E21" s="119" t="s">
        <v>103</v>
      </c>
      <c r="F21" s="112"/>
      <c r="G21" s="112"/>
      <c r="H21" s="6"/>
      <c r="I21" s="113" t="s">
        <v>18</v>
      </c>
    </row>
    <row r="22" spans="1:9" ht="13.5" thickBot="1" x14ac:dyDescent="0.25">
      <c r="A22" s="114"/>
      <c r="B22" s="112"/>
      <c r="C22" s="121"/>
      <c r="D22" s="112"/>
      <c r="E22" s="112"/>
      <c r="F22" s="112"/>
      <c r="G22" s="112"/>
      <c r="H22" s="112"/>
      <c r="I22" s="113"/>
    </row>
    <row r="23" spans="1:9" ht="15" thickBot="1" x14ac:dyDescent="0.25">
      <c r="A23" s="114" t="s">
        <v>149</v>
      </c>
      <c r="B23" s="112"/>
      <c r="C23" s="17"/>
      <c r="D23" s="112"/>
      <c r="E23" s="115" t="s">
        <v>136</v>
      </c>
      <c r="F23" s="112"/>
      <c r="G23" s="112"/>
      <c r="H23" s="6"/>
      <c r="I23" s="113" t="s">
        <v>153</v>
      </c>
    </row>
    <row r="24" spans="1:9" ht="13.5" thickBot="1" x14ac:dyDescent="0.25">
      <c r="A24" s="114"/>
      <c r="B24" s="112"/>
      <c r="C24" s="121"/>
      <c r="D24" s="112"/>
      <c r="E24" s="115"/>
      <c r="F24" s="112"/>
      <c r="G24" s="112"/>
      <c r="H24" s="112"/>
      <c r="I24" s="113"/>
    </row>
    <row r="25" spans="1:9" ht="13.5" thickBot="1" x14ac:dyDescent="0.25">
      <c r="A25" s="114" t="str">
        <f>IF(C23="Yes","Other equipment Cv","")</f>
        <v/>
      </c>
      <c r="B25" s="112"/>
      <c r="C25" s="17"/>
      <c r="D25" s="112"/>
      <c r="E25" s="115"/>
      <c r="F25" s="112"/>
      <c r="G25" s="112"/>
      <c r="H25" s="112"/>
      <c r="I25" s="113"/>
    </row>
    <row r="26" spans="1:9" ht="13.5" thickBot="1" x14ac:dyDescent="0.25">
      <c r="A26" s="111"/>
      <c r="B26" s="112"/>
      <c r="C26" s="121"/>
      <c r="D26" s="112"/>
      <c r="E26" s="112"/>
      <c r="F26" s="112"/>
      <c r="G26" s="112"/>
      <c r="H26" s="112"/>
      <c r="I26" s="113"/>
    </row>
    <row r="27" spans="1:9" ht="13.5" thickBot="1" x14ac:dyDescent="0.25">
      <c r="A27" s="114" t="s">
        <v>7</v>
      </c>
      <c r="B27" s="112"/>
      <c r="C27" s="17"/>
      <c r="D27" s="122" t="s">
        <v>16</v>
      </c>
      <c r="E27" s="112"/>
      <c r="F27" s="112"/>
      <c r="G27" s="112"/>
      <c r="H27" s="112"/>
      <c r="I27" s="113"/>
    </row>
    <row r="28" spans="1:9" ht="13.5" thickBot="1" x14ac:dyDescent="0.25">
      <c r="A28" s="111"/>
      <c r="B28" s="112"/>
      <c r="C28" s="121"/>
      <c r="D28" s="123"/>
      <c r="E28" s="124" t="s">
        <v>23</v>
      </c>
      <c r="F28" s="112"/>
      <c r="G28" s="112"/>
      <c r="H28" s="112"/>
      <c r="I28" s="113"/>
    </row>
    <row r="29" spans="1:9" ht="13.5" thickBot="1" x14ac:dyDescent="0.25">
      <c r="A29" s="114" t="s">
        <v>8</v>
      </c>
      <c r="B29" s="112"/>
      <c r="C29" s="17"/>
      <c r="D29" s="123" t="s">
        <v>18</v>
      </c>
      <c r="E29" s="124" t="s">
        <v>24</v>
      </c>
      <c r="F29" s="112"/>
      <c r="G29" s="112"/>
      <c r="H29" s="112"/>
      <c r="I29" s="113"/>
    </row>
    <row r="30" spans="1:9" ht="13.5" thickBot="1" x14ac:dyDescent="0.25">
      <c r="A30" s="111"/>
      <c r="B30" s="112"/>
      <c r="C30" s="121"/>
      <c r="D30" s="123"/>
      <c r="E30" s="112"/>
      <c r="F30" s="112"/>
      <c r="G30" s="112"/>
      <c r="H30" s="112"/>
      <c r="I30" s="113"/>
    </row>
    <row r="31" spans="1:9" ht="13.5" thickBot="1" x14ac:dyDescent="0.25">
      <c r="A31" s="114" t="s">
        <v>9</v>
      </c>
      <c r="B31" s="112"/>
      <c r="C31" s="17"/>
      <c r="D31" s="125" t="s">
        <v>18</v>
      </c>
      <c r="E31" s="112"/>
      <c r="F31" s="112"/>
      <c r="G31" s="112"/>
      <c r="H31" s="112"/>
      <c r="I31" s="113"/>
    </row>
    <row r="32" spans="1:9" x14ac:dyDescent="0.2">
      <c r="A32" s="114"/>
      <c r="B32" s="112"/>
      <c r="C32" s="121"/>
      <c r="D32" s="112"/>
      <c r="E32" s="112"/>
      <c r="F32" s="112"/>
      <c r="G32" s="112"/>
      <c r="H32" s="112"/>
      <c r="I32" s="113"/>
    </row>
    <row r="33" spans="1:9" x14ac:dyDescent="0.2">
      <c r="A33" s="111"/>
      <c r="B33" s="112"/>
      <c r="C33" s="112"/>
      <c r="D33" s="112"/>
      <c r="E33" s="112"/>
      <c r="F33" s="112"/>
      <c r="G33" s="112"/>
      <c r="H33" s="112"/>
      <c r="I33" s="113"/>
    </row>
    <row r="34" spans="1:9" ht="18" x14ac:dyDescent="0.25">
      <c r="A34" s="126" t="s">
        <v>10</v>
      </c>
      <c r="B34" s="112"/>
      <c r="C34" s="112"/>
      <c r="D34" s="127" t="s">
        <v>14</v>
      </c>
      <c r="E34" s="112"/>
      <c r="F34" s="112"/>
      <c r="G34" s="127" t="s">
        <v>15</v>
      </c>
      <c r="H34" s="112"/>
      <c r="I34" s="113"/>
    </row>
    <row r="35" spans="1:9" ht="13.5" thickBot="1" x14ac:dyDescent="0.25">
      <c r="A35" s="111"/>
      <c r="B35" s="112"/>
      <c r="C35" s="112"/>
      <c r="D35" s="128"/>
      <c r="E35" s="112"/>
      <c r="F35" s="112"/>
      <c r="G35" s="128"/>
      <c r="H35" s="112"/>
      <c r="I35" s="113"/>
    </row>
    <row r="36" spans="1:9" ht="14.25" thickTop="1" thickBot="1" x14ac:dyDescent="0.25">
      <c r="A36" s="129" t="s">
        <v>11</v>
      </c>
      <c r="B36" s="112"/>
      <c r="C36" s="112"/>
      <c r="D36" s="24" t="str">
        <f>type1</f>
        <v>N/A</v>
      </c>
      <c r="E36" s="112"/>
      <c r="F36" s="112"/>
      <c r="G36" s="24" t="str">
        <f>type2</f>
        <v>N/A</v>
      </c>
      <c r="H36" s="112"/>
      <c r="I36" s="113"/>
    </row>
    <row r="37" spans="1:9" ht="13.5" thickTop="1" x14ac:dyDescent="0.2">
      <c r="A37" s="111"/>
      <c r="B37" s="112"/>
      <c r="C37" s="112"/>
      <c r="D37" s="105"/>
      <c r="E37" s="112"/>
      <c r="F37" s="112"/>
      <c r="G37" s="105"/>
      <c r="H37" s="112"/>
      <c r="I37" s="113"/>
    </row>
    <row r="38" spans="1:9" x14ac:dyDescent="0.2">
      <c r="A38" s="111"/>
      <c r="B38" s="112"/>
      <c r="C38" s="112"/>
      <c r="D38" s="105"/>
      <c r="E38" s="112"/>
      <c r="F38" s="112"/>
      <c r="G38" s="105"/>
      <c r="H38" s="112"/>
      <c r="I38" s="113"/>
    </row>
    <row r="39" spans="1:9" ht="13.5" thickBot="1" x14ac:dyDescent="0.25">
      <c r="A39" s="111"/>
      <c r="B39" s="112"/>
      <c r="C39" s="112"/>
      <c r="D39" s="105"/>
      <c r="E39" s="112"/>
      <c r="F39" s="112"/>
      <c r="G39" s="105"/>
      <c r="H39" s="112"/>
      <c r="I39" s="113"/>
    </row>
    <row r="40" spans="1:9" ht="14.25" thickTop="1" thickBot="1" x14ac:dyDescent="0.25">
      <c r="A40" s="129" t="s">
        <v>12</v>
      </c>
      <c r="B40" s="112"/>
      <c r="C40" s="112"/>
      <c r="D40" s="24" t="str">
        <f>class1</f>
        <v>N/A</v>
      </c>
      <c r="E40" s="112"/>
      <c r="F40" s="112"/>
      <c r="G40" s="24" t="str">
        <f>class2</f>
        <v>N/A</v>
      </c>
      <c r="H40" s="112"/>
      <c r="I40" s="113"/>
    </row>
    <row r="41" spans="1:9" ht="14.25" thickTop="1" thickBot="1" x14ac:dyDescent="0.25">
      <c r="A41" s="111"/>
      <c r="B41" s="112"/>
      <c r="C41" s="112"/>
      <c r="D41" s="105"/>
      <c r="E41" s="112"/>
      <c r="F41" s="112"/>
      <c r="G41" s="105"/>
      <c r="H41" s="112"/>
      <c r="I41" s="113"/>
    </row>
    <row r="42" spans="1:9" ht="14.25" thickTop="1" thickBot="1" x14ac:dyDescent="0.25">
      <c r="A42" s="129" t="s">
        <v>13</v>
      </c>
      <c r="B42" s="112"/>
      <c r="C42" s="112"/>
      <c r="D42" s="26" t="str">
        <f>drop1</f>
        <v>N/A</v>
      </c>
      <c r="E42" s="112" t="s">
        <v>16</v>
      </c>
      <c r="F42" s="112"/>
      <c r="G42" s="26" t="str">
        <f>drop2</f>
        <v>N/A</v>
      </c>
      <c r="H42" s="112" t="s">
        <v>16</v>
      </c>
      <c r="I42" s="113"/>
    </row>
    <row r="43" spans="1:9" ht="14.25" thickTop="1" thickBot="1" x14ac:dyDescent="0.25">
      <c r="A43" s="129"/>
      <c r="B43" s="112"/>
      <c r="C43" s="112"/>
      <c r="D43" s="27"/>
      <c r="E43" s="112"/>
      <c r="F43" s="112"/>
      <c r="G43" s="27"/>
      <c r="H43" s="112"/>
      <c r="I43" s="113"/>
    </row>
    <row r="44" spans="1:9" ht="14.25" thickTop="1" thickBot="1" x14ac:dyDescent="0.25">
      <c r="A44" s="129" t="s">
        <v>98</v>
      </c>
      <c r="B44" s="112"/>
      <c r="C44" s="112"/>
      <c r="D44" s="28" t="str">
        <f>cvel1</f>
        <v>N/A</v>
      </c>
      <c r="E44" s="112" t="s">
        <v>97</v>
      </c>
      <c r="F44" s="112"/>
      <c r="G44" s="28" t="str">
        <f>cvel2</f>
        <v>N/A</v>
      </c>
      <c r="H44" s="112" t="s">
        <v>97</v>
      </c>
      <c r="I44" s="113"/>
    </row>
    <row r="45" spans="1:9" ht="14.25" thickTop="1" thickBot="1" x14ac:dyDescent="0.25">
      <c r="A45" s="111"/>
      <c r="B45" s="112"/>
      <c r="C45" s="112"/>
      <c r="D45" s="27"/>
      <c r="E45" s="112"/>
      <c r="F45" s="112"/>
      <c r="G45" s="27"/>
      <c r="H45" s="112"/>
      <c r="I45" s="113"/>
    </row>
    <row r="46" spans="1:9" ht="14.25" thickTop="1" thickBot="1" x14ac:dyDescent="0.25">
      <c r="A46" s="129" t="s">
        <v>81</v>
      </c>
      <c r="B46" s="112"/>
      <c r="C46" s="112"/>
      <c r="D46" s="30" t="str">
        <f>high1</f>
        <v>N/A</v>
      </c>
      <c r="E46" s="112" t="s">
        <v>18</v>
      </c>
      <c r="F46" s="112"/>
      <c r="G46" s="30" t="str">
        <f>high2</f>
        <v>N/A</v>
      </c>
      <c r="H46" s="112" t="s">
        <v>18</v>
      </c>
      <c r="I46" s="113"/>
    </row>
    <row r="47" spans="1:9" ht="14.25" thickTop="1" thickBot="1" x14ac:dyDescent="0.25">
      <c r="A47" s="111"/>
      <c r="B47" s="112"/>
      <c r="C47" s="112"/>
      <c r="D47" s="27"/>
      <c r="E47" s="112"/>
      <c r="F47" s="112"/>
      <c r="G47" s="27"/>
      <c r="H47" s="112"/>
      <c r="I47" s="113"/>
    </row>
    <row r="48" spans="1:9" ht="14.25" thickTop="1" thickBot="1" x14ac:dyDescent="0.25">
      <c r="A48" s="129" t="s">
        <v>80</v>
      </c>
      <c r="B48" s="130" t="str">
        <f>IF(OR(pdrop="",high="",wide=""),"","CALCULATED VALUE")</f>
        <v/>
      </c>
      <c r="C48" s="112"/>
      <c r="D48" s="30" t="str">
        <f>wide1</f>
        <v>N/A</v>
      </c>
      <c r="E48" s="112" t="s">
        <v>18</v>
      </c>
      <c r="F48" s="112"/>
      <c r="G48" s="30" t="str">
        <f>wide2</f>
        <v>N/A</v>
      </c>
      <c r="H48" s="112" t="s">
        <v>18</v>
      </c>
      <c r="I48" s="113"/>
    </row>
    <row r="49" spans="1:9" ht="14.25" thickTop="1" thickBot="1" x14ac:dyDescent="0.25">
      <c r="A49" s="129"/>
      <c r="B49" s="112"/>
      <c r="C49" s="112"/>
      <c r="D49" s="31"/>
      <c r="E49" s="112"/>
      <c r="F49" s="112"/>
      <c r="G49" s="31"/>
      <c r="H49" s="112"/>
      <c r="I49" s="113"/>
    </row>
    <row r="50" spans="1:9" ht="14.25" thickTop="1" thickBot="1" x14ac:dyDescent="0.25">
      <c r="A50" s="129" t="s">
        <v>99</v>
      </c>
      <c r="B50" s="112"/>
      <c r="C50" s="112"/>
      <c r="D50" s="26" t="str">
        <f>selection!E33</f>
        <v>N/A</v>
      </c>
      <c r="E50" s="112" t="s">
        <v>100</v>
      </c>
      <c r="F50" s="112"/>
      <c r="G50" s="26" t="str">
        <f>selection!H33</f>
        <v>N/A</v>
      </c>
      <c r="H50" s="112" t="s">
        <v>100</v>
      </c>
      <c r="I50" s="113"/>
    </row>
    <row r="51" spans="1:9" ht="13.5" thickTop="1" x14ac:dyDescent="0.2">
      <c r="A51" s="129"/>
      <c r="B51" s="112"/>
      <c r="C51" s="112"/>
      <c r="D51" s="184"/>
      <c r="E51" s="112"/>
      <c r="F51" s="112"/>
      <c r="G51" s="184"/>
      <c r="H51" s="112"/>
      <c r="I51" s="113"/>
    </row>
    <row r="52" spans="1:9" x14ac:dyDescent="0.2">
      <c r="A52" s="114" t="s">
        <v>54</v>
      </c>
      <c r="B52" s="115" t="str" cm="1">
        <f t="array" ref="B52:B57">selection!K33:K38</f>
        <v/>
      </c>
      <c r="C52" s="112"/>
      <c r="D52" s="131"/>
      <c r="E52" s="112"/>
      <c r="F52" s="112"/>
      <c r="G52" s="131"/>
      <c r="H52" s="112"/>
      <c r="I52" s="113"/>
    </row>
    <row r="53" spans="1:9" x14ac:dyDescent="0.2">
      <c r="A53" s="114"/>
      <c r="B53" s="115" t="str">
        <v/>
      </c>
      <c r="C53" s="112"/>
      <c r="D53" s="131"/>
      <c r="E53" s="112"/>
      <c r="F53" s="112"/>
      <c r="G53" s="131"/>
      <c r="H53" s="112"/>
      <c r="I53" s="113"/>
    </row>
    <row r="54" spans="1:9" x14ac:dyDescent="0.2">
      <c r="A54" s="114"/>
      <c r="B54" s="115" t="str">
        <v/>
      </c>
      <c r="C54" s="112"/>
      <c r="D54" s="131"/>
      <c r="E54" s="112"/>
      <c r="F54" s="112"/>
      <c r="G54" s="131"/>
      <c r="H54" s="112"/>
      <c r="I54" s="113"/>
    </row>
    <row r="55" spans="1:9" x14ac:dyDescent="0.2">
      <c r="A55" s="111"/>
      <c r="B55" s="115" t="str">
        <v/>
      </c>
      <c r="C55" s="112"/>
      <c r="D55" s="112"/>
      <c r="E55" s="112"/>
      <c r="F55" s="112"/>
      <c r="G55" s="112"/>
      <c r="H55" s="112"/>
      <c r="I55" s="113"/>
    </row>
    <row r="56" spans="1:9" x14ac:dyDescent="0.2">
      <c r="A56" s="111"/>
      <c r="B56" s="115" t="str">
        <v/>
      </c>
      <c r="C56" s="112"/>
      <c r="D56" s="112"/>
      <c r="E56" s="112"/>
      <c r="F56" s="112"/>
      <c r="G56" s="112"/>
      <c r="H56" s="112"/>
      <c r="I56" s="113"/>
    </row>
    <row r="57" spans="1:9" x14ac:dyDescent="0.2">
      <c r="A57" s="111"/>
      <c r="B57" s="132" t="str">
        <v/>
      </c>
      <c r="C57" s="112"/>
      <c r="D57" s="112"/>
      <c r="E57" s="112"/>
      <c r="F57" s="112"/>
      <c r="G57" s="112"/>
      <c r="H57" s="112"/>
      <c r="I57" s="113"/>
    </row>
    <row r="58" spans="1:9" x14ac:dyDescent="0.2">
      <c r="A58" s="111"/>
      <c r="B58" s="115"/>
      <c r="C58" s="112"/>
      <c r="D58" s="112"/>
      <c r="E58" s="112"/>
      <c r="F58" s="112"/>
      <c r="G58" s="112"/>
      <c r="H58" s="112"/>
      <c r="I58" s="113"/>
    </row>
    <row r="59" spans="1:9" ht="13.5" thickBot="1" x14ac:dyDescent="0.25">
      <c r="A59" s="133" t="s">
        <v>227</v>
      </c>
      <c r="B59" s="134"/>
      <c r="C59" s="134"/>
      <c r="D59" s="134"/>
      <c r="E59" s="134"/>
      <c r="F59" s="134"/>
      <c r="G59" s="135"/>
      <c r="H59" s="135" t="s">
        <v>226</v>
      </c>
      <c r="I59" s="136"/>
    </row>
  </sheetData>
  <sheetProtection algorithmName="SHA-512" hashValue="nNzyzk+/sePAdlFKPxThX6OU8dENBgWPZ9e65G/Cs5a9mLtQqBGgMg6vp4Y//bfOepoq8H6hfC8T8Ypg1XgxRw==" saltValue="+IVSuAeYxPwD+Amik1jf5w==" spinCount="100000" sheet="1" selectLockedCells="1"/>
  <mergeCells count="1">
    <mergeCell ref="E10:H11"/>
  </mergeCells>
  <phoneticPr fontId="19" type="noConversion"/>
  <conditionalFormatting sqref="E10:H11">
    <cfRule type="expression" dxfId="5" priority="3" stopIfTrue="1">
      <formula>RIGHT($C$9,1)="M"</formula>
    </cfRule>
  </conditionalFormatting>
  <conditionalFormatting sqref="C25">
    <cfRule type="expression" dxfId="4" priority="2" stopIfTrue="1">
      <formula>$C$23&lt;&gt;"Yes"</formula>
    </cfRule>
  </conditionalFormatting>
  <conditionalFormatting sqref="C11:C13">
    <cfRule type="expression" dxfId="3" priority="1">
      <formula>LEFT($C$9,1)&lt;&gt;"U"</formula>
    </cfRule>
  </conditionalFormatting>
  <dataValidations xWindow="263" yWindow="393" count="15">
    <dataValidation type="list" allowBlank="1" showInputMessage="1" showErrorMessage="1" prompt="How important is rain rejection performance for this louvre?_x000a__x000a_" sqref="C11" xr:uid="{00000000-0002-0000-0000-000000000000}">
      <formula1>"Critical, Important, Unimportant"</formula1>
    </dataValidation>
    <dataValidation type="list" allowBlank="1" showInputMessage="1" showErrorMessage="1" prompt="Enter the degree of exposure to weather expected at the louvre location." sqref="C13" xr:uid="{00000000-0002-0000-0000-000001000000}">
      <formula1>"Exposed, Normal, Sheltered"</formula1>
    </dataValidation>
    <dataValidation type="list" allowBlank="1" showInputMessage="1" showErrorMessage="1" sqref="C17" xr:uid="{00000000-0002-0000-0000-000002000000}">
      <formula1>"Inlet, Extract"</formula1>
    </dataValidation>
    <dataValidation type="list" allowBlank="1" showInputMessage="1" showErrorMessage="1" sqref="C19" xr:uid="{00000000-0002-0000-0000-000003000000}">
      <formula1>"No connection, Ducted"</formula1>
    </dataValidation>
    <dataValidation type="list" allowBlank="1" showInputMessage="1" showErrorMessage="1" sqref="C15" xr:uid="{00000000-0002-0000-0000-000004000000}">
      <formula1>"None, Bird guard, Insect mesh"</formula1>
    </dataValidation>
    <dataValidation type="list" allowBlank="1" showInputMessage="1" showErrorMessage="1" prompt="Select UL/S for 50mm pitch shallow section louvre, UL/M for 75mm pitch medium section louvre or UL/D for 100mm pitch deep section louve._x000a_SelectUL/S, UL/M or UL/D for automatic selection or 1UL/S, etc for your own selection." sqref="C9" xr:uid="{00000000-0002-0000-0000-000005000000}">
      <formula1>"UL/S, UL/M, UL/D, 1UL/S, 1UL/M, 1UL/D, 2UL/S, 2UL/D, 3UL/S, 3UL/D"</formula1>
    </dataValidation>
    <dataValidation allowBlank="1" showInputMessage="1" showErrorMessage="1" prompt="Insert value if known or leave blank for default value of 1.25m" sqref="H17" xr:uid="{00000000-0002-0000-0000-000006000000}"/>
    <dataValidation allowBlank="1" showInputMessage="1" showErrorMessage="1" prompt="Insert value if known or leave blank for default of 2m." sqref="H18" xr:uid="{00000000-0002-0000-0000-000007000000}"/>
    <dataValidation allowBlank="1" showInputMessage="1" showErrorMessage="1" prompt="insert value of known or leave blank for default of 3.2m." sqref="H19" xr:uid="{00000000-0002-0000-0000-000008000000}"/>
    <dataValidation allowBlank="1" showInputMessage="1" showErrorMessage="1" prompt="Insert value if known or leave blank for default of 0.1m." sqref="H21" xr:uid="{00000000-0002-0000-0000-000009000000}"/>
    <dataValidation allowBlank="1" showInputMessage="1" showErrorMessage="1" prompt="Insert mullion spacing if known or leave blank for default value of 1.0m." sqref="H13" xr:uid="{00000000-0002-0000-0000-00000A000000}"/>
    <dataValidation type="list" allowBlank="1" showInputMessage="1" showErrorMessage="1" sqref="H9" xr:uid="{00000000-0002-0000-0000-00000B000000}">
      <formula1>"Aluminium, Stainless steel, Galvanised steel"</formula1>
    </dataValidation>
    <dataValidation allowBlank="1" showInputMessage="1" showErrorMessage="1" prompt="Insert air density or leave blank for default value of 1.2 kg/m3." sqref="H23" xr:uid="{00000000-0002-0000-0000-00000C000000}"/>
    <dataValidation type="list" allowBlank="1" showInputMessage="1" showErrorMessage="1" sqref="C23" xr:uid="{00000000-0002-0000-0000-00000D000000}">
      <formula1>"Yes,No"</formula1>
    </dataValidation>
    <dataValidation type="list" allowBlank="1" showInputMessage="1" showErrorMessage="1" prompt="Insert full or half mullions at panel ends if known or leave blank for default of full mullions" sqref="H15" xr:uid="{613F68E1-CC30-408F-8775-54FAB4467A7F}">
      <formula1>"Full,Half"</formula1>
    </dataValidation>
  </dataValidations>
  <pageMargins left="0.75" right="0.75" top="1" bottom="1" header="0.5" footer="0.5"/>
  <pageSetup paperSize="9" scale="84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63"/>
  <sheetViews>
    <sheetView tabSelected="1" topLeftCell="A37" workbookViewId="0">
      <selection activeCell="C64" sqref="C64"/>
    </sheetView>
  </sheetViews>
  <sheetFormatPr defaultRowHeight="12.75" x14ac:dyDescent="0.2"/>
  <sheetData>
    <row r="2" spans="1:4" x14ac:dyDescent="0.2">
      <c r="A2" s="16"/>
    </row>
    <row r="3" spans="1:4" x14ac:dyDescent="0.2">
      <c r="A3" s="16">
        <v>1</v>
      </c>
      <c r="B3" t="s">
        <v>133</v>
      </c>
    </row>
    <row r="4" spans="1:4" x14ac:dyDescent="0.2">
      <c r="A4" s="16"/>
      <c r="B4" t="s">
        <v>143</v>
      </c>
    </row>
    <row r="5" spans="1:4" x14ac:dyDescent="0.2">
      <c r="A5" s="16"/>
    </row>
    <row r="6" spans="1:4" x14ac:dyDescent="0.2">
      <c r="A6" s="16">
        <v>2</v>
      </c>
      <c r="B6" t="s">
        <v>116</v>
      </c>
    </row>
    <row r="7" spans="1:4" x14ac:dyDescent="0.2">
      <c r="A7" s="16"/>
      <c r="B7" t="s">
        <v>117</v>
      </c>
    </row>
    <row r="8" spans="1:4" x14ac:dyDescent="0.2">
      <c r="A8" s="16"/>
    </row>
    <row r="9" spans="1:4" x14ac:dyDescent="0.2">
      <c r="A9" s="16">
        <v>3</v>
      </c>
      <c r="B9" t="s">
        <v>124</v>
      </c>
    </row>
    <row r="10" spans="1:4" x14ac:dyDescent="0.2">
      <c r="A10" s="16"/>
    </row>
    <row r="11" spans="1:4" x14ac:dyDescent="0.2">
      <c r="A11" s="16">
        <v>4</v>
      </c>
      <c r="B11" t="s">
        <v>141</v>
      </c>
    </row>
    <row r="12" spans="1:4" x14ac:dyDescent="0.2">
      <c r="A12" s="16"/>
      <c r="B12" t="s">
        <v>140</v>
      </c>
    </row>
    <row r="13" spans="1:4" x14ac:dyDescent="0.2">
      <c r="A13" s="16"/>
      <c r="C13" t="s">
        <v>139</v>
      </c>
      <c r="D13" t="s">
        <v>138</v>
      </c>
    </row>
    <row r="14" spans="1:4" x14ac:dyDescent="0.2">
      <c r="A14" s="16"/>
      <c r="B14" t="s">
        <v>64</v>
      </c>
      <c r="C14" s="16">
        <v>7</v>
      </c>
      <c r="D14" s="16">
        <v>-6</v>
      </c>
    </row>
    <row r="15" spans="1:4" x14ac:dyDescent="0.2">
      <c r="A15" s="16"/>
      <c r="B15" t="s">
        <v>65</v>
      </c>
      <c r="C15" s="16">
        <v>4</v>
      </c>
      <c r="D15" s="16">
        <v>-4</v>
      </c>
    </row>
    <row r="16" spans="1:4" x14ac:dyDescent="0.2">
      <c r="A16" s="16"/>
      <c r="B16" t="s">
        <v>66</v>
      </c>
      <c r="C16" s="16">
        <v>3</v>
      </c>
      <c r="D16" s="16">
        <v>-3</v>
      </c>
    </row>
    <row r="17" spans="1:2" ht="12" customHeight="1" x14ac:dyDescent="0.2">
      <c r="A17" s="16"/>
    </row>
    <row r="18" spans="1:2" x14ac:dyDescent="0.2">
      <c r="A18" s="16">
        <v>5</v>
      </c>
      <c r="B18" t="s">
        <v>131</v>
      </c>
    </row>
    <row r="19" spans="1:2" x14ac:dyDescent="0.2">
      <c r="A19" s="16"/>
      <c r="B19" t="s">
        <v>132</v>
      </c>
    </row>
    <row r="20" spans="1:2" x14ac:dyDescent="0.2">
      <c r="A20" s="16"/>
    </row>
    <row r="21" spans="1:2" x14ac:dyDescent="0.2">
      <c r="A21" s="16">
        <v>6</v>
      </c>
      <c r="B21" t="s">
        <v>105</v>
      </c>
    </row>
    <row r="22" spans="1:2" x14ac:dyDescent="0.2">
      <c r="A22" s="16"/>
      <c r="B22" t="s">
        <v>106</v>
      </c>
    </row>
    <row r="23" spans="1:2" x14ac:dyDescent="0.2">
      <c r="A23" s="16"/>
      <c r="B23" t="s">
        <v>107</v>
      </c>
    </row>
    <row r="24" spans="1:2" x14ac:dyDescent="0.2">
      <c r="A24" s="16"/>
      <c r="B24" t="s">
        <v>108</v>
      </c>
    </row>
    <row r="25" spans="1:2" x14ac:dyDescent="0.2">
      <c r="A25" s="16"/>
    </row>
    <row r="26" spans="1:2" x14ac:dyDescent="0.2">
      <c r="A26" s="16">
        <v>7</v>
      </c>
      <c r="B26" t="s">
        <v>115</v>
      </c>
    </row>
    <row r="27" spans="1:2" x14ac:dyDescent="0.2">
      <c r="A27" s="16"/>
      <c r="B27" t="s">
        <v>109</v>
      </c>
    </row>
    <row r="28" spans="1:2" x14ac:dyDescent="0.2">
      <c r="A28" s="16"/>
    </row>
    <row r="29" spans="1:2" x14ac:dyDescent="0.2">
      <c r="A29" s="16">
        <v>8</v>
      </c>
      <c r="B29" t="s">
        <v>118</v>
      </c>
    </row>
    <row r="30" spans="1:2" x14ac:dyDescent="0.2">
      <c r="A30" s="16"/>
    </row>
    <row r="31" spans="1:2" x14ac:dyDescent="0.2">
      <c r="A31" s="16"/>
      <c r="B31" t="s">
        <v>110</v>
      </c>
    </row>
    <row r="32" spans="1:2" x14ac:dyDescent="0.2">
      <c r="A32" s="16"/>
      <c r="B32" t="s">
        <v>111</v>
      </c>
    </row>
    <row r="33" spans="1:2" x14ac:dyDescent="0.2">
      <c r="A33" s="16"/>
      <c r="B33" t="s">
        <v>112</v>
      </c>
    </row>
    <row r="34" spans="1:2" x14ac:dyDescent="0.2">
      <c r="A34" s="16"/>
      <c r="B34" t="s">
        <v>113</v>
      </c>
    </row>
    <row r="35" spans="1:2" x14ac:dyDescent="0.2">
      <c r="A35" s="16"/>
    </row>
    <row r="36" spans="1:2" x14ac:dyDescent="0.2">
      <c r="A36" s="16"/>
      <c r="B36" t="s">
        <v>119</v>
      </c>
    </row>
    <row r="37" spans="1:2" x14ac:dyDescent="0.2">
      <c r="A37" s="16"/>
      <c r="B37" t="s">
        <v>120</v>
      </c>
    </row>
    <row r="38" spans="1:2" x14ac:dyDescent="0.2">
      <c r="A38" s="16"/>
      <c r="B38" t="s">
        <v>121</v>
      </c>
    </row>
    <row r="39" spans="1:2" x14ac:dyDescent="0.2">
      <c r="A39" s="16"/>
      <c r="B39" t="s">
        <v>122</v>
      </c>
    </row>
    <row r="40" spans="1:2" x14ac:dyDescent="0.2">
      <c r="A40" s="16"/>
    </row>
    <row r="41" spans="1:2" x14ac:dyDescent="0.2">
      <c r="A41" s="16">
        <v>9</v>
      </c>
      <c r="B41" t="s">
        <v>114</v>
      </c>
    </row>
    <row r="42" spans="1:2" x14ac:dyDescent="0.2">
      <c r="A42" s="16"/>
    </row>
    <row r="43" spans="1:2" x14ac:dyDescent="0.2">
      <c r="A43" s="16">
        <v>10</v>
      </c>
      <c r="B43" t="s">
        <v>151</v>
      </c>
    </row>
    <row r="44" spans="1:2" x14ac:dyDescent="0.2">
      <c r="A44" s="16"/>
      <c r="B44" t="s">
        <v>152</v>
      </c>
    </row>
    <row r="45" spans="1:2" x14ac:dyDescent="0.2">
      <c r="A45" s="16"/>
    </row>
    <row r="46" spans="1:2" x14ac:dyDescent="0.2">
      <c r="A46" s="16">
        <v>11</v>
      </c>
      <c r="B46" t="s">
        <v>104</v>
      </c>
    </row>
    <row r="47" spans="1:2" x14ac:dyDescent="0.2">
      <c r="A47" s="16"/>
    </row>
    <row r="48" spans="1:2" x14ac:dyDescent="0.2">
      <c r="A48" s="16">
        <v>12</v>
      </c>
      <c r="B48" s="23" t="s">
        <v>145</v>
      </c>
    </row>
    <row r="49" spans="1:3" x14ac:dyDescent="0.2">
      <c r="A49" s="16"/>
      <c r="B49" s="23" t="s">
        <v>146</v>
      </c>
    </row>
    <row r="50" spans="1:3" x14ac:dyDescent="0.2">
      <c r="A50" s="16"/>
      <c r="B50" s="23"/>
    </row>
    <row r="51" spans="1:3" x14ac:dyDescent="0.2">
      <c r="A51" s="19" t="s">
        <v>125</v>
      </c>
    </row>
    <row r="52" spans="1:3" x14ac:dyDescent="0.2">
      <c r="A52" s="16"/>
    </row>
    <row r="53" spans="1:3" x14ac:dyDescent="0.2">
      <c r="A53" s="20">
        <v>37773</v>
      </c>
      <c r="C53" t="s">
        <v>126</v>
      </c>
    </row>
    <row r="54" spans="1:3" x14ac:dyDescent="0.2">
      <c r="A54" s="20">
        <v>37803</v>
      </c>
      <c r="C54" t="s">
        <v>137</v>
      </c>
    </row>
    <row r="55" spans="1:3" x14ac:dyDescent="0.2">
      <c r="A55" s="20">
        <v>37926</v>
      </c>
      <c r="C55" t="s">
        <v>147</v>
      </c>
    </row>
    <row r="56" spans="1:3" x14ac:dyDescent="0.2">
      <c r="A56" s="20">
        <v>38047</v>
      </c>
      <c r="C56" t="s">
        <v>148</v>
      </c>
    </row>
    <row r="57" spans="1:3" x14ac:dyDescent="0.2">
      <c r="A57" s="20">
        <v>39934</v>
      </c>
      <c r="C57" t="s">
        <v>150</v>
      </c>
    </row>
    <row r="58" spans="1:3" x14ac:dyDescent="0.2">
      <c r="A58" s="20">
        <v>40148</v>
      </c>
      <c r="C58" t="s">
        <v>191</v>
      </c>
    </row>
    <row r="59" spans="1:3" x14ac:dyDescent="0.2">
      <c r="A59" s="20">
        <v>40330</v>
      </c>
      <c r="C59" t="s">
        <v>192</v>
      </c>
    </row>
    <row r="60" spans="1:3" x14ac:dyDescent="0.2">
      <c r="A60" s="20">
        <v>41395</v>
      </c>
      <c r="C60" t="s">
        <v>193</v>
      </c>
    </row>
    <row r="61" spans="1:3" x14ac:dyDescent="0.2">
      <c r="A61" s="20">
        <v>42644</v>
      </c>
      <c r="C61" t="s">
        <v>194</v>
      </c>
    </row>
    <row r="62" spans="1:3" x14ac:dyDescent="0.2">
      <c r="A62" s="20">
        <v>45261</v>
      </c>
      <c r="C62" s="18" t="s">
        <v>190</v>
      </c>
    </row>
    <row r="63" spans="1:3" x14ac:dyDescent="0.2">
      <c r="A63" s="20">
        <v>45413</v>
      </c>
      <c r="C63" s="18" t="s">
        <v>225</v>
      </c>
    </row>
  </sheetData>
  <sheetProtection algorithmName="SHA-512" hashValue="id6XM2JuJFtPiGafUh5VkP1ogt1CdPUV8aNG/YLcoqIy+Osp63UXFn2xz5Tc0HH9/nNhubDG4qmexqewcqHL4Q==" saltValue="qndBxbuX4DRM0yzvbjyx4g==" spinCount="100000" sheet="1" selectLockedCells="1"/>
  <phoneticPr fontId="19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E3699-63EA-410B-9612-5110360C40DB}">
  <dimension ref="A1:AX51"/>
  <sheetViews>
    <sheetView topLeftCell="D6" workbookViewId="0">
      <selection activeCell="AM38" sqref="AM38:AM40"/>
    </sheetView>
  </sheetViews>
  <sheetFormatPr defaultRowHeight="12.75" x14ac:dyDescent="0.2"/>
  <cols>
    <col min="1" max="1" width="6.42578125" style="140" bestFit="1" customWidth="1"/>
    <col min="2" max="2" width="7.28515625" style="140" customWidth="1"/>
    <col min="3" max="3" width="8.28515625" style="140" bestFit="1" customWidth="1"/>
    <col min="4" max="4" width="7.85546875" style="140" bestFit="1" customWidth="1"/>
    <col min="5" max="16" width="3" style="140" customWidth="1"/>
    <col min="17" max="17" width="9.140625" style="140"/>
    <col min="18" max="18" width="6.140625" style="140" bestFit="1" customWidth="1"/>
    <col min="19" max="19" width="7.28515625" style="140" customWidth="1"/>
    <col min="20" max="21" width="9.140625" style="140"/>
    <col min="22" max="33" width="3" style="140" customWidth="1"/>
    <col min="34" max="34" width="9.140625" style="140"/>
    <col min="35" max="35" width="6.140625" style="140" bestFit="1" customWidth="1"/>
    <col min="36" max="36" width="7.85546875" style="140" customWidth="1"/>
    <col min="37" max="37" width="8.5703125" style="140" bestFit="1" customWidth="1"/>
    <col min="38" max="38" width="8.42578125" style="140" bestFit="1" customWidth="1"/>
    <col min="39" max="50" width="3" style="140" customWidth="1"/>
  </cols>
  <sheetData>
    <row r="1" spans="1:50" x14ac:dyDescent="0.2">
      <c r="A1" s="188" t="s">
        <v>196</v>
      </c>
      <c r="B1" s="186" t="s">
        <v>197</v>
      </c>
      <c r="C1" s="190" t="s">
        <v>199</v>
      </c>
      <c r="D1" s="190" t="s">
        <v>200</v>
      </c>
      <c r="E1" s="190" t="s">
        <v>201</v>
      </c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3"/>
      <c r="R1" s="188" t="s">
        <v>196</v>
      </c>
      <c r="S1" s="186" t="s">
        <v>197</v>
      </c>
      <c r="T1" s="190" t="s">
        <v>199</v>
      </c>
      <c r="U1" s="190" t="s">
        <v>200</v>
      </c>
      <c r="V1" s="190" t="s">
        <v>201</v>
      </c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3"/>
      <c r="AI1" s="188" t="s">
        <v>196</v>
      </c>
      <c r="AJ1" s="186" t="s">
        <v>197</v>
      </c>
      <c r="AK1" s="190" t="s">
        <v>199</v>
      </c>
      <c r="AL1" s="190" t="s">
        <v>200</v>
      </c>
      <c r="AM1" s="190" t="s">
        <v>201</v>
      </c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3"/>
    </row>
    <row r="2" spans="1:50" ht="13.5" thickBot="1" x14ac:dyDescent="0.25">
      <c r="A2" s="189"/>
      <c r="B2" s="187"/>
      <c r="C2" s="191"/>
      <c r="D2" s="192"/>
      <c r="E2" s="144">
        <v>1</v>
      </c>
      <c r="F2" s="144">
        <v>2</v>
      </c>
      <c r="G2" s="144">
        <v>3</v>
      </c>
      <c r="H2" s="144">
        <v>4</v>
      </c>
      <c r="I2" s="144">
        <v>5</v>
      </c>
      <c r="J2" s="144">
        <v>6</v>
      </c>
      <c r="K2" s="144">
        <v>7</v>
      </c>
      <c r="L2" s="144">
        <v>8</v>
      </c>
      <c r="M2" s="144">
        <v>9</v>
      </c>
      <c r="N2" s="144">
        <v>10</v>
      </c>
      <c r="O2" s="144">
        <v>11</v>
      </c>
      <c r="P2" s="145">
        <v>12</v>
      </c>
      <c r="R2" s="189"/>
      <c r="S2" s="187"/>
      <c r="T2" s="191"/>
      <c r="U2" s="192"/>
      <c r="V2" s="144">
        <v>1</v>
      </c>
      <c r="W2" s="144">
        <v>2</v>
      </c>
      <c r="X2" s="144">
        <v>3</v>
      </c>
      <c r="Y2" s="144">
        <v>4</v>
      </c>
      <c r="Z2" s="144">
        <v>5</v>
      </c>
      <c r="AA2" s="144">
        <v>6</v>
      </c>
      <c r="AB2" s="144">
        <v>7</v>
      </c>
      <c r="AC2" s="144">
        <v>8</v>
      </c>
      <c r="AD2" s="144">
        <v>9</v>
      </c>
      <c r="AE2" s="144">
        <v>10</v>
      </c>
      <c r="AF2" s="144">
        <v>11</v>
      </c>
      <c r="AG2" s="145">
        <v>12</v>
      </c>
      <c r="AI2" s="189"/>
      <c r="AJ2" s="187"/>
      <c r="AK2" s="191"/>
      <c r="AL2" s="192"/>
      <c r="AM2" s="144">
        <v>1</v>
      </c>
      <c r="AN2" s="144">
        <v>2</v>
      </c>
      <c r="AO2" s="144">
        <v>3</v>
      </c>
      <c r="AP2" s="144">
        <v>4</v>
      </c>
      <c r="AQ2" s="144">
        <v>5</v>
      </c>
      <c r="AR2" s="144">
        <v>6</v>
      </c>
      <c r="AS2" s="144">
        <v>7</v>
      </c>
      <c r="AT2" s="144">
        <v>8</v>
      </c>
      <c r="AU2" s="144">
        <v>9</v>
      </c>
      <c r="AV2" s="144">
        <v>10</v>
      </c>
      <c r="AW2" s="144">
        <v>11</v>
      </c>
      <c r="AX2" s="145">
        <v>12</v>
      </c>
    </row>
    <row r="3" spans="1:50" x14ac:dyDescent="0.2">
      <c r="A3" s="188" t="s">
        <v>83</v>
      </c>
      <c r="B3" s="195">
        <v>600</v>
      </c>
      <c r="C3" s="190" t="s">
        <v>56</v>
      </c>
      <c r="D3" s="146" t="s">
        <v>198</v>
      </c>
      <c r="E3" s="152">
        <v>0</v>
      </c>
      <c r="F3" s="153">
        <v>0</v>
      </c>
      <c r="G3" s="153">
        <v>0</v>
      </c>
      <c r="H3" s="153">
        <v>0</v>
      </c>
      <c r="I3" s="153">
        <v>0</v>
      </c>
      <c r="J3" s="153">
        <v>0</v>
      </c>
      <c r="K3" s="153">
        <v>0</v>
      </c>
      <c r="L3" s="153">
        <v>0</v>
      </c>
      <c r="M3" s="153">
        <v>0</v>
      </c>
      <c r="N3" s="153">
        <v>1</v>
      </c>
      <c r="O3" s="153">
        <v>1</v>
      </c>
      <c r="P3" s="154">
        <v>1</v>
      </c>
      <c r="Q3" s="140">
        <f>ROW(E3)</f>
        <v>3</v>
      </c>
      <c r="R3" s="188" t="s">
        <v>85</v>
      </c>
      <c r="S3" s="195">
        <v>600</v>
      </c>
      <c r="T3" s="190" t="s">
        <v>56</v>
      </c>
      <c r="U3" s="146" t="s">
        <v>198</v>
      </c>
      <c r="V3" s="152">
        <v>0</v>
      </c>
      <c r="W3" s="153">
        <v>0</v>
      </c>
      <c r="X3" s="153">
        <v>0</v>
      </c>
      <c r="Y3" s="153">
        <v>0</v>
      </c>
      <c r="Z3" s="153">
        <v>0</v>
      </c>
      <c r="AA3" s="153">
        <v>0</v>
      </c>
      <c r="AB3" s="153">
        <v>0</v>
      </c>
      <c r="AC3" s="153">
        <v>0</v>
      </c>
      <c r="AD3" s="153">
        <v>0</v>
      </c>
      <c r="AE3" s="153">
        <v>0</v>
      </c>
      <c r="AF3" s="153">
        <v>0</v>
      </c>
      <c r="AG3" s="154">
        <v>0</v>
      </c>
      <c r="AI3" s="188" t="s">
        <v>86</v>
      </c>
      <c r="AJ3" s="195">
        <v>600</v>
      </c>
      <c r="AK3" s="190" t="s">
        <v>56</v>
      </c>
      <c r="AL3" s="146" t="s">
        <v>198</v>
      </c>
      <c r="AM3" s="152">
        <v>0</v>
      </c>
      <c r="AN3" s="153">
        <v>0</v>
      </c>
      <c r="AO3" s="153">
        <v>0</v>
      </c>
      <c r="AP3" s="153">
        <v>0</v>
      </c>
      <c r="AQ3" s="153">
        <v>0</v>
      </c>
      <c r="AR3" s="153">
        <v>0</v>
      </c>
      <c r="AS3" s="153">
        <v>0</v>
      </c>
      <c r="AT3" s="153">
        <v>0</v>
      </c>
      <c r="AU3" s="153">
        <v>0</v>
      </c>
      <c r="AV3" s="153">
        <v>0</v>
      </c>
      <c r="AW3" s="153">
        <v>0</v>
      </c>
      <c r="AX3" s="154">
        <v>0</v>
      </c>
    </row>
    <row r="4" spans="1:50" x14ac:dyDescent="0.2">
      <c r="A4" s="206"/>
      <c r="B4" s="196"/>
      <c r="C4" s="194"/>
      <c r="D4" s="138" t="s">
        <v>202</v>
      </c>
      <c r="E4" s="155">
        <v>0</v>
      </c>
      <c r="F4" s="156">
        <v>0</v>
      </c>
      <c r="G4" s="156">
        <v>0</v>
      </c>
      <c r="H4" s="156">
        <v>0</v>
      </c>
      <c r="I4" s="156">
        <v>0</v>
      </c>
      <c r="J4" s="156">
        <v>0</v>
      </c>
      <c r="K4" s="156">
        <v>0</v>
      </c>
      <c r="L4" s="156">
        <v>1</v>
      </c>
      <c r="M4" s="156">
        <v>0</v>
      </c>
      <c r="N4" s="156">
        <v>0</v>
      </c>
      <c r="O4" s="156">
        <v>0</v>
      </c>
      <c r="P4" s="157">
        <v>0</v>
      </c>
      <c r="Q4" s="140">
        <f>COLUMN(E3)</f>
        <v>5</v>
      </c>
      <c r="R4" s="206"/>
      <c r="S4" s="196"/>
      <c r="T4" s="194"/>
      <c r="U4" s="138" t="s">
        <v>202</v>
      </c>
      <c r="V4" s="155">
        <v>0</v>
      </c>
      <c r="W4" s="156">
        <v>0</v>
      </c>
      <c r="X4" s="156">
        <v>0</v>
      </c>
      <c r="Y4" s="156">
        <v>0</v>
      </c>
      <c r="Z4" s="156">
        <v>0</v>
      </c>
      <c r="AA4" s="156">
        <v>0</v>
      </c>
      <c r="AB4" s="156">
        <v>0</v>
      </c>
      <c r="AC4" s="156">
        <v>0</v>
      </c>
      <c r="AD4" s="156">
        <v>0</v>
      </c>
      <c r="AE4" s="156">
        <v>0</v>
      </c>
      <c r="AF4" s="156">
        <v>0</v>
      </c>
      <c r="AG4" s="157">
        <v>0</v>
      </c>
      <c r="AI4" s="206"/>
      <c r="AJ4" s="196"/>
      <c r="AK4" s="194"/>
      <c r="AL4" s="138" t="s">
        <v>202</v>
      </c>
      <c r="AM4" s="155">
        <v>0</v>
      </c>
      <c r="AN4" s="156">
        <v>0</v>
      </c>
      <c r="AO4" s="156">
        <v>0</v>
      </c>
      <c r="AP4" s="156">
        <v>0</v>
      </c>
      <c r="AQ4" s="156">
        <v>0</v>
      </c>
      <c r="AR4" s="156">
        <v>0</v>
      </c>
      <c r="AS4" s="156">
        <v>0</v>
      </c>
      <c r="AT4" s="156">
        <v>0</v>
      </c>
      <c r="AU4" s="156">
        <v>0</v>
      </c>
      <c r="AV4" s="156">
        <v>0</v>
      </c>
      <c r="AW4" s="156">
        <v>0</v>
      </c>
      <c r="AX4" s="157">
        <v>0</v>
      </c>
    </row>
    <row r="5" spans="1:50" x14ac:dyDescent="0.2">
      <c r="A5" s="206"/>
      <c r="B5" s="196"/>
      <c r="C5" s="194" t="s">
        <v>57</v>
      </c>
      <c r="D5" s="138" t="s">
        <v>198</v>
      </c>
      <c r="E5" s="155">
        <v>0</v>
      </c>
      <c r="F5" s="156">
        <v>0</v>
      </c>
      <c r="G5" s="156">
        <v>0</v>
      </c>
      <c r="H5" s="156">
        <v>0</v>
      </c>
      <c r="I5" s="156">
        <v>0</v>
      </c>
      <c r="J5" s="156">
        <v>0</v>
      </c>
      <c r="K5" s="156">
        <v>0</v>
      </c>
      <c r="L5" s="156">
        <v>1</v>
      </c>
      <c r="M5" s="156">
        <v>1</v>
      </c>
      <c r="N5" s="156">
        <v>0</v>
      </c>
      <c r="O5" s="156">
        <v>0</v>
      </c>
      <c r="P5" s="157">
        <v>0</v>
      </c>
      <c r="Q5" s="140">
        <f>COLUMN(D3)</f>
        <v>4</v>
      </c>
      <c r="R5" s="206"/>
      <c r="S5" s="196"/>
      <c r="T5" s="194" t="s">
        <v>57</v>
      </c>
      <c r="U5" s="138" t="s">
        <v>198</v>
      </c>
      <c r="V5" s="155">
        <v>0</v>
      </c>
      <c r="W5" s="156">
        <v>0</v>
      </c>
      <c r="X5" s="156">
        <v>0</v>
      </c>
      <c r="Y5" s="156">
        <v>0</v>
      </c>
      <c r="Z5" s="156">
        <v>0</v>
      </c>
      <c r="AA5" s="156">
        <v>0</v>
      </c>
      <c r="AB5" s="156">
        <v>0</v>
      </c>
      <c r="AC5" s="156">
        <v>0</v>
      </c>
      <c r="AD5" s="156">
        <v>0</v>
      </c>
      <c r="AE5" s="156">
        <v>0</v>
      </c>
      <c r="AF5" s="156">
        <v>0</v>
      </c>
      <c r="AG5" s="157">
        <v>0</v>
      </c>
      <c r="AI5" s="206"/>
      <c r="AJ5" s="196"/>
      <c r="AK5" s="194" t="s">
        <v>57</v>
      </c>
      <c r="AL5" s="138" t="s">
        <v>198</v>
      </c>
      <c r="AM5" s="155">
        <v>0</v>
      </c>
      <c r="AN5" s="156">
        <v>0</v>
      </c>
      <c r="AO5" s="156">
        <v>0</v>
      </c>
      <c r="AP5" s="156">
        <v>0</v>
      </c>
      <c r="AQ5" s="156">
        <v>0</v>
      </c>
      <c r="AR5" s="156">
        <v>0</v>
      </c>
      <c r="AS5" s="156">
        <v>0</v>
      </c>
      <c r="AT5" s="156">
        <v>0</v>
      </c>
      <c r="AU5" s="156">
        <v>0</v>
      </c>
      <c r="AV5" s="156">
        <v>0</v>
      </c>
      <c r="AW5" s="156">
        <v>0</v>
      </c>
      <c r="AX5" s="157">
        <v>0</v>
      </c>
    </row>
    <row r="6" spans="1:50" x14ac:dyDescent="0.2">
      <c r="A6" s="206"/>
      <c r="B6" s="196"/>
      <c r="C6" s="194"/>
      <c r="D6" s="138" t="s">
        <v>202</v>
      </c>
      <c r="E6" s="155">
        <v>0</v>
      </c>
      <c r="F6" s="156">
        <v>0</v>
      </c>
      <c r="G6" s="156">
        <v>0</v>
      </c>
      <c r="H6" s="156">
        <v>0</v>
      </c>
      <c r="I6" s="156">
        <v>0</v>
      </c>
      <c r="J6" s="156">
        <v>0</v>
      </c>
      <c r="K6" s="156">
        <v>0</v>
      </c>
      <c r="L6" s="156">
        <v>1</v>
      </c>
      <c r="M6" s="156">
        <v>1</v>
      </c>
      <c r="N6" s="156">
        <v>1</v>
      </c>
      <c r="O6" s="156">
        <v>0</v>
      </c>
      <c r="P6" s="157">
        <v>0</v>
      </c>
      <c r="Q6" s="140">
        <f>COLUMN(U3)</f>
        <v>21</v>
      </c>
      <c r="R6" s="206"/>
      <c r="S6" s="196"/>
      <c r="T6" s="194"/>
      <c r="U6" s="138" t="s">
        <v>202</v>
      </c>
      <c r="V6" s="155">
        <v>0</v>
      </c>
      <c r="W6" s="156">
        <v>0</v>
      </c>
      <c r="X6" s="156">
        <v>0</v>
      </c>
      <c r="Y6" s="156">
        <v>0</v>
      </c>
      <c r="Z6" s="156">
        <v>0</v>
      </c>
      <c r="AA6" s="156">
        <v>0</v>
      </c>
      <c r="AB6" s="156">
        <v>0</v>
      </c>
      <c r="AC6" s="156">
        <v>0</v>
      </c>
      <c r="AD6" s="156">
        <v>0</v>
      </c>
      <c r="AE6" s="156">
        <v>0</v>
      </c>
      <c r="AF6" s="156">
        <v>0</v>
      </c>
      <c r="AG6" s="157">
        <v>0</v>
      </c>
      <c r="AI6" s="206"/>
      <c r="AJ6" s="196"/>
      <c r="AK6" s="194"/>
      <c r="AL6" s="138" t="s">
        <v>202</v>
      </c>
      <c r="AM6" s="155">
        <v>0</v>
      </c>
      <c r="AN6" s="156">
        <v>0</v>
      </c>
      <c r="AO6" s="156">
        <v>0</v>
      </c>
      <c r="AP6" s="156">
        <v>0</v>
      </c>
      <c r="AQ6" s="156">
        <v>0</v>
      </c>
      <c r="AR6" s="156">
        <v>0</v>
      </c>
      <c r="AS6" s="156">
        <v>0</v>
      </c>
      <c r="AT6" s="156">
        <v>0</v>
      </c>
      <c r="AU6" s="156">
        <v>0</v>
      </c>
      <c r="AV6" s="156">
        <v>0</v>
      </c>
      <c r="AW6" s="156">
        <v>0</v>
      </c>
      <c r="AX6" s="157">
        <v>0</v>
      </c>
    </row>
    <row r="7" spans="1:50" x14ac:dyDescent="0.2">
      <c r="A7" s="206"/>
      <c r="B7" s="196">
        <v>800</v>
      </c>
      <c r="C7" s="194" t="s">
        <v>56</v>
      </c>
      <c r="D7" s="138" t="s">
        <v>198</v>
      </c>
      <c r="E7" s="155">
        <v>0</v>
      </c>
      <c r="F7" s="156">
        <v>0</v>
      </c>
      <c r="G7" s="156">
        <v>0</v>
      </c>
      <c r="H7" s="156">
        <v>0</v>
      </c>
      <c r="I7" s="156">
        <v>1</v>
      </c>
      <c r="J7" s="156">
        <v>0</v>
      </c>
      <c r="K7" s="156">
        <v>0</v>
      </c>
      <c r="L7" s="156">
        <v>0</v>
      </c>
      <c r="M7" s="156">
        <v>1</v>
      </c>
      <c r="N7" s="156">
        <v>1</v>
      </c>
      <c r="O7" s="156">
        <v>1</v>
      </c>
      <c r="P7" s="157">
        <v>1</v>
      </c>
      <c r="Q7" s="140">
        <f>COLUMN(AL3)</f>
        <v>38</v>
      </c>
      <c r="R7" s="206"/>
      <c r="S7" s="196">
        <v>800</v>
      </c>
      <c r="T7" s="194" t="s">
        <v>56</v>
      </c>
      <c r="U7" s="138" t="s">
        <v>198</v>
      </c>
      <c r="V7" s="155">
        <v>0</v>
      </c>
      <c r="W7" s="156">
        <v>0</v>
      </c>
      <c r="X7" s="156">
        <v>0</v>
      </c>
      <c r="Y7" s="156">
        <v>0</v>
      </c>
      <c r="Z7" s="156">
        <v>0</v>
      </c>
      <c r="AA7" s="156">
        <v>0</v>
      </c>
      <c r="AB7" s="156">
        <v>0</v>
      </c>
      <c r="AC7" s="156">
        <v>0</v>
      </c>
      <c r="AD7" s="156">
        <v>0</v>
      </c>
      <c r="AE7" s="156">
        <v>0</v>
      </c>
      <c r="AF7" s="156">
        <v>0</v>
      </c>
      <c r="AG7" s="157">
        <v>0</v>
      </c>
      <c r="AI7" s="206"/>
      <c r="AJ7" s="196">
        <v>800</v>
      </c>
      <c r="AK7" s="194" t="s">
        <v>56</v>
      </c>
      <c r="AL7" s="138" t="s">
        <v>198</v>
      </c>
      <c r="AM7" s="155">
        <v>0</v>
      </c>
      <c r="AN7" s="156">
        <v>0</v>
      </c>
      <c r="AO7" s="156">
        <v>0</v>
      </c>
      <c r="AP7" s="156">
        <v>0</v>
      </c>
      <c r="AQ7" s="156">
        <v>0</v>
      </c>
      <c r="AR7" s="156">
        <v>0</v>
      </c>
      <c r="AS7" s="156">
        <v>0</v>
      </c>
      <c r="AT7" s="156">
        <v>0</v>
      </c>
      <c r="AU7" s="156">
        <v>0</v>
      </c>
      <c r="AV7" s="156">
        <v>0</v>
      </c>
      <c r="AW7" s="156">
        <v>0</v>
      </c>
      <c r="AX7" s="157">
        <v>0</v>
      </c>
    </row>
    <row r="8" spans="1:50" x14ac:dyDescent="0.2">
      <c r="A8" s="206"/>
      <c r="B8" s="196"/>
      <c r="C8" s="194"/>
      <c r="D8" s="138" t="s">
        <v>202</v>
      </c>
      <c r="E8" s="155">
        <v>0</v>
      </c>
      <c r="F8" s="156">
        <v>0</v>
      </c>
      <c r="G8" s="156">
        <v>0</v>
      </c>
      <c r="H8" s="156">
        <v>0</v>
      </c>
      <c r="I8" s="156">
        <v>0</v>
      </c>
      <c r="J8" s="156">
        <v>0</v>
      </c>
      <c r="K8" s="156">
        <v>0</v>
      </c>
      <c r="L8" s="156">
        <v>0</v>
      </c>
      <c r="M8" s="156">
        <v>0</v>
      </c>
      <c r="N8" s="156">
        <v>0</v>
      </c>
      <c r="O8" s="156">
        <v>0</v>
      </c>
      <c r="P8" s="157">
        <v>1</v>
      </c>
      <c r="R8" s="206"/>
      <c r="S8" s="196"/>
      <c r="T8" s="194"/>
      <c r="U8" s="138" t="s">
        <v>202</v>
      </c>
      <c r="V8" s="155">
        <v>0</v>
      </c>
      <c r="W8" s="156">
        <v>0</v>
      </c>
      <c r="X8" s="156">
        <v>0</v>
      </c>
      <c r="Y8" s="156">
        <v>0</v>
      </c>
      <c r="Z8" s="156">
        <v>0</v>
      </c>
      <c r="AA8" s="156">
        <v>0</v>
      </c>
      <c r="AB8" s="156">
        <v>0</v>
      </c>
      <c r="AC8" s="156">
        <v>0</v>
      </c>
      <c r="AD8" s="156">
        <v>0</v>
      </c>
      <c r="AE8" s="156">
        <v>0</v>
      </c>
      <c r="AF8" s="156">
        <v>0</v>
      </c>
      <c r="AG8" s="157">
        <v>0</v>
      </c>
      <c r="AI8" s="206"/>
      <c r="AJ8" s="196"/>
      <c r="AK8" s="194"/>
      <c r="AL8" s="138" t="s">
        <v>202</v>
      </c>
      <c r="AM8" s="155">
        <v>0</v>
      </c>
      <c r="AN8" s="156">
        <v>0</v>
      </c>
      <c r="AO8" s="156">
        <v>0</v>
      </c>
      <c r="AP8" s="156">
        <v>0</v>
      </c>
      <c r="AQ8" s="156">
        <v>0</v>
      </c>
      <c r="AR8" s="156">
        <v>0</v>
      </c>
      <c r="AS8" s="156">
        <v>0</v>
      </c>
      <c r="AT8" s="156">
        <v>0</v>
      </c>
      <c r="AU8" s="156">
        <v>0</v>
      </c>
      <c r="AV8" s="156">
        <v>0</v>
      </c>
      <c r="AW8" s="156">
        <v>0</v>
      </c>
      <c r="AX8" s="157">
        <v>0</v>
      </c>
    </row>
    <row r="9" spans="1:50" x14ac:dyDescent="0.2">
      <c r="A9" s="206"/>
      <c r="B9" s="196"/>
      <c r="C9" s="194" t="s">
        <v>57</v>
      </c>
      <c r="D9" s="138" t="s">
        <v>198</v>
      </c>
      <c r="E9" s="155">
        <v>0</v>
      </c>
      <c r="F9" s="156">
        <v>0</v>
      </c>
      <c r="G9" s="156">
        <v>0</v>
      </c>
      <c r="H9" s="156">
        <v>0</v>
      </c>
      <c r="I9" s="156">
        <v>0</v>
      </c>
      <c r="J9" s="156">
        <v>1</v>
      </c>
      <c r="K9" s="156">
        <v>0</v>
      </c>
      <c r="L9" s="156">
        <v>0</v>
      </c>
      <c r="M9" s="156">
        <v>1</v>
      </c>
      <c r="N9" s="156">
        <v>1</v>
      </c>
      <c r="O9" s="156">
        <v>1</v>
      </c>
      <c r="P9" s="157">
        <v>1</v>
      </c>
      <c r="R9" s="206"/>
      <c r="S9" s="196"/>
      <c r="T9" s="194" t="s">
        <v>57</v>
      </c>
      <c r="U9" s="138" t="s">
        <v>198</v>
      </c>
      <c r="V9" s="155">
        <v>0</v>
      </c>
      <c r="W9" s="156">
        <v>0</v>
      </c>
      <c r="X9" s="156">
        <v>0</v>
      </c>
      <c r="Y9" s="156">
        <v>0</v>
      </c>
      <c r="Z9" s="156">
        <v>0</v>
      </c>
      <c r="AA9" s="156">
        <v>0</v>
      </c>
      <c r="AB9" s="156">
        <v>0</v>
      </c>
      <c r="AC9" s="156">
        <v>0</v>
      </c>
      <c r="AD9" s="156">
        <v>0</v>
      </c>
      <c r="AE9" s="156">
        <v>0</v>
      </c>
      <c r="AF9" s="156">
        <v>0</v>
      </c>
      <c r="AG9" s="157">
        <v>0</v>
      </c>
      <c r="AI9" s="206"/>
      <c r="AJ9" s="196"/>
      <c r="AK9" s="194" t="s">
        <v>57</v>
      </c>
      <c r="AL9" s="138" t="s">
        <v>198</v>
      </c>
      <c r="AM9" s="155">
        <v>0</v>
      </c>
      <c r="AN9" s="156">
        <v>0</v>
      </c>
      <c r="AO9" s="156">
        <v>0</v>
      </c>
      <c r="AP9" s="156">
        <v>0</v>
      </c>
      <c r="AQ9" s="156">
        <v>0</v>
      </c>
      <c r="AR9" s="156">
        <v>0</v>
      </c>
      <c r="AS9" s="156">
        <v>0</v>
      </c>
      <c r="AT9" s="156">
        <v>0</v>
      </c>
      <c r="AU9" s="156">
        <v>0</v>
      </c>
      <c r="AV9" s="156">
        <v>0</v>
      </c>
      <c r="AW9" s="156">
        <v>0</v>
      </c>
      <c r="AX9" s="157">
        <v>0</v>
      </c>
    </row>
    <row r="10" spans="1:50" x14ac:dyDescent="0.2">
      <c r="A10" s="206"/>
      <c r="B10" s="196"/>
      <c r="C10" s="194"/>
      <c r="D10" s="138" t="s">
        <v>202</v>
      </c>
      <c r="E10" s="155">
        <v>0</v>
      </c>
      <c r="F10" s="156">
        <v>0</v>
      </c>
      <c r="G10" s="156">
        <v>0</v>
      </c>
      <c r="H10" s="156">
        <v>0</v>
      </c>
      <c r="I10" s="156">
        <v>0</v>
      </c>
      <c r="J10" s="156">
        <v>1</v>
      </c>
      <c r="K10" s="156">
        <v>1</v>
      </c>
      <c r="L10" s="156">
        <v>0</v>
      </c>
      <c r="M10" s="156">
        <v>1</v>
      </c>
      <c r="N10" s="156">
        <v>1</v>
      </c>
      <c r="O10" s="156">
        <v>1</v>
      </c>
      <c r="P10" s="157">
        <v>1</v>
      </c>
      <c r="R10" s="206"/>
      <c r="S10" s="196"/>
      <c r="T10" s="194"/>
      <c r="U10" s="138" t="s">
        <v>202</v>
      </c>
      <c r="V10" s="155">
        <v>0</v>
      </c>
      <c r="W10" s="156">
        <v>0</v>
      </c>
      <c r="X10" s="156">
        <v>0</v>
      </c>
      <c r="Y10" s="156">
        <v>0</v>
      </c>
      <c r="Z10" s="156">
        <v>0</v>
      </c>
      <c r="AA10" s="156">
        <v>0</v>
      </c>
      <c r="AB10" s="156">
        <v>0</v>
      </c>
      <c r="AC10" s="156">
        <v>0</v>
      </c>
      <c r="AD10" s="156">
        <v>0</v>
      </c>
      <c r="AE10" s="156">
        <v>0</v>
      </c>
      <c r="AF10" s="156">
        <v>0</v>
      </c>
      <c r="AG10" s="157">
        <v>0</v>
      </c>
      <c r="AI10" s="206"/>
      <c r="AJ10" s="196"/>
      <c r="AK10" s="194"/>
      <c r="AL10" s="138" t="s">
        <v>202</v>
      </c>
      <c r="AM10" s="155">
        <v>0</v>
      </c>
      <c r="AN10" s="156">
        <v>0</v>
      </c>
      <c r="AO10" s="156">
        <v>0</v>
      </c>
      <c r="AP10" s="156">
        <v>0</v>
      </c>
      <c r="AQ10" s="156">
        <v>0</v>
      </c>
      <c r="AR10" s="156">
        <v>0</v>
      </c>
      <c r="AS10" s="156">
        <v>0</v>
      </c>
      <c r="AT10" s="156">
        <v>0</v>
      </c>
      <c r="AU10" s="156">
        <v>0</v>
      </c>
      <c r="AV10" s="156">
        <v>0</v>
      </c>
      <c r="AW10" s="156">
        <v>0</v>
      </c>
      <c r="AX10" s="157">
        <v>0</v>
      </c>
    </row>
    <row r="11" spans="1:50" x14ac:dyDescent="0.2">
      <c r="A11" s="206"/>
      <c r="B11" s="196">
        <v>1000</v>
      </c>
      <c r="C11" s="194" t="s">
        <v>56</v>
      </c>
      <c r="D11" s="138" t="s">
        <v>198</v>
      </c>
      <c r="E11" s="155">
        <v>0</v>
      </c>
      <c r="F11" s="156">
        <v>0</v>
      </c>
      <c r="G11" s="156">
        <v>0</v>
      </c>
      <c r="H11" s="156">
        <v>0</v>
      </c>
      <c r="I11" s="156">
        <v>0</v>
      </c>
      <c r="J11" s="156">
        <v>1</v>
      </c>
      <c r="K11" s="156">
        <v>1</v>
      </c>
      <c r="L11" s="156">
        <v>1</v>
      </c>
      <c r="M11" s="156">
        <v>1</v>
      </c>
      <c r="N11" s="156">
        <v>1</v>
      </c>
      <c r="O11" s="156">
        <v>1</v>
      </c>
      <c r="P11" s="157">
        <v>1</v>
      </c>
      <c r="R11" s="206"/>
      <c r="S11" s="196">
        <v>1000</v>
      </c>
      <c r="T11" s="194" t="s">
        <v>56</v>
      </c>
      <c r="U11" s="138" t="s">
        <v>198</v>
      </c>
      <c r="V11" s="155">
        <v>0</v>
      </c>
      <c r="W11" s="156">
        <v>0</v>
      </c>
      <c r="X11" s="156">
        <v>0</v>
      </c>
      <c r="Y11" s="156">
        <v>0</v>
      </c>
      <c r="Z11" s="156">
        <v>0</v>
      </c>
      <c r="AA11" s="156">
        <v>0</v>
      </c>
      <c r="AB11" s="156">
        <v>0</v>
      </c>
      <c r="AC11" s="156">
        <v>0</v>
      </c>
      <c r="AD11" s="156">
        <v>1</v>
      </c>
      <c r="AE11" s="156">
        <v>1</v>
      </c>
      <c r="AF11" s="156">
        <v>1</v>
      </c>
      <c r="AG11" s="157">
        <v>1</v>
      </c>
      <c r="AI11" s="206"/>
      <c r="AJ11" s="196">
        <v>1000</v>
      </c>
      <c r="AK11" s="194" t="s">
        <v>56</v>
      </c>
      <c r="AL11" s="138" t="s">
        <v>198</v>
      </c>
      <c r="AM11" s="155">
        <v>0</v>
      </c>
      <c r="AN11" s="156">
        <v>0</v>
      </c>
      <c r="AO11" s="156">
        <v>0</v>
      </c>
      <c r="AP11" s="156">
        <v>0</v>
      </c>
      <c r="AQ11" s="156">
        <v>0</v>
      </c>
      <c r="AR11" s="156">
        <v>0</v>
      </c>
      <c r="AS11" s="156">
        <v>0</v>
      </c>
      <c r="AT11" s="156">
        <v>0</v>
      </c>
      <c r="AU11" s="156">
        <v>0</v>
      </c>
      <c r="AV11" s="156">
        <v>0</v>
      </c>
      <c r="AW11" s="156">
        <v>0</v>
      </c>
      <c r="AX11" s="157">
        <v>0</v>
      </c>
    </row>
    <row r="12" spans="1:50" x14ac:dyDescent="0.2">
      <c r="A12" s="206"/>
      <c r="B12" s="196"/>
      <c r="C12" s="194"/>
      <c r="D12" s="138" t="s">
        <v>202</v>
      </c>
      <c r="E12" s="155">
        <v>0</v>
      </c>
      <c r="F12" s="156">
        <v>0</v>
      </c>
      <c r="G12" s="156">
        <v>0</v>
      </c>
      <c r="H12" s="156">
        <v>0</v>
      </c>
      <c r="I12" s="156">
        <v>0</v>
      </c>
      <c r="J12" s="156">
        <v>0</v>
      </c>
      <c r="K12" s="156">
        <v>1</v>
      </c>
      <c r="L12" s="156">
        <v>1</v>
      </c>
      <c r="M12" s="156">
        <v>1</v>
      </c>
      <c r="N12" s="156">
        <v>1</v>
      </c>
      <c r="O12" s="156">
        <v>1</v>
      </c>
      <c r="P12" s="157">
        <v>1</v>
      </c>
      <c r="R12" s="206"/>
      <c r="S12" s="196"/>
      <c r="T12" s="194"/>
      <c r="U12" s="138" t="s">
        <v>202</v>
      </c>
      <c r="V12" s="155">
        <v>0</v>
      </c>
      <c r="W12" s="156">
        <v>0</v>
      </c>
      <c r="X12" s="156">
        <v>0</v>
      </c>
      <c r="Y12" s="156">
        <v>0</v>
      </c>
      <c r="Z12" s="156">
        <v>0</v>
      </c>
      <c r="AA12" s="156">
        <v>0</v>
      </c>
      <c r="AB12" s="156">
        <v>0</v>
      </c>
      <c r="AC12" s="156">
        <v>0</v>
      </c>
      <c r="AD12" s="156">
        <v>1</v>
      </c>
      <c r="AE12" s="156">
        <v>1</v>
      </c>
      <c r="AF12" s="156">
        <v>1</v>
      </c>
      <c r="AG12" s="157">
        <v>1</v>
      </c>
      <c r="AI12" s="206"/>
      <c r="AJ12" s="196"/>
      <c r="AK12" s="194"/>
      <c r="AL12" s="138" t="s">
        <v>202</v>
      </c>
      <c r="AM12" s="155">
        <v>0</v>
      </c>
      <c r="AN12" s="156">
        <v>0</v>
      </c>
      <c r="AO12" s="156">
        <v>0</v>
      </c>
      <c r="AP12" s="156">
        <v>0</v>
      </c>
      <c r="AQ12" s="161">
        <v>0</v>
      </c>
      <c r="AR12" s="156">
        <v>0</v>
      </c>
      <c r="AS12" s="156">
        <v>0</v>
      </c>
      <c r="AT12" s="156">
        <v>0</v>
      </c>
      <c r="AU12" s="156">
        <v>0</v>
      </c>
      <c r="AV12" s="156">
        <v>0</v>
      </c>
      <c r="AW12" s="156">
        <v>0</v>
      </c>
      <c r="AX12" s="157">
        <v>0</v>
      </c>
    </row>
    <row r="13" spans="1:50" x14ac:dyDescent="0.2">
      <c r="A13" s="206"/>
      <c r="B13" s="196"/>
      <c r="C13" s="194" t="s">
        <v>57</v>
      </c>
      <c r="D13" s="138" t="s">
        <v>198</v>
      </c>
      <c r="E13" s="155">
        <v>0</v>
      </c>
      <c r="F13" s="156">
        <v>0</v>
      </c>
      <c r="G13" s="156">
        <v>0</v>
      </c>
      <c r="H13" s="156">
        <v>0</v>
      </c>
      <c r="I13" s="156">
        <v>1</v>
      </c>
      <c r="J13" s="156">
        <v>1</v>
      </c>
      <c r="K13" s="156">
        <v>1</v>
      </c>
      <c r="L13" s="156">
        <v>1</v>
      </c>
      <c r="M13" s="156">
        <v>1</v>
      </c>
      <c r="N13" s="156">
        <v>0</v>
      </c>
      <c r="O13" s="156">
        <v>1</v>
      </c>
      <c r="P13" s="157">
        <v>1</v>
      </c>
      <c r="R13" s="206"/>
      <c r="S13" s="196"/>
      <c r="T13" s="194" t="s">
        <v>57</v>
      </c>
      <c r="U13" s="138" t="s">
        <v>198</v>
      </c>
      <c r="V13" s="155">
        <v>0</v>
      </c>
      <c r="W13" s="156">
        <v>0</v>
      </c>
      <c r="X13" s="156">
        <v>0</v>
      </c>
      <c r="Y13" s="156">
        <v>0</v>
      </c>
      <c r="Z13" s="156">
        <v>0</v>
      </c>
      <c r="AA13" s="156">
        <v>0</v>
      </c>
      <c r="AB13" s="156">
        <v>0</v>
      </c>
      <c r="AC13" s="156">
        <v>1</v>
      </c>
      <c r="AD13" s="156">
        <v>1</v>
      </c>
      <c r="AE13" s="156">
        <v>1</v>
      </c>
      <c r="AF13" s="156">
        <v>1</v>
      </c>
      <c r="AG13" s="157">
        <v>1</v>
      </c>
      <c r="AI13" s="206"/>
      <c r="AJ13" s="196"/>
      <c r="AK13" s="194" t="s">
        <v>57</v>
      </c>
      <c r="AL13" s="138" t="s">
        <v>198</v>
      </c>
      <c r="AM13" s="155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0</v>
      </c>
      <c r="AS13" s="156">
        <v>0</v>
      </c>
      <c r="AT13" s="156">
        <v>0</v>
      </c>
      <c r="AU13" s="156">
        <v>0</v>
      </c>
      <c r="AV13" s="156">
        <v>0</v>
      </c>
      <c r="AW13" s="156">
        <v>0</v>
      </c>
      <c r="AX13" s="157">
        <v>0</v>
      </c>
    </row>
    <row r="14" spans="1:50" x14ac:dyDescent="0.2">
      <c r="A14" s="206"/>
      <c r="B14" s="196"/>
      <c r="C14" s="194"/>
      <c r="D14" s="138" t="s">
        <v>202</v>
      </c>
      <c r="E14" s="155">
        <v>0</v>
      </c>
      <c r="F14" s="156">
        <v>0</v>
      </c>
      <c r="G14" s="156">
        <v>0</v>
      </c>
      <c r="H14" s="156">
        <v>0</v>
      </c>
      <c r="I14" s="156">
        <v>1</v>
      </c>
      <c r="J14" s="156">
        <v>0</v>
      </c>
      <c r="K14" s="156">
        <v>0</v>
      </c>
      <c r="L14" s="156">
        <v>1</v>
      </c>
      <c r="M14" s="156">
        <v>1</v>
      </c>
      <c r="N14" s="156">
        <v>0</v>
      </c>
      <c r="O14" s="156">
        <v>0</v>
      </c>
      <c r="P14" s="157">
        <v>1</v>
      </c>
      <c r="R14" s="206"/>
      <c r="S14" s="196"/>
      <c r="T14" s="194"/>
      <c r="U14" s="138" t="s">
        <v>202</v>
      </c>
      <c r="V14" s="155">
        <v>0</v>
      </c>
      <c r="W14" s="156">
        <v>0</v>
      </c>
      <c r="X14" s="156">
        <v>0</v>
      </c>
      <c r="Y14" s="156">
        <v>0</v>
      </c>
      <c r="Z14" s="156">
        <v>0</v>
      </c>
      <c r="AA14" s="156">
        <v>0</v>
      </c>
      <c r="AB14" s="156">
        <v>0</v>
      </c>
      <c r="AC14" s="156">
        <v>0</v>
      </c>
      <c r="AD14" s="156">
        <v>0</v>
      </c>
      <c r="AE14" s="156">
        <v>0</v>
      </c>
      <c r="AF14" s="156">
        <v>0</v>
      </c>
      <c r="AG14" s="157">
        <v>0</v>
      </c>
      <c r="AI14" s="206"/>
      <c r="AJ14" s="196"/>
      <c r="AK14" s="194"/>
      <c r="AL14" s="138" t="s">
        <v>202</v>
      </c>
      <c r="AM14" s="155">
        <v>0</v>
      </c>
      <c r="AN14" s="156">
        <v>0</v>
      </c>
      <c r="AO14" s="156">
        <v>0</v>
      </c>
      <c r="AP14" s="156">
        <v>0</v>
      </c>
      <c r="AQ14" s="156">
        <v>0</v>
      </c>
      <c r="AR14" s="156">
        <v>0</v>
      </c>
      <c r="AS14" s="156">
        <v>0</v>
      </c>
      <c r="AT14" s="156">
        <v>0</v>
      </c>
      <c r="AU14" s="156">
        <v>0</v>
      </c>
      <c r="AV14" s="156">
        <v>0</v>
      </c>
      <c r="AW14" s="156">
        <v>0</v>
      </c>
      <c r="AX14" s="157">
        <v>0</v>
      </c>
    </row>
    <row r="15" spans="1:50" x14ac:dyDescent="0.2">
      <c r="A15" s="206"/>
      <c r="B15" s="196">
        <v>1250</v>
      </c>
      <c r="C15" s="194" t="s">
        <v>56</v>
      </c>
      <c r="D15" s="138" t="s">
        <v>198</v>
      </c>
      <c r="E15" s="155">
        <v>0</v>
      </c>
      <c r="F15" s="156">
        <v>0</v>
      </c>
      <c r="G15" s="156">
        <v>0</v>
      </c>
      <c r="H15" s="156">
        <v>0</v>
      </c>
      <c r="I15" s="156">
        <v>1</v>
      </c>
      <c r="J15" s="156">
        <v>1</v>
      </c>
      <c r="K15" s="156">
        <v>1</v>
      </c>
      <c r="L15" s="156">
        <v>1</v>
      </c>
      <c r="M15" s="156">
        <v>1</v>
      </c>
      <c r="N15" s="156">
        <v>1</v>
      </c>
      <c r="O15" s="156">
        <v>1</v>
      </c>
      <c r="P15" s="157">
        <v>1</v>
      </c>
      <c r="R15" s="206"/>
      <c r="S15" s="196">
        <v>1250</v>
      </c>
      <c r="T15" s="194" t="s">
        <v>56</v>
      </c>
      <c r="U15" s="138" t="s">
        <v>198</v>
      </c>
      <c r="V15" s="155">
        <v>0</v>
      </c>
      <c r="W15" s="156">
        <v>0</v>
      </c>
      <c r="X15" s="156">
        <v>0</v>
      </c>
      <c r="Y15" s="156">
        <v>0</v>
      </c>
      <c r="Z15" s="156">
        <v>0</v>
      </c>
      <c r="AA15" s="156">
        <v>1</v>
      </c>
      <c r="AB15" s="156">
        <v>1</v>
      </c>
      <c r="AC15" s="156">
        <v>1</v>
      </c>
      <c r="AD15" s="156">
        <v>1</v>
      </c>
      <c r="AE15" s="156">
        <v>1</v>
      </c>
      <c r="AF15" s="156">
        <v>1</v>
      </c>
      <c r="AG15" s="157">
        <v>1</v>
      </c>
      <c r="AI15" s="206"/>
      <c r="AJ15" s="196">
        <v>1250</v>
      </c>
      <c r="AK15" s="194" t="s">
        <v>56</v>
      </c>
      <c r="AL15" s="138" t="s">
        <v>198</v>
      </c>
      <c r="AM15" s="155">
        <v>0</v>
      </c>
      <c r="AN15" s="156">
        <v>0</v>
      </c>
      <c r="AO15" s="156">
        <v>0</v>
      </c>
      <c r="AP15" s="156">
        <v>0</v>
      </c>
      <c r="AQ15" s="156">
        <v>0</v>
      </c>
      <c r="AR15" s="156">
        <v>0</v>
      </c>
      <c r="AS15" s="156">
        <v>0</v>
      </c>
      <c r="AT15" s="156">
        <v>0</v>
      </c>
      <c r="AU15" s="156">
        <v>0</v>
      </c>
      <c r="AV15" s="156">
        <v>0</v>
      </c>
      <c r="AW15" s="156">
        <v>0</v>
      </c>
      <c r="AX15" s="157">
        <v>0</v>
      </c>
    </row>
    <row r="16" spans="1:50" x14ac:dyDescent="0.2">
      <c r="A16" s="206"/>
      <c r="B16" s="196"/>
      <c r="C16" s="194"/>
      <c r="D16" s="138" t="s">
        <v>202</v>
      </c>
      <c r="E16" s="155">
        <v>0</v>
      </c>
      <c r="F16" s="156">
        <v>0</v>
      </c>
      <c r="G16" s="156">
        <v>0</v>
      </c>
      <c r="H16" s="156">
        <v>0</v>
      </c>
      <c r="I16" s="156">
        <v>1</v>
      </c>
      <c r="J16" s="156">
        <v>1</v>
      </c>
      <c r="K16" s="156">
        <v>1</v>
      </c>
      <c r="L16" s="156">
        <v>1</v>
      </c>
      <c r="M16" s="156">
        <v>1</v>
      </c>
      <c r="N16" s="156">
        <v>1</v>
      </c>
      <c r="O16" s="156">
        <v>1</v>
      </c>
      <c r="P16" s="157">
        <v>1</v>
      </c>
      <c r="R16" s="206"/>
      <c r="S16" s="196"/>
      <c r="T16" s="194"/>
      <c r="U16" s="138" t="s">
        <v>202</v>
      </c>
      <c r="V16" s="155">
        <v>0</v>
      </c>
      <c r="W16" s="156">
        <v>0</v>
      </c>
      <c r="X16" s="156">
        <v>0</v>
      </c>
      <c r="Y16" s="156">
        <v>0</v>
      </c>
      <c r="Z16" s="156">
        <v>0</v>
      </c>
      <c r="AA16" s="156">
        <v>0</v>
      </c>
      <c r="AB16" s="156">
        <v>1</v>
      </c>
      <c r="AC16" s="156">
        <v>1</v>
      </c>
      <c r="AD16" s="156">
        <v>0</v>
      </c>
      <c r="AE16" s="156">
        <v>1</v>
      </c>
      <c r="AF16" s="156">
        <v>1</v>
      </c>
      <c r="AG16" s="157">
        <v>1</v>
      </c>
      <c r="AI16" s="206"/>
      <c r="AJ16" s="196"/>
      <c r="AK16" s="194"/>
      <c r="AL16" s="138" t="s">
        <v>202</v>
      </c>
      <c r="AM16" s="155">
        <v>0</v>
      </c>
      <c r="AN16" s="156">
        <v>0</v>
      </c>
      <c r="AO16" s="156">
        <v>0</v>
      </c>
      <c r="AP16" s="156">
        <v>0</v>
      </c>
      <c r="AQ16" s="156">
        <v>0</v>
      </c>
      <c r="AR16" s="156">
        <v>0</v>
      </c>
      <c r="AS16" s="156">
        <v>0</v>
      </c>
      <c r="AT16" s="156">
        <v>0</v>
      </c>
      <c r="AU16" s="156">
        <v>0</v>
      </c>
      <c r="AV16" s="156">
        <v>0</v>
      </c>
      <c r="AW16" s="156">
        <v>0</v>
      </c>
      <c r="AX16" s="157">
        <v>0</v>
      </c>
    </row>
    <row r="17" spans="1:50" x14ac:dyDescent="0.2">
      <c r="A17" s="206"/>
      <c r="B17" s="196"/>
      <c r="C17" s="194" t="s">
        <v>57</v>
      </c>
      <c r="D17" s="138" t="s">
        <v>198</v>
      </c>
      <c r="E17" s="155">
        <v>0</v>
      </c>
      <c r="F17" s="156">
        <v>0</v>
      </c>
      <c r="G17" s="156">
        <v>1</v>
      </c>
      <c r="H17" s="156">
        <v>1</v>
      </c>
      <c r="I17" s="156">
        <v>1</v>
      </c>
      <c r="J17" s="156">
        <v>1</v>
      </c>
      <c r="K17" s="156">
        <v>1</v>
      </c>
      <c r="L17" s="156">
        <v>1</v>
      </c>
      <c r="M17" s="156">
        <v>1</v>
      </c>
      <c r="N17" s="156">
        <v>1</v>
      </c>
      <c r="O17" s="156">
        <v>1</v>
      </c>
      <c r="P17" s="157">
        <v>1</v>
      </c>
      <c r="R17" s="206"/>
      <c r="S17" s="196"/>
      <c r="T17" s="194" t="s">
        <v>57</v>
      </c>
      <c r="U17" s="138" t="s">
        <v>198</v>
      </c>
      <c r="V17" s="155">
        <v>0</v>
      </c>
      <c r="W17" s="156">
        <v>0</v>
      </c>
      <c r="X17" s="156">
        <v>0</v>
      </c>
      <c r="Y17" s="156">
        <v>0</v>
      </c>
      <c r="Z17" s="156">
        <v>0</v>
      </c>
      <c r="AA17" s="156">
        <v>0</v>
      </c>
      <c r="AB17" s="156">
        <v>1</v>
      </c>
      <c r="AC17" s="156">
        <v>1</v>
      </c>
      <c r="AD17" s="156">
        <v>1</v>
      </c>
      <c r="AE17" s="156">
        <v>1</v>
      </c>
      <c r="AF17" s="156">
        <v>1</v>
      </c>
      <c r="AG17" s="157">
        <v>1</v>
      </c>
      <c r="AI17" s="206"/>
      <c r="AJ17" s="196"/>
      <c r="AK17" s="194" t="s">
        <v>57</v>
      </c>
      <c r="AL17" s="138" t="s">
        <v>198</v>
      </c>
      <c r="AM17" s="155">
        <v>0</v>
      </c>
      <c r="AN17" s="156">
        <v>0</v>
      </c>
      <c r="AO17" s="156">
        <v>0</v>
      </c>
      <c r="AP17" s="156">
        <v>0</v>
      </c>
      <c r="AQ17" s="156">
        <v>0</v>
      </c>
      <c r="AR17" s="156">
        <v>0</v>
      </c>
      <c r="AS17" s="156">
        <v>0</v>
      </c>
      <c r="AT17" s="156">
        <v>0</v>
      </c>
      <c r="AU17" s="156">
        <v>0</v>
      </c>
      <c r="AV17" s="156">
        <v>0</v>
      </c>
      <c r="AW17" s="156">
        <v>0</v>
      </c>
      <c r="AX17" s="157">
        <v>0</v>
      </c>
    </row>
    <row r="18" spans="1:50" ht="13.5" thickBot="1" x14ac:dyDescent="0.25">
      <c r="A18" s="189"/>
      <c r="B18" s="191"/>
      <c r="C18" s="194"/>
      <c r="D18" s="147" t="s">
        <v>202</v>
      </c>
      <c r="E18" s="158">
        <v>0</v>
      </c>
      <c r="F18" s="159">
        <v>0</v>
      </c>
      <c r="G18" s="159">
        <v>1</v>
      </c>
      <c r="H18" s="159">
        <v>0</v>
      </c>
      <c r="I18" s="159">
        <v>0</v>
      </c>
      <c r="J18" s="159">
        <v>1</v>
      </c>
      <c r="K18" s="159">
        <v>1</v>
      </c>
      <c r="L18" s="159">
        <v>1</v>
      </c>
      <c r="M18" s="159">
        <v>1</v>
      </c>
      <c r="N18" s="159">
        <v>1</v>
      </c>
      <c r="O18" s="159">
        <v>1</v>
      </c>
      <c r="P18" s="160">
        <v>1</v>
      </c>
      <c r="R18" s="189"/>
      <c r="S18" s="191"/>
      <c r="T18" s="192"/>
      <c r="U18" s="147" t="s">
        <v>202</v>
      </c>
      <c r="V18" s="158">
        <v>0</v>
      </c>
      <c r="W18" s="159">
        <v>0</v>
      </c>
      <c r="X18" s="159">
        <v>0</v>
      </c>
      <c r="Y18" s="159">
        <v>0</v>
      </c>
      <c r="Z18" s="159">
        <v>0</v>
      </c>
      <c r="AA18" s="159">
        <v>0</v>
      </c>
      <c r="AB18" s="159">
        <v>0</v>
      </c>
      <c r="AC18" s="159">
        <v>0</v>
      </c>
      <c r="AD18" s="159">
        <v>1</v>
      </c>
      <c r="AE18" s="159">
        <v>1</v>
      </c>
      <c r="AF18" s="159">
        <v>1</v>
      </c>
      <c r="AG18" s="160">
        <v>1</v>
      </c>
      <c r="AI18" s="189"/>
      <c r="AJ18" s="191"/>
      <c r="AK18" s="192"/>
      <c r="AL18" s="147" t="s">
        <v>202</v>
      </c>
      <c r="AM18" s="158">
        <v>0</v>
      </c>
      <c r="AN18" s="159">
        <v>0</v>
      </c>
      <c r="AO18" s="159">
        <v>0</v>
      </c>
      <c r="AP18" s="159">
        <v>0</v>
      </c>
      <c r="AQ18" s="159">
        <v>0</v>
      </c>
      <c r="AR18" s="159">
        <v>0</v>
      </c>
      <c r="AS18" s="159">
        <v>0</v>
      </c>
      <c r="AT18" s="159">
        <v>0</v>
      </c>
      <c r="AU18" s="159">
        <v>0</v>
      </c>
      <c r="AV18" s="159">
        <v>0</v>
      </c>
      <c r="AW18" s="159">
        <v>0</v>
      </c>
      <c r="AX18" s="160">
        <v>0</v>
      </c>
    </row>
    <row r="19" spans="1:50" x14ac:dyDescent="0.2">
      <c r="A19" s="188" t="s">
        <v>172</v>
      </c>
      <c r="B19" s="195">
        <v>600</v>
      </c>
      <c r="C19" s="190" t="s">
        <v>56</v>
      </c>
      <c r="D19" s="146" t="s">
        <v>198</v>
      </c>
      <c r="E19" s="152">
        <v>0</v>
      </c>
      <c r="F19" s="153">
        <v>0</v>
      </c>
      <c r="G19" s="153">
        <v>0</v>
      </c>
      <c r="H19" s="153">
        <v>0</v>
      </c>
      <c r="I19" s="153">
        <v>0</v>
      </c>
      <c r="J19" s="153">
        <v>0</v>
      </c>
      <c r="K19" s="153">
        <v>0</v>
      </c>
      <c r="L19" s="153">
        <v>0</v>
      </c>
      <c r="M19" s="153">
        <v>0</v>
      </c>
      <c r="N19" s="153">
        <v>0</v>
      </c>
      <c r="O19" s="153">
        <v>0</v>
      </c>
      <c r="P19" s="154">
        <v>0</v>
      </c>
      <c r="R19" s="203" t="s">
        <v>88</v>
      </c>
      <c r="S19" s="201">
        <v>600</v>
      </c>
      <c r="T19" s="202" t="s">
        <v>56</v>
      </c>
      <c r="U19" s="143" t="s">
        <v>198</v>
      </c>
      <c r="V19" s="155">
        <v>0</v>
      </c>
      <c r="W19" s="156">
        <v>0</v>
      </c>
      <c r="X19" s="156">
        <v>0</v>
      </c>
      <c r="Y19" s="156">
        <v>0</v>
      </c>
      <c r="Z19" s="156">
        <v>0</v>
      </c>
      <c r="AA19" s="156">
        <v>0</v>
      </c>
      <c r="AB19" s="156">
        <v>0</v>
      </c>
      <c r="AC19" s="156">
        <v>0</v>
      </c>
      <c r="AD19" s="156">
        <v>0</v>
      </c>
      <c r="AE19" s="156">
        <v>0</v>
      </c>
      <c r="AF19" s="156">
        <v>0</v>
      </c>
      <c r="AG19" s="157">
        <v>0</v>
      </c>
      <c r="AI19" s="188" t="s">
        <v>87</v>
      </c>
      <c r="AJ19" s="195">
        <v>600</v>
      </c>
      <c r="AK19" s="190" t="s">
        <v>56</v>
      </c>
      <c r="AL19" s="146" t="s">
        <v>198</v>
      </c>
      <c r="AM19" s="152">
        <v>0</v>
      </c>
      <c r="AN19" s="153">
        <v>0</v>
      </c>
      <c r="AO19" s="153">
        <v>0</v>
      </c>
      <c r="AP19" s="153">
        <v>0</v>
      </c>
      <c r="AQ19" s="153">
        <v>0</v>
      </c>
      <c r="AR19" s="153">
        <v>0</v>
      </c>
      <c r="AS19" s="153">
        <v>0</v>
      </c>
      <c r="AT19" s="153">
        <v>0</v>
      </c>
      <c r="AU19" s="153">
        <v>0</v>
      </c>
      <c r="AV19" s="153">
        <v>0</v>
      </c>
      <c r="AW19" s="153">
        <v>0</v>
      </c>
      <c r="AX19" s="154">
        <v>0</v>
      </c>
    </row>
    <row r="20" spans="1:50" x14ac:dyDescent="0.2">
      <c r="A20" s="204"/>
      <c r="B20" s="196"/>
      <c r="C20" s="194"/>
      <c r="D20" s="138" t="s">
        <v>202</v>
      </c>
      <c r="E20" s="155">
        <v>0</v>
      </c>
      <c r="F20" s="156">
        <v>0</v>
      </c>
      <c r="G20" s="156">
        <v>0</v>
      </c>
      <c r="H20" s="156">
        <v>0</v>
      </c>
      <c r="I20" s="156">
        <v>0</v>
      </c>
      <c r="J20" s="156">
        <v>0</v>
      </c>
      <c r="K20" s="156">
        <v>0</v>
      </c>
      <c r="L20" s="156">
        <v>0</v>
      </c>
      <c r="M20" s="156">
        <v>0</v>
      </c>
      <c r="N20" s="156">
        <v>0</v>
      </c>
      <c r="O20" s="156">
        <v>0</v>
      </c>
      <c r="P20" s="157">
        <v>0</v>
      </c>
      <c r="R20" s="204"/>
      <c r="S20" s="196"/>
      <c r="T20" s="194"/>
      <c r="U20" s="138" t="s">
        <v>202</v>
      </c>
      <c r="V20" s="155">
        <v>0</v>
      </c>
      <c r="W20" s="156">
        <v>0</v>
      </c>
      <c r="X20" s="156">
        <v>0</v>
      </c>
      <c r="Y20" s="156">
        <v>0</v>
      </c>
      <c r="Z20" s="156">
        <v>0</v>
      </c>
      <c r="AA20" s="156">
        <v>0</v>
      </c>
      <c r="AB20" s="156">
        <v>0</v>
      </c>
      <c r="AC20" s="156">
        <v>0</v>
      </c>
      <c r="AD20" s="156">
        <v>0</v>
      </c>
      <c r="AE20" s="156">
        <v>0</v>
      </c>
      <c r="AF20" s="156">
        <v>0</v>
      </c>
      <c r="AG20" s="157">
        <v>0</v>
      </c>
      <c r="AI20" s="204"/>
      <c r="AJ20" s="196"/>
      <c r="AK20" s="194"/>
      <c r="AL20" s="138" t="s">
        <v>202</v>
      </c>
      <c r="AM20" s="155">
        <v>0</v>
      </c>
      <c r="AN20" s="156">
        <v>0</v>
      </c>
      <c r="AO20" s="156">
        <v>0</v>
      </c>
      <c r="AP20" s="156">
        <v>0</v>
      </c>
      <c r="AQ20" s="156">
        <v>0</v>
      </c>
      <c r="AR20" s="156">
        <v>0</v>
      </c>
      <c r="AS20" s="156">
        <v>0</v>
      </c>
      <c r="AT20" s="156">
        <v>0</v>
      </c>
      <c r="AU20" s="156">
        <v>0</v>
      </c>
      <c r="AV20" s="156">
        <v>0</v>
      </c>
      <c r="AW20" s="156">
        <v>0</v>
      </c>
      <c r="AX20" s="157">
        <v>0</v>
      </c>
    </row>
    <row r="21" spans="1:50" x14ac:dyDescent="0.2">
      <c r="A21" s="204"/>
      <c r="B21" s="196"/>
      <c r="C21" s="194" t="s">
        <v>57</v>
      </c>
      <c r="D21" s="138" t="s">
        <v>198</v>
      </c>
      <c r="E21" s="155">
        <v>0</v>
      </c>
      <c r="F21" s="156">
        <v>0</v>
      </c>
      <c r="G21" s="156">
        <v>0</v>
      </c>
      <c r="H21" s="156">
        <v>1</v>
      </c>
      <c r="I21" s="156">
        <v>0</v>
      </c>
      <c r="J21" s="156">
        <v>0</v>
      </c>
      <c r="K21" s="156">
        <v>1</v>
      </c>
      <c r="L21" s="156">
        <v>0</v>
      </c>
      <c r="M21" s="156">
        <v>1</v>
      </c>
      <c r="N21" s="156">
        <v>1</v>
      </c>
      <c r="O21" s="156">
        <v>1</v>
      </c>
      <c r="P21" s="157">
        <v>1</v>
      </c>
      <c r="R21" s="204"/>
      <c r="S21" s="196"/>
      <c r="T21" s="194" t="s">
        <v>57</v>
      </c>
      <c r="U21" s="138" t="s">
        <v>198</v>
      </c>
      <c r="V21" s="155">
        <v>0</v>
      </c>
      <c r="W21" s="156">
        <v>0</v>
      </c>
      <c r="X21" s="156">
        <v>0</v>
      </c>
      <c r="Y21" s="156">
        <v>0</v>
      </c>
      <c r="Z21" s="156">
        <v>0</v>
      </c>
      <c r="AA21" s="156">
        <v>0</v>
      </c>
      <c r="AB21" s="156">
        <v>0</v>
      </c>
      <c r="AC21" s="156">
        <v>0</v>
      </c>
      <c r="AD21" s="156">
        <v>0</v>
      </c>
      <c r="AE21" s="156">
        <v>0</v>
      </c>
      <c r="AF21" s="156">
        <v>0</v>
      </c>
      <c r="AG21" s="157">
        <v>0</v>
      </c>
      <c r="AI21" s="204"/>
      <c r="AJ21" s="196"/>
      <c r="AK21" s="194" t="s">
        <v>57</v>
      </c>
      <c r="AL21" s="138" t="s">
        <v>198</v>
      </c>
      <c r="AM21" s="155">
        <v>0</v>
      </c>
      <c r="AN21" s="156">
        <v>0</v>
      </c>
      <c r="AO21" s="156">
        <v>0</v>
      </c>
      <c r="AP21" s="156">
        <v>0</v>
      </c>
      <c r="AQ21" s="156">
        <v>0</v>
      </c>
      <c r="AR21" s="156">
        <v>0</v>
      </c>
      <c r="AS21" s="156">
        <v>0</v>
      </c>
      <c r="AT21" s="156">
        <v>0</v>
      </c>
      <c r="AU21" s="156">
        <v>0</v>
      </c>
      <c r="AV21" s="156">
        <v>0</v>
      </c>
      <c r="AW21" s="156">
        <v>0</v>
      </c>
      <c r="AX21" s="157">
        <v>0</v>
      </c>
    </row>
    <row r="22" spans="1:50" x14ac:dyDescent="0.2">
      <c r="A22" s="204"/>
      <c r="B22" s="196"/>
      <c r="C22" s="194"/>
      <c r="D22" s="138" t="s">
        <v>202</v>
      </c>
      <c r="E22" s="155">
        <v>0</v>
      </c>
      <c r="F22" s="156">
        <v>0</v>
      </c>
      <c r="G22" s="156">
        <v>0</v>
      </c>
      <c r="H22" s="156">
        <v>0</v>
      </c>
      <c r="I22" s="156">
        <v>1</v>
      </c>
      <c r="J22" s="156">
        <v>0</v>
      </c>
      <c r="K22" s="156">
        <v>0</v>
      </c>
      <c r="L22" s="156">
        <v>0</v>
      </c>
      <c r="M22" s="156">
        <v>0</v>
      </c>
      <c r="N22" s="156">
        <v>1</v>
      </c>
      <c r="O22" s="156">
        <v>1</v>
      </c>
      <c r="P22" s="157">
        <v>1</v>
      </c>
      <c r="R22" s="204"/>
      <c r="S22" s="196"/>
      <c r="T22" s="194"/>
      <c r="U22" s="138" t="s">
        <v>202</v>
      </c>
      <c r="V22" s="155">
        <v>0</v>
      </c>
      <c r="W22" s="156">
        <v>0</v>
      </c>
      <c r="X22" s="156">
        <v>0</v>
      </c>
      <c r="Y22" s="156">
        <v>0</v>
      </c>
      <c r="Z22" s="156">
        <v>0</v>
      </c>
      <c r="AA22" s="156">
        <v>0</v>
      </c>
      <c r="AB22" s="156">
        <v>0</v>
      </c>
      <c r="AC22" s="156">
        <v>0</v>
      </c>
      <c r="AD22" s="156">
        <v>0</v>
      </c>
      <c r="AE22" s="156">
        <v>0</v>
      </c>
      <c r="AF22" s="156">
        <v>0</v>
      </c>
      <c r="AG22" s="157">
        <v>0</v>
      </c>
      <c r="AI22" s="204"/>
      <c r="AJ22" s="196"/>
      <c r="AK22" s="194"/>
      <c r="AL22" s="138" t="s">
        <v>202</v>
      </c>
      <c r="AM22" s="155">
        <v>0</v>
      </c>
      <c r="AN22" s="156">
        <v>0</v>
      </c>
      <c r="AO22" s="156">
        <v>0</v>
      </c>
      <c r="AP22" s="156">
        <v>0</v>
      </c>
      <c r="AQ22" s="156">
        <v>0</v>
      </c>
      <c r="AR22" s="156">
        <v>0</v>
      </c>
      <c r="AS22" s="156">
        <v>0</v>
      </c>
      <c r="AT22" s="156">
        <v>0</v>
      </c>
      <c r="AU22" s="156">
        <v>0</v>
      </c>
      <c r="AV22" s="156">
        <v>0</v>
      </c>
      <c r="AW22" s="156">
        <v>0</v>
      </c>
      <c r="AX22" s="157">
        <v>0</v>
      </c>
    </row>
    <row r="23" spans="1:50" x14ac:dyDescent="0.2">
      <c r="A23" s="204"/>
      <c r="B23" s="196">
        <v>800</v>
      </c>
      <c r="C23" s="194" t="s">
        <v>56</v>
      </c>
      <c r="D23" s="138" t="s">
        <v>198</v>
      </c>
      <c r="E23" s="155">
        <v>0</v>
      </c>
      <c r="F23" s="156">
        <v>0</v>
      </c>
      <c r="G23" s="156">
        <v>0</v>
      </c>
      <c r="H23" s="156">
        <v>0</v>
      </c>
      <c r="I23" s="156">
        <v>0</v>
      </c>
      <c r="J23" s="156">
        <v>0</v>
      </c>
      <c r="K23" s="156">
        <v>0</v>
      </c>
      <c r="L23" s="156">
        <v>0</v>
      </c>
      <c r="M23" s="156">
        <v>0</v>
      </c>
      <c r="N23" s="156">
        <v>0</v>
      </c>
      <c r="O23" s="156">
        <v>0</v>
      </c>
      <c r="P23" s="157">
        <v>0</v>
      </c>
      <c r="R23" s="204"/>
      <c r="S23" s="196">
        <v>800</v>
      </c>
      <c r="T23" s="194" t="s">
        <v>56</v>
      </c>
      <c r="U23" s="138" t="s">
        <v>198</v>
      </c>
      <c r="V23" s="155">
        <v>0</v>
      </c>
      <c r="W23" s="156">
        <v>0</v>
      </c>
      <c r="X23" s="156">
        <v>0</v>
      </c>
      <c r="Y23" s="156">
        <v>0</v>
      </c>
      <c r="Z23" s="156">
        <v>0</v>
      </c>
      <c r="AA23" s="156">
        <v>0</v>
      </c>
      <c r="AB23" s="156">
        <v>0</v>
      </c>
      <c r="AC23" s="156">
        <v>0</v>
      </c>
      <c r="AD23" s="156">
        <v>0</v>
      </c>
      <c r="AE23" s="156">
        <v>0</v>
      </c>
      <c r="AF23" s="156">
        <v>0</v>
      </c>
      <c r="AG23" s="157">
        <v>0</v>
      </c>
      <c r="AI23" s="204"/>
      <c r="AJ23" s="196">
        <v>800</v>
      </c>
      <c r="AK23" s="194" t="s">
        <v>56</v>
      </c>
      <c r="AL23" s="138" t="s">
        <v>198</v>
      </c>
      <c r="AM23" s="155">
        <v>0</v>
      </c>
      <c r="AN23" s="156">
        <v>0</v>
      </c>
      <c r="AO23" s="156">
        <v>0</v>
      </c>
      <c r="AP23" s="156">
        <v>0</v>
      </c>
      <c r="AQ23" s="156">
        <v>0</v>
      </c>
      <c r="AR23" s="156">
        <v>0</v>
      </c>
      <c r="AS23" s="156">
        <v>0</v>
      </c>
      <c r="AT23" s="156">
        <v>0</v>
      </c>
      <c r="AU23" s="156">
        <v>0</v>
      </c>
      <c r="AV23" s="156">
        <v>0</v>
      </c>
      <c r="AW23" s="156">
        <v>0</v>
      </c>
      <c r="AX23" s="157">
        <v>0</v>
      </c>
    </row>
    <row r="24" spans="1:50" x14ac:dyDescent="0.2">
      <c r="A24" s="204"/>
      <c r="B24" s="196"/>
      <c r="C24" s="194"/>
      <c r="D24" s="138" t="s">
        <v>202</v>
      </c>
      <c r="E24" s="155">
        <v>0</v>
      </c>
      <c r="F24" s="156">
        <v>0</v>
      </c>
      <c r="G24" s="156">
        <v>0</v>
      </c>
      <c r="H24" s="156">
        <v>0</v>
      </c>
      <c r="I24" s="156">
        <v>0</v>
      </c>
      <c r="J24" s="156">
        <v>0</v>
      </c>
      <c r="K24" s="156">
        <v>0</v>
      </c>
      <c r="L24" s="156">
        <v>0</v>
      </c>
      <c r="M24" s="156">
        <v>0</v>
      </c>
      <c r="N24" s="156">
        <v>0</v>
      </c>
      <c r="O24" s="156">
        <v>0</v>
      </c>
      <c r="P24" s="157">
        <v>0</v>
      </c>
      <c r="R24" s="204"/>
      <c r="S24" s="196"/>
      <c r="T24" s="194"/>
      <c r="U24" s="138" t="s">
        <v>202</v>
      </c>
      <c r="V24" s="155">
        <v>0</v>
      </c>
      <c r="W24" s="156">
        <v>0</v>
      </c>
      <c r="X24" s="156">
        <v>0</v>
      </c>
      <c r="Y24" s="156">
        <v>0</v>
      </c>
      <c r="Z24" s="156">
        <v>0</v>
      </c>
      <c r="AA24" s="156">
        <v>0</v>
      </c>
      <c r="AB24" s="156">
        <v>0</v>
      </c>
      <c r="AC24" s="156">
        <v>0</v>
      </c>
      <c r="AD24" s="156">
        <v>0</v>
      </c>
      <c r="AE24" s="156">
        <v>0</v>
      </c>
      <c r="AF24" s="156">
        <v>0</v>
      </c>
      <c r="AG24" s="157">
        <v>0</v>
      </c>
      <c r="AI24" s="204"/>
      <c r="AJ24" s="196"/>
      <c r="AK24" s="194"/>
      <c r="AL24" s="138" t="s">
        <v>202</v>
      </c>
      <c r="AM24" s="155">
        <v>0</v>
      </c>
      <c r="AN24" s="156">
        <v>0</v>
      </c>
      <c r="AO24" s="156">
        <v>0</v>
      </c>
      <c r="AP24" s="156">
        <v>0</v>
      </c>
      <c r="AQ24" s="156">
        <v>0</v>
      </c>
      <c r="AR24" s="156">
        <v>0</v>
      </c>
      <c r="AS24" s="156">
        <v>0</v>
      </c>
      <c r="AT24" s="156">
        <v>0</v>
      </c>
      <c r="AU24" s="156">
        <v>0</v>
      </c>
      <c r="AV24" s="156">
        <v>0</v>
      </c>
      <c r="AW24" s="156">
        <v>0</v>
      </c>
      <c r="AX24" s="157">
        <v>0</v>
      </c>
    </row>
    <row r="25" spans="1:50" x14ac:dyDescent="0.2">
      <c r="A25" s="204"/>
      <c r="B25" s="196"/>
      <c r="C25" s="194" t="s">
        <v>57</v>
      </c>
      <c r="D25" s="138" t="s">
        <v>198</v>
      </c>
      <c r="E25" s="155">
        <v>0</v>
      </c>
      <c r="F25" s="156">
        <v>1</v>
      </c>
      <c r="G25" s="156">
        <v>0</v>
      </c>
      <c r="H25" s="156">
        <v>0</v>
      </c>
      <c r="I25" s="156">
        <v>0</v>
      </c>
      <c r="J25" s="156">
        <v>0</v>
      </c>
      <c r="K25" s="156">
        <v>1</v>
      </c>
      <c r="L25" s="156">
        <v>0</v>
      </c>
      <c r="M25" s="156">
        <v>0</v>
      </c>
      <c r="N25" s="156">
        <v>1</v>
      </c>
      <c r="O25" s="156">
        <v>1</v>
      </c>
      <c r="P25" s="157">
        <v>1</v>
      </c>
      <c r="R25" s="204"/>
      <c r="S25" s="196"/>
      <c r="T25" s="194" t="s">
        <v>57</v>
      </c>
      <c r="U25" s="138" t="s">
        <v>198</v>
      </c>
      <c r="V25" s="155">
        <v>0</v>
      </c>
      <c r="W25" s="156">
        <v>0</v>
      </c>
      <c r="X25" s="156">
        <v>0</v>
      </c>
      <c r="Y25" s="156">
        <v>0</v>
      </c>
      <c r="Z25" s="156">
        <v>0</v>
      </c>
      <c r="AA25" s="156">
        <v>0</v>
      </c>
      <c r="AB25" s="156">
        <v>0</v>
      </c>
      <c r="AC25" s="156">
        <v>0</v>
      </c>
      <c r="AD25" s="156">
        <v>0</v>
      </c>
      <c r="AE25" s="156">
        <v>0</v>
      </c>
      <c r="AF25" s="156">
        <v>0</v>
      </c>
      <c r="AG25" s="157">
        <v>0</v>
      </c>
      <c r="AI25" s="204"/>
      <c r="AJ25" s="196"/>
      <c r="AK25" s="194" t="s">
        <v>57</v>
      </c>
      <c r="AL25" s="138" t="s">
        <v>198</v>
      </c>
      <c r="AM25" s="155">
        <v>0</v>
      </c>
      <c r="AN25" s="156">
        <v>0</v>
      </c>
      <c r="AO25" s="156">
        <v>0</v>
      </c>
      <c r="AP25" s="156">
        <v>0</v>
      </c>
      <c r="AQ25" s="156">
        <v>0</v>
      </c>
      <c r="AR25" s="156">
        <v>0</v>
      </c>
      <c r="AS25" s="156">
        <v>0</v>
      </c>
      <c r="AT25" s="156">
        <v>0</v>
      </c>
      <c r="AU25" s="156">
        <v>0</v>
      </c>
      <c r="AV25" s="156">
        <v>0</v>
      </c>
      <c r="AW25" s="156">
        <v>0</v>
      </c>
      <c r="AX25" s="157">
        <v>0</v>
      </c>
    </row>
    <row r="26" spans="1:50" x14ac:dyDescent="0.2">
      <c r="A26" s="204"/>
      <c r="B26" s="196"/>
      <c r="C26" s="194"/>
      <c r="D26" s="138" t="s">
        <v>202</v>
      </c>
      <c r="E26" s="155">
        <v>0</v>
      </c>
      <c r="F26" s="156">
        <v>0</v>
      </c>
      <c r="G26" s="156">
        <v>1</v>
      </c>
      <c r="H26" s="156">
        <v>0</v>
      </c>
      <c r="I26" s="156">
        <v>1</v>
      </c>
      <c r="J26" s="156">
        <v>0</v>
      </c>
      <c r="K26" s="156">
        <v>1</v>
      </c>
      <c r="L26" s="156">
        <v>0</v>
      </c>
      <c r="M26" s="156">
        <v>0</v>
      </c>
      <c r="N26" s="156">
        <v>1</v>
      </c>
      <c r="O26" s="156">
        <v>1</v>
      </c>
      <c r="P26" s="157">
        <v>0</v>
      </c>
      <c r="R26" s="204"/>
      <c r="S26" s="196"/>
      <c r="T26" s="194"/>
      <c r="U26" s="138" t="s">
        <v>202</v>
      </c>
      <c r="V26" s="155">
        <v>0</v>
      </c>
      <c r="W26" s="156">
        <v>0</v>
      </c>
      <c r="X26" s="156">
        <v>0</v>
      </c>
      <c r="Y26" s="156">
        <v>0</v>
      </c>
      <c r="Z26" s="156">
        <v>0</v>
      </c>
      <c r="AA26" s="156">
        <v>0</v>
      </c>
      <c r="AB26" s="156">
        <v>0</v>
      </c>
      <c r="AC26" s="156">
        <v>0</v>
      </c>
      <c r="AD26" s="156">
        <v>0</v>
      </c>
      <c r="AE26" s="156">
        <v>0</v>
      </c>
      <c r="AF26" s="156">
        <v>0</v>
      </c>
      <c r="AG26" s="157">
        <v>0</v>
      </c>
      <c r="AI26" s="204"/>
      <c r="AJ26" s="196"/>
      <c r="AK26" s="194"/>
      <c r="AL26" s="138" t="s">
        <v>202</v>
      </c>
      <c r="AM26" s="155">
        <v>0</v>
      </c>
      <c r="AN26" s="156">
        <v>0</v>
      </c>
      <c r="AO26" s="156">
        <v>0</v>
      </c>
      <c r="AP26" s="156">
        <v>0</v>
      </c>
      <c r="AQ26" s="156">
        <v>0</v>
      </c>
      <c r="AR26" s="156">
        <v>0</v>
      </c>
      <c r="AS26" s="156">
        <v>0</v>
      </c>
      <c r="AT26" s="156">
        <v>0</v>
      </c>
      <c r="AU26" s="156">
        <v>0</v>
      </c>
      <c r="AV26" s="156">
        <v>0</v>
      </c>
      <c r="AW26" s="156">
        <v>0</v>
      </c>
      <c r="AX26" s="157">
        <v>0</v>
      </c>
    </row>
    <row r="27" spans="1:50" x14ac:dyDescent="0.2">
      <c r="A27" s="204"/>
      <c r="B27" s="196">
        <v>1000</v>
      </c>
      <c r="C27" s="194" t="s">
        <v>56</v>
      </c>
      <c r="D27" s="138" t="s">
        <v>198</v>
      </c>
      <c r="E27" s="155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7">
        <v>0</v>
      </c>
      <c r="R27" s="204"/>
      <c r="S27" s="196">
        <v>1000</v>
      </c>
      <c r="T27" s="194" t="s">
        <v>56</v>
      </c>
      <c r="U27" s="138" t="s">
        <v>198</v>
      </c>
      <c r="V27" s="155">
        <v>0</v>
      </c>
      <c r="W27" s="156">
        <v>0</v>
      </c>
      <c r="X27" s="156">
        <v>0</v>
      </c>
      <c r="Y27" s="156">
        <v>0</v>
      </c>
      <c r="Z27" s="156">
        <v>0</v>
      </c>
      <c r="AA27" s="156">
        <v>0</v>
      </c>
      <c r="AB27" s="156">
        <v>0</v>
      </c>
      <c r="AC27" s="156">
        <v>0</v>
      </c>
      <c r="AD27" s="156">
        <v>0</v>
      </c>
      <c r="AE27" s="156">
        <v>0</v>
      </c>
      <c r="AF27" s="156">
        <v>0</v>
      </c>
      <c r="AG27" s="157">
        <v>0</v>
      </c>
      <c r="AI27" s="204"/>
      <c r="AJ27" s="196">
        <v>1000</v>
      </c>
      <c r="AK27" s="194" t="s">
        <v>56</v>
      </c>
      <c r="AL27" s="138" t="s">
        <v>198</v>
      </c>
      <c r="AM27" s="155">
        <v>0</v>
      </c>
      <c r="AN27" s="156">
        <v>0</v>
      </c>
      <c r="AO27" s="156">
        <v>0</v>
      </c>
      <c r="AP27" s="156">
        <v>0</v>
      </c>
      <c r="AQ27" s="156">
        <v>0</v>
      </c>
      <c r="AR27" s="156">
        <v>0</v>
      </c>
      <c r="AS27" s="156">
        <v>0</v>
      </c>
      <c r="AT27" s="156">
        <v>0</v>
      </c>
      <c r="AU27" s="156">
        <v>0</v>
      </c>
      <c r="AV27" s="156">
        <v>0</v>
      </c>
      <c r="AW27" s="156">
        <v>0</v>
      </c>
      <c r="AX27" s="157">
        <v>0</v>
      </c>
    </row>
    <row r="28" spans="1:50" x14ac:dyDescent="0.2">
      <c r="A28" s="204"/>
      <c r="B28" s="196"/>
      <c r="C28" s="194"/>
      <c r="D28" s="138" t="s">
        <v>202</v>
      </c>
      <c r="E28" s="155">
        <v>0</v>
      </c>
      <c r="F28" s="156">
        <v>0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7">
        <v>0</v>
      </c>
      <c r="R28" s="204"/>
      <c r="S28" s="196"/>
      <c r="T28" s="194"/>
      <c r="U28" s="138" t="s">
        <v>202</v>
      </c>
      <c r="V28" s="155">
        <v>0</v>
      </c>
      <c r="W28" s="156">
        <v>0</v>
      </c>
      <c r="X28" s="156">
        <v>0</v>
      </c>
      <c r="Y28" s="156">
        <v>0</v>
      </c>
      <c r="Z28" s="156">
        <v>0</v>
      </c>
      <c r="AA28" s="156">
        <v>0</v>
      </c>
      <c r="AB28" s="156">
        <v>0</v>
      </c>
      <c r="AC28" s="156">
        <v>0</v>
      </c>
      <c r="AD28" s="156">
        <v>0</v>
      </c>
      <c r="AE28" s="156">
        <v>0</v>
      </c>
      <c r="AF28" s="156">
        <v>0</v>
      </c>
      <c r="AG28" s="157">
        <v>0</v>
      </c>
      <c r="AI28" s="204"/>
      <c r="AJ28" s="196"/>
      <c r="AK28" s="194"/>
      <c r="AL28" s="138" t="s">
        <v>202</v>
      </c>
      <c r="AM28" s="155">
        <v>0</v>
      </c>
      <c r="AN28" s="156">
        <v>0</v>
      </c>
      <c r="AO28" s="156">
        <v>0</v>
      </c>
      <c r="AP28" s="156">
        <v>0</v>
      </c>
      <c r="AQ28" s="156">
        <v>0</v>
      </c>
      <c r="AR28" s="156">
        <v>0</v>
      </c>
      <c r="AS28" s="156">
        <v>0</v>
      </c>
      <c r="AT28" s="156">
        <v>0</v>
      </c>
      <c r="AU28" s="156">
        <v>0</v>
      </c>
      <c r="AV28" s="156">
        <v>0</v>
      </c>
      <c r="AW28" s="156">
        <v>0</v>
      </c>
      <c r="AX28" s="157">
        <v>0</v>
      </c>
    </row>
    <row r="29" spans="1:50" x14ac:dyDescent="0.2">
      <c r="A29" s="204"/>
      <c r="B29" s="196"/>
      <c r="C29" s="194" t="s">
        <v>57</v>
      </c>
      <c r="D29" s="138" t="s">
        <v>198</v>
      </c>
      <c r="E29" s="155">
        <v>0</v>
      </c>
      <c r="F29" s="156">
        <v>0</v>
      </c>
      <c r="G29" s="156">
        <v>0</v>
      </c>
      <c r="H29" s="156">
        <v>0</v>
      </c>
      <c r="I29" s="156">
        <v>1</v>
      </c>
      <c r="J29" s="156">
        <v>1</v>
      </c>
      <c r="K29" s="156">
        <v>1</v>
      </c>
      <c r="L29" s="156">
        <v>0</v>
      </c>
      <c r="M29" s="156">
        <v>1</v>
      </c>
      <c r="N29" s="156">
        <v>1</v>
      </c>
      <c r="O29" s="156">
        <v>1</v>
      </c>
      <c r="P29" s="157">
        <v>1</v>
      </c>
      <c r="R29" s="204"/>
      <c r="S29" s="196"/>
      <c r="T29" s="194" t="s">
        <v>57</v>
      </c>
      <c r="U29" s="138" t="s">
        <v>198</v>
      </c>
      <c r="V29" s="155">
        <v>0</v>
      </c>
      <c r="W29" s="156">
        <v>0</v>
      </c>
      <c r="X29" s="156">
        <v>0</v>
      </c>
      <c r="Y29" s="156">
        <v>0</v>
      </c>
      <c r="Z29" s="156">
        <v>0</v>
      </c>
      <c r="AA29" s="156">
        <v>0</v>
      </c>
      <c r="AB29" s="156">
        <v>0</v>
      </c>
      <c r="AC29" s="156">
        <v>0</v>
      </c>
      <c r="AD29" s="156">
        <v>0</v>
      </c>
      <c r="AE29" s="156">
        <v>0</v>
      </c>
      <c r="AF29" s="156">
        <v>0</v>
      </c>
      <c r="AG29" s="157">
        <v>0</v>
      </c>
      <c r="AI29" s="204"/>
      <c r="AJ29" s="196"/>
      <c r="AK29" s="194" t="s">
        <v>57</v>
      </c>
      <c r="AL29" s="138" t="s">
        <v>198</v>
      </c>
      <c r="AM29" s="155">
        <v>0</v>
      </c>
      <c r="AN29" s="156">
        <v>0</v>
      </c>
      <c r="AO29" s="156">
        <v>0</v>
      </c>
      <c r="AP29" s="156">
        <v>0</v>
      </c>
      <c r="AQ29" s="156">
        <v>0</v>
      </c>
      <c r="AR29" s="156">
        <v>0</v>
      </c>
      <c r="AS29" s="156">
        <v>0</v>
      </c>
      <c r="AT29" s="156">
        <v>0</v>
      </c>
      <c r="AU29" s="156">
        <v>0</v>
      </c>
      <c r="AV29" s="156">
        <v>0</v>
      </c>
      <c r="AW29" s="156">
        <v>0</v>
      </c>
      <c r="AX29" s="157">
        <v>0</v>
      </c>
    </row>
    <row r="30" spans="1:50" x14ac:dyDescent="0.2">
      <c r="A30" s="204"/>
      <c r="B30" s="196"/>
      <c r="C30" s="194"/>
      <c r="D30" s="138" t="s">
        <v>202</v>
      </c>
      <c r="E30" s="155">
        <v>0</v>
      </c>
      <c r="F30" s="156">
        <v>0</v>
      </c>
      <c r="G30" s="156">
        <v>0</v>
      </c>
      <c r="H30" s="156">
        <v>0</v>
      </c>
      <c r="I30" s="156">
        <v>1</v>
      </c>
      <c r="J30" s="156">
        <v>1</v>
      </c>
      <c r="K30" s="156">
        <v>0</v>
      </c>
      <c r="L30" s="156">
        <v>0</v>
      </c>
      <c r="M30" s="156">
        <v>1</v>
      </c>
      <c r="N30" s="156">
        <v>0</v>
      </c>
      <c r="O30" s="156">
        <v>1</v>
      </c>
      <c r="P30" s="157">
        <v>1</v>
      </c>
      <c r="R30" s="204"/>
      <c r="S30" s="196"/>
      <c r="T30" s="194"/>
      <c r="U30" s="138" t="s">
        <v>202</v>
      </c>
      <c r="V30" s="155">
        <v>0</v>
      </c>
      <c r="W30" s="156">
        <v>0</v>
      </c>
      <c r="X30" s="156">
        <v>0</v>
      </c>
      <c r="Y30" s="156">
        <v>0</v>
      </c>
      <c r="Z30" s="156">
        <v>0</v>
      </c>
      <c r="AA30" s="156">
        <v>0</v>
      </c>
      <c r="AB30" s="156">
        <v>0</v>
      </c>
      <c r="AC30" s="156">
        <v>0</v>
      </c>
      <c r="AD30" s="156">
        <v>0</v>
      </c>
      <c r="AE30" s="156">
        <v>0</v>
      </c>
      <c r="AF30" s="156">
        <v>0</v>
      </c>
      <c r="AG30" s="157">
        <v>0</v>
      </c>
      <c r="AI30" s="204"/>
      <c r="AJ30" s="196"/>
      <c r="AK30" s="194"/>
      <c r="AL30" s="138" t="s">
        <v>202</v>
      </c>
      <c r="AM30" s="155">
        <v>0</v>
      </c>
      <c r="AN30" s="156">
        <v>0</v>
      </c>
      <c r="AO30" s="156">
        <v>0</v>
      </c>
      <c r="AP30" s="156">
        <v>0</v>
      </c>
      <c r="AQ30" s="156">
        <v>0</v>
      </c>
      <c r="AR30" s="156">
        <v>0</v>
      </c>
      <c r="AS30" s="156">
        <v>0</v>
      </c>
      <c r="AT30" s="156">
        <v>0</v>
      </c>
      <c r="AU30" s="156">
        <v>0</v>
      </c>
      <c r="AV30" s="156">
        <v>0</v>
      </c>
      <c r="AW30" s="156">
        <v>0</v>
      </c>
      <c r="AX30" s="157">
        <v>0</v>
      </c>
    </row>
    <row r="31" spans="1:50" x14ac:dyDescent="0.2">
      <c r="A31" s="204"/>
      <c r="B31" s="196">
        <v>1250</v>
      </c>
      <c r="C31" s="194" t="s">
        <v>56</v>
      </c>
      <c r="D31" s="138" t="s">
        <v>198</v>
      </c>
      <c r="E31" s="155">
        <v>0</v>
      </c>
      <c r="F31" s="156">
        <v>0</v>
      </c>
      <c r="G31" s="156">
        <v>0</v>
      </c>
      <c r="H31" s="156">
        <v>0</v>
      </c>
      <c r="I31" s="156">
        <v>0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7">
        <v>1</v>
      </c>
      <c r="R31" s="204"/>
      <c r="S31" s="196">
        <v>1250</v>
      </c>
      <c r="T31" s="194" t="s">
        <v>56</v>
      </c>
      <c r="U31" s="138" t="s">
        <v>198</v>
      </c>
      <c r="V31" s="155">
        <v>0</v>
      </c>
      <c r="W31" s="156">
        <v>0</v>
      </c>
      <c r="X31" s="156">
        <v>0</v>
      </c>
      <c r="Y31" s="156">
        <v>0</v>
      </c>
      <c r="Z31" s="156">
        <v>0</v>
      </c>
      <c r="AA31" s="156">
        <v>0</v>
      </c>
      <c r="AB31" s="156">
        <v>0</v>
      </c>
      <c r="AC31" s="156">
        <v>0</v>
      </c>
      <c r="AD31" s="156">
        <v>0</v>
      </c>
      <c r="AE31" s="156">
        <v>0</v>
      </c>
      <c r="AF31" s="156">
        <v>0</v>
      </c>
      <c r="AG31" s="157">
        <v>0</v>
      </c>
      <c r="AI31" s="204"/>
      <c r="AJ31" s="196">
        <v>1250</v>
      </c>
      <c r="AK31" s="194" t="s">
        <v>56</v>
      </c>
      <c r="AL31" s="138" t="s">
        <v>198</v>
      </c>
      <c r="AM31" s="155">
        <v>0</v>
      </c>
      <c r="AN31" s="156">
        <v>0</v>
      </c>
      <c r="AO31" s="156">
        <v>0</v>
      </c>
      <c r="AP31" s="156">
        <v>0</v>
      </c>
      <c r="AQ31" s="156">
        <v>0</v>
      </c>
      <c r="AR31" s="156">
        <v>0</v>
      </c>
      <c r="AS31" s="156">
        <v>0</v>
      </c>
      <c r="AT31" s="156">
        <v>0</v>
      </c>
      <c r="AU31" s="156">
        <v>0</v>
      </c>
      <c r="AV31" s="156">
        <v>0</v>
      </c>
      <c r="AW31" s="156">
        <v>0</v>
      </c>
      <c r="AX31" s="157">
        <v>0</v>
      </c>
    </row>
    <row r="32" spans="1:50" x14ac:dyDescent="0.2">
      <c r="A32" s="204"/>
      <c r="B32" s="196"/>
      <c r="C32" s="194"/>
      <c r="D32" s="138" t="s">
        <v>202</v>
      </c>
      <c r="E32" s="155">
        <v>0</v>
      </c>
      <c r="F32" s="156">
        <v>0</v>
      </c>
      <c r="G32" s="156">
        <v>0</v>
      </c>
      <c r="H32" s="156">
        <v>0</v>
      </c>
      <c r="I32" s="156">
        <v>0</v>
      </c>
      <c r="J32" s="156">
        <v>0</v>
      </c>
      <c r="K32" s="156">
        <v>0</v>
      </c>
      <c r="L32" s="156">
        <v>0</v>
      </c>
      <c r="M32" s="156">
        <v>0</v>
      </c>
      <c r="N32" s="156">
        <v>0</v>
      </c>
      <c r="O32" s="156">
        <v>0</v>
      </c>
      <c r="P32" s="157">
        <v>0</v>
      </c>
      <c r="R32" s="204"/>
      <c r="S32" s="196"/>
      <c r="T32" s="194"/>
      <c r="U32" s="138" t="s">
        <v>202</v>
      </c>
      <c r="V32" s="155">
        <v>0</v>
      </c>
      <c r="W32" s="156">
        <v>0</v>
      </c>
      <c r="X32" s="156">
        <v>0</v>
      </c>
      <c r="Y32" s="156">
        <v>0</v>
      </c>
      <c r="Z32" s="156">
        <v>0</v>
      </c>
      <c r="AA32" s="156">
        <v>0</v>
      </c>
      <c r="AB32" s="156">
        <v>0</v>
      </c>
      <c r="AC32" s="156">
        <v>0</v>
      </c>
      <c r="AD32" s="156">
        <v>0</v>
      </c>
      <c r="AE32" s="156">
        <v>0</v>
      </c>
      <c r="AF32" s="156">
        <v>0</v>
      </c>
      <c r="AG32" s="157">
        <v>0</v>
      </c>
      <c r="AI32" s="204"/>
      <c r="AJ32" s="196"/>
      <c r="AK32" s="194"/>
      <c r="AL32" s="138" t="s">
        <v>202</v>
      </c>
      <c r="AM32" s="155">
        <v>0</v>
      </c>
      <c r="AN32" s="156">
        <v>0</v>
      </c>
      <c r="AO32" s="156">
        <v>0</v>
      </c>
      <c r="AP32" s="156">
        <v>0</v>
      </c>
      <c r="AQ32" s="156">
        <v>0</v>
      </c>
      <c r="AR32" s="156">
        <v>0</v>
      </c>
      <c r="AS32" s="156">
        <v>0</v>
      </c>
      <c r="AT32" s="156">
        <v>0</v>
      </c>
      <c r="AU32" s="156">
        <v>0</v>
      </c>
      <c r="AV32" s="156">
        <v>0</v>
      </c>
      <c r="AW32" s="156">
        <v>0</v>
      </c>
      <c r="AX32" s="157">
        <v>0</v>
      </c>
    </row>
    <row r="33" spans="1:50" x14ac:dyDescent="0.2">
      <c r="A33" s="204"/>
      <c r="B33" s="196"/>
      <c r="C33" s="199" t="s">
        <v>57</v>
      </c>
      <c r="D33" s="138" t="s">
        <v>198</v>
      </c>
      <c r="E33" s="155">
        <v>0</v>
      </c>
      <c r="F33" s="156">
        <v>0</v>
      </c>
      <c r="G33" s="156">
        <v>0</v>
      </c>
      <c r="H33" s="156">
        <v>1</v>
      </c>
      <c r="I33" s="156">
        <v>0</v>
      </c>
      <c r="J33" s="156">
        <v>1</v>
      </c>
      <c r="K33" s="156">
        <v>1</v>
      </c>
      <c r="L33" s="156">
        <v>1</v>
      </c>
      <c r="M33" s="156">
        <v>1</v>
      </c>
      <c r="N33" s="156">
        <v>1</v>
      </c>
      <c r="O33" s="156">
        <v>1</v>
      </c>
      <c r="P33" s="157">
        <v>1</v>
      </c>
      <c r="R33" s="204"/>
      <c r="S33" s="196"/>
      <c r="T33" s="194" t="s">
        <v>57</v>
      </c>
      <c r="U33" s="138" t="s">
        <v>198</v>
      </c>
      <c r="V33" s="155">
        <v>0</v>
      </c>
      <c r="W33" s="156">
        <v>0</v>
      </c>
      <c r="X33" s="156">
        <v>0</v>
      </c>
      <c r="Y33" s="156">
        <v>0</v>
      </c>
      <c r="Z33" s="156">
        <v>0</v>
      </c>
      <c r="AA33" s="156">
        <v>0</v>
      </c>
      <c r="AB33" s="156">
        <v>0</v>
      </c>
      <c r="AC33" s="156">
        <v>0</v>
      </c>
      <c r="AD33" s="156">
        <v>0</v>
      </c>
      <c r="AE33" s="156">
        <v>0</v>
      </c>
      <c r="AF33" s="156">
        <v>0</v>
      </c>
      <c r="AG33" s="157">
        <v>0</v>
      </c>
      <c r="AI33" s="204"/>
      <c r="AJ33" s="196"/>
      <c r="AK33" s="194" t="s">
        <v>57</v>
      </c>
      <c r="AL33" s="138" t="s">
        <v>198</v>
      </c>
      <c r="AM33" s="155">
        <v>0</v>
      </c>
      <c r="AN33" s="156">
        <v>0</v>
      </c>
      <c r="AO33" s="156">
        <v>0</v>
      </c>
      <c r="AP33" s="156">
        <v>0</v>
      </c>
      <c r="AQ33" s="156">
        <v>0</v>
      </c>
      <c r="AR33" s="156">
        <v>0</v>
      </c>
      <c r="AS33" s="156">
        <v>0</v>
      </c>
      <c r="AT33" s="156">
        <v>0</v>
      </c>
      <c r="AU33" s="156">
        <v>0</v>
      </c>
      <c r="AV33" s="156">
        <v>0</v>
      </c>
      <c r="AW33" s="156">
        <v>0</v>
      </c>
      <c r="AX33" s="157">
        <v>0</v>
      </c>
    </row>
    <row r="34" spans="1:50" ht="13.5" thickBot="1" x14ac:dyDescent="0.25">
      <c r="A34" s="205"/>
      <c r="B34" s="191"/>
      <c r="C34" s="200"/>
      <c r="D34" s="147" t="s">
        <v>202</v>
      </c>
      <c r="E34" s="158">
        <v>0</v>
      </c>
      <c r="F34" s="159">
        <v>0</v>
      </c>
      <c r="G34" s="159">
        <v>0</v>
      </c>
      <c r="H34" s="159">
        <v>1</v>
      </c>
      <c r="I34" s="159">
        <v>0</v>
      </c>
      <c r="J34" s="159">
        <v>1</v>
      </c>
      <c r="K34" s="159">
        <v>1</v>
      </c>
      <c r="L34" s="159">
        <v>1</v>
      </c>
      <c r="M34" s="159">
        <v>1</v>
      </c>
      <c r="N34" s="159">
        <v>1</v>
      </c>
      <c r="O34" s="159">
        <v>1</v>
      </c>
      <c r="P34" s="160">
        <v>1</v>
      </c>
      <c r="R34" s="205"/>
      <c r="S34" s="191"/>
      <c r="T34" s="192"/>
      <c r="U34" s="147" t="s">
        <v>202</v>
      </c>
      <c r="V34" s="158">
        <v>0</v>
      </c>
      <c r="W34" s="159">
        <v>0</v>
      </c>
      <c r="X34" s="159">
        <v>0</v>
      </c>
      <c r="Y34" s="159">
        <v>0</v>
      </c>
      <c r="Z34" s="159">
        <v>0</v>
      </c>
      <c r="AA34" s="159">
        <v>0</v>
      </c>
      <c r="AB34" s="159">
        <v>0</v>
      </c>
      <c r="AC34" s="159">
        <v>0</v>
      </c>
      <c r="AD34" s="159">
        <v>0</v>
      </c>
      <c r="AE34" s="159">
        <v>0</v>
      </c>
      <c r="AF34" s="159">
        <v>0</v>
      </c>
      <c r="AG34" s="160">
        <v>0</v>
      </c>
      <c r="AI34" s="205"/>
      <c r="AJ34" s="191"/>
      <c r="AK34" s="192"/>
      <c r="AL34" s="147" t="s">
        <v>202</v>
      </c>
      <c r="AM34" s="158">
        <v>0</v>
      </c>
      <c r="AN34" s="159">
        <v>0</v>
      </c>
      <c r="AO34" s="159">
        <v>0</v>
      </c>
      <c r="AP34" s="159">
        <v>0</v>
      </c>
      <c r="AQ34" s="159">
        <v>0</v>
      </c>
      <c r="AR34" s="159">
        <v>0</v>
      </c>
      <c r="AS34" s="159">
        <v>0</v>
      </c>
      <c r="AT34" s="159">
        <v>0</v>
      </c>
      <c r="AU34" s="159">
        <v>0</v>
      </c>
      <c r="AV34" s="159">
        <v>0</v>
      </c>
      <c r="AW34" s="159">
        <v>0</v>
      </c>
      <c r="AX34" s="160">
        <v>0</v>
      </c>
    </row>
    <row r="35" spans="1:50" x14ac:dyDescent="0.2">
      <c r="A35" s="203" t="s">
        <v>84</v>
      </c>
      <c r="B35" s="201">
        <v>600</v>
      </c>
      <c r="C35" s="202" t="s">
        <v>56</v>
      </c>
      <c r="D35" s="143" t="s">
        <v>198</v>
      </c>
      <c r="E35" s="152">
        <v>0</v>
      </c>
      <c r="F35" s="153">
        <v>0</v>
      </c>
      <c r="G35" s="153">
        <v>0</v>
      </c>
      <c r="H35" s="153">
        <v>0</v>
      </c>
      <c r="I35" s="153">
        <v>0</v>
      </c>
      <c r="J35" s="153">
        <v>0</v>
      </c>
      <c r="K35" s="153">
        <v>0</v>
      </c>
      <c r="L35" s="153">
        <v>0</v>
      </c>
      <c r="M35" s="153">
        <v>0</v>
      </c>
      <c r="N35" s="153">
        <v>0</v>
      </c>
      <c r="O35" s="153">
        <v>0</v>
      </c>
      <c r="P35" s="154">
        <v>0</v>
      </c>
    </row>
    <row r="36" spans="1:50" ht="12.75" customHeight="1" x14ac:dyDescent="0.2">
      <c r="A36" s="204"/>
      <c r="B36" s="196"/>
      <c r="C36" s="194"/>
      <c r="D36" s="138" t="s">
        <v>202</v>
      </c>
      <c r="E36" s="155">
        <v>0</v>
      </c>
      <c r="F36" s="156">
        <v>0</v>
      </c>
      <c r="G36" s="156">
        <v>0</v>
      </c>
      <c r="H36" s="156">
        <v>0</v>
      </c>
      <c r="I36" s="156">
        <v>0</v>
      </c>
      <c r="J36" s="156">
        <v>0</v>
      </c>
      <c r="K36" s="156">
        <v>0</v>
      </c>
      <c r="L36" s="156">
        <v>0</v>
      </c>
      <c r="M36" s="156">
        <v>0</v>
      </c>
      <c r="N36" s="156">
        <v>0</v>
      </c>
      <c r="O36" s="156">
        <v>0</v>
      </c>
      <c r="P36" s="157">
        <v>0</v>
      </c>
      <c r="S36" s="197" t="s">
        <v>203</v>
      </c>
      <c r="T36" s="197" t="s">
        <v>209</v>
      </c>
      <c r="U36" s="197" t="s">
        <v>210</v>
      </c>
      <c r="V36" s="197" t="s">
        <v>211</v>
      </c>
      <c r="W36" s="197"/>
      <c r="X36" s="197"/>
      <c r="Y36" s="197" t="s">
        <v>207</v>
      </c>
      <c r="Z36" s="197"/>
      <c r="AA36" s="197" t="s">
        <v>206</v>
      </c>
      <c r="AB36" s="197"/>
      <c r="AC36" s="197" t="s">
        <v>212</v>
      </c>
      <c r="AD36" s="197"/>
      <c r="AE36" s="197"/>
      <c r="AF36" s="197" t="s">
        <v>208</v>
      </c>
      <c r="AG36" s="197"/>
      <c r="AH36" s="209" t="s">
        <v>213</v>
      </c>
      <c r="AI36" s="209" t="s">
        <v>214</v>
      </c>
      <c r="AJ36" s="209"/>
      <c r="AK36" s="197" t="s">
        <v>217</v>
      </c>
    </row>
    <row r="37" spans="1:50" ht="13.5" thickBot="1" x14ac:dyDescent="0.25">
      <c r="A37" s="204"/>
      <c r="B37" s="196"/>
      <c r="C37" s="199" t="s">
        <v>57</v>
      </c>
      <c r="D37" s="138" t="s">
        <v>198</v>
      </c>
      <c r="E37" s="155">
        <v>0</v>
      </c>
      <c r="F37" s="156">
        <v>0</v>
      </c>
      <c r="G37" s="156">
        <v>0</v>
      </c>
      <c r="H37" s="156">
        <v>0</v>
      </c>
      <c r="I37" s="156">
        <v>0</v>
      </c>
      <c r="J37" s="156">
        <v>0</v>
      </c>
      <c r="K37" s="156">
        <v>0</v>
      </c>
      <c r="L37" s="156">
        <v>0</v>
      </c>
      <c r="M37" s="156">
        <v>0</v>
      </c>
      <c r="N37" s="156">
        <v>0</v>
      </c>
      <c r="O37" s="156">
        <v>0</v>
      </c>
      <c r="P37" s="157">
        <v>0</v>
      </c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197"/>
      <c r="AD37" s="197"/>
      <c r="AE37" s="197"/>
      <c r="AF37" s="197"/>
      <c r="AG37" s="197"/>
      <c r="AH37" s="207"/>
      <c r="AI37" s="209"/>
      <c r="AJ37" s="209"/>
      <c r="AK37" s="198"/>
      <c r="AM37" s="148" t="s">
        <v>228</v>
      </c>
    </row>
    <row r="38" spans="1:50" ht="13.5" thickBot="1" x14ac:dyDescent="0.25">
      <c r="A38" s="204"/>
      <c r="B38" s="196"/>
      <c r="C38" s="202"/>
      <c r="D38" s="138" t="s">
        <v>202</v>
      </c>
      <c r="E38" s="155">
        <v>0</v>
      </c>
      <c r="F38" s="156">
        <v>0</v>
      </c>
      <c r="G38" s="156">
        <v>0</v>
      </c>
      <c r="H38" s="156">
        <v>0</v>
      </c>
      <c r="I38" s="156">
        <v>0</v>
      </c>
      <c r="J38" s="156">
        <v>0</v>
      </c>
      <c r="K38" s="156">
        <v>0</v>
      </c>
      <c r="L38" s="156">
        <v>0</v>
      </c>
      <c r="M38" s="156">
        <v>0</v>
      </c>
      <c r="N38" s="156">
        <v>0</v>
      </c>
      <c r="O38" s="156">
        <v>0</v>
      </c>
      <c r="P38" s="157">
        <v>0</v>
      </c>
      <c r="Q38" s="139" t="s">
        <v>14</v>
      </c>
      <c r="R38" s="149" t="str">
        <f>type1</f>
        <v>N/A</v>
      </c>
      <c r="S38" s="140" t="e">
        <f>IF(INT(LEFT(R38,1))=1,MATCH($R38,$A$3:$A$50,0)+2,IF(INT(LEFT(R38,1))=2,MATCH($R38,$R$3:$R$34,0)+2,IF(INT(LEFT(R38,1))=3,MATCH($R38,$AI$3:$AI$34,0)+2,"")))</f>
        <v>#VALUE!</v>
      </c>
      <c r="T38" s="140" cm="1">
        <f t="array" ref="T38">MIN(IF({600,800,1000,1250}&gt;=IF(mull=0,1000,mull*1000),{0,4,8,12}))</f>
        <v>8</v>
      </c>
      <c r="U38" s="140">
        <f>IF(dir = "Extract",2,0)</f>
        <v>0</v>
      </c>
      <c r="V38" s="207">
        <f>U38+IF(mulltyp="Full",1,0)</f>
        <v>0</v>
      </c>
      <c r="W38" s="207"/>
      <c r="X38" s="207"/>
      <c r="Y38" s="207" t="e">
        <f>SUM(S38:W38)</f>
        <v>#VALUE!</v>
      </c>
      <c r="Z38" s="207"/>
      <c r="AA38" s="208" t="e">
        <f>IF(INT(LEFT($R38,1))=1,4,IF(INT(LEFT($R38,1))=2,21,38))</f>
        <v>#VALUE!</v>
      </c>
      <c r="AB38" s="208"/>
      <c r="AC38" s="207" cm="1">
        <f t="array" ref="AC38">MIN(IF($E$2:$P$2&gt;MIN(cvel1,12)-0.5,$E$2:$P$2))</f>
        <v>12</v>
      </c>
      <c r="AD38" s="207"/>
      <c r="AE38" s="207"/>
      <c r="AF38" s="208" t="e">
        <f>SUM(AA38:AD38)</f>
        <v>#VALUE!</v>
      </c>
      <c r="AG38" s="208"/>
      <c r="AH38" s="140" t="e">
        <f>CONCATENATE(SUBSTITUTE(ADDRESS(1, AF38, 4), "1",""),Y38)</f>
        <v>#VALUE!</v>
      </c>
      <c r="AI38" s="207" t="b">
        <f>IF(OR(ISERR(AH38),AK38),0,SUM(INDEX($A$1:$AX$50,$Y38,$AA38+1):INDEX($A$1:$AX$50,$Y38,$AF38)))&gt;0</f>
        <v>0</v>
      </c>
      <c r="AJ38" s="207"/>
      <c r="AK38" s="140" t="b">
        <f>IF(R38="N/A",FALSE,cvel1&gt;12)</f>
        <v>0</v>
      </c>
      <c r="AL38" s="148" t="str">
        <f>IF(AND(NOT(AI38), NOT(AI39)),"",CONCATENATE(IF(AND(AI38:AJ39),"Both option 1 and 2",IF(AI38, "Option 1", "Option 2")), " may produce noise from vibrations. Ensure stiffeners are used"))</f>
        <v/>
      </c>
      <c r="AM38" s="140" t="str">
        <f>IF(ISNA(AL38),"",AL38)</f>
        <v/>
      </c>
    </row>
    <row r="39" spans="1:50" ht="13.5" thickBot="1" x14ac:dyDescent="0.25">
      <c r="A39" s="204"/>
      <c r="B39" s="196">
        <v>800</v>
      </c>
      <c r="C39" s="194" t="s">
        <v>56</v>
      </c>
      <c r="D39" s="138" t="s">
        <v>198</v>
      </c>
      <c r="E39" s="155">
        <v>0</v>
      </c>
      <c r="F39" s="156">
        <v>0</v>
      </c>
      <c r="G39" s="156">
        <v>0</v>
      </c>
      <c r="H39" s="156">
        <v>0</v>
      </c>
      <c r="I39" s="156">
        <v>0</v>
      </c>
      <c r="J39" s="156">
        <v>0</v>
      </c>
      <c r="K39" s="156">
        <v>0</v>
      </c>
      <c r="L39" s="156">
        <v>0</v>
      </c>
      <c r="M39" s="156">
        <v>0</v>
      </c>
      <c r="N39" s="156">
        <v>0</v>
      </c>
      <c r="O39" s="156">
        <v>0</v>
      </c>
      <c r="P39" s="157">
        <v>0</v>
      </c>
      <c r="Q39" s="139" t="s">
        <v>15</v>
      </c>
      <c r="R39" s="142" t="str">
        <f>type2</f>
        <v>N/A</v>
      </c>
      <c r="S39" s="140" t="e">
        <f>IF(INT(LEFT(R39,1))=1,MATCH($R39,$A$3:$A$50,0)+2,IF(INT(LEFT(R39,1))=2,MATCH($R39,$R$3:$R$34,0)+2,IF(INT(LEFT(R39,1))=3,MATCH($R39,$AI$3:$AI$34,0)+2,"")))</f>
        <v>#VALUE!</v>
      </c>
      <c r="T39" s="140" cm="1">
        <f t="array" ref="T39">MIN(IF({600,800,1000,1250}&gt;=IF(mull=0,1000,mull*1000),{0,4,8,12}))</f>
        <v>8</v>
      </c>
      <c r="U39" s="140">
        <f>IF(dir = "Extract",2,0)</f>
        <v>0</v>
      </c>
      <c r="V39" s="207">
        <f>U39+IF(mulltyp="Full",1,0)</f>
        <v>0</v>
      </c>
      <c r="W39" s="207"/>
      <c r="X39" s="207"/>
      <c r="Y39" s="207" t="e">
        <f>SUM(S39:W39)</f>
        <v>#VALUE!</v>
      </c>
      <c r="Z39" s="207"/>
      <c r="AA39" s="208" t="e">
        <f>IF(INT(LEFT($R39,1))=1,4,IF(INT(LEFT($R39,1))=2,21,38))</f>
        <v>#VALUE!</v>
      </c>
      <c r="AB39" s="208"/>
      <c r="AC39" s="207" cm="1">
        <f t="array" ref="AC39">MIN(IF($E$2:$P$2&gt;MIN(cvel2,12)-0.5,$E$2:$P$2))</f>
        <v>12</v>
      </c>
      <c r="AD39" s="207"/>
      <c r="AE39" s="207"/>
      <c r="AF39" s="208" t="e">
        <f>SUM(AA39:AD39)</f>
        <v>#VALUE!</v>
      </c>
      <c r="AG39" s="208"/>
      <c r="AH39" s="140" t="e">
        <f>CONCATENATE(SUBSTITUTE(ADDRESS(1, AF39, 4), "1",""),Y39)</f>
        <v>#VALUE!</v>
      </c>
      <c r="AI39" s="207" t="b">
        <f>IF(OR(ISERR(AH39),AK39),0,SUM(INDEX($A$1:$AX$50,$Y39,$AA39+1):INDEX($A$1:$AX$50,$Y39,$AF39)))&gt;0</f>
        <v>0</v>
      </c>
      <c r="AJ39" s="207"/>
      <c r="AK39" s="141" t="b">
        <f>IF(R39="N/A",FALSE,cvel1&gt;12)</f>
        <v>0</v>
      </c>
      <c r="AL39" s="164" t="str" cm="1">
        <f t="array" ref="AL39">IF(OR(LEFT(R38:R39,1)="3"),"3UL has not been tested for induced noise","")</f>
        <v/>
      </c>
      <c r="AM39" s="141" t="str">
        <f t="shared" ref="AM39:AM40" si="0">IF(ISNA(AL39),"",AL39)</f>
        <v/>
      </c>
    </row>
    <row r="40" spans="1:50" ht="13.5" thickBot="1" x14ac:dyDescent="0.25">
      <c r="A40" s="204"/>
      <c r="B40" s="196"/>
      <c r="C40" s="194"/>
      <c r="D40" s="138" t="s">
        <v>202</v>
      </c>
      <c r="E40" s="155">
        <v>0</v>
      </c>
      <c r="F40" s="156">
        <v>0</v>
      </c>
      <c r="G40" s="156">
        <v>0</v>
      </c>
      <c r="H40" s="156">
        <v>0</v>
      </c>
      <c r="I40" s="156">
        <v>0</v>
      </c>
      <c r="J40" s="156">
        <v>0</v>
      </c>
      <c r="K40" s="156">
        <v>0</v>
      </c>
      <c r="L40" s="156">
        <v>0</v>
      </c>
      <c r="M40" s="156">
        <v>0</v>
      </c>
      <c r="N40" s="156">
        <v>0</v>
      </c>
      <c r="O40" s="156">
        <v>0</v>
      </c>
      <c r="P40" s="157">
        <v>0</v>
      </c>
      <c r="R40" s="148"/>
      <c r="AL40" s="164" t="str">
        <f>IF(OR(AK38:AK39),"Core velocity above max tested for noise generation (12m/s)","")</f>
        <v/>
      </c>
      <c r="AM40" s="141" t="str">
        <f t="shared" si="0"/>
        <v/>
      </c>
      <c r="AN40" s="165"/>
      <c r="AO40" s="166"/>
      <c r="AP40" s="141"/>
      <c r="AQ40" s="141"/>
      <c r="AR40" s="141"/>
      <c r="AS40" s="141"/>
      <c r="AT40" s="141"/>
      <c r="AU40" s="141"/>
      <c r="AV40" s="141"/>
      <c r="AW40" s="141"/>
      <c r="AX40" s="141"/>
    </row>
    <row r="41" spans="1:50" ht="13.5" thickBot="1" x14ac:dyDescent="0.25">
      <c r="A41" s="204"/>
      <c r="B41" s="196"/>
      <c r="C41" s="194" t="s">
        <v>57</v>
      </c>
      <c r="D41" s="138" t="s">
        <v>198</v>
      </c>
      <c r="E41" s="155">
        <v>0</v>
      </c>
      <c r="F41" s="156">
        <v>0</v>
      </c>
      <c r="G41" s="156">
        <v>0</v>
      </c>
      <c r="H41" s="156">
        <v>0</v>
      </c>
      <c r="I41" s="156">
        <v>0</v>
      </c>
      <c r="J41" s="156">
        <v>0</v>
      </c>
      <c r="K41" s="156">
        <v>0</v>
      </c>
      <c r="L41" s="156">
        <v>0</v>
      </c>
      <c r="M41" s="156">
        <v>0</v>
      </c>
      <c r="N41" s="156">
        <v>0</v>
      </c>
      <c r="O41" s="156">
        <v>0</v>
      </c>
      <c r="P41" s="157">
        <v>0</v>
      </c>
      <c r="R41" s="139" t="s">
        <v>215</v>
      </c>
      <c r="S41" s="142">
        <v>0</v>
      </c>
      <c r="T41" s="148" t="s">
        <v>216</v>
      </c>
      <c r="V41" s="162"/>
      <c r="W41" s="148" t="s">
        <v>14</v>
      </c>
      <c r="Z41" s="163"/>
      <c r="AA41" s="148" t="s">
        <v>15</v>
      </c>
      <c r="AI41" s="140" t="b">
        <f>ISNA(R38)</f>
        <v>0</v>
      </c>
      <c r="AN41" s="209"/>
      <c r="AO41" s="207"/>
    </row>
    <row r="42" spans="1:50" ht="13.5" thickBot="1" x14ac:dyDescent="0.25">
      <c r="A42" s="204"/>
      <c r="B42" s="196"/>
      <c r="C42" s="194"/>
      <c r="D42" s="138" t="s">
        <v>202</v>
      </c>
      <c r="E42" s="155">
        <v>0</v>
      </c>
      <c r="F42" s="156">
        <v>0</v>
      </c>
      <c r="G42" s="156">
        <v>0</v>
      </c>
      <c r="H42" s="156">
        <v>0</v>
      </c>
      <c r="I42" s="156">
        <v>0</v>
      </c>
      <c r="J42" s="156">
        <v>0</v>
      </c>
      <c r="K42" s="156">
        <v>0</v>
      </c>
      <c r="L42" s="156">
        <v>0</v>
      </c>
      <c r="M42" s="156">
        <v>0</v>
      </c>
      <c r="N42" s="156">
        <v>0</v>
      </c>
      <c r="O42" s="156">
        <v>0</v>
      </c>
      <c r="P42" s="157">
        <v>0</v>
      </c>
      <c r="S42" s="151">
        <v>1</v>
      </c>
      <c r="T42" s="148" t="s">
        <v>204</v>
      </c>
    </row>
    <row r="43" spans="1:50" x14ac:dyDescent="0.2">
      <c r="A43" s="204"/>
      <c r="B43" s="196">
        <v>1000</v>
      </c>
      <c r="C43" s="194" t="s">
        <v>56</v>
      </c>
      <c r="D43" s="138" t="s">
        <v>198</v>
      </c>
      <c r="E43" s="155">
        <v>0</v>
      </c>
      <c r="F43" s="156">
        <v>0</v>
      </c>
      <c r="G43" s="156">
        <v>0</v>
      </c>
      <c r="H43" s="156">
        <v>0</v>
      </c>
      <c r="I43" s="156">
        <v>0</v>
      </c>
      <c r="J43" s="156">
        <v>0</v>
      </c>
      <c r="K43" s="156">
        <v>0</v>
      </c>
      <c r="L43" s="156">
        <v>0</v>
      </c>
      <c r="M43" s="156">
        <v>0</v>
      </c>
      <c r="N43" s="156">
        <v>0</v>
      </c>
      <c r="O43" s="156">
        <v>0</v>
      </c>
      <c r="P43" s="157">
        <v>0</v>
      </c>
      <c r="U43" s="139"/>
    </row>
    <row r="44" spans="1:50" x14ac:dyDescent="0.2">
      <c r="A44" s="204"/>
      <c r="B44" s="196"/>
      <c r="C44" s="194"/>
      <c r="D44" s="138" t="s">
        <v>202</v>
      </c>
      <c r="E44" s="155">
        <v>0</v>
      </c>
      <c r="F44" s="156">
        <v>0</v>
      </c>
      <c r="G44" s="156">
        <v>0</v>
      </c>
      <c r="H44" s="156">
        <v>0</v>
      </c>
      <c r="I44" s="156">
        <v>0</v>
      </c>
      <c r="J44" s="156">
        <v>0</v>
      </c>
      <c r="K44" s="156">
        <v>0</v>
      </c>
      <c r="L44" s="156">
        <v>0</v>
      </c>
      <c r="M44" s="156">
        <v>0</v>
      </c>
      <c r="N44" s="156">
        <v>0</v>
      </c>
      <c r="O44" s="156">
        <v>0</v>
      </c>
      <c r="P44" s="157">
        <v>0</v>
      </c>
    </row>
    <row r="45" spans="1:50" x14ac:dyDescent="0.2">
      <c r="A45" s="204"/>
      <c r="B45" s="196"/>
      <c r="C45" s="194" t="s">
        <v>57</v>
      </c>
      <c r="D45" s="138" t="s">
        <v>198</v>
      </c>
      <c r="E45" s="155">
        <v>0</v>
      </c>
      <c r="F45" s="156">
        <v>0</v>
      </c>
      <c r="G45" s="156">
        <v>0</v>
      </c>
      <c r="H45" s="156">
        <v>0</v>
      </c>
      <c r="I45" s="156">
        <v>0</v>
      </c>
      <c r="J45" s="156">
        <v>0</v>
      </c>
      <c r="K45" s="156">
        <v>0</v>
      </c>
      <c r="L45" s="156">
        <v>0</v>
      </c>
      <c r="M45" s="156">
        <v>0</v>
      </c>
      <c r="N45" s="156">
        <v>0</v>
      </c>
      <c r="O45" s="156">
        <v>0</v>
      </c>
      <c r="P45" s="157">
        <v>0</v>
      </c>
      <c r="AH45" s="139"/>
    </row>
    <row r="46" spans="1:50" x14ac:dyDescent="0.2">
      <c r="A46" s="204"/>
      <c r="B46" s="196"/>
      <c r="C46" s="194"/>
      <c r="D46" s="138" t="s">
        <v>202</v>
      </c>
      <c r="E46" s="155">
        <v>0</v>
      </c>
      <c r="F46" s="156">
        <v>0</v>
      </c>
      <c r="G46" s="156">
        <v>0</v>
      </c>
      <c r="H46" s="156">
        <v>0</v>
      </c>
      <c r="I46" s="156">
        <v>0</v>
      </c>
      <c r="J46" s="156">
        <v>0</v>
      </c>
      <c r="K46" s="156">
        <v>0</v>
      </c>
      <c r="L46" s="156">
        <v>0</v>
      </c>
      <c r="M46" s="156">
        <v>0</v>
      </c>
      <c r="N46" s="156">
        <v>0</v>
      </c>
      <c r="O46" s="156">
        <v>0</v>
      </c>
      <c r="P46" s="157">
        <v>0</v>
      </c>
      <c r="AL46" s="139"/>
    </row>
    <row r="47" spans="1:50" x14ac:dyDescent="0.2">
      <c r="A47" s="204"/>
      <c r="B47" s="196">
        <v>1250</v>
      </c>
      <c r="C47" s="194" t="s">
        <v>56</v>
      </c>
      <c r="D47" s="138" t="s">
        <v>198</v>
      </c>
      <c r="E47" s="155">
        <v>0</v>
      </c>
      <c r="F47" s="156">
        <v>0</v>
      </c>
      <c r="G47" s="156">
        <v>0</v>
      </c>
      <c r="H47" s="156">
        <v>0</v>
      </c>
      <c r="I47" s="156">
        <v>0</v>
      </c>
      <c r="J47" s="156">
        <v>0</v>
      </c>
      <c r="K47" s="156">
        <v>0</v>
      </c>
      <c r="L47" s="156">
        <v>0</v>
      </c>
      <c r="M47" s="156">
        <v>0</v>
      </c>
      <c r="N47" s="156">
        <v>0</v>
      </c>
      <c r="O47" s="156">
        <v>0</v>
      </c>
      <c r="P47" s="157">
        <v>0</v>
      </c>
    </row>
    <row r="48" spans="1:50" x14ac:dyDescent="0.2">
      <c r="A48" s="204"/>
      <c r="B48" s="196"/>
      <c r="C48" s="194"/>
      <c r="D48" s="138" t="s">
        <v>202</v>
      </c>
      <c r="E48" s="155">
        <v>0</v>
      </c>
      <c r="F48" s="156">
        <v>0</v>
      </c>
      <c r="G48" s="156">
        <v>0</v>
      </c>
      <c r="H48" s="156">
        <v>0</v>
      </c>
      <c r="I48" s="156">
        <v>0</v>
      </c>
      <c r="J48" s="156">
        <v>0</v>
      </c>
      <c r="K48" s="156">
        <v>0</v>
      </c>
      <c r="L48" s="156">
        <v>0</v>
      </c>
      <c r="M48" s="156">
        <v>0</v>
      </c>
      <c r="N48" s="156">
        <v>0</v>
      </c>
      <c r="O48" s="156">
        <v>0</v>
      </c>
      <c r="P48" s="157">
        <v>0</v>
      </c>
      <c r="AJ48" s="139"/>
      <c r="AL48" s="139"/>
    </row>
    <row r="49" spans="1:37" x14ac:dyDescent="0.2">
      <c r="A49" s="204"/>
      <c r="B49" s="196"/>
      <c r="C49" s="194" t="s">
        <v>57</v>
      </c>
      <c r="D49" s="138" t="s">
        <v>198</v>
      </c>
      <c r="E49" s="155">
        <v>0</v>
      </c>
      <c r="F49" s="156">
        <v>0</v>
      </c>
      <c r="G49" s="156">
        <v>0</v>
      </c>
      <c r="H49" s="156">
        <v>0</v>
      </c>
      <c r="I49" s="156">
        <v>0</v>
      </c>
      <c r="J49" s="156">
        <v>0</v>
      </c>
      <c r="K49" s="156">
        <v>0</v>
      </c>
      <c r="L49" s="156">
        <v>0</v>
      </c>
      <c r="M49" s="156">
        <v>0</v>
      </c>
      <c r="N49" s="156">
        <v>0</v>
      </c>
      <c r="O49" s="156">
        <v>0</v>
      </c>
      <c r="P49" s="157">
        <v>0</v>
      </c>
    </row>
    <row r="50" spans="1:37" ht="13.5" thickBot="1" x14ac:dyDescent="0.25">
      <c r="A50" s="205"/>
      <c r="B50" s="191"/>
      <c r="C50" s="192"/>
      <c r="D50" s="147" t="s">
        <v>202</v>
      </c>
      <c r="E50" s="158">
        <v>0</v>
      </c>
      <c r="F50" s="159">
        <v>0</v>
      </c>
      <c r="G50" s="159">
        <v>0</v>
      </c>
      <c r="H50" s="159">
        <v>0</v>
      </c>
      <c r="I50" s="159">
        <v>0</v>
      </c>
      <c r="J50" s="159">
        <v>0</v>
      </c>
      <c r="K50" s="159">
        <v>0</v>
      </c>
      <c r="L50" s="159">
        <v>0</v>
      </c>
      <c r="M50" s="159">
        <v>0</v>
      </c>
      <c r="N50" s="159">
        <v>0</v>
      </c>
      <c r="O50" s="159">
        <v>0</v>
      </c>
      <c r="P50" s="160">
        <v>0</v>
      </c>
    </row>
    <row r="51" spans="1:37" x14ac:dyDescent="0.2">
      <c r="AK51" s="139"/>
    </row>
  </sheetData>
  <mergeCells count="130">
    <mergeCell ref="AN41:AO41"/>
    <mergeCell ref="AA38:AB38"/>
    <mergeCell ref="AF36:AG37"/>
    <mergeCell ref="AF38:AG38"/>
    <mergeCell ref="AF39:AG39"/>
    <mergeCell ref="AH36:AH37"/>
    <mergeCell ref="AI36:AJ37"/>
    <mergeCell ref="AI38:AJ38"/>
    <mergeCell ref="AI39:AJ39"/>
    <mergeCell ref="V39:X39"/>
    <mergeCell ref="Y36:Z37"/>
    <mergeCell ref="Y38:Z38"/>
    <mergeCell ref="Y39:Z39"/>
    <mergeCell ref="AA36:AB37"/>
    <mergeCell ref="AC36:AE37"/>
    <mergeCell ref="AC38:AE38"/>
    <mergeCell ref="AC39:AE39"/>
    <mergeCell ref="AA39:AB39"/>
    <mergeCell ref="V38:X38"/>
    <mergeCell ref="AM1:AX1"/>
    <mergeCell ref="S36:S37"/>
    <mergeCell ref="T36:T37"/>
    <mergeCell ref="U36:U37"/>
    <mergeCell ref="V36:X37"/>
    <mergeCell ref="AI19:AI34"/>
    <mergeCell ref="AJ19:AJ22"/>
    <mergeCell ref="AK19:AK20"/>
    <mergeCell ref="AK21:AK22"/>
    <mergeCell ref="AJ23:AJ26"/>
    <mergeCell ref="AK23:AK24"/>
    <mergeCell ref="AK25:AK26"/>
    <mergeCell ref="AJ27:AJ30"/>
    <mergeCell ref="AK27:AK28"/>
    <mergeCell ref="AK29:AK30"/>
    <mergeCell ref="AK7:AK8"/>
    <mergeCell ref="AK9:AK10"/>
    <mergeCell ref="AJ11:AJ14"/>
    <mergeCell ref="AK11:AK12"/>
    <mergeCell ref="AK13:AK14"/>
    <mergeCell ref="AL1:AL2"/>
    <mergeCell ref="AI3:AI18"/>
    <mergeCell ref="AJ3:AJ6"/>
    <mergeCell ref="AK3:AK4"/>
    <mergeCell ref="AK5:AK6"/>
    <mergeCell ref="AJ7:AJ10"/>
    <mergeCell ref="AJ31:AJ34"/>
    <mergeCell ref="AK31:AK32"/>
    <mergeCell ref="AK33:AK34"/>
    <mergeCell ref="S19:S22"/>
    <mergeCell ref="T19:T20"/>
    <mergeCell ref="AJ15:AJ18"/>
    <mergeCell ref="AK15:AK16"/>
    <mergeCell ref="AK17:AK18"/>
    <mergeCell ref="U1:U2"/>
    <mergeCell ref="AI1:AI2"/>
    <mergeCell ref="AJ1:AJ2"/>
    <mergeCell ref="AK1:AK2"/>
    <mergeCell ref="V1:AG1"/>
    <mergeCell ref="C37:C38"/>
    <mergeCell ref="B23:B26"/>
    <mergeCell ref="A35:A50"/>
    <mergeCell ref="R3:R18"/>
    <mergeCell ref="R19:R34"/>
    <mergeCell ref="R1:R2"/>
    <mergeCell ref="S1:S2"/>
    <mergeCell ref="T1:T2"/>
    <mergeCell ref="S31:S34"/>
    <mergeCell ref="T31:T32"/>
    <mergeCell ref="T33:T34"/>
    <mergeCell ref="A3:A18"/>
    <mergeCell ref="A19:A34"/>
    <mergeCell ref="S23:S26"/>
    <mergeCell ref="T23:T24"/>
    <mergeCell ref="T25:T26"/>
    <mergeCell ref="S27:S30"/>
    <mergeCell ref="T27:T28"/>
    <mergeCell ref="T29:T30"/>
    <mergeCell ref="T11:T12"/>
    <mergeCell ref="T13:T14"/>
    <mergeCell ref="S15:S18"/>
    <mergeCell ref="T15:T16"/>
    <mergeCell ref="T17:T18"/>
    <mergeCell ref="C15:C16"/>
    <mergeCell ref="C17:C18"/>
    <mergeCell ref="T21:T22"/>
    <mergeCell ref="B47:B50"/>
    <mergeCell ref="C47:C48"/>
    <mergeCell ref="C49:C50"/>
    <mergeCell ref="S3:S6"/>
    <mergeCell ref="T3:T4"/>
    <mergeCell ref="T5:T6"/>
    <mergeCell ref="S7:S10"/>
    <mergeCell ref="T7:T8"/>
    <mergeCell ref="T9:T10"/>
    <mergeCell ref="S11:S14"/>
    <mergeCell ref="B39:B42"/>
    <mergeCell ref="C39:C40"/>
    <mergeCell ref="C41:C42"/>
    <mergeCell ref="B43:B46"/>
    <mergeCell ref="C43:C44"/>
    <mergeCell ref="C45:C46"/>
    <mergeCell ref="B31:B34"/>
    <mergeCell ref="C31:C32"/>
    <mergeCell ref="C33:C34"/>
    <mergeCell ref="B35:B38"/>
    <mergeCell ref="C35:C36"/>
    <mergeCell ref="B1:B2"/>
    <mergeCell ref="A1:A2"/>
    <mergeCell ref="C1:C2"/>
    <mergeCell ref="D1:D2"/>
    <mergeCell ref="E1:P1"/>
    <mergeCell ref="C5:C6"/>
    <mergeCell ref="C3:C4"/>
    <mergeCell ref="B3:B6"/>
    <mergeCell ref="AK36:AK37"/>
    <mergeCell ref="C23:C24"/>
    <mergeCell ref="C25:C26"/>
    <mergeCell ref="B27:B30"/>
    <mergeCell ref="C27:C28"/>
    <mergeCell ref="C29:C30"/>
    <mergeCell ref="B7:B10"/>
    <mergeCell ref="B11:B14"/>
    <mergeCell ref="B15:B18"/>
    <mergeCell ref="B19:B22"/>
    <mergeCell ref="C19:C20"/>
    <mergeCell ref="C21:C22"/>
    <mergeCell ref="C7:C8"/>
    <mergeCell ref="C9:C10"/>
    <mergeCell ref="C11:C12"/>
    <mergeCell ref="C13:C14"/>
  </mergeCells>
  <conditionalFormatting sqref="E3:P50 V3:AG34 AM3:AX34">
    <cfRule type="expression" dxfId="2" priority="2">
      <formula>AND(ROW(E3)=$Y$38,COLUMN(E3)=$AF$38)</formula>
    </cfRule>
    <cfRule type="expression" dxfId="1" priority="3">
      <formula>E3=1</formula>
    </cfRule>
  </conditionalFormatting>
  <conditionalFormatting sqref="AM3:AX34 V3:AG34 E3:P50">
    <cfRule type="expression" dxfId="0" priority="1">
      <formula>AND(ROW(E3)=$Y$39,COLUMN(E3)=$AF$39)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X69"/>
  <sheetViews>
    <sheetView zoomScale="75" workbookViewId="0">
      <selection activeCell="K21" sqref="K21"/>
    </sheetView>
  </sheetViews>
  <sheetFormatPr defaultRowHeight="12.75" x14ac:dyDescent="0.2"/>
  <cols>
    <col min="5" max="5" width="9.5703125" bestFit="1" customWidth="1"/>
    <col min="16" max="16" width="12.7109375" bestFit="1" customWidth="1"/>
    <col min="23" max="23" width="11.7109375" bestFit="1" customWidth="1"/>
  </cols>
  <sheetData>
    <row r="1" spans="1:23" x14ac:dyDescent="0.2">
      <c r="E1" s="22" t="s">
        <v>70</v>
      </c>
    </row>
    <row r="4" spans="1:23" x14ac:dyDescent="0.2">
      <c r="C4" s="13"/>
    </row>
    <row r="5" spans="1:23" ht="12.75" customHeight="1" x14ac:dyDescent="0.2">
      <c r="L5" t="s">
        <v>128</v>
      </c>
      <c r="M5" t="s">
        <v>128</v>
      </c>
      <c r="N5" t="s">
        <v>129</v>
      </c>
      <c r="O5" t="s">
        <v>129</v>
      </c>
      <c r="P5" t="s">
        <v>130</v>
      </c>
      <c r="Q5" t="s">
        <v>130</v>
      </c>
      <c r="S5" s="210" t="s">
        <v>156</v>
      </c>
      <c r="T5" s="210"/>
      <c r="U5" s="196" t="s">
        <v>158</v>
      </c>
      <c r="V5" s="196"/>
      <c r="W5" s="196"/>
    </row>
    <row r="6" spans="1:23" x14ac:dyDescent="0.2">
      <c r="A6" t="s">
        <v>75</v>
      </c>
      <c r="C6" t="s">
        <v>71</v>
      </c>
      <c r="D6" t="e">
        <f>IF(OR(type="1UL",type="2UL",type="3UL"),type,VLOOKUP(loc,T7:W9,HLOOKUP(wres,U6:W10,5)))</f>
        <v>#N/A</v>
      </c>
      <c r="K6" t="s">
        <v>84</v>
      </c>
      <c r="L6" s="18" t="e">
        <f>4*$E$25+2.6*$E$27+(6+1.6/ulpanel!$F$20)*$E$25*$E$27+IF(acc="Bird guard",0.53*$E$25*$E$27,IF(acc="Insect mesh",0.75*$E$25*$E$27,0))</f>
        <v>#VALUE!</v>
      </c>
      <c r="M6" s="18" t="e">
        <f>4*$H$25+2.6*$H$27+(6+1.6/ulpanel!$F$20)*$H$25*$H$27+IF(acc="Bird guard",0.53*$H$25*$H$27,IF(acc="Insect mesh",0.75*$H$25*$H$27,0))</f>
        <v>#VALUE!</v>
      </c>
      <c r="N6" s="18" t="e">
        <f>9.6*$E$25+6*$E$27+(14.2+3.9/ulpanel!$F$20)*$E$25*$E$27+IF(acc="Bird guard",1.19*$E$25*$E$27,IF(acc="Insect mesh",1.41*$E$25*$E$27,0))</f>
        <v>#VALUE!</v>
      </c>
      <c r="O6" s="18" t="e">
        <f>9.6*$H$25+6*$H$27+(14.2+3.9/ulpanel!$F$20)*$H$25*$H$27+IF(acc="Bird guard",1.19*$H$25*$H$27,IF(acc="Insect mesh",1.41*$H$25*$H$27,0))</f>
        <v>#VALUE!</v>
      </c>
      <c r="P6" s="18" t="e">
        <f>9.1*$E$25+5.8*$E$27+(15.4+3.6/ulpanel!$F$20)*$E$25*$E$27+IF(acc="Bird guard",1.24*$E$25*$E$27,IF(acc="Insect mesh",1.46*$E$25*$E$27,0))</f>
        <v>#VALUE!</v>
      </c>
      <c r="Q6" s="18" t="e">
        <f>9.1*$H$25+5.8*$H$27+(15.4+3.6/ulpanel!$F$20)*$H$25*$H$27+IF(acc="Bird guard",1.24*$H$25*$H$27,IF(acc="Insect mesh",1.46*$H$25*$H$27,0))</f>
        <v>#VALUE!</v>
      </c>
      <c r="S6" s="210"/>
      <c r="T6" s="210"/>
      <c r="U6" s="73" t="s">
        <v>155</v>
      </c>
      <c r="V6" s="73" t="s">
        <v>73</v>
      </c>
      <c r="W6" s="74" t="s">
        <v>162</v>
      </c>
    </row>
    <row r="7" spans="1:23" x14ac:dyDescent="0.2">
      <c r="C7" t="s">
        <v>72</v>
      </c>
      <c r="D7" t="e">
        <f>IF(OR(type="1UL",type="2UL",type="3UL"),"N/A",VLOOKUP(loc,T14:W16,HLOOKUP(wres,U13:W17,5)))</f>
        <v>#N/A</v>
      </c>
      <c r="K7" s="18" t="s">
        <v>172</v>
      </c>
      <c r="L7" s="18" t="e">
        <f>4.2*$E$25+2.5*$E$27+(5.5+1.8/ulpanel!$F$20)*$E$25*$E$27+IF(acc="Bird guard",0.53*$E$25*$E$27,IF(acc="Insect mesh",0.75*$E$25*$E$27,0))</f>
        <v>#VALUE!</v>
      </c>
      <c r="M7" s="18" t="e">
        <f>4.2*$E$25+2.5*$E$27+(5.5+1.8/ulpanel!$F$20)*$E$25*$E$27+IF(acc="Bird guard",0.53*$E$25*$E$27,IF(acc="Insect mesh",0.75*$E$25*$E$27,0))</f>
        <v>#VALUE!</v>
      </c>
      <c r="N7" s="18" t="e">
        <f>9.9*$E$25+5.8*$E$27+(12.8+4.2/ulpanel!$F$20)*$E$25*$E$27+IF(acc="Bird guard",1.19*$E$25*$E$27,IF(acc="Insect mesh",1.41*$E$25*$E$27,0))</f>
        <v>#VALUE!</v>
      </c>
      <c r="O7" s="18" t="e">
        <f>9.9*$H$25+5.8*$H$27+(12.8+4.2/ulpanel!$F$20)*$H$25*$H$27+IF(acc="Bird guard",1.19*$H$25*$H$27,IF(acc="Insect mesh",1.41*$H$25*$H$27,0))</f>
        <v>#VALUE!</v>
      </c>
      <c r="P7" s="18" t="e">
        <f>9.5*$E$25+5.7*$E$27+(14.8+3.9/ulpanel!$F$20)*$E$25*$E$27+IF(acc="Bird guard",1.24*$E$25*$E$27,IF(acc="Insect mesh",1.46*$E$25*$E$27,0))</f>
        <v>#VALUE!</v>
      </c>
      <c r="Q7" s="18" t="e">
        <f>9.5*$H$25+5.7*$H$27+(14.8+3.9/ulpanel!$F$20)*$H$25*$H$27+IF(acc="Bird guard",1.24*$H$25*$H$27,IF(acc="Insect mesh",1.46*$H$25*$H$27,0))</f>
        <v>#VALUE!</v>
      </c>
      <c r="S7" s="196" t="s">
        <v>157</v>
      </c>
      <c r="T7" s="74" t="s">
        <v>159</v>
      </c>
      <c r="U7" s="74" t="s">
        <v>66</v>
      </c>
      <c r="V7" s="74" t="s">
        <v>66</v>
      </c>
      <c r="W7" s="74" t="s">
        <v>64</v>
      </c>
    </row>
    <row r="8" spans="1:23" x14ac:dyDescent="0.2">
      <c r="F8" t="s">
        <v>91</v>
      </c>
      <c r="J8" s="1" t="s">
        <v>102</v>
      </c>
      <c r="K8" t="s">
        <v>83</v>
      </c>
      <c r="L8" s="18" t="e">
        <f>3.2*$E$25+2.1*$E$27+(5.1+1.3/ulpanel!$F$20)*$E$25*$E$27+IF(acc="Bird guard",0.53*$E$25*$E$27,IF(acc="Insect mesh",0.75*$E$25*$E$27,0))</f>
        <v>#VALUE!</v>
      </c>
      <c r="M8" s="18" t="e">
        <f>3.2*$H$25+2.1*$H$27+(5.1+1.3/ulpanel!$F$20)*$H$25*$H$27+IF(acc="Bird guard",0.53*$H$25*$H$27,IF(acc="Insect mesh",0.75*$H$25*$H$27,0))</f>
        <v>#VALUE!</v>
      </c>
      <c r="N8" s="18" t="e">
        <f>7.7*$E$25+4.85*$E$27+(12.6+3.2/ulpanel!$F$20)*$E$25*$E$27+IF(acc="Bird guard",1.19*$E$25*$E$27,IF(acc="Insect mesh",1.41*$E$25*$E$27,0))</f>
        <v>#VALUE!</v>
      </c>
      <c r="O8" s="18" t="e">
        <f>7.7*$H$25+4.85*$H$27+(12.6+3.2/ulpanel!$F$20)*$H$25*$H$27+IF(acc="Bird guard",1.19*$H$25*$H$27,IF(acc="Insect mesh",1.41*$H$25*$H$27,0))</f>
        <v>#VALUE!</v>
      </c>
      <c r="P8" s="18" t="e">
        <f>7.4*$E$25+4.8*$E$27+(14.2+3/ulpanel!$F$20)*$E$25*$E$27+IF(acc="Bird guard",1.24*$E$25*$E$27,IF(acc="Insect mesh",1.46*$E$25*$E$27,0))</f>
        <v>#VALUE!</v>
      </c>
      <c r="Q8" s="18" t="e">
        <f>7.4*$H$25+4.8*$H$27+(14.2+3/ulpanel!$F$20)*$H$25*$H$27+IF(acc="Bird guard",1.24*$H$25*$H$27,IF(acc="Insect mesh",1.46*$H$25*$H$27,0))</f>
        <v>#VALUE!</v>
      </c>
      <c r="S8" s="196"/>
      <c r="T8" s="74" t="s">
        <v>160</v>
      </c>
      <c r="U8" s="74" t="s">
        <v>66</v>
      </c>
      <c r="V8" s="74" t="s">
        <v>65</v>
      </c>
      <c r="W8" s="74" t="s">
        <v>64</v>
      </c>
    </row>
    <row r="9" spans="1:23" x14ac:dyDescent="0.2">
      <c r="A9" t="s">
        <v>76</v>
      </c>
      <c r="C9" t="s">
        <v>71</v>
      </c>
      <c r="D9" t="str">
        <f>IF(type="","N/A",IF(AND(type&lt;&gt;"UL/S",type&lt;&gt;"UL/M",type&lt;&gt;"UL/D"),type,VLOOKUP(type,T21:W24,HLOOKUP(D6,U20:W25,6,1),)))</f>
        <v>N/A</v>
      </c>
      <c r="F9" s="14">
        <f>IF(pdrop="",LOOKUP(D9,ulpress!$B$26:'ulpress'!B32,ulpress!H26:'ulpress'!H32),LOOKUP(D9,ulpanel!G24:'ulpanel'!G30,ulpanel!I24:'ulpanel'!I30))</f>
        <v>0</v>
      </c>
      <c r="K9" t="s">
        <v>88</v>
      </c>
      <c r="L9" s="18" t="e">
        <f>4.9*$E$25+2.8*$E$27+(11.9+2.6/ulpanel!$G$20)*$E$25*$E$27+IF(acc="Bird guard",0.53*$E$25*$E$27,IF(acc="Insect mesh",0.75*$E$25*$E$27,0))</f>
        <v>#VALUE!</v>
      </c>
      <c r="M9" s="18" t="e">
        <f>4.9*$H$25+2.8*$H$27+(11.9+2.6/ulpanel!$G$20)*$H$25*$H$27+IF(acc="Bird guard",0.53*$H$25*$H$27,IF(acc="Insect mesh",0.75*$H$25*$H$27,0))</f>
        <v>#VALUE!</v>
      </c>
      <c r="N9" s="18" t="e">
        <f>11.7*$E$25+6.5*$E$27+(29+6/ulpanel!$G$20)*$E$25*$E$27+IF(acc="Bird guard",1.19*$E$25*$E$27,IF(acc="Insect mesh",1.41*$E$25*$E$27,0))</f>
        <v>#VALUE!</v>
      </c>
      <c r="O9" s="18" t="e">
        <f>11.7*$H$25+6.5*$H$27+(29+6/ulpanel!$G$20)*$H$25*$H$27+IF(acc="Bird guard",1.19*$H$25*$H$27,IF(acc="Insect mesh",1.41*$H$25*$H$27,0))</f>
        <v>#VALUE!</v>
      </c>
      <c r="P9" s="18" t="e">
        <f>11.1*$E$25+6.4*$E$27+(31.9+5.5/ulpanel!$G$20)*$E$25*$E$27+IF(acc="Bird guard",1.24*$E$25*$E$27,IF(acc="Insect mesh",1.46*$E$25*$E$27,0))</f>
        <v>#VALUE!</v>
      </c>
      <c r="Q9" s="18" t="e">
        <f>11.1*$H$25+6.4*$H$27+(31.9+5.5/ulpanel!$G$20)*$H$25*$H$27+IF(acc="Bird guard",1.24*$H$25*$H$27,IF(acc="Insect mesh",1.46*$H$25*$H$27,0))</f>
        <v>#VALUE!</v>
      </c>
      <c r="S9" s="196"/>
      <c r="T9" s="74" t="s">
        <v>161</v>
      </c>
      <c r="U9" s="74" t="s">
        <v>66</v>
      </c>
      <c r="V9" s="74" t="s">
        <v>65</v>
      </c>
      <c r="W9" s="74" t="s">
        <v>64</v>
      </c>
    </row>
    <row r="10" spans="1:23" x14ac:dyDescent="0.2">
      <c r="C10" t="s">
        <v>72</v>
      </c>
      <c r="D10" t="str">
        <f>IF(type="N/A","N/A",IF(AND(type&lt;&gt;"UL/S",type&lt;&gt;"UL/M",type&lt;&gt;"UL/D"),"N/A",VLOOKUP(type,T21:X24,HLOOKUP(D7,U20:X25,6,),)))</f>
        <v>N/A</v>
      </c>
      <c r="F10" s="14">
        <f>IF(pdrop="",LOOKUP(D10,ulpress!$B$26:'ulpress'!B32,ulpress!H26:'ulpress'!H32),LOOKUP(D10,ulpanel!G24:'ulpanel'!G30,ulpanel!I24:'ulpanel'!I30))</f>
        <v>0</v>
      </c>
      <c r="H10" s="18" t="s">
        <v>188</v>
      </c>
      <c r="K10" t="s">
        <v>85</v>
      </c>
      <c r="L10" s="18" t="e">
        <f>4.3*$E$25+2.3*$E$27+(11+2.3/ulpanel!$G$20)*$E$25*$E$27+IF(acc="Bird guard",0.53*$E$25*$E$27,IF(acc="Insect mesh",0.75*$E$25*$E$27,0))</f>
        <v>#VALUE!</v>
      </c>
      <c r="M10" s="18" t="e">
        <f>4.3*$H$25+2.3*$H$27+(11+2.3/ulpanel!$G$20)*$H$25*$H$27+IF(acc="Bird guard",0.53*$H$25*$H$27,IF(acc="Insect mesh",0.75*$H$25*$H$27,0))</f>
        <v>#VALUE!</v>
      </c>
      <c r="N10" s="18" t="e">
        <f>10.6*$E$25+5.4*$E$27+(27.6+5.7/ulpanel!$G$20)*$E$25*$E$27+IF(acc="Bird guard",1.19*$E$25*$E$27,IF(acc="Insect mesh",1.41*$E$25*$E$27,0))</f>
        <v>#VALUE!</v>
      </c>
      <c r="O10" s="18" t="e">
        <f>10.6*$H$25+5.4*$H$27+(27.6+5.7/ulpanel!$G$20)*$H$25*$H$27+IF(acc="Bird guard",1.19*$H$25*$H$27,IF(acc="Insect mesh",1.41*$H$25*$H$27,0))</f>
        <v>#VALUE!</v>
      </c>
      <c r="P10" s="18" t="e">
        <f>10*$E$25+5.3*$E$27+(30.5+5/ulpanel!$G$20)*$E$25*$E$27+IF(acc="Bird guard",1.24*$E$25*$E$27,IF(acc="Insect mesh",1.46*$E$25*$E$27,0))</f>
        <v>#VALUE!</v>
      </c>
      <c r="Q10" s="18" t="e">
        <f>10*$H$25+5.3*$H$27+(30.5+5/ulpanel!$G$20)*$H$25*$H$27+IF(acc="Bird guard",1.24*$H$25*$H$27,IF(acc="Insect mesh",1.46*$H$25*$H$27,0))</f>
        <v>#VALUE!</v>
      </c>
      <c r="U10">
        <v>2</v>
      </c>
      <c r="V10">
        <v>3</v>
      </c>
      <c r="W10">
        <v>4</v>
      </c>
    </row>
    <row r="11" spans="1:23" ht="12.75" customHeight="1" x14ac:dyDescent="0.2">
      <c r="C11" s="18" t="s">
        <v>177</v>
      </c>
      <c r="D11" t="str">
        <f>IF(D10=D9,"N/A",D10)</f>
        <v>N/A</v>
      </c>
      <c r="F11" s="14">
        <f>F10</f>
        <v>0</v>
      </c>
      <c r="K11" t="s">
        <v>87</v>
      </c>
      <c r="L11" s="18" t="e">
        <f>6.75*$E$25+4.2*$E$27+(16.7+3.4/ulpanel!$H$20)*$E$25*$E$27+IF(acc="Bird guard",0.53*$E$25*$E$27,IF(acc="Insect mesh",0.75*$E$25*$E$27,0))</f>
        <v>#VALUE!</v>
      </c>
      <c r="M11" s="18" t="e">
        <f>6.75*$H$25+4.2*$H$27+(16.7+3.4/ulpanel!$H$20)*$H$25*$H$27+IF(acc="Bird guard",0.53*$H$25*$H$27,IF(acc="Insect mesh",0.75*$H$25*$H$27,0))</f>
        <v>#VALUE!</v>
      </c>
      <c r="N11" s="18" t="e">
        <f>15.7*$E$25+9.8*$E$27+(40.6+7.7/ulpanel!$H$20)*$E$25*$E$27+IF(acc="Bird guard",1.19*$E$25*$E$27,IF(acc="Insect mesh",1.41*$E$25*$E$27,0))</f>
        <v>#VALUE!</v>
      </c>
      <c r="O11" s="18" t="e">
        <f>15.7*$H$25+9.8*$H$27+(40.6+7.7/ulpanel!$H$20)*$E$25*$H$27+IF(acc="Bird guard",1.19*$H$25*$H$27,IF(acc="Insect mesh",1.41*$H$25*$H$27,0))</f>
        <v>#VALUE!</v>
      </c>
      <c r="P11" s="18" t="e">
        <f>15.3*$E$25+9.5*$E$27+(44.9+7.2/ulpanel!$H$20)*$E$25*$E$27+IF(acc="Bird guard",1.24*$E$25*$E$27,IF(acc="Insect mesh",1.46*$E$25*$E$27,0))</f>
        <v>#VALUE!</v>
      </c>
      <c r="Q11" s="18" t="e">
        <f>15.3*$H$25+9.5*$H$27+(44.9+7.2/ulpanel!$H$20)*$H$25*$H$27+IF(acc="Bird guard",1.24*$H$25*$H$27,IF(acc="Insect mesh",1.46*$H$25*$H$27,0))</f>
        <v>#VALUE!</v>
      </c>
    </row>
    <row r="12" spans="1:23" x14ac:dyDescent="0.2">
      <c r="K12" t="s">
        <v>86</v>
      </c>
      <c r="L12" s="18" t="e">
        <f>6.25*$E$25+3.7*$E$27+(15.75+3.1/ulpanel!$H$20)*$E$25*$E$27+IF(acc="Bird guard",0.53*$E$25*$E$27,IF(acc="Insect mesh",0.75*$E$25*$E$27,0))</f>
        <v>#VALUE!</v>
      </c>
      <c r="M12" s="18" t="e">
        <f>6.25*$H$25+3.7*$H$27+(15.75+3.1/ulpanel!$H$20)*$H$25*$H$27+IF(acc="Bird guard",0.53*$H$25*$H$27,IF(acc="Insect mesh",0.75*$H$25*$H$27,0))</f>
        <v>#VALUE!</v>
      </c>
      <c r="N12" s="18" t="e">
        <f>14.5*$E$25+8.5*$E$27+(39.1+7/ulpanel!$H$20)*$E$25*$E$27+IF(acc="Bird guard",1.19*$E$25*$E$27,IF(acc="Insect mesh",1.41*$E$25*$E$27,0))</f>
        <v>#VALUE!</v>
      </c>
      <c r="O12" s="18" t="e">
        <f>14.5*$H$25+8.5*$H$27+(39.1+7/ulpanel!$H$20)*$H$25*$H$27+IF(acc="Bird guard",1.19*$H$25*$H$27,IF(acc="Insect mesh",1.41*$H$25*$H$27,0))</f>
        <v>#VALUE!</v>
      </c>
      <c r="P12" s="18" t="e">
        <f>14.2*$E$25+8.4*$E$27+(43.6+6.5/ulpanel!$H$20)*$E$25*$E$27+IF(acc="Bird guard",1.24*$E$25*$E$27,IF(acc="Insect mesh",1.46*$E$25*$E$27,0))</f>
        <v>#VALUE!</v>
      </c>
      <c r="Q12" s="18" t="e">
        <f>14.2*$H$25+8.4*$H$27+(43.6+6.5/ulpanel!$H$20)*$H$25*$H$27+IF(acc="Bird guard",1.24*$H$25*$H$27,IF(acc="Insect mesh",1.46*$H$25*$H$27,0))</f>
        <v>#VALUE!</v>
      </c>
      <c r="S12" s="210" t="s">
        <v>156</v>
      </c>
      <c r="T12" s="210"/>
      <c r="U12" s="196" t="s">
        <v>158</v>
      </c>
      <c r="V12" s="196"/>
      <c r="W12" s="196"/>
    </row>
    <row r="13" spans="1:23" x14ac:dyDescent="0.2">
      <c r="D13">
        <f>wres</f>
        <v>0</v>
      </c>
      <c r="S13" s="210"/>
      <c r="T13" s="210"/>
      <c r="U13" s="73" t="s">
        <v>155</v>
      </c>
      <c r="V13" s="74" t="s">
        <v>175</v>
      </c>
      <c r="W13" s="74" t="s">
        <v>162</v>
      </c>
    </row>
    <row r="14" spans="1:23" x14ac:dyDescent="0.2">
      <c r="S14" s="196" t="s">
        <v>157</v>
      </c>
      <c r="T14" s="74" t="s">
        <v>159</v>
      </c>
      <c r="U14" s="74" t="s">
        <v>74</v>
      </c>
      <c r="V14" s="74" t="s">
        <v>65</v>
      </c>
      <c r="W14" s="74" t="s">
        <v>74</v>
      </c>
    </row>
    <row r="15" spans="1:23" ht="18" x14ac:dyDescent="0.25">
      <c r="A15" s="2" t="s">
        <v>10</v>
      </c>
      <c r="E15" s="3" t="s">
        <v>14</v>
      </c>
      <c r="H15" s="3" t="s">
        <v>15</v>
      </c>
      <c r="S15" s="196"/>
      <c r="T15" s="74" t="s">
        <v>160</v>
      </c>
      <c r="U15" s="74" t="s">
        <v>65</v>
      </c>
      <c r="V15" s="74" t="s">
        <v>74</v>
      </c>
      <c r="W15" s="74" t="s">
        <v>74</v>
      </c>
    </row>
    <row r="16" spans="1:23" ht="13.5" thickBot="1" x14ac:dyDescent="0.25">
      <c r="E16" s="7" t="s">
        <v>19</v>
      </c>
      <c r="H16" s="7" t="s">
        <v>20</v>
      </c>
      <c r="K16" s="18" t="s">
        <v>218</v>
      </c>
      <c r="O16" s="18"/>
      <c r="S16" s="196"/>
      <c r="T16" s="74" t="s">
        <v>161</v>
      </c>
      <c r="U16" s="74" t="s">
        <v>65</v>
      </c>
      <c r="V16" s="74" t="s">
        <v>74</v>
      </c>
      <c r="W16" s="74" t="s">
        <v>74</v>
      </c>
    </row>
    <row r="17" spans="1:24" ht="14.25" thickTop="1" thickBot="1" x14ac:dyDescent="0.25">
      <c r="A17" s="3" t="s">
        <v>11</v>
      </c>
      <c r="E17" s="15" t="str">
        <f>D9</f>
        <v>N/A</v>
      </c>
      <c r="H17" s="15" t="str">
        <f>D11</f>
        <v>N/A</v>
      </c>
      <c r="J17">
        <v>1</v>
      </c>
      <c r="K17" s="167" t="str">
        <f>IF(OR(type="UL/D",type="UL/S"),"These are the most common selections for these conditions.","")</f>
        <v/>
      </c>
      <c r="L17" s="168"/>
      <c r="M17" s="168"/>
      <c r="N17" s="168"/>
      <c r="O17" s="168"/>
      <c r="P17" s="168"/>
      <c r="Q17" s="169"/>
      <c r="U17">
        <v>2</v>
      </c>
      <c r="V17">
        <v>3</v>
      </c>
      <c r="W17">
        <v>4</v>
      </c>
    </row>
    <row r="18" spans="1:24" ht="14.25" thickTop="1" thickBot="1" x14ac:dyDescent="0.25">
      <c r="E18" s="16"/>
      <c r="J18">
        <v>2</v>
      </c>
      <c r="K18" s="170" t="str">
        <f>IF(OR(type="UL/D",type="UL/S"),"Specific site conditions may override these selections.","")</f>
        <v/>
      </c>
      <c r="L18" s="4"/>
      <c r="M18" s="4"/>
      <c r="N18" s="4"/>
      <c r="O18" s="4"/>
      <c r="P18" s="4"/>
      <c r="Q18" s="171"/>
    </row>
    <row r="19" spans="1:24" ht="12.75" customHeight="1" thickTop="1" thickBot="1" x14ac:dyDescent="0.25">
      <c r="A19" s="3" t="s">
        <v>12</v>
      </c>
      <c r="E19" s="15" t="str">
        <f>IF(type1="N/A","N/A",HLOOKUP(F9,T29:W36,VLOOKUP(type1,S30:X36,6,0),1))</f>
        <v>N/A</v>
      </c>
      <c r="H19" s="15" t="str">
        <f>IF(type2="N/A","N/A",HLOOKUP(F11,T29:W36,VLOOKUP(type2,S30:X36,6,0)))</f>
        <v>N/A</v>
      </c>
      <c r="J19">
        <v>3</v>
      </c>
      <c r="K19" s="172" t="str">
        <f>IF(OR(type="UL/M",type="1UL/M"),"The 1UL/M is for screening, values are un-tested and estimates for INFORMATION ONLY","")</f>
        <v/>
      </c>
      <c r="L19" s="4"/>
      <c r="M19" s="4"/>
      <c r="N19" s="173"/>
      <c r="O19" s="4"/>
      <c r="P19" s="4"/>
      <c r="Q19" s="171"/>
      <c r="S19" s="90"/>
      <c r="T19" s="91"/>
      <c r="U19" s="92"/>
      <c r="V19" s="93"/>
      <c r="W19" s="93"/>
      <c r="X19" s="4"/>
    </row>
    <row r="20" spans="1:24" ht="14.25" thickTop="1" thickBot="1" x14ac:dyDescent="0.25">
      <c r="E20" s="16"/>
      <c r="H20" s="16"/>
      <c r="J20">
        <v>4</v>
      </c>
      <c r="K20" s="174" t="str" cm="1">
        <f t="array" ref="K20:K22">Acoustics!AM38:AM40</f>
        <v/>
      </c>
      <c r="L20" s="4"/>
      <c r="M20" s="4"/>
      <c r="N20" s="4"/>
      <c r="O20" s="4"/>
      <c r="P20" s="4"/>
      <c r="Q20" s="171"/>
      <c r="S20" s="211" t="s">
        <v>176</v>
      </c>
      <c r="T20" s="210"/>
      <c r="U20" s="74" t="s">
        <v>64</v>
      </c>
      <c r="V20" s="74" t="s">
        <v>65</v>
      </c>
      <c r="W20" s="74" t="s">
        <v>66</v>
      </c>
      <c r="X20" s="88" t="s">
        <v>74</v>
      </c>
    </row>
    <row r="21" spans="1:24" ht="14.25" thickTop="1" thickBot="1" x14ac:dyDescent="0.25">
      <c r="A21" s="3" t="s">
        <v>13</v>
      </c>
      <c r="E21" s="99" t="str">
        <f>IF(type1="N/A","N/A",IF(pdrop="",LOOKUP(type1,ulpress!B26:'ulpress'!B32,ulpress!F26:'ulpress'!F32),pdrop))</f>
        <v>N/A</v>
      </c>
      <c r="F21" t="s">
        <v>16</v>
      </c>
      <c r="H21" s="15" t="str">
        <f>IF(type2="N/A","N/A",IF(pdrop="",LOOKUP(type2,ulpress!B26:'ulpress'!B32,ulpress!F26:'ulpress'!F32),pdrop))</f>
        <v>N/A</v>
      </c>
      <c r="I21" t="s">
        <v>16</v>
      </c>
      <c r="J21">
        <v>5</v>
      </c>
      <c r="K21" s="174" t="str">
        <v/>
      </c>
      <c r="L21" s="4"/>
      <c r="M21" s="173"/>
      <c r="N21" s="173"/>
      <c r="O21" s="4"/>
      <c r="P21" s="4"/>
      <c r="Q21" s="171"/>
      <c r="R21" s="18"/>
      <c r="S21" s="194" t="s">
        <v>174</v>
      </c>
      <c r="T21" s="74" t="s">
        <v>74</v>
      </c>
      <c r="U21" s="74" t="s">
        <v>74</v>
      </c>
      <c r="V21" s="74" t="s">
        <v>74</v>
      </c>
      <c r="W21" s="74" t="s">
        <v>74</v>
      </c>
      <c r="X21" s="74" t="s">
        <v>74</v>
      </c>
    </row>
    <row r="22" spans="1:24" ht="14.25" thickTop="1" thickBot="1" x14ac:dyDescent="0.25">
      <c r="A22" s="3"/>
      <c r="E22" s="101"/>
      <c r="H22" s="95"/>
      <c r="J22">
        <v>6</v>
      </c>
      <c r="K22" s="175" t="str">
        <v/>
      </c>
      <c r="L22" s="176"/>
      <c r="M22" s="176"/>
      <c r="N22" s="177"/>
      <c r="O22" s="176"/>
      <c r="P22" s="176"/>
      <c r="Q22" s="178"/>
      <c r="S22" s="194"/>
      <c r="T22" s="74" t="s">
        <v>169</v>
      </c>
      <c r="U22" s="74" t="s">
        <v>83</v>
      </c>
      <c r="V22" s="74" t="s">
        <v>85</v>
      </c>
      <c r="W22" s="74" t="s">
        <v>86</v>
      </c>
      <c r="X22" s="74" t="s">
        <v>74</v>
      </c>
    </row>
    <row r="23" spans="1:24" ht="14.25" thickTop="1" thickBot="1" x14ac:dyDescent="0.25">
      <c r="A23" s="3" t="s">
        <v>96</v>
      </c>
      <c r="E23" s="100" t="str">
        <f>IF(type1="N/A","N/A",F9)</f>
        <v>N/A</v>
      </c>
      <c r="F23" t="s">
        <v>97</v>
      </c>
      <c r="H23" s="96" t="str">
        <f>IF(H17="N/A","N/A",F10)</f>
        <v>N/A</v>
      </c>
      <c r="I23" t="s">
        <v>97</v>
      </c>
      <c r="N23" s="18"/>
      <c r="S23" s="194"/>
      <c r="T23" s="74" t="s">
        <v>173</v>
      </c>
      <c r="U23" s="74" t="s">
        <v>172</v>
      </c>
      <c r="V23" s="74" t="s">
        <v>172</v>
      </c>
      <c r="W23" s="74" t="s">
        <v>172</v>
      </c>
      <c r="X23" s="74" t="s">
        <v>74</v>
      </c>
    </row>
    <row r="24" spans="1:24" ht="14.25" thickTop="1" thickBot="1" x14ac:dyDescent="0.25">
      <c r="A24" s="3"/>
      <c r="E24" s="102"/>
      <c r="H24" s="97"/>
      <c r="K24" s="18" t="s">
        <v>219</v>
      </c>
      <c r="S24" s="194"/>
      <c r="T24" s="88" t="s">
        <v>163</v>
      </c>
      <c r="U24" s="74" t="s">
        <v>84</v>
      </c>
      <c r="V24" s="74" t="s">
        <v>88</v>
      </c>
      <c r="W24" s="74" t="s">
        <v>87</v>
      </c>
      <c r="X24" s="74" t="s">
        <v>74</v>
      </c>
    </row>
    <row r="25" spans="1:24" ht="14.25" thickTop="1" thickBot="1" x14ac:dyDescent="0.25">
      <c r="A25" s="3" t="s">
        <v>81</v>
      </c>
      <c r="E25" s="98" t="str">
        <f>IF(type1="N/A","N/A",IF(high="",LOOKUP(type1,ulpanel!G24:'ulpanel'!G30,ulpanel!H24:'ulpanel'!H30),high))</f>
        <v>N/A</v>
      </c>
      <c r="F25" t="s">
        <v>18</v>
      </c>
      <c r="H25" s="98" t="str">
        <f>IF(type2="N/A","N/A",IF(high="",LOOKUP(type2,ulpanel!G24:'ulpanel'!G30,ulpanel!H24:'ulpanel'!H30),high))</f>
        <v>N/A</v>
      </c>
      <c r="I25" t="s">
        <v>18</v>
      </c>
      <c r="K25" s="179" t="str" cm="1">
        <f t="array" ref="K25:K30">IF(K17:K22&lt;&gt;"",ROW(K17:K22)-ROW(K16),"")</f>
        <v/>
      </c>
      <c r="U25">
        <v>2</v>
      </c>
      <c r="V25">
        <v>3</v>
      </c>
      <c r="W25">
        <v>4</v>
      </c>
      <c r="X25">
        <v>5</v>
      </c>
    </row>
    <row r="26" spans="1:24" ht="14.25" thickTop="1" thickBot="1" x14ac:dyDescent="0.25">
      <c r="A26" s="3"/>
      <c r="E26" s="95"/>
      <c r="H26" s="95"/>
      <c r="K26" s="180" t="str">
        <v/>
      </c>
      <c r="M26" s="18" t="s">
        <v>220</v>
      </c>
      <c r="O26">
        <f>COUNTIF(_xlfn.ANCHORARRAY(K25),"&gt;0")</f>
        <v>0</v>
      </c>
    </row>
    <row r="27" spans="1:24" ht="14.25" thickTop="1" thickBot="1" x14ac:dyDescent="0.25">
      <c r="A27" s="3" t="s">
        <v>80</v>
      </c>
      <c r="E27" s="98" t="str">
        <f>IF(type1="N/A","N/A",IF(wide="",LOOKUP(type1,ulpanel!G24:'ulpanel'!G30,ulpanel!H24:'ulpanel'!H30),IF(OR(pdrop="",high=""),wide,LOOKUP(type1,ulpanel!G24:'ulpanel'!G30,ulpanel!H24:'ulpanel'!H30))))</f>
        <v>N/A</v>
      </c>
      <c r="F27" t="s">
        <v>18</v>
      </c>
      <c r="H27" s="98" t="str">
        <f>IF(type2="N/A","N/A",IF(wide="",LOOKUP(type2,ulpanel!G24:'ulpanel'!G30,ulpanel!H24:'ulpanel'!H30),IF(OR(pdrop="",high=""),wide,LOOKUP(type2,ulpanel!G24:'ulpanel'!G30,ulpanel!H24:'ulpanel'!H30))))</f>
        <v>N/A</v>
      </c>
      <c r="I27" t="s">
        <v>18</v>
      </c>
      <c r="K27" s="180" t="str">
        <v/>
      </c>
      <c r="S27" s="194" t="s">
        <v>178</v>
      </c>
      <c r="T27" s="194"/>
      <c r="U27" s="194"/>
      <c r="V27" s="194"/>
      <c r="W27" s="194"/>
    </row>
    <row r="28" spans="1:24" ht="14.25" thickTop="1" thickBot="1" x14ac:dyDescent="0.25">
      <c r="E28" s="95"/>
      <c r="H28" s="16"/>
      <c r="K28" s="180" t="str">
        <v/>
      </c>
      <c r="S28" s="212"/>
      <c r="T28" s="194" t="s">
        <v>181</v>
      </c>
      <c r="U28" s="194"/>
      <c r="V28" s="194"/>
      <c r="W28" s="194"/>
    </row>
    <row r="29" spans="1:24" ht="14.25" thickTop="1" thickBot="1" x14ac:dyDescent="0.25">
      <c r="A29" s="3" t="s">
        <v>89</v>
      </c>
      <c r="E29" s="99" t="str">
        <f>IF(type1="N/A","N/A",IF(type1="1UL/M",0.042*(INT(high1*13.334)-1)*(wide1-0.18)*100/(high1*wide1),IF(type1="1UL/D",0.059*(INT(high1*10)-1)*(wide1-0.18)*100/(high1*wide1),0.024*(INT(high1*20)-1)*(wide1-0.18)*100/(high1*wide1))))</f>
        <v>N/A</v>
      </c>
      <c r="H29" s="99" t="str">
        <f>IF(type2="N/A","N/A",IF(type2="1UL/M",0.042*(INT(high2*13.334)-1)*(wide2-0.18)*100/(high2*wide2),IF(type2="1UL/D",0.059*(INT(high2*10)-1)*(wide2-0.18)*100/(high2*wide2),0.024*(INT(high2*20)-1)*(wide2-0.18)*100/(high2*wide2))))</f>
        <v>N/A</v>
      </c>
      <c r="J29" s="18" t="s">
        <v>189</v>
      </c>
      <c r="K29" s="180" t="str">
        <v/>
      </c>
      <c r="S29" s="212"/>
      <c r="T29" s="74">
        <v>0</v>
      </c>
      <c r="U29" s="74">
        <v>1</v>
      </c>
      <c r="V29" s="74">
        <v>2.2000000000000002</v>
      </c>
      <c r="W29" s="74">
        <v>3.5</v>
      </c>
    </row>
    <row r="30" spans="1:24" ht="14.25" thickTop="1" thickBot="1" x14ac:dyDescent="0.25">
      <c r="E30" s="16"/>
      <c r="H30" s="16"/>
      <c r="K30" s="181" t="str">
        <v/>
      </c>
      <c r="S30" s="89" t="s">
        <v>83</v>
      </c>
      <c r="T30" s="74" t="s">
        <v>180</v>
      </c>
      <c r="U30" s="74" t="s">
        <v>180</v>
      </c>
      <c r="V30" s="74" t="s">
        <v>180</v>
      </c>
      <c r="W30" s="74" t="s">
        <v>180</v>
      </c>
      <c r="X30">
        <v>2</v>
      </c>
    </row>
    <row r="31" spans="1:24" ht="14.25" thickTop="1" thickBot="1" x14ac:dyDescent="0.25">
      <c r="A31" s="3" t="s">
        <v>21</v>
      </c>
      <c r="E31" s="100" t="str">
        <f>IF(type1="N/A","N/A", free1*wide1*high1/100)</f>
        <v>N/A</v>
      </c>
      <c r="F31" t="s">
        <v>90</v>
      </c>
      <c r="H31" s="100" t="str">
        <f>IF(type2="N/A","N/A",free2*wide2*high2/100)</f>
        <v>N/A</v>
      </c>
      <c r="I31" t="s">
        <v>90</v>
      </c>
      <c r="K31" s="95"/>
      <c r="S31" s="87" t="s">
        <v>172</v>
      </c>
      <c r="T31" s="74" t="s">
        <v>180</v>
      </c>
      <c r="U31" s="74" t="s">
        <v>180</v>
      </c>
      <c r="V31" s="74" t="s">
        <v>180</v>
      </c>
      <c r="W31" s="74" t="s">
        <v>180</v>
      </c>
      <c r="X31">
        <v>3</v>
      </c>
    </row>
    <row r="32" spans="1:24" ht="14.25" thickTop="1" thickBot="1" x14ac:dyDescent="0.25">
      <c r="E32" s="16"/>
      <c r="H32" s="16"/>
      <c r="K32" s="18" t="s">
        <v>221</v>
      </c>
      <c r="S32" s="87" t="s">
        <v>179</v>
      </c>
      <c r="T32" s="74" t="s">
        <v>180</v>
      </c>
      <c r="U32" s="74" t="s">
        <v>180</v>
      </c>
      <c r="V32" s="74" t="s">
        <v>180</v>
      </c>
      <c r="W32" s="74" t="s">
        <v>180</v>
      </c>
      <c r="X32">
        <v>4</v>
      </c>
    </row>
    <row r="33" spans="1:24" ht="14.25" thickTop="1" thickBot="1" x14ac:dyDescent="0.25">
      <c r="A33" s="3" t="s">
        <v>101</v>
      </c>
      <c r="E33" s="99" t="str">
        <f>IF(type1="N/A","N/A",IF(mat="Aluminium",LOOKUP(E17,K6:K12,L6:L12),IF(mat="Stainless steel",LOOKUP(E17,K6:K12,N6:N12),LOOKUP(E17,K6:K12,P6:P12))))</f>
        <v>N/A</v>
      </c>
      <c r="F33" t="s">
        <v>100</v>
      </c>
      <c r="H33" s="99" t="str">
        <f>IF(H17="N/A","N/A",IF(mat="Aluminium",LOOKUP(H17,K6:K12,M6:M12),IF(mat="Stainless steel",LOOKUP(H17,K6:K12,O6:O12),LOOKUP(H17,K6:K12,Q6:Q12))))</f>
        <v>N/A</v>
      </c>
      <c r="I33" t="s">
        <v>100</v>
      </c>
      <c r="K33" s="182" t="str" cm="1">
        <f t="array" ref="K33">IF(J17&lt;=$O$26,INDEX($K$17:$K$22,SMALL(_xlfn.ANCHORARRAY($K$25),J17)),"")</f>
        <v/>
      </c>
      <c r="L33" s="168"/>
      <c r="M33" s="168"/>
      <c r="N33" s="168"/>
      <c r="O33" s="168"/>
      <c r="P33" s="168"/>
      <c r="Q33" s="169"/>
      <c r="S33" s="87" t="s">
        <v>85</v>
      </c>
      <c r="T33" s="88" t="s">
        <v>182</v>
      </c>
      <c r="U33" s="88" t="s">
        <v>183</v>
      </c>
      <c r="V33" s="88" t="s">
        <v>184</v>
      </c>
      <c r="W33" s="88" t="s">
        <v>185</v>
      </c>
      <c r="X33">
        <v>5</v>
      </c>
    </row>
    <row r="34" spans="1:24" ht="13.5" thickTop="1" x14ac:dyDescent="0.2">
      <c r="K34" s="174" t="str" cm="1">
        <f t="array" ref="K34">IF(J18&lt;=$O$26,INDEX($K$17:$K$22,SMALL(_xlfn.ANCHORARRAY($K$25),J18)),"")</f>
        <v/>
      </c>
      <c r="L34" s="4"/>
      <c r="M34" s="4"/>
      <c r="N34" s="4"/>
      <c r="O34" s="4"/>
      <c r="P34" s="4"/>
      <c r="Q34" s="171"/>
      <c r="S34" s="87" t="s">
        <v>88</v>
      </c>
      <c r="T34" s="88" t="s">
        <v>182</v>
      </c>
      <c r="U34" s="88" t="s">
        <v>183</v>
      </c>
      <c r="V34" s="88" t="s">
        <v>184</v>
      </c>
      <c r="W34" s="88" t="s">
        <v>185</v>
      </c>
      <c r="X34">
        <v>6</v>
      </c>
    </row>
    <row r="35" spans="1:24" x14ac:dyDescent="0.2">
      <c r="K35" s="174" t="str" cm="1">
        <f t="array" ref="K35">IF(J19&lt;=$O$26,INDEX($K$17:$K$22,SMALL(_xlfn.ANCHORARRAY($K$25),J19)),"")</f>
        <v/>
      </c>
      <c r="L35" s="4"/>
      <c r="M35" s="4"/>
      <c r="N35" s="4"/>
      <c r="O35" s="4"/>
      <c r="P35" s="4"/>
      <c r="Q35" s="171"/>
      <c r="S35" s="94" t="s">
        <v>86</v>
      </c>
      <c r="T35" s="88" t="s">
        <v>186</v>
      </c>
      <c r="U35" s="88" t="s">
        <v>186</v>
      </c>
      <c r="V35" s="88" t="s">
        <v>186</v>
      </c>
      <c r="W35" s="88" t="s">
        <v>186</v>
      </c>
      <c r="X35">
        <v>7</v>
      </c>
    </row>
    <row r="36" spans="1:24" x14ac:dyDescent="0.2">
      <c r="K36" s="174" t="str" cm="1">
        <f t="array" ref="K36">IF(J20&lt;=$O$26,INDEX($K$17:$K$22,SMALL(_xlfn.ANCHORARRAY($K$25),J20)),"")</f>
        <v/>
      </c>
      <c r="L36" s="4"/>
      <c r="M36" s="173"/>
      <c r="N36" s="4"/>
      <c r="O36" s="4"/>
      <c r="P36" s="4"/>
      <c r="Q36" s="171"/>
      <c r="S36" s="94" t="s">
        <v>87</v>
      </c>
      <c r="T36" s="88" t="s">
        <v>186</v>
      </c>
      <c r="U36" s="88" t="s">
        <v>186</v>
      </c>
      <c r="V36" s="88" t="s">
        <v>186</v>
      </c>
      <c r="W36" s="88" t="s">
        <v>186</v>
      </c>
      <c r="X36">
        <v>8</v>
      </c>
    </row>
    <row r="37" spans="1:24" x14ac:dyDescent="0.2">
      <c r="K37" s="174" t="str" cm="1">
        <f t="array" ref="K37">IF(J21&lt;=$O$26,INDEX($K$17:$K$22,SMALL(_xlfn.ANCHORARRAY($K$25),J21)),"")</f>
        <v/>
      </c>
      <c r="L37" s="4"/>
      <c r="M37" s="4"/>
      <c r="N37" s="4"/>
      <c r="O37" s="4"/>
      <c r="P37" s="4"/>
      <c r="Q37" s="171"/>
    </row>
    <row r="38" spans="1:24" x14ac:dyDescent="0.2">
      <c r="K38" s="175" t="str" cm="1">
        <f t="array" ref="K38">IF(J22&lt;=$O$26,INDEX($K$17:$K$22,SMALL(_xlfn.ANCHORARRAY($K$25),J22)),"")</f>
        <v/>
      </c>
      <c r="L38" s="176"/>
      <c r="M38" s="176"/>
      <c r="N38" s="176"/>
      <c r="O38" s="176"/>
      <c r="P38" s="176"/>
      <c r="Q38" s="178"/>
    </row>
    <row r="39" spans="1:24" x14ac:dyDescent="0.2">
      <c r="A39" s="18"/>
      <c r="B39" s="18"/>
      <c r="C39" s="18"/>
      <c r="E39" s="18"/>
      <c r="F39" s="18"/>
      <c r="G39" s="18"/>
      <c r="I39" s="18"/>
      <c r="J39" s="18"/>
    </row>
    <row r="40" spans="1:24" x14ac:dyDescent="0.2">
      <c r="K40" s="183" t="s">
        <v>222</v>
      </c>
    </row>
    <row r="41" spans="1:24" x14ac:dyDescent="0.2">
      <c r="A41" s="18"/>
      <c r="E41" s="18"/>
      <c r="I41" s="18"/>
      <c r="K41" s="183" t="s">
        <v>224</v>
      </c>
    </row>
    <row r="42" spans="1:24" x14ac:dyDescent="0.2">
      <c r="A42" s="18"/>
      <c r="E42" s="18"/>
      <c r="I42" s="18"/>
      <c r="K42" s="183" t="s">
        <v>223</v>
      </c>
    </row>
    <row r="43" spans="1:24" x14ac:dyDescent="0.2">
      <c r="K43" s="18"/>
    </row>
    <row r="44" spans="1:24" x14ac:dyDescent="0.2">
      <c r="O44" s="18"/>
    </row>
    <row r="46" spans="1:24" x14ac:dyDescent="0.2">
      <c r="C46" s="18"/>
      <c r="G46" s="18"/>
    </row>
    <row r="47" spans="1:24" x14ac:dyDescent="0.2">
      <c r="P47" s="18"/>
      <c r="Q47" s="18"/>
    </row>
    <row r="49" spans="1:17" x14ac:dyDescent="0.2">
      <c r="Q49" s="18"/>
    </row>
    <row r="50" spans="1:17" x14ac:dyDescent="0.2">
      <c r="Q50" s="18"/>
    </row>
    <row r="51" spans="1:17" x14ac:dyDescent="0.2">
      <c r="K51" s="18"/>
      <c r="P51" s="18"/>
      <c r="Q51" s="18"/>
    </row>
    <row r="52" spans="1:17" x14ac:dyDescent="0.2">
      <c r="B52" s="18"/>
      <c r="C52" s="18"/>
      <c r="D52" s="18"/>
      <c r="F52" s="18"/>
      <c r="K52" s="18"/>
      <c r="Q52" s="18"/>
    </row>
    <row r="53" spans="1:17" x14ac:dyDescent="0.2">
      <c r="K53" s="18"/>
      <c r="Q53" s="18"/>
    </row>
    <row r="54" spans="1:17" x14ac:dyDescent="0.2">
      <c r="K54" s="18"/>
    </row>
    <row r="56" spans="1:17" x14ac:dyDescent="0.2">
      <c r="K56" s="18"/>
    </row>
    <row r="57" spans="1:17" x14ac:dyDescent="0.2">
      <c r="K57" s="18"/>
    </row>
    <row r="58" spans="1:17" x14ac:dyDescent="0.2">
      <c r="G58" s="18"/>
    </row>
    <row r="59" spans="1:17" x14ac:dyDescent="0.2">
      <c r="F59" s="18"/>
    </row>
    <row r="60" spans="1:17" x14ac:dyDescent="0.2">
      <c r="A60" s="103"/>
      <c r="B60" s="103"/>
      <c r="C60" s="103"/>
      <c r="D60" s="103"/>
      <c r="E60" s="103"/>
      <c r="F60" s="18"/>
    </row>
    <row r="61" spans="1:17" x14ac:dyDescent="0.2">
      <c r="A61" s="103"/>
      <c r="B61" s="103"/>
      <c r="C61" s="103"/>
      <c r="D61" s="103"/>
      <c r="E61" s="103"/>
      <c r="F61" s="18"/>
    </row>
    <row r="62" spans="1:17" x14ac:dyDescent="0.2">
      <c r="A62" s="104"/>
      <c r="B62" s="103"/>
      <c r="C62" s="103"/>
      <c r="D62" s="103"/>
      <c r="E62" s="103"/>
    </row>
    <row r="63" spans="1:17" x14ac:dyDescent="0.2">
      <c r="A63" s="104"/>
      <c r="B63" s="103"/>
      <c r="C63" s="103"/>
      <c r="D63" s="103"/>
      <c r="E63" s="103"/>
    </row>
    <row r="64" spans="1:17" x14ac:dyDescent="0.2">
      <c r="A64" s="104"/>
      <c r="B64" s="103"/>
      <c r="C64" s="103"/>
      <c r="D64" s="103"/>
      <c r="E64" s="103"/>
    </row>
    <row r="65" spans="2:5" x14ac:dyDescent="0.2">
      <c r="B65" s="103"/>
      <c r="D65" s="103"/>
      <c r="E65" s="103"/>
    </row>
    <row r="66" spans="2:5" x14ac:dyDescent="0.2">
      <c r="B66" s="103"/>
      <c r="D66" s="103"/>
      <c r="E66" s="103"/>
    </row>
    <row r="67" spans="2:5" x14ac:dyDescent="0.2">
      <c r="B67" s="103"/>
      <c r="D67" s="103"/>
      <c r="E67" s="103"/>
    </row>
    <row r="68" spans="2:5" x14ac:dyDescent="0.2">
      <c r="B68" s="103"/>
      <c r="D68" s="103"/>
      <c r="E68" s="103"/>
    </row>
    <row r="69" spans="2:5" x14ac:dyDescent="0.2">
      <c r="B69" s="103"/>
      <c r="D69" s="103"/>
      <c r="E69" s="103"/>
    </row>
  </sheetData>
  <mergeCells count="11">
    <mergeCell ref="S21:S24"/>
    <mergeCell ref="S20:T20"/>
    <mergeCell ref="T28:W28"/>
    <mergeCell ref="S28:S29"/>
    <mergeCell ref="S27:W27"/>
    <mergeCell ref="U5:W5"/>
    <mergeCell ref="S5:T6"/>
    <mergeCell ref="S12:T13"/>
    <mergeCell ref="U12:W12"/>
    <mergeCell ref="S14:S16"/>
    <mergeCell ref="S7:S9"/>
  </mergeCells>
  <phoneticPr fontId="19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T67"/>
  <sheetViews>
    <sheetView topLeftCell="A13" workbookViewId="0">
      <selection activeCell="L15" sqref="L15"/>
    </sheetView>
  </sheetViews>
  <sheetFormatPr defaultRowHeight="12.75" x14ac:dyDescent="0.2"/>
  <sheetData>
    <row r="1" spans="1:20" x14ac:dyDescent="0.2">
      <c r="A1" s="25"/>
      <c r="B1" s="32"/>
      <c r="C1" s="32"/>
      <c r="D1" s="25"/>
      <c r="E1" s="25"/>
      <c r="F1" s="25"/>
      <c r="G1" s="33"/>
      <c r="H1" s="32"/>
      <c r="I1" s="25"/>
      <c r="J1" s="34" t="s">
        <v>26</v>
      </c>
      <c r="K1" s="25"/>
      <c r="L1" s="25"/>
      <c r="M1" s="25"/>
      <c r="N1" s="25"/>
      <c r="O1" s="25"/>
      <c r="P1" s="25"/>
      <c r="Q1" s="25"/>
    </row>
    <row r="2" spans="1:20" x14ac:dyDescent="0.2">
      <c r="A2" s="25"/>
      <c r="B2" s="35"/>
      <c r="C2" s="32"/>
      <c r="D2" s="25"/>
      <c r="E2" s="25"/>
      <c r="F2" s="25"/>
      <c r="G2" s="25"/>
      <c r="H2" s="25"/>
      <c r="I2" s="25"/>
      <c r="J2" s="25"/>
      <c r="K2" s="25" t="s">
        <v>27</v>
      </c>
      <c r="L2" s="25"/>
      <c r="M2" s="25"/>
      <c r="N2" s="25"/>
      <c r="O2" s="25"/>
      <c r="P2" s="25"/>
      <c r="Q2" s="25"/>
    </row>
    <row r="3" spans="1:20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36" t="s">
        <v>28</v>
      </c>
      <c r="L3" s="25" t="s">
        <v>142</v>
      </c>
      <c r="M3" s="36" t="s">
        <v>92</v>
      </c>
      <c r="N3" s="36" t="s">
        <v>93</v>
      </c>
      <c r="O3" s="36" t="s">
        <v>94</v>
      </c>
      <c r="P3" s="36" t="s">
        <v>29</v>
      </c>
      <c r="Q3" s="25" t="s">
        <v>58</v>
      </c>
    </row>
    <row r="4" spans="1:20" x14ac:dyDescent="0.2">
      <c r="A4" s="37" t="s">
        <v>30</v>
      </c>
      <c r="B4" s="25"/>
      <c r="C4" s="25"/>
      <c r="D4" s="25"/>
      <c r="E4" s="25"/>
      <c r="F4" s="25"/>
      <c r="G4" s="25"/>
      <c r="H4" s="25"/>
      <c r="I4" s="25"/>
      <c r="J4" s="25">
        <v>1</v>
      </c>
      <c r="K4" s="38">
        <f>B53+IF(other="Yes",1/othercv^2,0)</f>
        <v>5.2847139648566523</v>
      </c>
      <c r="L4" s="39">
        <f>IF(acc="Bird guard",1,IF(acc="none",1.07,0.94))</f>
        <v>0.94</v>
      </c>
      <c r="M4" s="40">
        <f t="shared" ref="M4:M31" si="0">L4*(2*$G$11/($G$13*K4))^0.5</f>
        <v>0</v>
      </c>
      <c r="N4" s="40" t="e">
        <f t="shared" ref="N4:N31" si="1">$G$10/M4</f>
        <v>#DIV/0!</v>
      </c>
      <c r="O4" s="40" t="e">
        <f t="shared" ref="O4:O15" si="2">N4/($G$17-0.18-$F$19*(CEILING($G$17/$F$20,1)-1))</f>
        <v>#DIV/0!</v>
      </c>
      <c r="P4" s="25" t="e">
        <f t="shared" ref="P4:P31" si="3">IF((O4+0.18)/$G$12&gt;=1,CEILING((O4+0.18)/$G$12-1,1),0)</f>
        <v>#DIV/0!</v>
      </c>
      <c r="Q4" s="40" t="e">
        <f t="shared" ref="Q4:Q11" si="4">O4+0.18+P4*0.09</f>
        <v>#DIV/0!</v>
      </c>
      <c r="R4" s="213" t="s">
        <v>83</v>
      </c>
      <c r="T4" s="18" t="s">
        <v>164</v>
      </c>
    </row>
    <row r="5" spans="1:20" x14ac:dyDescent="0.2">
      <c r="A5" s="37" t="s">
        <v>31</v>
      </c>
      <c r="B5" s="25"/>
      <c r="C5" s="25"/>
      <c r="D5" s="25"/>
      <c r="E5" s="25"/>
      <c r="F5" s="25"/>
      <c r="G5" s="25"/>
      <c r="H5" s="25"/>
      <c r="I5" s="25"/>
      <c r="J5" s="25">
        <v>2</v>
      </c>
      <c r="K5" s="38">
        <f>C53+IF(other="Yes",1/othercv^2,0)</f>
        <v>6.9252077562326866</v>
      </c>
      <c r="L5" s="39">
        <f t="shared" ref="L5:L15" si="5">IF(acc="Bird guard",1,IF(acc="none",1.07,0.94))</f>
        <v>0.94</v>
      </c>
      <c r="M5" s="40">
        <f t="shared" si="0"/>
        <v>0</v>
      </c>
      <c r="N5" s="40" t="e">
        <f t="shared" si="1"/>
        <v>#DIV/0!</v>
      </c>
      <c r="O5" s="40" t="e">
        <f t="shared" si="2"/>
        <v>#DIV/0!</v>
      </c>
      <c r="P5" s="25" t="e">
        <f t="shared" si="3"/>
        <v>#DIV/0!</v>
      </c>
      <c r="Q5" s="40" t="e">
        <f t="shared" si="4"/>
        <v>#DIV/0!</v>
      </c>
      <c r="R5" s="214"/>
    </row>
    <row r="6" spans="1:20" x14ac:dyDescent="0.2">
      <c r="A6" s="37"/>
      <c r="B6" s="25"/>
      <c r="C6" s="25"/>
      <c r="D6" s="25"/>
      <c r="E6" s="25"/>
      <c r="F6" s="25"/>
      <c r="G6" s="25"/>
      <c r="H6" s="25"/>
      <c r="I6" s="25"/>
      <c r="J6" s="25">
        <v>3</v>
      </c>
      <c r="K6" s="38">
        <f>K4-1</f>
        <v>4.2847139648566523</v>
      </c>
      <c r="L6" s="39">
        <f t="shared" si="5"/>
        <v>0.94</v>
      </c>
      <c r="M6" s="40">
        <f t="shared" si="0"/>
        <v>0</v>
      </c>
      <c r="N6" s="40" t="e">
        <f t="shared" si="1"/>
        <v>#DIV/0!</v>
      </c>
      <c r="O6" s="40" t="e">
        <f t="shared" si="2"/>
        <v>#DIV/0!</v>
      </c>
      <c r="P6" s="25" t="e">
        <f t="shared" si="3"/>
        <v>#DIV/0!</v>
      </c>
      <c r="Q6" s="40" t="e">
        <f t="shared" si="4"/>
        <v>#DIV/0!</v>
      </c>
      <c r="R6" s="214"/>
    </row>
    <row r="7" spans="1:20" x14ac:dyDescent="0.2">
      <c r="A7" s="25"/>
      <c r="B7" s="25"/>
      <c r="C7" s="25"/>
      <c r="D7" s="25"/>
      <c r="E7" s="25"/>
      <c r="F7" s="25"/>
      <c r="G7" s="25"/>
      <c r="H7" s="25"/>
      <c r="I7" s="25"/>
      <c r="J7" s="25">
        <v>4</v>
      </c>
      <c r="K7" s="38">
        <f>K5-0.5</f>
        <v>6.4252077562326866</v>
      </c>
      <c r="L7" s="39">
        <f t="shared" si="5"/>
        <v>0.94</v>
      </c>
      <c r="M7" s="40">
        <f t="shared" si="0"/>
        <v>0</v>
      </c>
      <c r="N7" s="40" t="e">
        <f t="shared" si="1"/>
        <v>#DIV/0!</v>
      </c>
      <c r="O7" s="40" t="e">
        <f t="shared" si="2"/>
        <v>#DIV/0!</v>
      </c>
      <c r="P7" s="25" t="e">
        <f t="shared" si="3"/>
        <v>#DIV/0!</v>
      </c>
      <c r="Q7" s="40" t="e">
        <f t="shared" si="4"/>
        <v>#DIV/0!</v>
      </c>
      <c r="R7" s="214"/>
    </row>
    <row r="8" spans="1:20" x14ac:dyDescent="0.2">
      <c r="A8" s="41" t="s">
        <v>33</v>
      </c>
      <c r="B8" s="25"/>
      <c r="C8" s="25"/>
      <c r="D8" s="25"/>
      <c r="E8" s="25"/>
      <c r="F8" s="25"/>
      <c r="G8" s="25"/>
      <c r="H8" s="25"/>
      <c r="I8" s="25"/>
      <c r="J8" s="25">
        <v>5</v>
      </c>
      <c r="K8" s="38">
        <f>B54+IF(other="Yes",1/othercv^2,0)</f>
        <v>4.8838558041573821</v>
      </c>
      <c r="L8" s="39">
        <f t="shared" si="5"/>
        <v>0.94</v>
      </c>
      <c r="M8" s="40">
        <f t="shared" si="0"/>
        <v>0</v>
      </c>
      <c r="N8" s="40" t="e">
        <f t="shared" si="1"/>
        <v>#DIV/0!</v>
      </c>
      <c r="O8" s="40" t="e">
        <f t="shared" si="2"/>
        <v>#DIV/0!</v>
      </c>
      <c r="P8" s="25" t="e">
        <f t="shared" si="3"/>
        <v>#DIV/0!</v>
      </c>
      <c r="Q8" s="40" t="e">
        <f t="shared" si="4"/>
        <v>#DIV/0!</v>
      </c>
      <c r="R8" s="213" t="s">
        <v>172</v>
      </c>
    </row>
    <row r="9" spans="1:20" x14ac:dyDescent="0.2">
      <c r="A9" s="25"/>
      <c r="B9" s="25"/>
      <c r="C9" s="25"/>
      <c r="D9" s="25"/>
      <c r="E9" s="25"/>
      <c r="F9" s="25"/>
      <c r="G9" s="25"/>
      <c r="H9" s="25"/>
      <c r="I9" s="25"/>
      <c r="J9" s="25">
        <v>6</v>
      </c>
      <c r="K9" s="38">
        <f>C54+IF(other="Yes",1/othercv^2,0)</f>
        <v>5.6689342403628107</v>
      </c>
      <c r="L9" s="39">
        <f t="shared" si="5"/>
        <v>0.94</v>
      </c>
      <c r="M9" s="40">
        <f t="shared" si="0"/>
        <v>0</v>
      </c>
      <c r="N9" s="40" t="e">
        <f t="shared" si="1"/>
        <v>#DIV/0!</v>
      </c>
      <c r="O9" s="40" t="e">
        <f t="shared" si="2"/>
        <v>#DIV/0!</v>
      </c>
      <c r="P9" s="25" t="e">
        <f t="shared" si="3"/>
        <v>#DIV/0!</v>
      </c>
      <c r="Q9" s="40" t="e">
        <f t="shared" si="4"/>
        <v>#DIV/0!</v>
      </c>
      <c r="R9" s="214"/>
    </row>
    <row r="10" spans="1:20" x14ac:dyDescent="0.2">
      <c r="A10" s="25" t="s">
        <v>34</v>
      </c>
      <c r="B10" s="25"/>
      <c r="C10" s="25"/>
      <c r="D10" s="25"/>
      <c r="E10" s="25"/>
      <c r="F10" s="25"/>
      <c r="G10" s="42">
        <f>flow</f>
        <v>0</v>
      </c>
      <c r="H10" s="25" t="s">
        <v>17</v>
      </c>
      <c r="I10" s="32"/>
      <c r="J10" s="25">
        <v>7</v>
      </c>
      <c r="K10" s="38">
        <f>K8-1</f>
        <v>3.8838558041573821</v>
      </c>
      <c r="L10" s="39">
        <f t="shared" si="5"/>
        <v>0.94</v>
      </c>
      <c r="M10" s="40">
        <f t="shared" si="0"/>
        <v>0</v>
      </c>
      <c r="N10" s="40" t="e">
        <f t="shared" si="1"/>
        <v>#DIV/0!</v>
      </c>
      <c r="O10" s="40" t="e">
        <f t="shared" si="2"/>
        <v>#DIV/0!</v>
      </c>
      <c r="P10" s="25" t="e">
        <f t="shared" si="3"/>
        <v>#DIV/0!</v>
      </c>
      <c r="Q10" s="40" t="e">
        <f t="shared" si="4"/>
        <v>#DIV/0!</v>
      </c>
      <c r="R10" s="214"/>
    </row>
    <row r="11" spans="1:20" x14ac:dyDescent="0.2">
      <c r="A11" s="25" t="s">
        <v>35</v>
      </c>
      <c r="B11" s="25"/>
      <c r="C11" s="25"/>
      <c r="D11" s="25"/>
      <c r="E11" s="25"/>
      <c r="F11" s="25"/>
      <c r="G11" s="42">
        <f>pdrop</f>
        <v>0</v>
      </c>
      <c r="H11" s="25" t="s">
        <v>16</v>
      </c>
      <c r="I11" s="25"/>
      <c r="J11" s="25">
        <v>8</v>
      </c>
      <c r="K11" s="38">
        <f>K9-0.5</f>
        <v>5.1689342403628107</v>
      </c>
      <c r="L11" s="39">
        <f t="shared" si="5"/>
        <v>0.94</v>
      </c>
      <c r="M11" s="40">
        <f t="shared" si="0"/>
        <v>0</v>
      </c>
      <c r="N11" s="40" t="e">
        <f t="shared" si="1"/>
        <v>#DIV/0!</v>
      </c>
      <c r="O11" s="40" t="e">
        <f t="shared" si="2"/>
        <v>#DIV/0!</v>
      </c>
      <c r="P11" s="25" t="e">
        <f t="shared" si="3"/>
        <v>#DIV/0!</v>
      </c>
      <c r="Q11" s="40" t="e">
        <f t="shared" si="4"/>
        <v>#DIV/0!</v>
      </c>
      <c r="R11" s="214"/>
    </row>
    <row r="12" spans="1:20" x14ac:dyDescent="0.2">
      <c r="A12" s="25" t="s">
        <v>36</v>
      </c>
      <c r="B12" s="25"/>
      <c r="C12" s="25"/>
      <c r="D12" s="25"/>
      <c r="E12" s="25"/>
      <c r="F12" s="25"/>
      <c r="G12" s="43">
        <f>IF(mull="",1,mull)</f>
        <v>1</v>
      </c>
      <c r="H12" s="25" t="s">
        <v>18</v>
      </c>
      <c r="I12" s="25"/>
      <c r="J12" s="25">
        <v>9</v>
      </c>
      <c r="K12" s="38">
        <f>4.53+IF(other="Yes",1/othercv^2,0)</f>
        <v>4.53</v>
      </c>
      <c r="L12" s="39">
        <f t="shared" si="5"/>
        <v>0.94</v>
      </c>
      <c r="M12" s="40">
        <f t="shared" si="0"/>
        <v>0</v>
      </c>
      <c r="N12" s="40" t="e">
        <f t="shared" si="1"/>
        <v>#DIV/0!</v>
      </c>
      <c r="O12" s="40" t="e">
        <f t="shared" si="2"/>
        <v>#DIV/0!</v>
      </c>
      <c r="P12" s="25" t="e">
        <f t="shared" si="3"/>
        <v>#DIV/0!</v>
      </c>
      <c r="Q12" s="40" t="e">
        <f>O12+0.18+P12*0.09</f>
        <v>#DIV/0!</v>
      </c>
      <c r="R12" s="213" t="s">
        <v>84</v>
      </c>
    </row>
    <row r="13" spans="1:20" x14ac:dyDescent="0.2">
      <c r="A13" s="25" t="s">
        <v>37</v>
      </c>
      <c r="B13" s="25"/>
      <c r="C13" s="25"/>
      <c r="D13" s="25"/>
      <c r="E13" s="25"/>
      <c r="F13" s="25"/>
      <c r="G13" s="42">
        <f>IF(dense="",1.2,dense)</f>
        <v>1.2</v>
      </c>
      <c r="H13" s="25" t="s">
        <v>38</v>
      </c>
      <c r="I13" s="25"/>
      <c r="J13" s="25">
        <v>10</v>
      </c>
      <c r="K13" s="38">
        <f>4.72+IF(other="Yes",1/othercv^2,0)</f>
        <v>4.72</v>
      </c>
      <c r="L13" s="39">
        <f t="shared" si="5"/>
        <v>0.94</v>
      </c>
      <c r="M13" s="40">
        <f t="shared" si="0"/>
        <v>0</v>
      </c>
      <c r="N13" s="40" t="e">
        <f t="shared" si="1"/>
        <v>#DIV/0!</v>
      </c>
      <c r="O13" s="40" t="e">
        <f t="shared" si="2"/>
        <v>#DIV/0!</v>
      </c>
      <c r="P13" s="25" t="e">
        <f t="shared" si="3"/>
        <v>#DIV/0!</v>
      </c>
      <c r="Q13" s="40" t="e">
        <f>O13+0.18+P13*0.09</f>
        <v>#DIV/0!</v>
      </c>
      <c r="R13" s="214"/>
    </row>
    <row r="14" spans="1:20" x14ac:dyDescent="0.2">
      <c r="A14" s="25"/>
      <c r="B14" s="25"/>
      <c r="C14" s="25"/>
      <c r="D14" s="25"/>
      <c r="E14" s="25"/>
      <c r="F14" s="25"/>
      <c r="G14" s="44"/>
      <c r="H14" s="25"/>
      <c r="I14" s="25"/>
      <c r="J14" s="25">
        <v>11</v>
      </c>
      <c r="K14" s="38">
        <f>3.53+IF(other="Yes",1/othercv^2,0)</f>
        <v>3.53</v>
      </c>
      <c r="L14" s="39">
        <f t="shared" si="5"/>
        <v>0.94</v>
      </c>
      <c r="M14" s="40">
        <f t="shared" si="0"/>
        <v>0</v>
      </c>
      <c r="N14" s="40" t="e">
        <f t="shared" si="1"/>
        <v>#DIV/0!</v>
      </c>
      <c r="O14" s="40" t="e">
        <f t="shared" si="2"/>
        <v>#DIV/0!</v>
      </c>
      <c r="P14" s="25" t="e">
        <f t="shared" si="3"/>
        <v>#DIV/0!</v>
      </c>
      <c r="Q14" s="40" t="e">
        <f>O14+0.18+P14*0.09</f>
        <v>#DIV/0!</v>
      </c>
      <c r="R14" s="214"/>
    </row>
    <row r="15" spans="1:20" x14ac:dyDescent="0.2">
      <c r="A15" s="25"/>
      <c r="B15" s="25"/>
      <c r="C15" s="25"/>
      <c r="D15" s="25"/>
      <c r="E15" s="25"/>
      <c r="F15" s="25"/>
      <c r="G15" s="25"/>
      <c r="H15" s="25"/>
      <c r="I15" s="25"/>
      <c r="J15" s="25">
        <v>12</v>
      </c>
      <c r="K15" s="38">
        <f>4.22+IF(other="Yes",1/othercv^2,0)</f>
        <v>4.22</v>
      </c>
      <c r="L15" s="39">
        <f t="shared" si="5"/>
        <v>0.94</v>
      </c>
      <c r="M15" s="40">
        <f t="shared" si="0"/>
        <v>0</v>
      </c>
      <c r="N15" s="40" t="e">
        <f t="shared" si="1"/>
        <v>#DIV/0!</v>
      </c>
      <c r="O15" s="40" t="e">
        <f t="shared" si="2"/>
        <v>#DIV/0!</v>
      </c>
      <c r="P15" s="25" t="e">
        <f t="shared" si="3"/>
        <v>#DIV/0!</v>
      </c>
      <c r="Q15" s="40" t="e">
        <f>O15+0.18+P15*0.09</f>
        <v>#DIV/0!</v>
      </c>
      <c r="R15" s="214"/>
    </row>
    <row r="16" spans="1:20" x14ac:dyDescent="0.2">
      <c r="A16" s="25" t="s">
        <v>39</v>
      </c>
      <c r="B16" s="25"/>
      <c r="C16" s="25"/>
      <c r="D16" s="25"/>
      <c r="E16" s="25"/>
      <c r="F16" s="25" t="s">
        <v>40</v>
      </c>
      <c r="G16" s="45" t="str">
        <f>IF(high="","w","h")</f>
        <v>w</v>
      </c>
      <c r="H16" s="41"/>
      <c r="I16" s="25"/>
      <c r="J16" s="25">
        <v>13</v>
      </c>
      <c r="K16" s="38">
        <f>10.54+IF(other="Yes",1/othercv^2,0)</f>
        <v>10.54</v>
      </c>
      <c r="L16" s="39">
        <f>IF(acc="Bird guard",1,IF(acc="none",1.04,0.96))</f>
        <v>0.96</v>
      </c>
      <c r="M16" s="40">
        <f t="shared" si="0"/>
        <v>0</v>
      </c>
      <c r="N16" s="40" t="e">
        <f t="shared" si="1"/>
        <v>#DIV/0!</v>
      </c>
      <c r="O16" s="40" t="e">
        <f>N16/($G$17-0.18-$G$19*(CEILING($G$17/$G$20,1)-1))</f>
        <v>#DIV/0!</v>
      </c>
      <c r="P16" s="25" t="e">
        <f t="shared" si="3"/>
        <v>#DIV/0!</v>
      </c>
      <c r="Q16" s="40" t="e">
        <f t="shared" ref="Q16:Q23" si="6">O16+0.18+P16*0.14</f>
        <v>#DIV/0!</v>
      </c>
      <c r="R16" s="213" t="s">
        <v>85</v>
      </c>
    </row>
    <row r="17" spans="1:18" x14ac:dyDescent="0.2">
      <c r="A17" s="46" t="s">
        <v>41</v>
      </c>
      <c r="B17" s="25"/>
      <c r="C17" s="25"/>
      <c r="D17" s="25"/>
      <c r="E17" s="25"/>
      <c r="F17" s="25" t="s">
        <v>42</v>
      </c>
      <c r="G17" s="45">
        <f>IF(high="",wide,high)</f>
        <v>0</v>
      </c>
      <c r="H17" s="25" t="s">
        <v>18</v>
      </c>
      <c r="I17" s="25"/>
      <c r="J17" s="25">
        <v>14</v>
      </c>
      <c r="K17" s="38">
        <f>16+IF(other="Yes",1/othercv^2,0)</f>
        <v>16</v>
      </c>
      <c r="L17" s="39">
        <f t="shared" ref="L17:L23" si="7">IF(acc="Bird guard",1,IF(acc="none",1.04,0.96))</f>
        <v>0.96</v>
      </c>
      <c r="M17" s="40">
        <f t="shared" si="0"/>
        <v>0</v>
      </c>
      <c r="N17" s="40" t="e">
        <f t="shared" si="1"/>
        <v>#DIV/0!</v>
      </c>
      <c r="O17" s="40" t="e">
        <f t="shared" ref="O17:O23" si="8">N17/($G$17-0.18-$G$19*(CEILING($G$17/$G$20,1)-1))</f>
        <v>#DIV/0!</v>
      </c>
      <c r="P17" s="25" t="e">
        <f t="shared" si="3"/>
        <v>#DIV/0!</v>
      </c>
      <c r="Q17" s="40" t="e">
        <f t="shared" si="6"/>
        <v>#DIV/0!</v>
      </c>
      <c r="R17" s="214"/>
    </row>
    <row r="18" spans="1:18" x14ac:dyDescent="0.2">
      <c r="A18" s="25"/>
      <c r="B18" s="25"/>
      <c r="C18" s="25"/>
      <c r="D18" s="25"/>
      <c r="E18" s="25"/>
      <c r="F18" s="47" t="s">
        <v>64</v>
      </c>
      <c r="G18" s="47" t="s">
        <v>65</v>
      </c>
      <c r="H18" s="47" t="s">
        <v>66</v>
      </c>
      <c r="I18" s="25"/>
      <c r="J18" s="25">
        <v>15</v>
      </c>
      <c r="K18" s="38">
        <f>9.54+IF(other="Yes",1/othercv^2,0)</f>
        <v>9.5399999999999991</v>
      </c>
      <c r="L18" s="39">
        <f t="shared" si="7"/>
        <v>0.96</v>
      </c>
      <c r="M18" s="40">
        <f t="shared" si="0"/>
        <v>0</v>
      </c>
      <c r="N18" s="40" t="e">
        <f t="shared" si="1"/>
        <v>#DIV/0!</v>
      </c>
      <c r="O18" s="40" t="e">
        <f t="shared" si="8"/>
        <v>#DIV/0!</v>
      </c>
      <c r="P18" s="25" t="e">
        <f t="shared" si="3"/>
        <v>#DIV/0!</v>
      </c>
      <c r="Q18" s="40" t="e">
        <f t="shared" si="6"/>
        <v>#DIV/0!</v>
      </c>
      <c r="R18" s="214"/>
    </row>
    <row r="19" spans="1:18" x14ac:dyDescent="0.2">
      <c r="A19" s="25" t="s">
        <v>43</v>
      </c>
      <c r="B19" s="25"/>
      <c r="C19" s="25"/>
      <c r="D19" s="25"/>
      <c r="E19" s="25"/>
      <c r="F19" s="44">
        <f>IF(thick="",0.1,thick)</f>
        <v>0.1</v>
      </c>
      <c r="G19" s="44">
        <f>IF(thick="",0.1,thick)</f>
        <v>0.1</v>
      </c>
      <c r="H19" s="44">
        <f>IF(thick="",0.1,thick)</f>
        <v>0.1</v>
      </c>
      <c r="I19" s="25" t="s">
        <v>18</v>
      </c>
      <c r="J19" s="25">
        <v>16</v>
      </c>
      <c r="K19" s="38">
        <f>15.5+IF(other="Yes",1/othercv^2,0)</f>
        <v>15.5</v>
      </c>
      <c r="L19" s="39">
        <f t="shared" si="7"/>
        <v>0.96</v>
      </c>
      <c r="M19" s="40">
        <f t="shared" si="0"/>
        <v>0</v>
      </c>
      <c r="N19" s="40" t="e">
        <f t="shared" si="1"/>
        <v>#DIV/0!</v>
      </c>
      <c r="O19" s="40" t="e">
        <f t="shared" si="8"/>
        <v>#DIV/0!</v>
      </c>
      <c r="P19" s="25" t="e">
        <f t="shared" si="3"/>
        <v>#DIV/0!</v>
      </c>
      <c r="Q19" s="40" t="e">
        <f t="shared" si="6"/>
        <v>#DIV/0!</v>
      </c>
      <c r="R19" s="214"/>
    </row>
    <row r="20" spans="1:18" x14ac:dyDescent="0.2">
      <c r="A20" s="25" t="s">
        <v>68</v>
      </c>
      <c r="B20" s="25"/>
      <c r="C20" s="25"/>
      <c r="D20" s="25"/>
      <c r="E20" s="25"/>
      <c r="F20" s="44">
        <f>IF(space1="",1.25,space1)</f>
        <v>1.25</v>
      </c>
      <c r="G20" s="48">
        <f>IF(space2="",2,space2)</f>
        <v>2</v>
      </c>
      <c r="H20" s="44">
        <f>IF(space3="",3.2,space3)</f>
        <v>3.2</v>
      </c>
      <c r="I20" s="25" t="s">
        <v>18</v>
      </c>
      <c r="J20" s="25">
        <v>17</v>
      </c>
      <c r="K20" s="38">
        <f>14.79+IF(other="Yes",1/othercv^2,0)</f>
        <v>14.79</v>
      </c>
      <c r="L20" s="39">
        <f t="shared" si="7"/>
        <v>0.96</v>
      </c>
      <c r="M20" s="40">
        <f t="shared" si="0"/>
        <v>0</v>
      </c>
      <c r="N20" s="40" t="e">
        <f t="shared" si="1"/>
        <v>#DIV/0!</v>
      </c>
      <c r="O20" s="40" t="e">
        <f t="shared" si="8"/>
        <v>#DIV/0!</v>
      </c>
      <c r="P20" s="25" t="e">
        <f t="shared" si="3"/>
        <v>#DIV/0!</v>
      </c>
      <c r="Q20" s="40" t="e">
        <f t="shared" si="6"/>
        <v>#DIV/0!</v>
      </c>
      <c r="R20" s="213" t="s">
        <v>88</v>
      </c>
    </row>
    <row r="21" spans="1:18" x14ac:dyDescent="0.2">
      <c r="A21" s="41" t="s">
        <v>26</v>
      </c>
      <c r="B21" s="25"/>
      <c r="C21" s="25"/>
      <c r="D21" s="25"/>
      <c r="E21" s="25"/>
      <c r="F21" s="25"/>
      <c r="G21" s="25"/>
      <c r="H21" s="25"/>
      <c r="I21" s="25"/>
      <c r="J21" s="25">
        <v>18</v>
      </c>
      <c r="K21" s="38">
        <f>16+IF(other="Yes",1/othercv^2,0)</f>
        <v>16</v>
      </c>
      <c r="L21" s="39">
        <f t="shared" si="7"/>
        <v>0.96</v>
      </c>
      <c r="M21" s="40">
        <f t="shared" si="0"/>
        <v>0</v>
      </c>
      <c r="N21" s="40" t="e">
        <f t="shared" si="1"/>
        <v>#DIV/0!</v>
      </c>
      <c r="O21" s="40" t="e">
        <f t="shared" si="8"/>
        <v>#DIV/0!</v>
      </c>
      <c r="P21" s="25" t="e">
        <f t="shared" si="3"/>
        <v>#DIV/0!</v>
      </c>
      <c r="Q21" s="40" t="e">
        <f t="shared" si="6"/>
        <v>#DIV/0!</v>
      </c>
      <c r="R21" s="214"/>
    </row>
    <row r="22" spans="1:18" x14ac:dyDescent="0.2">
      <c r="A22" s="25"/>
      <c r="B22" s="25"/>
      <c r="C22" s="25"/>
      <c r="D22" s="25" t="s">
        <v>44</v>
      </c>
      <c r="E22" s="25" t="s">
        <v>45</v>
      </c>
      <c r="F22" s="25"/>
      <c r="G22" s="47" t="s">
        <v>82</v>
      </c>
      <c r="H22" s="25"/>
      <c r="I22" s="49" t="s">
        <v>92</v>
      </c>
      <c r="J22" s="25">
        <v>19</v>
      </c>
      <c r="K22" s="38">
        <f>13.79+IF(other="Yes",1/othercv^2,0)</f>
        <v>13.79</v>
      </c>
      <c r="L22" s="39">
        <f t="shared" si="7"/>
        <v>0.96</v>
      </c>
      <c r="M22" s="40">
        <f t="shared" si="0"/>
        <v>0</v>
      </c>
      <c r="N22" s="40" t="e">
        <f t="shared" si="1"/>
        <v>#DIV/0!</v>
      </c>
      <c r="O22" s="40" t="e">
        <f t="shared" si="8"/>
        <v>#DIV/0!</v>
      </c>
      <c r="P22" s="25" t="e">
        <f t="shared" si="3"/>
        <v>#DIV/0!</v>
      </c>
      <c r="Q22" s="40" t="e">
        <f t="shared" si="6"/>
        <v>#DIV/0!</v>
      </c>
      <c r="R22" s="214"/>
    </row>
    <row r="23" spans="1:18" ht="13.5" thickBo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>
        <v>20</v>
      </c>
      <c r="K23" s="38">
        <f>15.5+IF(other="Yes",1/othercv^2,0)</f>
        <v>15.5</v>
      </c>
      <c r="L23" s="39">
        <f t="shared" si="7"/>
        <v>0.96</v>
      </c>
      <c r="M23" s="40">
        <f t="shared" si="0"/>
        <v>0</v>
      </c>
      <c r="N23" s="40" t="e">
        <f t="shared" si="1"/>
        <v>#DIV/0!</v>
      </c>
      <c r="O23" s="40" t="e">
        <f t="shared" si="8"/>
        <v>#DIV/0!</v>
      </c>
      <c r="P23" s="25" t="e">
        <f t="shared" si="3"/>
        <v>#DIV/0!</v>
      </c>
      <c r="Q23" s="40" t="e">
        <f t="shared" si="6"/>
        <v>#DIV/0!</v>
      </c>
      <c r="R23" s="214"/>
    </row>
    <row r="24" spans="1:18" x14ac:dyDescent="0.2">
      <c r="A24" s="50" t="s">
        <v>46</v>
      </c>
      <c r="B24" s="40"/>
      <c r="C24" s="36" t="s">
        <v>77</v>
      </c>
      <c r="D24" s="40">
        <f>IF($G$16="w",$G$17,IF(conn="No connection",VLOOKUP(1,httable,8),VLOOKUP(3,httable,8)))</f>
        <v>0</v>
      </c>
      <c r="E24" s="40" t="e">
        <f>IF($G$16="h",$G$17,IF(conn="No connection",VLOOKUP(1,witable,5),VLOOKUP(3,witable,5)))</f>
        <v>#DIV/0!</v>
      </c>
      <c r="F24" s="25"/>
      <c r="G24" s="51" t="s">
        <v>84</v>
      </c>
      <c r="H24" s="52" t="e">
        <f>IF($G$16="h",IF(dir="Inlet",$D$28,$D$29),IF(dir="Inlet",$E$28,$E$29))</f>
        <v>#DIV/0!</v>
      </c>
      <c r="I24" s="40">
        <f>IF(conn="No connection",IF(dir="Inlet",M12,M13),IF(dir="Inlet",M14,M15))</f>
        <v>0</v>
      </c>
      <c r="J24" s="25">
        <v>21</v>
      </c>
      <c r="K24" s="38">
        <f>13.03+IF(other="Yes",1/othercv^2,0)</f>
        <v>13.03</v>
      </c>
      <c r="L24" s="39">
        <f>IF(acc="Bird guard",1,IF(acc="none",1.03,0.97))</f>
        <v>0.97</v>
      </c>
      <c r="M24" s="40">
        <f t="shared" si="0"/>
        <v>0</v>
      </c>
      <c r="N24" s="40" t="e">
        <f t="shared" si="1"/>
        <v>#DIV/0!</v>
      </c>
      <c r="O24" s="40" t="e">
        <f>N24/($G$17-0.18-$H$19*(CEILING($G$17/$H$20,1)-1))</f>
        <v>#DIV/0!</v>
      </c>
      <c r="P24" s="25" t="e">
        <f t="shared" si="3"/>
        <v>#DIV/0!</v>
      </c>
      <c r="Q24" s="40" t="e">
        <f t="shared" ref="Q24:Q31" si="9">O24+0.18+P24*0.18</f>
        <v>#DIV/0!</v>
      </c>
      <c r="R24" s="213" t="s">
        <v>86</v>
      </c>
    </row>
    <row r="25" spans="1:18" x14ac:dyDescent="0.2">
      <c r="A25" s="25"/>
      <c r="B25" s="25"/>
      <c r="C25" s="36" t="s">
        <v>78</v>
      </c>
      <c r="D25" s="40">
        <f>IF($G$16="w",$G$17,IF(conn="No connection",VLOOKUP(2,httable,8),VLOOKUP(4,httable,8)))</f>
        <v>0</v>
      </c>
      <c r="E25" s="40" t="e">
        <f>IF($G$16="h",$G$17,IF(conn="No connection",VLOOKUP(2,witable,5),VLOOKUP(4,witable,5)))</f>
        <v>#DIV/0!</v>
      </c>
      <c r="F25" s="25"/>
      <c r="G25" s="51" t="s">
        <v>172</v>
      </c>
      <c r="H25" s="53" t="e">
        <f>IF($G$16="h",IF(dir="Inlet",$D$26,$D$27),IF(dir="Inlet",$E$26,$E$27))</f>
        <v>#DIV/0!</v>
      </c>
      <c r="I25" s="40">
        <f>IF(conn="No connection",IF(dir="Inlet",M8,M9),IF(dir="Inlet",M10,M11))</f>
        <v>0</v>
      </c>
      <c r="J25" s="25">
        <v>22</v>
      </c>
      <c r="K25" s="38">
        <f>20.66+IF(other="Yes",1/othercv^2,0)</f>
        <v>20.66</v>
      </c>
      <c r="L25" s="39">
        <f t="shared" ref="L25:L31" si="10">IF(acc="Bird guard",1,IF(acc="none",1.03,0.97))</f>
        <v>0.97</v>
      </c>
      <c r="M25" s="40">
        <f t="shared" si="0"/>
        <v>0</v>
      </c>
      <c r="N25" s="40" t="e">
        <f t="shared" si="1"/>
        <v>#DIV/0!</v>
      </c>
      <c r="O25" s="40" t="e">
        <f t="shared" ref="O25:O31" si="11">N25/($G$17-0.18-$H$19*(CEILING($G$17/$H$20,1)-1))</f>
        <v>#DIV/0!</v>
      </c>
      <c r="P25" s="25" t="e">
        <f t="shared" si="3"/>
        <v>#DIV/0!</v>
      </c>
      <c r="Q25" s="40" t="e">
        <f t="shared" si="9"/>
        <v>#DIV/0!</v>
      </c>
      <c r="R25" s="214"/>
    </row>
    <row r="26" spans="1:18" x14ac:dyDescent="0.2">
      <c r="A26" s="50" t="s">
        <v>168</v>
      </c>
      <c r="B26" s="25"/>
      <c r="C26" s="36" t="s">
        <v>77</v>
      </c>
      <c r="D26" s="40">
        <f>IF($G$16="w",$G$17,IF(conn="No connection",VLOOKUP(5,httable,8),VLOOKUP(7,httable,8)))</f>
        <v>0</v>
      </c>
      <c r="E26" s="40" t="e">
        <f>IF($G$16="h",$G$17,IF(conn="No connection",VLOOKUP(5,witable,5),VLOOKUP(7,witable,5)))</f>
        <v>#DIV/0!</v>
      </c>
      <c r="F26" s="25"/>
      <c r="G26" s="51" t="s">
        <v>83</v>
      </c>
      <c r="H26" s="53" t="e">
        <f>IF($G$16="h",IF(dir="Inlet",$D$24,$D$25),IF(dir="Inlet",$E$24,$E$25))</f>
        <v>#DIV/0!</v>
      </c>
      <c r="I26" s="40">
        <f>IF(conn="No connection",IF(dir="Inlet",M4,M5),IF(dir="Inlet",M6,M7))</f>
        <v>0</v>
      </c>
      <c r="J26" s="25">
        <v>23</v>
      </c>
      <c r="K26" s="38">
        <f>12.03+IF(other="Yes",1/othercv^2,0)</f>
        <v>12.03</v>
      </c>
      <c r="L26" s="39">
        <f t="shared" si="10"/>
        <v>0.97</v>
      </c>
      <c r="M26" s="40">
        <f t="shared" si="0"/>
        <v>0</v>
      </c>
      <c r="N26" s="40" t="e">
        <f t="shared" si="1"/>
        <v>#DIV/0!</v>
      </c>
      <c r="O26" s="40" t="e">
        <f t="shared" si="11"/>
        <v>#DIV/0!</v>
      </c>
      <c r="P26" s="25" t="e">
        <f t="shared" si="3"/>
        <v>#DIV/0!</v>
      </c>
      <c r="Q26" s="40" t="e">
        <f t="shared" si="9"/>
        <v>#DIV/0!</v>
      </c>
      <c r="R26" s="214"/>
    </row>
    <row r="27" spans="1:18" x14ac:dyDescent="0.2">
      <c r="A27" s="25"/>
      <c r="B27" s="25"/>
      <c r="C27" s="36" t="s">
        <v>78</v>
      </c>
      <c r="D27" s="40">
        <f>IF($G$16="w",$G$17,IF(conn="No connection",VLOOKUP(6,httable,8),VLOOKUP(8,httable,8)))</f>
        <v>0</v>
      </c>
      <c r="E27" s="40" t="e">
        <f>IF($G$16="h",$G$17,IF(conn="No connection",VLOOKUP(6,witable,5),VLOOKUP(8,witable,5)))</f>
        <v>#DIV/0!</v>
      </c>
      <c r="F27" s="25"/>
      <c r="G27" s="51" t="s">
        <v>88</v>
      </c>
      <c r="H27" s="53" t="e">
        <f>IF($G$16="h",IF(dir="Inlet",$D$32,$D$33),IF(dir="Inlet",$E$30,$E$31))</f>
        <v>#DIV/0!</v>
      </c>
      <c r="I27" s="40">
        <f>IF(conn="No connection",IF(dir="Inlet",M20,M21),IF(dir="Inlet",M22,M23))</f>
        <v>0</v>
      </c>
      <c r="J27" s="25">
        <v>24</v>
      </c>
      <c r="K27" s="38">
        <f>20.16+IF(other="Yes",1/othercv^2,0)</f>
        <v>20.16</v>
      </c>
      <c r="L27" s="39">
        <f t="shared" si="10"/>
        <v>0.97</v>
      </c>
      <c r="M27" s="40">
        <f t="shared" si="0"/>
        <v>0</v>
      </c>
      <c r="N27" s="40" t="e">
        <f t="shared" si="1"/>
        <v>#DIV/0!</v>
      </c>
      <c r="O27" s="40" t="e">
        <f t="shared" si="11"/>
        <v>#DIV/0!</v>
      </c>
      <c r="P27" s="25" t="e">
        <f t="shared" si="3"/>
        <v>#DIV/0!</v>
      </c>
      <c r="Q27" s="40" t="e">
        <f t="shared" si="9"/>
        <v>#DIV/0!</v>
      </c>
      <c r="R27" s="214"/>
    </row>
    <row r="28" spans="1:18" x14ac:dyDescent="0.2">
      <c r="A28" s="50" t="s">
        <v>47</v>
      </c>
      <c r="B28" s="25"/>
      <c r="C28" s="36" t="s">
        <v>77</v>
      </c>
      <c r="D28" s="40">
        <f>IF($G$16="w",$G$17,IF(conn="No connection",VLOOKUP(9,httable,8),VLOOKUP(11,httable,8)))</f>
        <v>0</v>
      </c>
      <c r="E28" s="40" t="e">
        <f>IF($G$16="h",$G$17,IF(conn="No connection",VLOOKUP(9,witable,5),VLOOKUP(11,witable,5)))</f>
        <v>#DIV/0!</v>
      </c>
      <c r="F28" s="25"/>
      <c r="G28" s="51" t="s">
        <v>85</v>
      </c>
      <c r="H28" s="53" t="e">
        <f>IF($G$16="h",IF(dir="Inlet",$D$30,$D$31),IF(dir="Inlet",$E$28,$E$29))</f>
        <v>#DIV/0!</v>
      </c>
      <c r="I28" s="40">
        <f>IF(conn="No connection",IF(dir="Inlet",M16,M17),IF(dir="Inlet",M18,M19))</f>
        <v>0</v>
      </c>
      <c r="J28" s="25">
        <v>25</v>
      </c>
      <c r="K28" s="38">
        <f>16+IF(other="Yes",1/othercv^2,0)</f>
        <v>16</v>
      </c>
      <c r="L28" s="39">
        <f t="shared" si="10"/>
        <v>0.97</v>
      </c>
      <c r="M28" s="40">
        <f t="shared" si="0"/>
        <v>0</v>
      </c>
      <c r="N28" s="40" t="e">
        <f t="shared" si="1"/>
        <v>#DIV/0!</v>
      </c>
      <c r="O28" s="40" t="e">
        <f t="shared" si="11"/>
        <v>#DIV/0!</v>
      </c>
      <c r="P28" s="25" t="e">
        <f t="shared" si="3"/>
        <v>#DIV/0!</v>
      </c>
      <c r="Q28" s="40" t="e">
        <f t="shared" si="9"/>
        <v>#DIV/0!</v>
      </c>
      <c r="R28" s="213" t="s">
        <v>87</v>
      </c>
    </row>
    <row r="29" spans="1:18" x14ac:dyDescent="0.2">
      <c r="A29" s="25"/>
      <c r="B29" s="25"/>
      <c r="C29" s="36" t="s">
        <v>78</v>
      </c>
      <c r="D29" s="40">
        <f>IF($G$16="w",$G$17,IF(conn="No connection",VLOOKUP(10,httable,8),VLOOKUP(12,httable,8)))</f>
        <v>0</v>
      </c>
      <c r="E29" s="40" t="e">
        <f>IF($G$16="h",$G$17,IF(conn="No connection",VLOOKUP(10,witable,5),VLOOKUP(12,witable,5)))</f>
        <v>#DIV/0!</v>
      </c>
      <c r="F29" s="25"/>
      <c r="G29" s="51" t="s">
        <v>87</v>
      </c>
      <c r="H29" s="53" t="e">
        <f>IF($G$16="h",IF(dir="Inlet",$D$36,$D$37),IF(dir="Inlet",$E$34,$E$35))</f>
        <v>#DIV/0!</v>
      </c>
      <c r="I29" s="40">
        <f>IF(conn="No connection",IF(dir="Inlet",M28,M29),IF(dir="Inlet",M30,M31))</f>
        <v>0</v>
      </c>
      <c r="J29" s="25">
        <v>26</v>
      </c>
      <c r="K29" s="38">
        <f>20.66+IF(other="Yes",1/othercv^2,0)</f>
        <v>20.66</v>
      </c>
      <c r="L29" s="39">
        <f t="shared" si="10"/>
        <v>0.97</v>
      </c>
      <c r="M29" s="40">
        <f t="shared" si="0"/>
        <v>0</v>
      </c>
      <c r="N29" s="40" t="e">
        <f t="shared" si="1"/>
        <v>#DIV/0!</v>
      </c>
      <c r="O29" s="40" t="e">
        <f t="shared" si="11"/>
        <v>#DIV/0!</v>
      </c>
      <c r="P29" s="25" t="e">
        <f t="shared" si="3"/>
        <v>#DIV/0!</v>
      </c>
      <c r="Q29" s="40" t="e">
        <f t="shared" si="9"/>
        <v>#DIV/0!</v>
      </c>
      <c r="R29" s="214"/>
    </row>
    <row r="30" spans="1:18" ht="13.5" thickBot="1" x14ac:dyDescent="0.25">
      <c r="A30" s="50" t="s">
        <v>50</v>
      </c>
      <c r="B30" s="25"/>
      <c r="C30" s="36" t="s">
        <v>77</v>
      </c>
      <c r="D30" s="40">
        <f>IF($G$16="w",$G$17,IF(conn="No connection",VLOOKUP(13,httable,8),VLOOKUP(15,httable,8)))</f>
        <v>0</v>
      </c>
      <c r="E30" s="40" t="e">
        <f>IF($G$16="h",$G$17,IF(conn="No connection",VLOOKUP(13,witable,5),VLOOKUP(15,witable,5)))</f>
        <v>#DIV/0!</v>
      </c>
      <c r="F30" s="25"/>
      <c r="G30" s="51" t="s">
        <v>86</v>
      </c>
      <c r="H30" s="54" t="e">
        <f>IF($G$16="h",IF(dir="Inlet",$D$34,$D$35),IF(dir="Inlet",$E$32,$E$33))</f>
        <v>#DIV/0!</v>
      </c>
      <c r="I30" s="40">
        <f>IF(conn="No connection",IF(dir="Inlet",M24,M25),IF(dir="Inlet",M26,M27))</f>
        <v>0</v>
      </c>
      <c r="J30" s="25">
        <v>27</v>
      </c>
      <c r="K30" s="38">
        <f>15+IF(other="Yes",1/othercv^2,0)</f>
        <v>15</v>
      </c>
      <c r="L30" s="39">
        <f t="shared" si="10"/>
        <v>0.97</v>
      </c>
      <c r="M30" s="40">
        <f t="shared" si="0"/>
        <v>0</v>
      </c>
      <c r="N30" s="40" t="e">
        <f t="shared" si="1"/>
        <v>#DIV/0!</v>
      </c>
      <c r="O30" s="40" t="e">
        <f t="shared" si="11"/>
        <v>#DIV/0!</v>
      </c>
      <c r="P30" s="25" t="e">
        <f t="shared" si="3"/>
        <v>#DIV/0!</v>
      </c>
      <c r="Q30" s="40" t="e">
        <f t="shared" si="9"/>
        <v>#DIV/0!</v>
      </c>
      <c r="R30" s="214"/>
    </row>
    <row r="31" spans="1:18" x14ac:dyDescent="0.2">
      <c r="A31" s="25"/>
      <c r="B31" s="25"/>
      <c r="C31" s="36" t="s">
        <v>78</v>
      </c>
      <c r="D31" s="40">
        <f>IF($G$16="w",$G$17,IF(conn="No connection",VLOOKUP(14,httable,8),VLOOKUP(16,httable,8)))</f>
        <v>0</v>
      </c>
      <c r="E31" s="40" t="e">
        <f>IF($G$16="h",$G$17,IF(conn="No connection",VLOOKUP(14,witable,5),VLOOKUP(16,witable,5)))</f>
        <v>#DIV/0!</v>
      </c>
      <c r="F31" s="25"/>
      <c r="G31" s="55"/>
      <c r="H31" s="40"/>
      <c r="I31" s="40"/>
      <c r="J31" s="25">
        <v>28</v>
      </c>
      <c r="K31" s="38">
        <f>20.16+IF(other="Yes",1/othercv^2,0)</f>
        <v>20.16</v>
      </c>
      <c r="L31" s="39">
        <f t="shared" si="10"/>
        <v>0.97</v>
      </c>
      <c r="M31" s="40">
        <f t="shared" si="0"/>
        <v>0</v>
      </c>
      <c r="N31" s="40" t="e">
        <f t="shared" si="1"/>
        <v>#DIV/0!</v>
      </c>
      <c r="O31" s="40" t="e">
        <f t="shared" si="11"/>
        <v>#DIV/0!</v>
      </c>
      <c r="P31" s="25" t="e">
        <f t="shared" si="3"/>
        <v>#DIV/0!</v>
      </c>
      <c r="Q31" s="40" t="e">
        <f t="shared" si="9"/>
        <v>#DIV/0!</v>
      </c>
      <c r="R31" s="214"/>
    </row>
    <row r="32" spans="1:18" x14ac:dyDescent="0.2">
      <c r="A32" s="50" t="s">
        <v>51</v>
      </c>
      <c r="B32" s="25"/>
      <c r="C32" s="36" t="s">
        <v>79</v>
      </c>
      <c r="D32" s="40">
        <f>IF($G$16="w",$G$17,IF(conn="No connection",VLOOKUP(17,httable,8),VLOOKUP(19,httable,8)))</f>
        <v>0</v>
      </c>
      <c r="E32" s="40" t="e">
        <f>IF($G$16="h",$G$17,IF(conn="No connection",VLOOKUP(17,witable,5),VLOOKUP(19,witable,5)))</f>
        <v>#DIV/0!</v>
      </c>
      <c r="F32" s="25"/>
      <c r="G32" s="25"/>
      <c r="H32" s="40"/>
      <c r="I32" s="40"/>
      <c r="O32" s="25"/>
      <c r="P32" s="25"/>
      <c r="Q32" s="25"/>
    </row>
    <row r="33" spans="1:17" x14ac:dyDescent="0.2">
      <c r="A33" s="25"/>
      <c r="B33" s="25"/>
      <c r="C33" s="36" t="s">
        <v>78</v>
      </c>
      <c r="D33" s="40">
        <f>IF($G$16="w",$G$17,IF(conn="No connection",VLOOKUP(18,httable,8),VLOOKUP(20,httable,8)))</f>
        <v>0</v>
      </c>
      <c r="E33" s="40" t="e">
        <f>IF($G$16="h",$G$17,IF(conn="No connection",VLOOKUP(18,witable,5),VLOOKUP(20,witable,5)))</f>
        <v>#DIV/0!</v>
      </c>
      <c r="F33" s="25"/>
      <c r="G33" s="55"/>
      <c r="H33" s="40"/>
      <c r="I33" s="40"/>
      <c r="J33" s="25"/>
      <c r="K33" s="25" t="s">
        <v>48</v>
      </c>
      <c r="L33" s="25"/>
      <c r="M33" s="25"/>
      <c r="N33" s="25"/>
      <c r="O33" s="25"/>
      <c r="P33" s="25"/>
      <c r="Q33" s="25"/>
    </row>
    <row r="34" spans="1:17" x14ac:dyDescent="0.2">
      <c r="A34" s="50" t="s">
        <v>52</v>
      </c>
      <c r="B34" s="25"/>
      <c r="C34" s="56" t="s">
        <v>79</v>
      </c>
      <c r="D34" s="40">
        <f>IF($G$16="w",$G$17,IF(conn="No connection",VLOOKUP(21,httable,8),VLOOKUP(23,httable,8)))</f>
        <v>0</v>
      </c>
      <c r="E34" s="40" t="e">
        <f>IF($G$16="h",$G$17,IF(conn="No connection",VLOOKUP(21,witable,5),VLOOKUP(23,witable,5)))</f>
        <v>#DIV/0!</v>
      </c>
      <c r="F34" s="25"/>
      <c r="G34" s="25"/>
      <c r="H34" s="40"/>
      <c r="I34" s="40"/>
      <c r="J34" s="25"/>
      <c r="K34" s="36" t="s">
        <v>29</v>
      </c>
      <c r="L34" s="36" t="s">
        <v>94</v>
      </c>
      <c r="M34" s="36" t="s">
        <v>95</v>
      </c>
      <c r="N34" s="36" t="s">
        <v>49</v>
      </c>
      <c r="O34" s="25"/>
      <c r="P34" s="25"/>
      <c r="Q34" s="25"/>
    </row>
    <row r="35" spans="1:17" x14ac:dyDescent="0.2">
      <c r="A35" s="25"/>
      <c r="B35" s="25"/>
      <c r="C35" s="36" t="s">
        <v>78</v>
      </c>
      <c r="D35" s="40">
        <f>IF($G$16="w",$G$17,IF(conn="No connection",VLOOKUP(22,httable,8),VLOOKUP(24,httable,8)))</f>
        <v>0</v>
      </c>
      <c r="E35" s="40" t="e">
        <f>IF($G$16="h",$G$17,IF(conn="No connection",VLOOKUP(22,witable,5),VLOOKUP(24,witable,5)))</f>
        <v>#DIV/0!</v>
      </c>
      <c r="F35" s="25"/>
      <c r="G35" s="36"/>
      <c r="H35" s="40"/>
      <c r="I35" s="40"/>
      <c r="J35" s="25">
        <v>1</v>
      </c>
      <c r="K35" s="36">
        <f>IF($G$17/$G$12&gt;=1,CEILING($G$17/$G$12-1,1),0)</f>
        <v>0</v>
      </c>
      <c r="L35" s="55">
        <f t="shared" ref="L35:L42" si="12">$G$17-0.18-K35*0.09</f>
        <v>-0.18</v>
      </c>
      <c r="M35" s="55" t="e">
        <f>N4/L35</f>
        <v>#DIV/0!</v>
      </c>
      <c r="N35" s="55" t="e">
        <f>M35+0.18+$F$19*(CEILING(M35/$F$20,1)-1)</f>
        <v>#DIV/0!</v>
      </c>
      <c r="O35" s="215" t="s">
        <v>83</v>
      </c>
      <c r="P35" s="25"/>
      <c r="Q35" s="25"/>
    </row>
    <row r="36" spans="1:17" x14ac:dyDescent="0.2">
      <c r="A36" s="50" t="s">
        <v>53</v>
      </c>
      <c r="B36" s="25"/>
      <c r="C36" s="36" t="s">
        <v>79</v>
      </c>
      <c r="D36" s="40">
        <f>IF($G$16="w",$G$17,IF(conn="No connection",VLOOKUP(25,httable,8),VLOOKUP(27,httable,8)))</f>
        <v>0</v>
      </c>
      <c r="E36" s="40" t="e">
        <f>IF($G$16="h",$G$17,IF(conn="No connection",VLOOKUP(25,witable,5),VLOOKUP(27,witable,5)))</f>
        <v>#DIV/0!</v>
      </c>
      <c r="F36" s="25"/>
      <c r="G36" s="25"/>
      <c r="H36" s="25"/>
      <c r="I36" s="25"/>
      <c r="J36" s="25">
        <v>2</v>
      </c>
      <c r="K36" s="36">
        <f t="shared" ref="K36:K62" si="13">IF($G$17/$G$12&gt;=1,CEILING($G$17/$G$12-1,1),0)</f>
        <v>0</v>
      </c>
      <c r="L36" s="55">
        <f t="shared" si="12"/>
        <v>-0.18</v>
      </c>
      <c r="M36" s="55" t="e">
        <f>N5/L36</f>
        <v>#DIV/0!</v>
      </c>
      <c r="N36" s="55" t="e">
        <f t="shared" ref="N36:N42" si="14">M36+0.18+$F$19*(CEILING(M36/$F$20,1)-1)</f>
        <v>#DIV/0!</v>
      </c>
      <c r="O36" s="216"/>
      <c r="P36" s="25"/>
      <c r="Q36" s="25"/>
    </row>
    <row r="37" spans="1:17" x14ac:dyDescent="0.2">
      <c r="A37" s="25"/>
      <c r="B37" s="25"/>
      <c r="C37" s="36" t="s">
        <v>78</v>
      </c>
      <c r="D37" s="40">
        <f>IF($G$16="w",$G$17,IF(conn="No connection",VLOOKUP(26,httable,8),VLOOKUP(28,httable,8)))</f>
        <v>0</v>
      </c>
      <c r="E37" s="40" t="e">
        <f>IF($G$16="h",$G$17,IF(conn="No connection",VLOOKUP(26,witable,5),VLOOKUP(28,witable,5)))</f>
        <v>#DIV/0!</v>
      </c>
      <c r="F37" s="25"/>
      <c r="G37" s="25"/>
      <c r="H37" s="25"/>
      <c r="I37" s="25"/>
      <c r="J37" s="25">
        <v>3</v>
      </c>
      <c r="K37" s="36">
        <f t="shared" si="13"/>
        <v>0</v>
      </c>
      <c r="L37" s="55">
        <f t="shared" si="12"/>
        <v>-0.18</v>
      </c>
      <c r="M37" s="55" t="e">
        <f>N6/L37</f>
        <v>#DIV/0!</v>
      </c>
      <c r="N37" s="55" t="e">
        <f t="shared" si="14"/>
        <v>#DIV/0!</v>
      </c>
      <c r="O37" s="216"/>
      <c r="P37" s="25"/>
      <c r="Q37" s="25"/>
    </row>
    <row r="38" spans="1:17" x14ac:dyDescent="0.2">
      <c r="A38" s="25"/>
      <c r="B38" s="25"/>
      <c r="C38" s="36"/>
      <c r="D38" s="40"/>
      <c r="E38" s="40"/>
      <c r="F38" s="25"/>
      <c r="G38" s="36"/>
      <c r="H38" s="40"/>
      <c r="I38" s="40"/>
      <c r="J38" s="25">
        <v>4</v>
      </c>
      <c r="K38" s="36">
        <f>IF($G$17/$G$12&gt;=1,CEILING($G$17/$G$12-1,1),0)</f>
        <v>0</v>
      </c>
      <c r="L38" s="55">
        <f t="shared" si="12"/>
        <v>-0.18</v>
      </c>
      <c r="M38" s="55" t="e">
        <f t="shared" ref="M38:M62" si="15">N7/L38</f>
        <v>#DIV/0!</v>
      </c>
      <c r="N38" s="55" t="e">
        <f t="shared" si="14"/>
        <v>#DIV/0!</v>
      </c>
      <c r="O38" s="216"/>
      <c r="P38" s="25"/>
      <c r="Q38" s="25"/>
    </row>
    <row r="39" spans="1:17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>
        <v>5</v>
      </c>
      <c r="K39" s="36">
        <f>IF($G$17/$G$12&gt;=1,CEILING($G$17/$G$12-1,1),0)</f>
        <v>0</v>
      </c>
      <c r="L39" s="55">
        <f t="shared" si="12"/>
        <v>-0.18</v>
      </c>
      <c r="M39" s="55" t="e">
        <f t="shared" si="15"/>
        <v>#DIV/0!</v>
      </c>
      <c r="N39" s="55" t="e">
        <f t="shared" si="14"/>
        <v>#DIV/0!</v>
      </c>
      <c r="O39" s="215" t="s">
        <v>172</v>
      </c>
      <c r="P39" s="25"/>
      <c r="Q39" s="25"/>
    </row>
    <row r="40" spans="1:17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>
        <v>6</v>
      </c>
      <c r="K40" s="36">
        <f>IF($G$17/$G$12&gt;=1,CEILING($G$17/$G$12-1,1),0)</f>
        <v>0</v>
      </c>
      <c r="L40" s="55">
        <f t="shared" si="12"/>
        <v>-0.18</v>
      </c>
      <c r="M40" s="55" t="e">
        <f t="shared" si="15"/>
        <v>#DIV/0!</v>
      </c>
      <c r="N40" s="55" t="e">
        <f t="shared" si="14"/>
        <v>#DIV/0!</v>
      </c>
      <c r="O40" s="216"/>
      <c r="P40" s="25"/>
      <c r="Q40" s="25"/>
    </row>
    <row r="41" spans="1:17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>
        <v>7</v>
      </c>
      <c r="K41" s="36">
        <f>IF($G$17/$G$12&gt;=1,CEILING($G$17/$G$12-1,1),0)</f>
        <v>0</v>
      </c>
      <c r="L41" s="55">
        <f t="shared" si="12"/>
        <v>-0.18</v>
      </c>
      <c r="M41" s="55" t="e">
        <f t="shared" si="15"/>
        <v>#DIV/0!</v>
      </c>
      <c r="N41" s="55" t="e">
        <f t="shared" si="14"/>
        <v>#DIV/0!</v>
      </c>
      <c r="O41" s="216"/>
      <c r="P41" s="25"/>
      <c r="Q41" s="25"/>
    </row>
    <row r="42" spans="1:17" x14ac:dyDescent="0.2">
      <c r="A42" s="41" t="s">
        <v>54</v>
      </c>
      <c r="B42" s="25"/>
      <c r="C42" s="25"/>
      <c r="D42" s="25"/>
      <c r="E42" s="40"/>
      <c r="F42" s="25"/>
      <c r="G42" s="25"/>
      <c r="H42" s="25"/>
      <c r="I42" s="40"/>
      <c r="J42" s="25">
        <v>8</v>
      </c>
      <c r="K42" s="36">
        <f>IF($G$17/$G$12&gt;=1,CEILING($G$17/$G$12-1,1),0)</f>
        <v>0</v>
      </c>
      <c r="L42" s="55">
        <f t="shared" si="12"/>
        <v>-0.18</v>
      </c>
      <c r="M42" s="55" t="e">
        <f t="shared" si="15"/>
        <v>#DIV/0!</v>
      </c>
      <c r="N42" s="55" t="e">
        <f t="shared" si="14"/>
        <v>#DIV/0!</v>
      </c>
      <c r="O42" s="216"/>
      <c r="P42" s="25"/>
      <c r="Q42" s="25"/>
    </row>
    <row r="43" spans="1:17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>
        <v>9</v>
      </c>
      <c r="K43" s="36">
        <f t="shared" si="13"/>
        <v>0</v>
      </c>
      <c r="L43" s="55">
        <f>$G$17-0.18-K43*0.09</f>
        <v>-0.18</v>
      </c>
      <c r="M43" s="55" t="e">
        <f t="shared" si="15"/>
        <v>#DIV/0!</v>
      </c>
      <c r="N43" s="55" t="e">
        <f>M43+0.18+$F$19*(CEILING(M43/$F$20,1)-1)</f>
        <v>#DIV/0!</v>
      </c>
      <c r="O43" s="215" t="s">
        <v>187</v>
      </c>
      <c r="P43" s="25"/>
      <c r="Q43" s="25"/>
    </row>
    <row r="44" spans="1:17" x14ac:dyDescent="0.2">
      <c r="A44" s="25" t="s">
        <v>55</v>
      </c>
      <c r="B44" s="25"/>
      <c r="C44" s="25"/>
      <c r="D44" s="25"/>
      <c r="E44" s="25"/>
      <c r="F44" s="25"/>
      <c r="G44" s="25"/>
      <c r="H44" s="25"/>
      <c r="I44" s="25"/>
      <c r="J44" s="25">
        <v>10</v>
      </c>
      <c r="K44" s="36">
        <f t="shared" si="13"/>
        <v>0</v>
      </c>
      <c r="L44" s="55">
        <f>$G$17-0.18-K44*0.09</f>
        <v>-0.18</v>
      </c>
      <c r="M44" s="55" t="e">
        <f t="shared" si="15"/>
        <v>#DIV/0!</v>
      </c>
      <c r="N44" s="55" t="e">
        <f>M44+0.18+$F$19*(CEILING(M44/$F$20,1)-1)</f>
        <v>#DIV/0!</v>
      </c>
      <c r="O44" s="216"/>
      <c r="P44" s="25"/>
      <c r="Q44" s="25"/>
    </row>
    <row r="45" spans="1:17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>
        <v>11</v>
      </c>
      <c r="K45" s="36">
        <f t="shared" si="13"/>
        <v>0</v>
      </c>
      <c r="L45" s="55">
        <f>$G$17-0.18-K45*0.09</f>
        <v>-0.18</v>
      </c>
      <c r="M45" s="55" t="e">
        <f t="shared" si="15"/>
        <v>#DIV/0!</v>
      </c>
      <c r="N45" s="55" t="e">
        <f>M45+0.18+$F$19*(CEILING(M45/$F$20,1)-1)</f>
        <v>#DIV/0!</v>
      </c>
      <c r="O45" s="216"/>
      <c r="P45" s="25"/>
      <c r="Q45" s="25"/>
    </row>
    <row r="46" spans="1:17" x14ac:dyDescent="0.2">
      <c r="A46" s="25"/>
      <c r="B46" s="57" t="s">
        <v>56</v>
      </c>
      <c r="C46" s="57" t="s">
        <v>57</v>
      </c>
      <c r="D46" s="25"/>
      <c r="E46" s="57" t="s">
        <v>56</v>
      </c>
      <c r="F46" s="57" t="s">
        <v>57</v>
      </c>
      <c r="G46" s="25"/>
      <c r="H46" s="57" t="s">
        <v>56</v>
      </c>
      <c r="I46" s="57" t="s">
        <v>57</v>
      </c>
      <c r="J46" s="25">
        <v>12</v>
      </c>
      <c r="K46" s="36">
        <f t="shared" si="13"/>
        <v>0</v>
      </c>
      <c r="L46" s="55">
        <f>$G$17-0.18-K46*0.09</f>
        <v>-0.18</v>
      </c>
      <c r="M46" s="55" t="e">
        <f t="shared" si="15"/>
        <v>#DIV/0!</v>
      </c>
      <c r="N46" s="55" t="e">
        <f>M46+0.18+$F$19*(CEILING(M46/$F$20,1)-1)</f>
        <v>#DIV/0!</v>
      </c>
      <c r="O46" s="216"/>
      <c r="P46" s="25"/>
      <c r="Q46" s="25"/>
    </row>
    <row r="47" spans="1:17" x14ac:dyDescent="0.2">
      <c r="A47" s="57" t="s">
        <v>46</v>
      </c>
      <c r="B47" s="38">
        <v>0.435</v>
      </c>
      <c r="C47" s="38">
        <v>0.38</v>
      </c>
      <c r="D47" s="57" t="s">
        <v>50</v>
      </c>
      <c r="E47" s="38">
        <v>0.308</v>
      </c>
      <c r="F47" s="38">
        <v>0.25</v>
      </c>
      <c r="G47" s="57" t="s">
        <v>52</v>
      </c>
      <c r="H47" s="58">
        <v>0.27700000000000002</v>
      </c>
      <c r="I47" s="38">
        <v>0.22</v>
      </c>
      <c r="J47" s="25">
        <v>13</v>
      </c>
      <c r="K47" s="36">
        <f t="shared" si="13"/>
        <v>0</v>
      </c>
      <c r="L47" s="55">
        <f t="shared" ref="L47:L54" si="16">$G$17-0.18-K47*0.14</f>
        <v>-0.18</v>
      </c>
      <c r="M47" s="55" t="e">
        <f t="shared" si="15"/>
        <v>#DIV/0!</v>
      </c>
      <c r="N47" s="55" t="e">
        <f>M47+0.18+$G$19*(CEILING(M47/$G$20,1)-1)</f>
        <v>#DIV/0!</v>
      </c>
      <c r="O47" s="215" t="s">
        <v>85</v>
      </c>
      <c r="P47" s="25"/>
      <c r="Q47" s="25"/>
    </row>
    <row r="48" spans="1:17" x14ac:dyDescent="0.2">
      <c r="A48" s="57" t="s">
        <v>168</v>
      </c>
      <c r="B48" s="80">
        <f>AVERAGE(B49,B47)</f>
        <v>0.45250000000000001</v>
      </c>
      <c r="C48" s="80">
        <f>AVERAGE(C49,C47)</f>
        <v>0.42000000000000004</v>
      </c>
      <c r="J48" s="25">
        <v>14</v>
      </c>
      <c r="K48" s="36">
        <f t="shared" si="13"/>
        <v>0</v>
      </c>
      <c r="L48" s="55">
        <f t="shared" si="16"/>
        <v>-0.18</v>
      </c>
      <c r="M48" s="55" t="e">
        <f t="shared" si="15"/>
        <v>#DIV/0!</v>
      </c>
      <c r="N48" s="55" t="e">
        <f t="shared" ref="N48:N54" si="17">M48+0.18+$G$19*(CEILING(M48/$G$20,1)-1)</f>
        <v>#DIV/0!</v>
      </c>
      <c r="O48" s="216"/>
      <c r="P48" s="25"/>
      <c r="Q48" s="25"/>
    </row>
    <row r="49" spans="1:17" x14ac:dyDescent="0.2">
      <c r="A49" s="57" t="s">
        <v>47</v>
      </c>
      <c r="B49" s="38">
        <v>0.47</v>
      </c>
      <c r="C49" s="38">
        <v>0.46</v>
      </c>
      <c r="D49" s="57" t="s">
        <v>51</v>
      </c>
      <c r="E49" s="38">
        <v>0.26</v>
      </c>
      <c r="F49" s="38">
        <v>0.25</v>
      </c>
      <c r="G49" s="57" t="s">
        <v>53</v>
      </c>
      <c r="H49" s="58">
        <v>0.25</v>
      </c>
      <c r="I49" s="38">
        <v>0.22</v>
      </c>
      <c r="J49" s="25">
        <v>15</v>
      </c>
      <c r="K49" s="36">
        <f t="shared" si="13"/>
        <v>0</v>
      </c>
      <c r="L49" s="55">
        <f t="shared" si="16"/>
        <v>-0.18</v>
      </c>
      <c r="M49" s="55" t="e">
        <f t="shared" si="15"/>
        <v>#DIV/0!</v>
      </c>
      <c r="N49" s="55" t="e">
        <f t="shared" si="17"/>
        <v>#DIV/0!</v>
      </c>
      <c r="O49" s="216"/>
      <c r="P49" s="25"/>
      <c r="Q49" s="25"/>
    </row>
    <row r="50" spans="1:17" x14ac:dyDescent="0.2">
      <c r="A50" s="59"/>
      <c r="B50" s="25"/>
      <c r="C50" s="25"/>
      <c r="D50" s="25"/>
      <c r="E50" s="25"/>
      <c r="F50" s="25"/>
      <c r="G50" s="25"/>
      <c r="H50" s="25"/>
      <c r="I50" s="25"/>
      <c r="J50" s="25">
        <v>16</v>
      </c>
      <c r="K50" s="36">
        <f t="shared" si="13"/>
        <v>0</v>
      </c>
      <c r="L50" s="55">
        <f t="shared" si="16"/>
        <v>-0.18</v>
      </c>
      <c r="M50" s="55" t="e">
        <f t="shared" si="15"/>
        <v>#DIV/0!</v>
      </c>
      <c r="N50" s="55" t="e">
        <f t="shared" si="17"/>
        <v>#DIV/0!</v>
      </c>
      <c r="O50" s="216"/>
      <c r="P50" s="25"/>
      <c r="Q50" s="25"/>
    </row>
    <row r="51" spans="1:17" x14ac:dyDescent="0.2">
      <c r="A51" s="77" t="s">
        <v>167</v>
      </c>
      <c r="J51" s="25">
        <v>17</v>
      </c>
      <c r="K51" s="36">
        <f t="shared" si="13"/>
        <v>0</v>
      </c>
      <c r="L51" s="55">
        <f t="shared" si="16"/>
        <v>-0.18</v>
      </c>
      <c r="M51" s="55" t="e">
        <f t="shared" si="15"/>
        <v>#DIV/0!</v>
      </c>
      <c r="N51" s="55" t="e">
        <f t="shared" si="17"/>
        <v>#DIV/0!</v>
      </c>
      <c r="O51" s="215" t="s">
        <v>88</v>
      </c>
      <c r="P51" s="25"/>
      <c r="Q51" s="25"/>
    </row>
    <row r="52" spans="1:17" x14ac:dyDescent="0.2">
      <c r="A52" s="11"/>
      <c r="B52" s="57" t="s">
        <v>56</v>
      </c>
      <c r="C52" s="57" t="s">
        <v>57</v>
      </c>
      <c r="D52" s="25"/>
      <c r="E52" s="57" t="s">
        <v>56</v>
      </c>
      <c r="F52" s="57" t="s">
        <v>57</v>
      </c>
      <c r="G52" s="25"/>
      <c r="H52" s="57" t="s">
        <v>56</v>
      </c>
      <c r="I52" s="57" t="s">
        <v>57</v>
      </c>
      <c r="J52" s="25">
        <v>18</v>
      </c>
      <c r="K52" s="36">
        <f t="shared" si="13"/>
        <v>0</v>
      </c>
      <c r="L52" s="55">
        <f t="shared" si="16"/>
        <v>-0.18</v>
      </c>
      <c r="M52" s="55" t="e">
        <f t="shared" si="15"/>
        <v>#DIV/0!</v>
      </c>
      <c r="N52" s="55" t="e">
        <f t="shared" si="17"/>
        <v>#DIV/0!</v>
      </c>
      <c r="O52" s="216"/>
      <c r="P52" s="25"/>
      <c r="Q52" s="25"/>
    </row>
    <row r="53" spans="1:17" x14ac:dyDescent="0.2">
      <c r="A53" s="57" t="s">
        <v>46</v>
      </c>
      <c r="B53" s="81">
        <f t="shared" ref="B53:C55" si="18">1/B47^2</f>
        <v>5.2847139648566523</v>
      </c>
      <c r="C53" s="81">
        <f t="shared" si="18"/>
        <v>6.9252077562326866</v>
      </c>
      <c r="D53" s="57" t="s">
        <v>50</v>
      </c>
      <c r="E53" s="81">
        <f>1/E47^2</f>
        <v>10.541406645302748</v>
      </c>
      <c r="F53" s="81">
        <f>1/F47^2</f>
        <v>16</v>
      </c>
      <c r="G53" s="57" t="s">
        <v>52</v>
      </c>
      <c r="H53" s="81">
        <f>1/H47^2</f>
        <v>13.032881961188075</v>
      </c>
      <c r="I53" s="81">
        <f>1/I47^2</f>
        <v>20.66115702479339</v>
      </c>
      <c r="J53" s="25">
        <v>19</v>
      </c>
      <c r="K53" s="36">
        <f t="shared" si="13"/>
        <v>0</v>
      </c>
      <c r="L53" s="55">
        <f t="shared" si="16"/>
        <v>-0.18</v>
      </c>
      <c r="M53" s="55" t="e">
        <f t="shared" si="15"/>
        <v>#DIV/0!</v>
      </c>
      <c r="N53" s="55" t="e">
        <f t="shared" si="17"/>
        <v>#DIV/0!</v>
      </c>
      <c r="O53" s="216"/>
      <c r="P53" s="25"/>
      <c r="Q53" s="25"/>
    </row>
    <row r="54" spans="1:17" x14ac:dyDescent="0.2">
      <c r="A54" s="57" t="s">
        <v>168</v>
      </c>
      <c r="B54" s="81">
        <f t="shared" si="18"/>
        <v>4.8838558041573821</v>
      </c>
      <c r="C54" s="81">
        <f t="shared" si="18"/>
        <v>5.6689342403628107</v>
      </c>
      <c r="E54" s="83"/>
      <c r="F54" s="83"/>
      <c r="H54" s="83"/>
      <c r="I54" s="83"/>
      <c r="J54" s="25">
        <v>20</v>
      </c>
      <c r="K54" s="36">
        <f t="shared" si="13"/>
        <v>0</v>
      </c>
      <c r="L54" s="55">
        <f t="shared" si="16"/>
        <v>-0.18</v>
      </c>
      <c r="M54" s="55" t="e">
        <f t="shared" si="15"/>
        <v>#DIV/0!</v>
      </c>
      <c r="N54" s="55" t="e">
        <f t="shared" si="17"/>
        <v>#DIV/0!</v>
      </c>
      <c r="O54" s="216"/>
    </row>
    <row r="55" spans="1:17" x14ac:dyDescent="0.2">
      <c r="A55" s="57" t="s">
        <v>47</v>
      </c>
      <c r="B55" s="81">
        <f t="shared" si="18"/>
        <v>4.5269352648257133</v>
      </c>
      <c r="C55" s="81">
        <f t="shared" si="18"/>
        <v>4.7258979206049148</v>
      </c>
      <c r="D55" s="57" t="s">
        <v>51</v>
      </c>
      <c r="E55" s="81">
        <f>1/E49^2</f>
        <v>14.792899408284022</v>
      </c>
      <c r="F55" s="81">
        <f>1/F49^2</f>
        <v>16</v>
      </c>
      <c r="G55" s="57" t="s">
        <v>53</v>
      </c>
      <c r="H55" s="81">
        <f>1/H49^2</f>
        <v>16</v>
      </c>
      <c r="I55" s="81">
        <f>1/I49^2</f>
        <v>20.66115702479339</v>
      </c>
      <c r="J55" s="25">
        <v>21</v>
      </c>
      <c r="K55" s="36">
        <f t="shared" si="13"/>
        <v>0</v>
      </c>
      <c r="L55" s="55">
        <f t="shared" ref="L55:L62" si="19">$G$17-0.18-K55*0.18</f>
        <v>-0.18</v>
      </c>
      <c r="M55" s="55" t="e">
        <f t="shared" si="15"/>
        <v>#DIV/0!</v>
      </c>
      <c r="N55" s="55" t="e">
        <f>M55+0.18+$H$19*(CEILING(M55/$H$20,1)-1)</f>
        <v>#DIV/0!</v>
      </c>
      <c r="O55" s="215" t="s">
        <v>86</v>
      </c>
    </row>
    <row r="56" spans="1:17" x14ac:dyDescent="0.2">
      <c r="A56" s="11"/>
      <c r="B56" s="82"/>
      <c r="C56" s="82"/>
      <c r="D56" s="9"/>
      <c r="E56" s="9"/>
      <c r="F56" s="9"/>
      <c r="G56" s="9"/>
      <c r="H56" s="9"/>
      <c r="I56" s="9"/>
      <c r="J56" s="25">
        <v>22</v>
      </c>
      <c r="K56" s="36">
        <f t="shared" si="13"/>
        <v>0</v>
      </c>
      <c r="L56" s="55">
        <f t="shared" si="19"/>
        <v>-0.18</v>
      </c>
      <c r="M56" s="55" t="e">
        <f t="shared" si="15"/>
        <v>#DIV/0!</v>
      </c>
      <c r="N56" s="55" t="e">
        <f t="shared" ref="N56:N62" si="20">M56+0.18+$H$19*(CEILING(M56/$H$20,1)-1)</f>
        <v>#DIV/0!</v>
      </c>
      <c r="O56" s="216"/>
    </row>
    <row r="57" spans="1:17" x14ac:dyDescent="0.2">
      <c r="A57" s="84" t="s">
        <v>170</v>
      </c>
      <c r="B57" s="85" t="s">
        <v>171</v>
      </c>
      <c r="C57" s="9"/>
      <c r="D57" s="9"/>
      <c r="E57" s="9"/>
      <c r="F57" s="9"/>
      <c r="G57" s="9"/>
      <c r="H57" s="9"/>
      <c r="I57" s="9"/>
      <c r="J57" s="25">
        <v>23</v>
      </c>
      <c r="K57" s="36">
        <f t="shared" si="13"/>
        <v>0</v>
      </c>
      <c r="L57" s="55">
        <f t="shared" si="19"/>
        <v>-0.18</v>
      </c>
      <c r="M57" s="55" t="e">
        <f t="shared" si="15"/>
        <v>#DIV/0!</v>
      </c>
      <c r="N57" s="55" t="e">
        <f t="shared" si="20"/>
        <v>#DIV/0!</v>
      </c>
      <c r="O57" s="216"/>
    </row>
    <row r="58" spans="1:17" x14ac:dyDescent="0.2">
      <c r="C58" s="9"/>
      <c r="D58" s="9"/>
      <c r="E58" s="9"/>
      <c r="F58" s="9"/>
      <c r="G58" s="9"/>
      <c r="H58" s="9"/>
      <c r="I58" s="9"/>
      <c r="J58" s="25">
        <v>24</v>
      </c>
      <c r="K58" s="36">
        <f t="shared" si="13"/>
        <v>0</v>
      </c>
      <c r="L58" s="55">
        <f t="shared" si="19"/>
        <v>-0.18</v>
      </c>
      <c r="M58" s="55" t="e">
        <f t="shared" si="15"/>
        <v>#DIV/0!</v>
      </c>
      <c r="N58" s="55" t="e">
        <f t="shared" si="20"/>
        <v>#DIV/0!</v>
      </c>
      <c r="O58" s="216"/>
    </row>
    <row r="59" spans="1:17" x14ac:dyDescent="0.2">
      <c r="A59" s="9"/>
      <c r="B59" s="9"/>
      <c r="C59" s="9"/>
      <c r="D59" s="9"/>
      <c r="E59" s="9"/>
      <c r="F59" s="9"/>
      <c r="G59" s="9"/>
      <c r="H59" s="9"/>
      <c r="I59" s="9"/>
      <c r="J59" s="25">
        <v>25</v>
      </c>
      <c r="K59" s="36">
        <f t="shared" si="13"/>
        <v>0</v>
      </c>
      <c r="L59" s="55">
        <f t="shared" si="19"/>
        <v>-0.18</v>
      </c>
      <c r="M59" s="55" t="e">
        <f t="shared" si="15"/>
        <v>#DIV/0!</v>
      </c>
      <c r="N59" s="55" t="e">
        <f t="shared" si="20"/>
        <v>#DIV/0!</v>
      </c>
      <c r="O59" s="215" t="s">
        <v>87</v>
      </c>
    </row>
    <row r="60" spans="1:17" x14ac:dyDescent="0.2">
      <c r="A60" s="11"/>
      <c r="B60" s="9"/>
      <c r="C60" s="9"/>
      <c r="D60" s="9"/>
      <c r="E60" s="9"/>
      <c r="F60" s="9"/>
      <c r="G60" s="9"/>
      <c r="H60" s="9"/>
      <c r="I60" s="9"/>
      <c r="J60" s="25">
        <v>26</v>
      </c>
      <c r="K60" s="36">
        <f t="shared" si="13"/>
        <v>0</v>
      </c>
      <c r="L60" s="55">
        <f t="shared" si="19"/>
        <v>-0.18</v>
      </c>
      <c r="M60" s="55" t="e">
        <f t="shared" si="15"/>
        <v>#DIV/0!</v>
      </c>
      <c r="N60" s="55" t="e">
        <f t="shared" si="20"/>
        <v>#DIV/0!</v>
      </c>
      <c r="O60" s="216"/>
    </row>
    <row r="61" spans="1:17" x14ac:dyDescent="0.2">
      <c r="A61" s="11"/>
      <c r="B61" s="9"/>
      <c r="C61" s="9"/>
      <c r="D61" s="9"/>
      <c r="E61" s="9"/>
      <c r="F61" s="9"/>
      <c r="G61" s="9"/>
      <c r="H61" s="9"/>
      <c r="I61" s="9"/>
      <c r="J61" s="25">
        <v>27</v>
      </c>
      <c r="K61" s="36">
        <f t="shared" si="13"/>
        <v>0</v>
      </c>
      <c r="L61" s="55">
        <f t="shared" si="19"/>
        <v>-0.18</v>
      </c>
      <c r="M61" s="55" t="e">
        <f t="shared" si="15"/>
        <v>#DIV/0!</v>
      </c>
      <c r="N61" s="55" t="e">
        <f t="shared" si="20"/>
        <v>#DIV/0!</v>
      </c>
      <c r="O61" s="216"/>
    </row>
    <row r="62" spans="1:17" x14ac:dyDescent="0.2">
      <c r="B62" s="9"/>
      <c r="C62" s="9"/>
      <c r="D62" s="9"/>
      <c r="E62" s="9"/>
      <c r="F62" s="9"/>
      <c r="G62" s="9"/>
      <c r="H62" s="9"/>
      <c r="I62" s="9"/>
      <c r="J62" s="25">
        <v>28</v>
      </c>
      <c r="K62" s="36">
        <f t="shared" si="13"/>
        <v>0</v>
      </c>
      <c r="L62" s="55">
        <f t="shared" si="19"/>
        <v>-0.18</v>
      </c>
      <c r="M62" s="55" t="e">
        <f t="shared" si="15"/>
        <v>#DIV/0!</v>
      </c>
      <c r="N62" s="55" t="e">
        <f t="shared" si="20"/>
        <v>#DIV/0!</v>
      </c>
      <c r="O62" s="216"/>
    </row>
    <row r="63" spans="1:17" x14ac:dyDescent="0.2">
      <c r="B63" s="9"/>
      <c r="C63" s="9"/>
      <c r="D63" s="9"/>
      <c r="E63" s="9"/>
      <c r="F63" s="9"/>
      <c r="G63" s="9"/>
      <c r="H63" s="9"/>
      <c r="I63" s="9"/>
    </row>
    <row r="64" spans="1:17" x14ac:dyDescent="0.2">
      <c r="A64" s="12"/>
      <c r="B64" s="9"/>
      <c r="C64" s="9"/>
      <c r="D64" s="9"/>
      <c r="E64" s="9"/>
      <c r="F64" s="9"/>
      <c r="G64" s="9"/>
      <c r="H64" s="9"/>
      <c r="I64" s="9"/>
    </row>
    <row r="65" spans="1:9" x14ac:dyDescent="0.2">
      <c r="A65" s="12"/>
      <c r="B65" s="9"/>
      <c r="C65" s="9"/>
      <c r="D65" s="9"/>
      <c r="E65" s="9"/>
      <c r="F65" s="9"/>
      <c r="G65" s="9"/>
      <c r="H65" s="9"/>
      <c r="I65" s="9"/>
    </row>
    <row r="66" spans="1:9" x14ac:dyDescent="0.2">
      <c r="A66" s="12"/>
      <c r="B66" s="9"/>
      <c r="C66" s="9"/>
      <c r="D66" s="9"/>
      <c r="E66" s="9"/>
      <c r="F66" s="9"/>
      <c r="G66" s="9"/>
      <c r="H66" s="9"/>
      <c r="I66" s="9"/>
    </row>
    <row r="67" spans="1:9" x14ac:dyDescent="0.2">
      <c r="A67" s="12"/>
      <c r="B67" s="9"/>
      <c r="C67" s="9"/>
      <c r="D67" s="9"/>
      <c r="E67" s="9"/>
      <c r="F67" s="9"/>
      <c r="G67" s="9"/>
      <c r="H67" s="9"/>
      <c r="I67" s="9"/>
    </row>
  </sheetData>
  <mergeCells count="14">
    <mergeCell ref="R24:R27"/>
    <mergeCell ref="O55:O58"/>
    <mergeCell ref="O59:O62"/>
    <mergeCell ref="R28:R31"/>
    <mergeCell ref="O35:O38"/>
    <mergeCell ref="O39:O42"/>
    <mergeCell ref="O43:O46"/>
    <mergeCell ref="O47:O50"/>
    <mergeCell ref="O51:O54"/>
    <mergeCell ref="R4:R7"/>
    <mergeCell ref="R8:R11"/>
    <mergeCell ref="R12:R15"/>
    <mergeCell ref="R16:R19"/>
    <mergeCell ref="R20:R23"/>
  </mergeCells>
  <phoneticPr fontId="19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S63"/>
  <sheetViews>
    <sheetView workbookViewId="0">
      <selection activeCell="G10" sqref="G10"/>
    </sheetView>
  </sheetViews>
  <sheetFormatPr defaultRowHeight="12.75" x14ac:dyDescent="0.2"/>
  <sheetData>
    <row r="1" spans="1:19" x14ac:dyDescent="0.2">
      <c r="A1" s="25"/>
      <c r="B1" s="32"/>
      <c r="C1" s="32"/>
      <c r="D1" s="25"/>
      <c r="E1" s="25"/>
      <c r="F1" s="25"/>
      <c r="G1" s="32"/>
      <c r="H1" s="32"/>
      <c r="I1" s="25"/>
      <c r="J1" s="34" t="s">
        <v>26</v>
      </c>
      <c r="K1" s="25"/>
      <c r="L1" s="25"/>
      <c r="M1" s="25"/>
      <c r="N1" s="25"/>
      <c r="O1" s="25"/>
      <c r="P1" s="25"/>
      <c r="Q1" s="25"/>
    </row>
    <row r="2" spans="1:19" x14ac:dyDescent="0.2">
      <c r="A2" s="25"/>
      <c r="B2" s="35"/>
      <c r="C2" s="32"/>
      <c r="D2" s="25"/>
      <c r="E2" s="25"/>
      <c r="F2" s="25"/>
      <c r="G2" s="25"/>
      <c r="H2" s="25"/>
      <c r="I2" s="25"/>
      <c r="J2" s="25"/>
      <c r="K2" s="75" t="s">
        <v>165</v>
      </c>
      <c r="L2" s="76" t="s">
        <v>166</v>
      </c>
      <c r="M2" s="25"/>
      <c r="N2" s="25"/>
      <c r="O2" s="25"/>
      <c r="P2" s="25"/>
      <c r="Q2" s="25"/>
    </row>
    <row r="3" spans="1:19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36" t="s">
        <v>28</v>
      </c>
      <c r="L3" s="25" t="s">
        <v>142</v>
      </c>
      <c r="M3" s="36" t="s">
        <v>29</v>
      </c>
      <c r="N3" s="76" t="s">
        <v>94</v>
      </c>
      <c r="O3" s="36" t="s">
        <v>95</v>
      </c>
      <c r="P3" s="36" t="s">
        <v>93</v>
      </c>
      <c r="Q3" s="25" t="s">
        <v>92</v>
      </c>
    </row>
    <row r="4" spans="1:19" x14ac:dyDescent="0.2">
      <c r="A4" s="37" t="s">
        <v>30</v>
      </c>
      <c r="B4" s="25"/>
      <c r="C4" s="25"/>
      <c r="D4" s="25"/>
      <c r="E4" s="25"/>
      <c r="F4" s="25"/>
      <c r="G4" s="25"/>
      <c r="H4" s="25"/>
      <c r="I4" s="25"/>
      <c r="J4" s="25">
        <v>1</v>
      </c>
      <c r="K4" s="38">
        <f>B44+IF(other="Yes",1/othercv^2,0)</f>
        <v>5.2847139648566523</v>
      </c>
      <c r="L4" s="39">
        <f>IF(acc="Bird guard",1,IF(acc="none",1.07,0.94))</f>
        <v>0.94</v>
      </c>
      <c r="M4" s="25">
        <f>IF(($G$11-0.09)/$G$12&gt;=1,CEILING(($G$11-0.09)/$G$12-1,1),0)</f>
        <v>0</v>
      </c>
      <c r="N4" s="40">
        <f t="shared" ref="N4:N15" si="0">$G$11-0.18-M4*0.09</f>
        <v>-0.18</v>
      </c>
      <c r="O4" s="40">
        <f>$G$13-0.18-$F$15*(CEILING($G$13/$F$16,1)-1)</f>
        <v>-7.9999999999999988E-2</v>
      </c>
      <c r="P4" s="40">
        <f>N4*O4</f>
        <v>1.4399999999999998E-2</v>
      </c>
      <c r="Q4" s="40">
        <f>$G$10/P4</f>
        <v>0</v>
      </c>
      <c r="R4" s="209" t="s">
        <v>83</v>
      </c>
    </row>
    <row r="5" spans="1:19" x14ac:dyDescent="0.2">
      <c r="A5" s="37" t="s">
        <v>59</v>
      </c>
      <c r="B5" s="25"/>
      <c r="C5" s="25"/>
      <c r="D5" s="25"/>
      <c r="E5" s="25"/>
      <c r="F5" s="25"/>
      <c r="G5" s="25"/>
      <c r="H5" s="25"/>
      <c r="I5" s="25"/>
      <c r="J5" s="25">
        <v>2</v>
      </c>
      <c r="K5" s="38">
        <f>C44+IF(other="Yes",1/othercv^2,0)</f>
        <v>6.9252077562326866</v>
      </c>
      <c r="L5" s="39">
        <f t="shared" ref="L5:L15" si="1">IF(acc="Bird guard",1,IF(acc="none",1.07,0.94))</f>
        <v>0.94</v>
      </c>
      <c r="M5" s="25">
        <f t="shared" ref="M5:M19" si="2">IF(($G$11-0.09)/$G$12&gt;=1,CEILING(($G$11-0.09)/$G$12-1,1),0)</f>
        <v>0</v>
      </c>
      <c r="N5" s="40">
        <f t="shared" si="0"/>
        <v>-0.18</v>
      </c>
      <c r="O5" s="40">
        <f t="shared" ref="O5:O15" si="3">$G$13-0.18-$F$15*(CEILING($G$13/$F$16,1)-1)</f>
        <v>-7.9999999999999988E-2</v>
      </c>
      <c r="P5" s="40">
        <f t="shared" ref="P5:P31" si="4">N5*O5</f>
        <v>1.4399999999999998E-2</v>
      </c>
      <c r="Q5" s="40">
        <f t="shared" ref="Q5:Q31" si="5">$G$10/P5</f>
        <v>0</v>
      </c>
      <c r="R5" s="209"/>
    </row>
    <row r="6" spans="1:19" x14ac:dyDescent="0.2">
      <c r="A6" s="37" t="s">
        <v>32</v>
      </c>
      <c r="B6" s="25"/>
      <c r="C6" s="25"/>
      <c r="D6" s="25"/>
      <c r="E6" s="25"/>
      <c r="F6" s="25"/>
      <c r="G6" s="25"/>
      <c r="H6" s="25"/>
      <c r="I6" s="25"/>
      <c r="J6" s="25">
        <v>3</v>
      </c>
      <c r="K6" s="38">
        <f>K4-1</f>
        <v>4.2847139648566523</v>
      </c>
      <c r="L6" s="39">
        <f t="shared" si="1"/>
        <v>0.94</v>
      </c>
      <c r="M6" s="25">
        <f t="shared" si="2"/>
        <v>0</v>
      </c>
      <c r="N6" s="40">
        <f t="shared" si="0"/>
        <v>-0.18</v>
      </c>
      <c r="O6" s="40">
        <f t="shared" si="3"/>
        <v>-7.9999999999999988E-2</v>
      </c>
      <c r="P6" s="40">
        <f t="shared" si="4"/>
        <v>1.4399999999999998E-2</v>
      </c>
      <c r="Q6" s="40">
        <f t="shared" si="5"/>
        <v>0</v>
      </c>
      <c r="R6" s="209"/>
      <c r="S6" s="78"/>
    </row>
    <row r="7" spans="1:19" x14ac:dyDescent="0.2">
      <c r="A7" s="25"/>
      <c r="B7" s="25"/>
      <c r="C7" s="25"/>
      <c r="D7" s="25"/>
      <c r="E7" s="25"/>
      <c r="F7" s="25"/>
      <c r="G7" s="32"/>
      <c r="H7" s="25"/>
      <c r="I7" s="25"/>
      <c r="J7" s="25">
        <v>4</v>
      </c>
      <c r="K7" s="38">
        <f>K5-0.5</f>
        <v>6.4252077562326866</v>
      </c>
      <c r="L7" s="39">
        <f>IF(acc="Bird guard",1,IF(acc="none",1.07,0.94))</f>
        <v>0.94</v>
      </c>
      <c r="M7" s="25">
        <f t="shared" si="2"/>
        <v>0</v>
      </c>
      <c r="N7" s="40">
        <f t="shared" si="0"/>
        <v>-0.18</v>
      </c>
      <c r="O7" s="40">
        <f t="shared" si="3"/>
        <v>-7.9999999999999988E-2</v>
      </c>
      <c r="P7" s="40">
        <f t="shared" si="4"/>
        <v>1.4399999999999998E-2</v>
      </c>
      <c r="Q7" s="40">
        <f t="shared" si="5"/>
        <v>0</v>
      </c>
      <c r="R7" s="209"/>
      <c r="S7" s="78"/>
    </row>
    <row r="8" spans="1:19" x14ac:dyDescent="0.2">
      <c r="A8" s="41" t="s">
        <v>33</v>
      </c>
      <c r="B8" s="25"/>
      <c r="C8" s="25"/>
      <c r="D8" s="25"/>
      <c r="E8" s="25"/>
      <c r="F8" s="25"/>
      <c r="G8" s="25"/>
      <c r="H8" s="25"/>
      <c r="I8" s="25"/>
      <c r="J8" s="25">
        <v>5</v>
      </c>
      <c r="K8" s="38">
        <f>B45+IF(other="Yes",1/othercv^2,0)</f>
        <v>4.8838558041573821</v>
      </c>
      <c r="L8" s="39">
        <f>IF(acc="Bird guard",1,IF(acc="none",1.07,0.94))</f>
        <v>0.94</v>
      </c>
      <c r="M8" s="25">
        <f t="shared" si="2"/>
        <v>0</v>
      </c>
      <c r="N8" s="40">
        <f t="shared" si="0"/>
        <v>-0.18</v>
      </c>
      <c r="O8" s="40">
        <f t="shared" si="3"/>
        <v>-7.9999999999999988E-2</v>
      </c>
      <c r="P8" s="40">
        <f t="shared" si="4"/>
        <v>1.4399999999999998E-2</v>
      </c>
      <c r="Q8" s="40">
        <f t="shared" si="5"/>
        <v>0</v>
      </c>
      <c r="R8" s="209" t="s">
        <v>172</v>
      </c>
      <c r="S8" s="78"/>
    </row>
    <row r="9" spans="1:19" x14ac:dyDescent="0.2">
      <c r="A9" s="25"/>
      <c r="B9" s="25"/>
      <c r="C9" s="25"/>
      <c r="D9" s="25"/>
      <c r="E9" s="25"/>
      <c r="F9" s="25"/>
      <c r="G9" s="25"/>
      <c r="H9" s="25"/>
      <c r="I9" s="25"/>
      <c r="J9" s="25">
        <v>6</v>
      </c>
      <c r="K9" s="38">
        <f>C45+IF(other="Yes",1/othercv^2,0)</f>
        <v>5.6689342403628107</v>
      </c>
      <c r="L9" s="39">
        <f>IF(acc="Bird guard",1,IF(acc="none",1.07,0.94))</f>
        <v>0.94</v>
      </c>
      <c r="M9" s="25">
        <f t="shared" si="2"/>
        <v>0</v>
      </c>
      <c r="N9" s="40">
        <f t="shared" si="0"/>
        <v>-0.18</v>
      </c>
      <c r="O9" s="40">
        <f t="shared" si="3"/>
        <v>-7.9999999999999988E-2</v>
      </c>
      <c r="P9" s="40">
        <f t="shared" si="4"/>
        <v>1.4399999999999998E-2</v>
      </c>
      <c r="Q9" s="40">
        <f t="shared" si="5"/>
        <v>0</v>
      </c>
      <c r="R9" s="207"/>
      <c r="S9" s="78"/>
    </row>
    <row r="10" spans="1:19" x14ac:dyDescent="0.2">
      <c r="A10" s="25" t="s">
        <v>34</v>
      </c>
      <c r="B10" s="25"/>
      <c r="C10" s="25"/>
      <c r="D10" s="25"/>
      <c r="E10" s="25"/>
      <c r="F10" s="25"/>
      <c r="G10" s="60">
        <f>flow</f>
        <v>0</v>
      </c>
      <c r="H10" s="25" t="s">
        <v>17</v>
      </c>
      <c r="I10" s="25"/>
      <c r="J10" s="25">
        <v>7</v>
      </c>
      <c r="K10" s="38">
        <f>K8-1</f>
        <v>3.8838558041573821</v>
      </c>
      <c r="L10" s="39">
        <f>IF(acc="Bird guard",1,IF(acc="none",1.07,0.94))</f>
        <v>0.94</v>
      </c>
      <c r="M10" s="25">
        <f t="shared" si="2"/>
        <v>0</v>
      </c>
      <c r="N10" s="40">
        <f t="shared" si="0"/>
        <v>-0.18</v>
      </c>
      <c r="O10" s="40">
        <f t="shared" si="3"/>
        <v>-7.9999999999999988E-2</v>
      </c>
      <c r="P10" s="40">
        <f t="shared" si="4"/>
        <v>1.4399999999999998E-2</v>
      </c>
      <c r="Q10" s="40">
        <f t="shared" si="5"/>
        <v>0</v>
      </c>
      <c r="R10" s="207"/>
      <c r="S10" s="78"/>
    </row>
    <row r="11" spans="1:19" x14ac:dyDescent="0.2">
      <c r="A11" s="25" t="s">
        <v>60</v>
      </c>
      <c r="B11" s="25"/>
      <c r="C11" s="25"/>
      <c r="D11" s="25"/>
      <c r="E11" s="25"/>
      <c r="F11" s="25"/>
      <c r="G11" s="60">
        <f>wide</f>
        <v>0</v>
      </c>
      <c r="H11" s="25" t="s">
        <v>18</v>
      </c>
      <c r="I11" s="25"/>
      <c r="J11" s="25">
        <v>8</v>
      </c>
      <c r="K11" s="38">
        <f>K9-0.5</f>
        <v>5.1689342403628107</v>
      </c>
      <c r="L11" s="39">
        <f>IF(acc="Bird guard",1,IF(acc="none",1.07,0.94))</f>
        <v>0.94</v>
      </c>
      <c r="M11" s="25">
        <f t="shared" si="2"/>
        <v>0</v>
      </c>
      <c r="N11" s="40">
        <f t="shared" si="0"/>
        <v>-0.18</v>
      </c>
      <c r="O11" s="40">
        <f t="shared" si="3"/>
        <v>-7.9999999999999988E-2</v>
      </c>
      <c r="P11" s="40">
        <f t="shared" si="4"/>
        <v>1.4399999999999998E-2</v>
      </c>
      <c r="Q11" s="40">
        <f t="shared" si="5"/>
        <v>0</v>
      </c>
      <c r="R11" s="207"/>
      <c r="S11" s="78"/>
    </row>
    <row r="12" spans="1:19" x14ac:dyDescent="0.2">
      <c r="A12" s="25" t="s">
        <v>36</v>
      </c>
      <c r="B12" s="25"/>
      <c r="C12" s="25"/>
      <c r="D12" s="25"/>
      <c r="E12" s="25"/>
      <c r="F12" s="25"/>
      <c r="G12" s="43">
        <f>IF(mull="",1,mull)</f>
        <v>1</v>
      </c>
      <c r="H12" s="25" t="s">
        <v>18</v>
      </c>
      <c r="I12" s="25"/>
      <c r="J12" s="25">
        <v>9</v>
      </c>
      <c r="K12" s="38">
        <f>B46+IF(other="Yes",1/othercv^2,0)</f>
        <v>4.5269352648257133</v>
      </c>
      <c r="L12" s="39">
        <f t="shared" si="1"/>
        <v>0.94</v>
      </c>
      <c r="M12" s="25">
        <f t="shared" si="2"/>
        <v>0</v>
      </c>
      <c r="N12" s="40">
        <f t="shared" si="0"/>
        <v>-0.18</v>
      </c>
      <c r="O12" s="40">
        <f t="shared" si="3"/>
        <v>-7.9999999999999988E-2</v>
      </c>
      <c r="P12" s="40">
        <f t="shared" si="4"/>
        <v>1.4399999999999998E-2</v>
      </c>
      <c r="Q12" s="40">
        <f t="shared" si="5"/>
        <v>0</v>
      </c>
      <c r="R12" s="209" t="s">
        <v>84</v>
      </c>
      <c r="S12" s="78"/>
    </row>
    <row r="13" spans="1:19" x14ac:dyDescent="0.2">
      <c r="A13" s="25" t="s">
        <v>61</v>
      </c>
      <c r="B13" s="25"/>
      <c r="C13" s="25"/>
      <c r="D13" s="25"/>
      <c r="E13" s="25"/>
      <c r="F13" s="25"/>
      <c r="G13" s="61">
        <f>high</f>
        <v>0</v>
      </c>
      <c r="H13" s="25" t="s">
        <v>18</v>
      </c>
      <c r="I13" s="25"/>
      <c r="J13" s="25">
        <v>10</v>
      </c>
      <c r="K13" s="38">
        <f>C46+IF(other="Yes",1/othercv^2,0)</f>
        <v>4.7258979206049148</v>
      </c>
      <c r="L13" s="39">
        <f t="shared" si="1"/>
        <v>0.94</v>
      </c>
      <c r="M13" s="25">
        <f t="shared" si="2"/>
        <v>0</v>
      </c>
      <c r="N13" s="40">
        <f t="shared" si="0"/>
        <v>-0.18</v>
      </c>
      <c r="O13" s="40">
        <f t="shared" si="3"/>
        <v>-7.9999999999999988E-2</v>
      </c>
      <c r="P13" s="40">
        <f t="shared" si="4"/>
        <v>1.4399999999999998E-2</v>
      </c>
      <c r="Q13" s="40">
        <f t="shared" si="5"/>
        <v>0</v>
      </c>
      <c r="R13" s="207"/>
      <c r="S13" s="78"/>
    </row>
    <row r="14" spans="1:19" x14ac:dyDescent="0.2">
      <c r="A14" s="25"/>
      <c r="B14" s="25"/>
      <c r="C14" s="25"/>
      <c r="D14" s="25"/>
      <c r="E14" s="25"/>
      <c r="F14" s="49" t="s">
        <v>64</v>
      </c>
      <c r="G14" s="49" t="s">
        <v>65</v>
      </c>
      <c r="H14" s="49" t="s">
        <v>66</v>
      </c>
      <c r="I14" s="25"/>
      <c r="J14" s="25">
        <v>11</v>
      </c>
      <c r="K14" s="38">
        <f>K12-1</f>
        <v>3.5269352648257133</v>
      </c>
      <c r="L14" s="39">
        <f t="shared" si="1"/>
        <v>0.94</v>
      </c>
      <c r="M14" s="25">
        <f t="shared" si="2"/>
        <v>0</v>
      </c>
      <c r="N14" s="40">
        <f t="shared" si="0"/>
        <v>-0.18</v>
      </c>
      <c r="O14" s="40">
        <f t="shared" si="3"/>
        <v>-7.9999999999999988E-2</v>
      </c>
      <c r="P14" s="40">
        <f t="shared" si="4"/>
        <v>1.4399999999999998E-2</v>
      </c>
      <c r="Q14" s="40">
        <f t="shared" si="5"/>
        <v>0</v>
      </c>
      <c r="R14" s="207"/>
      <c r="S14" s="78"/>
    </row>
    <row r="15" spans="1:19" x14ac:dyDescent="0.2">
      <c r="A15" s="25" t="s">
        <v>62</v>
      </c>
      <c r="B15" s="25"/>
      <c r="C15" s="25"/>
      <c r="D15" s="25"/>
      <c r="E15" s="25"/>
      <c r="F15" s="62">
        <f>IF(thick="",0.1,thick)</f>
        <v>0.1</v>
      </c>
      <c r="G15" s="62">
        <f>IF(thick="",0.1,thick)</f>
        <v>0.1</v>
      </c>
      <c r="H15" s="62">
        <f>IF(thick="",0.1,thick)</f>
        <v>0.1</v>
      </c>
      <c r="I15" s="25" t="s">
        <v>18</v>
      </c>
      <c r="J15" s="25">
        <v>12</v>
      </c>
      <c r="K15" s="38">
        <f>K13-0.5</f>
        <v>4.2258979206049148</v>
      </c>
      <c r="L15" s="39">
        <f t="shared" si="1"/>
        <v>0.94</v>
      </c>
      <c r="M15" s="25">
        <f t="shared" si="2"/>
        <v>0</v>
      </c>
      <c r="N15" s="40">
        <f t="shared" si="0"/>
        <v>-0.18</v>
      </c>
      <c r="O15" s="40">
        <f t="shared" si="3"/>
        <v>-7.9999999999999988E-2</v>
      </c>
      <c r="P15" s="40">
        <f t="shared" si="4"/>
        <v>1.4399999999999998E-2</v>
      </c>
      <c r="Q15" s="40">
        <f t="shared" si="5"/>
        <v>0</v>
      </c>
      <c r="R15" s="207"/>
      <c r="S15" s="78"/>
    </row>
    <row r="16" spans="1:19" x14ac:dyDescent="0.2">
      <c r="A16" s="25" t="s">
        <v>69</v>
      </c>
      <c r="B16" s="25"/>
      <c r="C16" s="25"/>
      <c r="D16" s="25"/>
      <c r="E16" s="25"/>
      <c r="F16" s="62">
        <f>IF(space1="",1.25,space1)</f>
        <v>1.25</v>
      </c>
      <c r="G16" s="63">
        <f>IF(space2="",2,space2)</f>
        <v>2</v>
      </c>
      <c r="H16" s="62">
        <f>IF(space3="",3.2,space3)</f>
        <v>3.2</v>
      </c>
      <c r="I16" s="25" t="s">
        <v>18</v>
      </c>
      <c r="J16" s="25">
        <v>13</v>
      </c>
      <c r="K16" s="38">
        <f>E44+IF(other="Yes",1/othercv^2,0)</f>
        <v>10.541406645302748</v>
      </c>
      <c r="L16" s="39">
        <f>IF(acc="Bird guard",1,IF(acc="none",1.04,0.96))</f>
        <v>0.96</v>
      </c>
      <c r="M16" s="25">
        <f t="shared" si="2"/>
        <v>0</v>
      </c>
      <c r="N16" s="40">
        <f>$G$11-0.18-M16*0.14</f>
        <v>-0.18</v>
      </c>
      <c r="O16" s="40">
        <f>$G$13-0.18-$G$15*(CEILING($G$13/$G$16,1)-1)</f>
        <v>-7.9999999999999988E-2</v>
      </c>
      <c r="P16" s="40">
        <f t="shared" si="4"/>
        <v>1.4399999999999998E-2</v>
      </c>
      <c r="Q16" s="40">
        <f t="shared" si="5"/>
        <v>0</v>
      </c>
      <c r="R16" s="209" t="s">
        <v>85</v>
      </c>
      <c r="S16" s="78"/>
    </row>
    <row r="17" spans="1:19" x14ac:dyDescent="0.2">
      <c r="A17" s="25" t="s">
        <v>37</v>
      </c>
      <c r="B17" s="25"/>
      <c r="C17" s="25"/>
      <c r="D17" s="25"/>
      <c r="E17" s="25"/>
      <c r="F17" s="25"/>
      <c r="G17" s="64">
        <f>IF(dense="",1.2,dense)</f>
        <v>1.2</v>
      </c>
      <c r="H17" s="25" t="s">
        <v>38</v>
      </c>
      <c r="I17" s="25"/>
      <c r="J17" s="25">
        <v>14</v>
      </c>
      <c r="K17" s="38">
        <f>F44+IF(other="Yes",1/othercv^2,0)</f>
        <v>16</v>
      </c>
      <c r="L17" s="39">
        <f t="shared" ref="L17:L23" si="6">IF(acc="Bird guard",1,IF(acc="none",1.04,0.96))</f>
        <v>0.96</v>
      </c>
      <c r="M17" s="25">
        <f t="shared" si="2"/>
        <v>0</v>
      </c>
      <c r="N17" s="40">
        <f t="shared" ref="N17:N23" si="7">$G$11-0.18-M17*0.14</f>
        <v>-0.18</v>
      </c>
      <c r="O17" s="40">
        <f t="shared" ref="O17:O23" si="8">$G$13-0.18-$G$15*(CEILING($G$13/$G$16,1)-1)</f>
        <v>-7.9999999999999988E-2</v>
      </c>
      <c r="P17" s="40">
        <f t="shared" si="4"/>
        <v>1.4399999999999998E-2</v>
      </c>
      <c r="Q17" s="40">
        <f t="shared" si="5"/>
        <v>0</v>
      </c>
      <c r="R17" s="209"/>
      <c r="S17" s="78"/>
    </row>
    <row r="18" spans="1:19" x14ac:dyDescent="0.2">
      <c r="A18" s="25"/>
      <c r="B18" s="25"/>
      <c r="C18" s="25"/>
      <c r="D18" s="25"/>
      <c r="E18" s="25"/>
      <c r="F18" s="25"/>
      <c r="G18" s="65"/>
      <c r="H18" s="25"/>
      <c r="I18" s="25"/>
      <c r="J18" s="25">
        <v>15</v>
      </c>
      <c r="K18" s="38">
        <f>K16-1</f>
        <v>9.5414066453027484</v>
      </c>
      <c r="L18" s="39">
        <f t="shared" si="6"/>
        <v>0.96</v>
      </c>
      <c r="M18" s="25">
        <f t="shared" si="2"/>
        <v>0</v>
      </c>
      <c r="N18" s="40">
        <f t="shared" si="7"/>
        <v>-0.18</v>
      </c>
      <c r="O18" s="40">
        <f t="shared" si="8"/>
        <v>-7.9999999999999988E-2</v>
      </c>
      <c r="P18" s="40">
        <f t="shared" si="4"/>
        <v>1.4399999999999998E-2</v>
      </c>
      <c r="Q18" s="40">
        <f t="shared" si="5"/>
        <v>0</v>
      </c>
      <c r="R18" s="209"/>
      <c r="S18" s="78"/>
    </row>
    <row r="19" spans="1:19" x14ac:dyDescent="0.2">
      <c r="A19" s="25"/>
      <c r="B19" s="25" t="s">
        <v>63</v>
      </c>
      <c r="C19" s="25"/>
      <c r="D19" s="25"/>
      <c r="E19" s="25"/>
      <c r="F19" s="25"/>
      <c r="G19" s="25"/>
      <c r="H19" s="25"/>
      <c r="I19" s="25"/>
      <c r="J19" s="25">
        <v>16</v>
      </c>
      <c r="K19" s="38">
        <f>K17-0.5</f>
        <v>15.5</v>
      </c>
      <c r="L19" s="39">
        <f t="shared" si="6"/>
        <v>0.96</v>
      </c>
      <c r="M19" s="25">
        <f t="shared" si="2"/>
        <v>0</v>
      </c>
      <c r="N19" s="40">
        <f t="shared" si="7"/>
        <v>-0.18</v>
      </c>
      <c r="O19" s="40">
        <f t="shared" si="8"/>
        <v>-7.9999999999999988E-2</v>
      </c>
      <c r="P19" s="40">
        <f t="shared" si="4"/>
        <v>1.4399999999999998E-2</v>
      </c>
      <c r="Q19" s="40">
        <f t="shared" si="5"/>
        <v>0</v>
      </c>
      <c r="R19" s="209"/>
      <c r="S19" s="78"/>
    </row>
    <row r="20" spans="1:19" x14ac:dyDescent="0.2">
      <c r="A20" s="25"/>
      <c r="B20" s="25"/>
      <c r="C20" s="25"/>
      <c r="D20" s="25"/>
      <c r="E20" s="25"/>
      <c r="F20" s="25"/>
      <c r="G20" s="25"/>
      <c r="H20" s="25"/>
      <c r="I20" s="25"/>
      <c r="J20" s="25">
        <v>17</v>
      </c>
      <c r="K20" s="38">
        <f>E46+IF(other="Yes",1/othercv^2,0)</f>
        <v>14.792899408284022</v>
      </c>
      <c r="L20" s="39">
        <f t="shared" si="6"/>
        <v>0.96</v>
      </c>
      <c r="M20" s="25">
        <f>IF(($G$11-0.14)/$G$12&gt;=1,CEILING(($G$11-0.14)/$G$12-1,1),0)</f>
        <v>0</v>
      </c>
      <c r="N20" s="40">
        <f t="shared" si="7"/>
        <v>-0.18</v>
      </c>
      <c r="O20" s="40">
        <f t="shared" si="8"/>
        <v>-7.9999999999999988E-2</v>
      </c>
      <c r="P20" s="40">
        <f t="shared" si="4"/>
        <v>1.4399999999999998E-2</v>
      </c>
      <c r="Q20" s="40">
        <f t="shared" si="5"/>
        <v>0</v>
      </c>
      <c r="R20" s="209" t="s">
        <v>88</v>
      </c>
      <c r="S20" s="78"/>
    </row>
    <row r="21" spans="1:19" x14ac:dyDescent="0.2">
      <c r="A21" s="25"/>
      <c r="B21" s="25"/>
      <c r="C21" s="25"/>
      <c r="D21" s="66"/>
      <c r="E21" s="66"/>
      <c r="F21" s="66"/>
      <c r="G21" s="66"/>
      <c r="H21" s="25"/>
      <c r="I21" s="25"/>
      <c r="J21" s="25">
        <v>18</v>
      </c>
      <c r="K21" s="38">
        <f>F46+IF(other="Yes",1/othercv^2,0)</f>
        <v>16</v>
      </c>
      <c r="L21" s="39">
        <f t="shared" si="6"/>
        <v>0.96</v>
      </c>
      <c r="M21" s="25">
        <f>IF(($G$11-0.14)/$G$12&gt;=1,CEILING(($G$11-0.14)/$G$12-1,1),0)</f>
        <v>0</v>
      </c>
      <c r="N21" s="40">
        <f t="shared" si="7"/>
        <v>-0.18</v>
      </c>
      <c r="O21" s="40">
        <f t="shared" si="8"/>
        <v>-7.9999999999999988E-2</v>
      </c>
      <c r="P21" s="40">
        <f t="shared" si="4"/>
        <v>1.4399999999999998E-2</v>
      </c>
      <c r="Q21" s="40">
        <f t="shared" si="5"/>
        <v>0</v>
      </c>
      <c r="R21" s="209"/>
      <c r="S21" s="78"/>
    </row>
    <row r="22" spans="1:19" x14ac:dyDescent="0.2">
      <c r="A22" s="41" t="s">
        <v>26</v>
      </c>
      <c r="B22" s="25"/>
      <c r="C22" s="25"/>
      <c r="D22" s="66"/>
      <c r="E22" s="66"/>
      <c r="F22" s="66"/>
      <c r="G22" s="66"/>
      <c r="H22" s="25"/>
      <c r="I22" s="25"/>
      <c r="J22" s="25">
        <v>19</v>
      </c>
      <c r="K22" s="38">
        <f>K20-1</f>
        <v>13.792899408284022</v>
      </c>
      <c r="L22" s="39">
        <f t="shared" si="6"/>
        <v>0.96</v>
      </c>
      <c r="M22" s="25">
        <f>IF(($G$11-0.14)/$G$12&gt;=1,CEILING(($G$11-0.14)/$G$12-1,1),0)</f>
        <v>0</v>
      </c>
      <c r="N22" s="40">
        <f t="shared" si="7"/>
        <v>-0.18</v>
      </c>
      <c r="O22" s="40">
        <f t="shared" si="8"/>
        <v>-7.9999999999999988E-2</v>
      </c>
      <c r="P22" s="40">
        <f t="shared" si="4"/>
        <v>1.4399999999999998E-2</v>
      </c>
      <c r="Q22" s="40">
        <f t="shared" si="5"/>
        <v>0</v>
      </c>
      <c r="R22" s="209"/>
      <c r="S22" s="78"/>
    </row>
    <row r="23" spans="1:19" x14ac:dyDescent="0.2">
      <c r="A23" s="25"/>
      <c r="B23" s="25"/>
      <c r="C23" s="25"/>
      <c r="D23" s="29"/>
      <c r="E23" s="25"/>
      <c r="F23" s="25"/>
      <c r="G23" s="29"/>
      <c r="H23" s="25"/>
      <c r="I23" s="25"/>
      <c r="J23" s="25">
        <v>20</v>
      </c>
      <c r="K23" s="38">
        <f>K21-0.5</f>
        <v>15.5</v>
      </c>
      <c r="L23" s="39">
        <f t="shared" si="6"/>
        <v>0.96</v>
      </c>
      <c r="M23" s="25">
        <f>IF(($G$11-0.14)/$G$12&gt;=1,CEILING(($G$11-0.14)/$G$12-1,1),0)</f>
        <v>0</v>
      </c>
      <c r="N23" s="40">
        <f t="shared" si="7"/>
        <v>-0.18</v>
      </c>
      <c r="O23" s="40">
        <f t="shared" si="8"/>
        <v>-7.9999999999999988E-2</v>
      </c>
      <c r="P23" s="40">
        <f t="shared" si="4"/>
        <v>1.4399999999999998E-2</v>
      </c>
      <c r="Q23" s="40">
        <f t="shared" si="5"/>
        <v>0</v>
      </c>
      <c r="R23" s="209"/>
      <c r="S23" s="78"/>
    </row>
    <row r="24" spans="1:19" x14ac:dyDescent="0.2">
      <c r="A24" s="25" t="s">
        <v>67</v>
      </c>
      <c r="B24" s="25"/>
      <c r="C24" s="57" t="s">
        <v>56</v>
      </c>
      <c r="D24" s="57" t="s">
        <v>57</v>
      </c>
      <c r="E24" s="25"/>
      <c r="F24" s="67" t="s">
        <v>82</v>
      </c>
      <c r="G24" s="57"/>
      <c r="H24" s="47" t="s">
        <v>92</v>
      </c>
      <c r="I24" s="25"/>
      <c r="J24" s="25">
        <v>21</v>
      </c>
      <c r="K24" s="38">
        <f>H44+IF(other="Yes",1/othercv^2,0)</f>
        <v>13.032881961188075</v>
      </c>
      <c r="L24" s="39">
        <f>IF(acc="Bird guard",1,IF(acc="none",1.03,0.97))</f>
        <v>0.97</v>
      </c>
      <c r="M24" s="25">
        <f>IF(($G$11-0.18)/$G$12&gt;=1,CEILING(($G$11-0.18)/$G$12-1,1),0)</f>
        <v>0</v>
      </c>
      <c r="N24" s="40">
        <f>$G$11-0.18-M24*0.18</f>
        <v>-0.18</v>
      </c>
      <c r="O24" s="40">
        <f t="shared" ref="O24:O31" si="9">$G$13-0.18-$H$15*(CEILING($G$13/$H$16,1)-1)</f>
        <v>-7.9999999999999988E-2</v>
      </c>
      <c r="P24" s="40">
        <f t="shared" si="4"/>
        <v>1.4399999999999998E-2</v>
      </c>
      <c r="Q24" s="40">
        <f t="shared" si="5"/>
        <v>0</v>
      </c>
      <c r="R24" s="209" t="s">
        <v>86</v>
      </c>
      <c r="S24" s="78"/>
    </row>
    <row r="25" spans="1:19" ht="13.5" thickBot="1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>
        <v>22</v>
      </c>
      <c r="K25" s="38">
        <f>I44+IF(other="Yes",1/othercv^2,0)</f>
        <v>20.66115702479339</v>
      </c>
      <c r="L25" s="39">
        <f t="shared" ref="L25:L31" si="10">IF(acc="Bird guard",1,IF(acc="none",1.03,0.97))</f>
        <v>0.97</v>
      </c>
      <c r="M25" s="25">
        <f t="shared" ref="M25:M31" si="11">IF(($G$11-0.18)/$G$12&gt;=1,CEILING(($G$11-0.18)/$G$12-1,1),0)</f>
        <v>0</v>
      </c>
      <c r="N25" s="40">
        <f t="shared" ref="N25:N31" si="12">$G$11-0.18-M25*0.18</f>
        <v>-0.18</v>
      </c>
      <c r="O25" s="40">
        <f t="shared" si="9"/>
        <v>-7.9999999999999988E-2</v>
      </c>
      <c r="P25" s="40">
        <f t="shared" si="4"/>
        <v>1.4399999999999998E-2</v>
      </c>
      <c r="Q25" s="40">
        <f t="shared" si="5"/>
        <v>0</v>
      </c>
      <c r="R25" s="209"/>
      <c r="S25" s="78"/>
    </row>
    <row r="26" spans="1:19" x14ac:dyDescent="0.2">
      <c r="A26" s="25"/>
      <c r="B26" s="51" t="s">
        <v>84</v>
      </c>
      <c r="C26" s="68">
        <f>IF(conn="No connection",0.5*$G$17*$K12*$Q12^2/L12^2,0.5*$G$17*$K14*$Q14^2/L7^2)</f>
        <v>0</v>
      </c>
      <c r="D26" s="68">
        <f>IF(conn="No connection",0.5*$G$17*$K13*$Q13^2/L13^2,0.5*$G$17*$K15*$Q15^2/L15^2)</f>
        <v>0</v>
      </c>
      <c r="E26" s="25" t="s">
        <v>16</v>
      </c>
      <c r="F26" s="69">
        <f t="shared" ref="F26:F32" si="13">IF(dir="Inlet",C26,D26)</f>
        <v>0</v>
      </c>
      <c r="G26" s="68" t="s">
        <v>16</v>
      </c>
      <c r="H26" s="66">
        <f>Q4</f>
        <v>0</v>
      </c>
      <c r="I26" s="25"/>
      <c r="J26" s="25">
        <v>23</v>
      </c>
      <c r="K26" s="38">
        <f>K24-1</f>
        <v>12.032881961188075</v>
      </c>
      <c r="L26" s="39">
        <f t="shared" si="10"/>
        <v>0.97</v>
      </c>
      <c r="M26" s="25">
        <f t="shared" si="11"/>
        <v>0</v>
      </c>
      <c r="N26" s="40">
        <f t="shared" si="12"/>
        <v>-0.18</v>
      </c>
      <c r="O26" s="40">
        <f t="shared" si="9"/>
        <v>-7.9999999999999988E-2</v>
      </c>
      <c r="P26" s="40">
        <f t="shared" si="4"/>
        <v>1.4399999999999998E-2</v>
      </c>
      <c r="Q26" s="40">
        <f t="shared" si="5"/>
        <v>0</v>
      </c>
      <c r="R26" s="209"/>
      <c r="S26" s="78"/>
    </row>
    <row r="27" spans="1:19" x14ac:dyDescent="0.2">
      <c r="A27" s="25"/>
      <c r="B27" s="70" t="s">
        <v>172</v>
      </c>
      <c r="C27" s="86">
        <f>IF(conn="No connection",0.5*$G$17*$K8*$Q8^2/L10^2,0.5*$G$17*$K10*$Q10^2/L8^2)</f>
        <v>0</v>
      </c>
      <c r="D27" s="86">
        <f>IF(conn="No connection",0.5*$G$17*$K9*$Q9^2/L9^2,0.5*$G$17*$K11*$Q11^2/L11^2)</f>
        <v>0</v>
      </c>
      <c r="E27" s="18" t="s">
        <v>16</v>
      </c>
      <c r="F27" s="71">
        <f t="shared" si="13"/>
        <v>0</v>
      </c>
      <c r="G27" s="18" t="s">
        <v>16</v>
      </c>
      <c r="H27" s="14">
        <f>Q4</f>
        <v>0</v>
      </c>
      <c r="I27" s="25"/>
      <c r="J27" s="25">
        <v>24</v>
      </c>
      <c r="K27" s="38">
        <f>K25-0.5</f>
        <v>20.16115702479339</v>
      </c>
      <c r="L27" s="39">
        <f t="shared" si="10"/>
        <v>0.97</v>
      </c>
      <c r="M27" s="25">
        <f t="shared" si="11"/>
        <v>0</v>
      </c>
      <c r="N27" s="40">
        <f t="shared" si="12"/>
        <v>-0.18</v>
      </c>
      <c r="O27" s="40">
        <f t="shared" si="9"/>
        <v>-7.9999999999999988E-2</v>
      </c>
      <c r="P27" s="40">
        <f t="shared" si="4"/>
        <v>1.4399999999999998E-2</v>
      </c>
      <c r="Q27" s="40">
        <f t="shared" si="5"/>
        <v>0</v>
      </c>
      <c r="R27" s="209"/>
      <c r="S27" s="78"/>
    </row>
    <row r="28" spans="1:19" x14ac:dyDescent="0.2">
      <c r="A28" s="25"/>
      <c r="B28" s="70" t="s">
        <v>83</v>
      </c>
      <c r="C28" s="68">
        <f>IF(conn="No connection",0.5*$G$17*$K4*$Q4^2/L4^2,0.5*$G$17*$K6*$Q6^2/L6^2)</f>
        <v>0</v>
      </c>
      <c r="D28" s="68">
        <f>IF(conn="No connection",0.5*$G$17*$K5*$Q5^2/L5^2,0.5*$G$17*$K7*$Q7^2/L7^2)</f>
        <v>0</v>
      </c>
      <c r="E28" s="25" t="s">
        <v>16</v>
      </c>
      <c r="F28" s="71">
        <f t="shared" si="13"/>
        <v>0</v>
      </c>
      <c r="G28" s="68" t="s">
        <v>16</v>
      </c>
      <c r="H28" s="66">
        <f>Q4</f>
        <v>0</v>
      </c>
      <c r="I28" s="25"/>
      <c r="J28" s="25">
        <v>25</v>
      </c>
      <c r="K28" s="38">
        <f>H46+IF(other="Yes",1/othercv^2,0)</f>
        <v>16</v>
      </c>
      <c r="L28" s="39">
        <f t="shared" si="10"/>
        <v>0.97</v>
      </c>
      <c r="M28" s="25">
        <f t="shared" si="11"/>
        <v>0</v>
      </c>
      <c r="N28" s="40">
        <f t="shared" si="12"/>
        <v>-0.18</v>
      </c>
      <c r="O28" s="40">
        <f t="shared" si="9"/>
        <v>-7.9999999999999988E-2</v>
      </c>
      <c r="P28" s="40">
        <f t="shared" si="4"/>
        <v>1.4399999999999998E-2</v>
      </c>
      <c r="Q28" s="40">
        <f t="shared" si="5"/>
        <v>0</v>
      </c>
      <c r="R28" s="209" t="s">
        <v>87</v>
      </c>
    </row>
    <row r="29" spans="1:19" x14ac:dyDescent="0.2">
      <c r="A29" s="25"/>
      <c r="B29" s="51" t="s">
        <v>88</v>
      </c>
      <c r="C29" s="68">
        <f>IF(conn="No connection",0.5*$G$17*$K20*$Q20^2/L20^2,0.5*$G$17*$K22*$Q22^2/L22^2)</f>
        <v>0</v>
      </c>
      <c r="D29" s="68">
        <f>IF(conn="No connection",0.5*$G$17*$K21*$Q21^2/L21^2,0.5*$G$17*$K23*$Q23^2/L23^2)</f>
        <v>0</v>
      </c>
      <c r="E29" s="25" t="s">
        <v>16</v>
      </c>
      <c r="F29" s="71">
        <f t="shared" si="13"/>
        <v>0</v>
      </c>
      <c r="G29" s="68" t="s">
        <v>16</v>
      </c>
      <c r="H29" s="66">
        <f>Q16</f>
        <v>0</v>
      </c>
      <c r="I29" s="25"/>
      <c r="J29" s="25">
        <v>26</v>
      </c>
      <c r="K29" s="38">
        <f>I46+IF(other="Yes",1/othercv^2,0)</f>
        <v>20.66115702479339</v>
      </c>
      <c r="L29" s="39">
        <f t="shared" si="10"/>
        <v>0.97</v>
      </c>
      <c r="M29" s="25">
        <f t="shared" si="11"/>
        <v>0</v>
      </c>
      <c r="N29" s="40">
        <f t="shared" si="12"/>
        <v>-0.18</v>
      </c>
      <c r="O29" s="40">
        <f t="shared" si="9"/>
        <v>-7.9999999999999988E-2</v>
      </c>
      <c r="P29" s="40">
        <f t="shared" si="4"/>
        <v>1.4399999999999998E-2</v>
      </c>
      <c r="Q29" s="40">
        <f t="shared" si="5"/>
        <v>0</v>
      </c>
      <c r="R29" s="209"/>
    </row>
    <row r="30" spans="1:19" x14ac:dyDescent="0.2">
      <c r="A30" s="25"/>
      <c r="B30" s="51" t="s">
        <v>85</v>
      </c>
      <c r="C30" s="68">
        <f>IF(conn="No connection",0.5*$G$17*$K16*$Q16^2/L16^2,0.5*$G$17*$K18*$Q18^2/L18^2)</f>
        <v>0</v>
      </c>
      <c r="D30" s="68">
        <f>IF(conn="No connection",0.5*$G$17*$K17*$Q17^2/L17^2,0.5*$G$17*$K19*$Q19^2/L19^2)</f>
        <v>0</v>
      </c>
      <c r="E30" s="25" t="s">
        <v>16</v>
      </c>
      <c r="F30" s="71">
        <f t="shared" si="13"/>
        <v>0</v>
      </c>
      <c r="G30" s="68" t="s">
        <v>16</v>
      </c>
      <c r="H30" s="66">
        <f>Q16</f>
        <v>0</v>
      </c>
      <c r="I30" s="25"/>
      <c r="J30" s="25">
        <v>27</v>
      </c>
      <c r="K30" s="38">
        <f>K28-1</f>
        <v>15</v>
      </c>
      <c r="L30" s="39">
        <f t="shared" si="10"/>
        <v>0.97</v>
      </c>
      <c r="M30" s="25">
        <f t="shared" si="11"/>
        <v>0</v>
      </c>
      <c r="N30" s="40">
        <f t="shared" si="12"/>
        <v>-0.18</v>
      </c>
      <c r="O30" s="40">
        <f t="shared" si="9"/>
        <v>-7.9999999999999988E-2</v>
      </c>
      <c r="P30" s="40">
        <f t="shared" si="4"/>
        <v>1.4399999999999998E-2</v>
      </c>
      <c r="Q30" s="40">
        <f t="shared" si="5"/>
        <v>0</v>
      </c>
      <c r="R30" s="209"/>
    </row>
    <row r="31" spans="1:19" x14ac:dyDescent="0.2">
      <c r="A31" s="25"/>
      <c r="B31" s="51" t="s">
        <v>87</v>
      </c>
      <c r="C31" s="68">
        <f>IF(conn="No connection",0.5*$G$17*$K28*$Q28^2/L28^2,0.5*$G$17*$K30*$Q30^2/L30^2)</f>
        <v>0</v>
      </c>
      <c r="D31" s="68">
        <f>IF(conn="No connection",0.5*$G$17*$K29*$Q29^2/L29^2,0.5*$G$17*$K31*$Q31^2/L31^2)</f>
        <v>0</v>
      </c>
      <c r="E31" s="25" t="s">
        <v>16</v>
      </c>
      <c r="F31" s="71">
        <f t="shared" si="13"/>
        <v>0</v>
      </c>
      <c r="G31" s="68" t="s">
        <v>16</v>
      </c>
      <c r="H31" s="66">
        <f>Q24</f>
        <v>0</v>
      </c>
      <c r="I31" s="25"/>
      <c r="J31" s="25">
        <v>28</v>
      </c>
      <c r="K31" s="38">
        <f>K29-0.5</f>
        <v>20.16115702479339</v>
      </c>
      <c r="L31" s="39">
        <f t="shared" si="10"/>
        <v>0.97</v>
      </c>
      <c r="M31" s="25">
        <f t="shared" si="11"/>
        <v>0</v>
      </c>
      <c r="N31" s="40">
        <f t="shared" si="12"/>
        <v>-0.18</v>
      </c>
      <c r="O31" s="40">
        <f t="shared" si="9"/>
        <v>-7.9999999999999988E-2</v>
      </c>
      <c r="P31" s="40">
        <f t="shared" si="4"/>
        <v>1.4399999999999998E-2</v>
      </c>
      <c r="Q31" s="40">
        <f t="shared" si="5"/>
        <v>0</v>
      </c>
      <c r="R31" s="209"/>
    </row>
    <row r="32" spans="1:19" ht="13.5" thickBot="1" x14ac:dyDescent="0.25">
      <c r="A32" s="25"/>
      <c r="B32" s="51" t="s">
        <v>86</v>
      </c>
      <c r="C32" s="68">
        <f>IF(conn="No connection",0.5*$G$17*$K24*$Q24^2/L24^2,0.5*$G$17*$K26*$Q26^2/L26^2)</f>
        <v>0</v>
      </c>
      <c r="D32" s="68">
        <f>IF(conn="No connection",0.5*$G$17*$K25*$Q25^2/L25^2,0.5*$G$17*$K27*$Q27^2/L27^2)</f>
        <v>0</v>
      </c>
      <c r="E32" s="25" t="s">
        <v>16</v>
      </c>
      <c r="F32" s="72">
        <f t="shared" si="13"/>
        <v>0</v>
      </c>
      <c r="G32" s="68" t="s">
        <v>16</v>
      </c>
      <c r="H32" s="66">
        <f>Q24</f>
        <v>0</v>
      </c>
      <c r="I32" s="25"/>
      <c r="J32" s="25"/>
      <c r="K32" s="36"/>
      <c r="L32" s="55"/>
      <c r="M32" s="55"/>
      <c r="N32" s="55"/>
      <c r="O32" s="25"/>
      <c r="P32" s="25"/>
      <c r="Q32" s="25"/>
    </row>
    <row r="33" spans="1:17" x14ac:dyDescent="0.2">
      <c r="A33" s="25" t="s">
        <v>54</v>
      </c>
      <c r="B33" s="25"/>
      <c r="C33" s="25"/>
      <c r="D33" s="25"/>
      <c r="E33" s="25"/>
      <c r="F33" s="25"/>
      <c r="G33" s="25"/>
      <c r="H33" s="25"/>
      <c r="I33" s="25"/>
      <c r="J33" s="25"/>
      <c r="K33" s="36"/>
      <c r="L33" s="55"/>
      <c r="M33" s="55"/>
      <c r="N33" s="55"/>
      <c r="O33" s="25"/>
      <c r="P33" s="25"/>
      <c r="Q33" s="25"/>
    </row>
    <row r="34" spans="1:17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36"/>
      <c r="L34" s="55"/>
      <c r="M34" s="55"/>
      <c r="N34" s="55"/>
      <c r="O34" s="25"/>
      <c r="P34" s="25"/>
      <c r="Q34" s="25"/>
    </row>
    <row r="35" spans="1:17" x14ac:dyDescent="0.2">
      <c r="A35" s="25" t="s">
        <v>55</v>
      </c>
      <c r="B35" s="25"/>
      <c r="C35" s="25"/>
      <c r="D35" s="25"/>
      <c r="E35" s="25"/>
      <c r="F35" s="25"/>
      <c r="G35" s="25"/>
      <c r="H35" s="25"/>
      <c r="I35" s="25"/>
      <c r="J35" s="25"/>
      <c r="K35" s="36"/>
      <c r="L35" s="55"/>
      <c r="M35" s="55"/>
      <c r="N35" s="55"/>
      <c r="O35" s="25"/>
      <c r="P35" s="25"/>
      <c r="Q35" s="25"/>
    </row>
    <row r="36" spans="1:17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36"/>
      <c r="L36" s="55"/>
      <c r="M36" s="55"/>
      <c r="N36" s="55"/>
      <c r="O36" s="25"/>
      <c r="P36" s="25"/>
      <c r="Q36" s="25"/>
    </row>
    <row r="37" spans="1:17" x14ac:dyDescent="0.2">
      <c r="A37" s="25"/>
      <c r="B37" s="57" t="s">
        <v>56</v>
      </c>
      <c r="C37" s="57" t="s">
        <v>57</v>
      </c>
      <c r="D37" s="25"/>
      <c r="E37" s="57" t="s">
        <v>56</v>
      </c>
      <c r="F37" s="57" t="s">
        <v>57</v>
      </c>
      <c r="G37" s="25"/>
      <c r="H37" s="57" t="s">
        <v>56</v>
      </c>
      <c r="I37" s="57" t="s">
        <v>57</v>
      </c>
      <c r="J37" s="25"/>
      <c r="K37" s="36"/>
      <c r="L37" s="55"/>
      <c r="M37" s="55"/>
      <c r="N37" s="55"/>
      <c r="O37" s="25"/>
      <c r="P37" s="25"/>
      <c r="Q37" s="25"/>
    </row>
    <row r="38" spans="1:17" x14ac:dyDescent="0.2">
      <c r="A38" s="57" t="s">
        <v>46</v>
      </c>
      <c r="B38" s="38">
        <v>0.435</v>
      </c>
      <c r="C38" s="38">
        <v>0.38</v>
      </c>
      <c r="D38" s="57" t="s">
        <v>50</v>
      </c>
      <c r="E38" s="38">
        <v>0.308</v>
      </c>
      <c r="F38" s="38">
        <v>0.25</v>
      </c>
      <c r="G38" s="57" t="s">
        <v>52</v>
      </c>
      <c r="H38" s="58">
        <v>0.27700000000000002</v>
      </c>
      <c r="I38" s="38">
        <v>0.22</v>
      </c>
      <c r="J38" s="25"/>
      <c r="K38" s="36"/>
      <c r="L38" s="55"/>
      <c r="M38" s="55"/>
      <c r="N38" s="55"/>
      <c r="O38" s="25"/>
      <c r="P38" s="25"/>
      <c r="Q38" s="25"/>
    </row>
    <row r="39" spans="1:17" x14ac:dyDescent="0.2">
      <c r="A39" s="57" t="s">
        <v>168</v>
      </c>
      <c r="B39" s="79">
        <f>AVERAGE(B40,B38)</f>
        <v>0.45250000000000001</v>
      </c>
      <c r="C39" s="80">
        <f>AVERAGE(C40,C38)</f>
        <v>0.42000000000000004</v>
      </c>
      <c r="J39" s="25"/>
      <c r="K39" s="36"/>
      <c r="L39" s="55"/>
      <c r="M39" s="55"/>
      <c r="N39" s="55"/>
      <c r="O39" s="25"/>
      <c r="P39" s="25"/>
      <c r="Q39" s="25"/>
    </row>
    <row r="40" spans="1:17" x14ac:dyDescent="0.2">
      <c r="A40" s="57" t="s">
        <v>47</v>
      </c>
      <c r="B40" s="38">
        <v>0.47</v>
      </c>
      <c r="C40" s="38">
        <v>0.46</v>
      </c>
      <c r="D40" s="57" t="s">
        <v>51</v>
      </c>
      <c r="E40" s="38">
        <v>0.26</v>
      </c>
      <c r="F40" s="38">
        <v>0.25</v>
      </c>
      <c r="G40" s="57" t="s">
        <v>53</v>
      </c>
      <c r="H40" s="58">
        <v>0.25</v>
      </c>
      <c r="I40" s="38">
        <v>0.22</v>
      </c>
      <c r="K40" s="8"/>
      <c r="L40" s="10"/>
      <c r="M40" s="10"/>
      <c r="N40" s="10"/>
    </row>
    <row r="41" spans="1:17" x14ac:dyDescent="0.2">
      <c r="K41" s="8"/>
      <c r="L41" s="10"/>
      <c r="M41" s="10"/>
      <c r="N41" s="10"/>
    </row>
    <row r="42" spans="1:17" x14ac:dyDescent="0.2">
      <c r="A42" s="77" t="s">
        <v>167</v>
      </c>
      <c r="K42" s="8"/>
      <c r="L42" s="10"/>
      <c r="M42" s="10"/>
      <c r="N42" s="10"/>
    </row>
    <row r="43" spans="1:17" x14ac:dyDescent="0.2">
      <c r="A43" s="11"/>
      <c r="B43" s="57" t="s">
        <v>56</v>
      </c>
      <c r="C43" s="57" t="s">
        <v>57</v>
      </c>
      <c r="D43" s="25"/>
      <c r="E43" s="57" t="s">
        <v>56</v>
      </c>
      <c r="F43" s="57" t="s">
        <v>57</v>
      </c>
      <c r="G43" s="25"/>
      <c r="H43" s="57" t="s">
        <v>56</v>
      </c>
      <c r="I43" s="57" t="s">
        <v>57</v>
      </c>
      <c r="K43" s="8"/>
      <c r="L43" s="10"/>
      <c r="M43" s="10"/>
      <c r="N43" s="10"/>
    </row>
    <row r="44" spans="1:17" x14ac:dyDescent="0.2">
      <c r="A44" s="57" t="s">
        <v>46</v>
      </c>
      <c r="B44" s="81">
        <f t="shared" ref="B44:C46" si="14">1/B38^2</f>
        <v>5.2847139648566523</v>
      </c>
      <c r="C44" s="81">
        <f t="shared" si="14"/>
        <v>6.9252077562326866</v>
      </c>
      <c r="D44" s="57" t="s">
        <v>50</v>
      </c>
      <c r="E44" s="81">
        <f>1/E38^2</f>
        <v>10.541406645302748</v>
      </c>
      <c r="F44" s="81">
        <f>1/F38^2</f>
        <v>16</v>
      </c>
      <c r="G44" s="57" t="s">
        <v>52</v>
      </c>
      <c r="H44" s="81">
        <f>1/H38^2</f>
        <v>13.032881961188075</v>
      </c>
      <c r="I44" s="81">
        <f>1/I38^2</f>
        <v>20.66115702479339</v>
      </c>
      <c r="K44" s="8"/>
      <c r="L44" s="10"/>
      <c r="M44" s="10"/>
      <c r="N44" s="10"/>
    </row>
    <row r="45" spans="1:17" x14ac:dyDescent="0.2">
      <c r="A45" s="57" t="s">
        <v>168</v>
      </c>
      <c r="B45" s="81">
        <f t="shared" si="14"/>
        <v>4.8838558041573821</v>
      </c>
      <c r="C45" s="81">
        <f t="shared" si="14"/>
        <v>5.6689342403628107</v>
      </c>
      <c r="E45" s="83"/>
      <c r="F45" s="83"/>
      <c r="H45" s="83"/>
      <c r="I45" s="83"/>
      <c r="K45" s="8"/>
      <c r="L45" s="10"/>
      <c r="M45" s="10"/>
      <c r="N45" s="10"/>
    </row>
    <row r="46" spans="1:17" x14ac:dyDescent="0.2">
      <c r="A46" s="57" t="s">
        <v>47</v>
      </c>
      <c r="B46" s="81">
        <f t="shared" si="14"/>
        <v>4.5269352648257133</v>
      </c>
      <c r="C46" s="81">
        <f t="shared" si="14"/>
        <v>4.7258979206049148</v>
      </c>
      <c r="D46" s="57" t="s">
        <v>51</v>
      </c>
      <c r="E46" s="81">
        <f>1/E40^2</f>
        <v>14.792899408284022</v>
      </c>
      <c r="F46" s="81">
        <f>1/F40^2</f>
        <v>16</v>
      </c>
      <c r="G46" s="57" t="s">
        <v>53</v>
      </c>
      <c r="H46" s="81">
        <f>1/H40^2</f>
        <v>16</v>
      </c>
      <c r="I46" s="81">
        <f>1/I40^2</f>
        <v>20.66115702479339</v>
      </c>
      <c r="K46" s="8"/>
      <c r="L46" s="10"/>
      <c r="M46" s="10"/>
      <c r="N46" s="10"/>
    </row>
    <row r="47" spans="1:17" x14ac:dyDescent="0.2">
      <c r="A47" s="11"/>
      <c r="B47" s="82"/>
      <c r="C47" s="82"/>
      <c r="D47" s="9"/>
      <c r="E47" s="9"/>
      <c r="F47" s="9"/>
      <c r="G47" s="9"/>
      <c r="H47" s="9"/>
      <c r="I47" s="9"/>
      <c r="K47" s="8"/>
      <c r="L47" s="10"/>
      <c r="M47" s="10"/>
      <c r="N47" s="10"/>
    </row>
    <row r="48" spans="1:17" x14ac:dyDescent="0.2">
      <c r="A48" s="84" t="s">
        <v>170</v>
      </c>
      <c r="B48" s="85" t="s">
        <v>171</v>
      </c>
      <c r="C48" s="9"/>
      <c r="D48" s="9"/>
      <c r="E48" s="9"/>
      <c r="F48" s="9"/>
      <c r="G48" s="9"/>
      <c r="H48" s="9"/>
      <c r="I48" s="9"/>
      <c r="K48" s="8"/>
      <c r="L48" s="10"/>
      <c r="M48" s="10"/>
      <c r="N48" s="10"/>
    </row>
    <row r="49" spans="1:14" x14ac:dyDescent="0.2">
      <c r="A49" s="9"/>
      <c r="B49" s="9"/>
      <c r="C49" s="9"/>
      <c r="D49" s="9"/>
      <c r="E49" s="9"/>
      <c r="F49" s="9"/>
      <c r="G49" s="9"/>
      <c r="H49" s="9"/>
      <c r="I49" s="9"/>
      <c r="K49" s="8"/>
      <c r="L49" s="10"/>
      <c r="M49" s="10"/>
      <c r="N49" s="10"/>
    </row>
    <row r="50" spans="1:14" x14ac:dyDescent="0.2">
      <c r="A50" s="9"/>
      <c r="B50" s="9"/>
      <c r="C50" s="9"/>
      <c r="D50" s="9"/>
      <c r="E50" s="9"/>
      <c r="F50" s="9"/>
      <c r="G50" s="9"/>
      <c r="H50" s="9"/>
      <c r="I50" s="9"/>
      <c r="K50" s="8"/>
      <c r="L50" s="10"/>
      <c r="M50" s="10"/>
      <c r="N50" s="10"/>
    </row>
    <row r="51" spans="1:14" x14ac:dyDescent="0.2">
      <c r="A51" s="11"/>
      <c r="B51" s="9"/>
      <c r="C51" s="9"/>
      <c r="D51" s="9"/>
      <c r="E51" s="9"/>
      <c r="F51" s="9"/>
      <c r="G51" s="9"/>
      <c r="H51" s="9"/>
      <c r="I51" s="9"/>
      <c r="K51" s="8"/>
      <c r="L51" s="10"/>
      <c r="M51" s="10"/>
      <c r="N51" s="10"/>
    </row>
    <row r="52" spans="1:14" x14ac:dyDescent="0.2">
      <c r="A52" s="11"/>
      <c r="B52" s="9"/>
      <c r="C52" s="9"/>
      <c r="D52" s="9"/>
      <c r="E52" s="9"/>
      <c r="F52" s="9"/>
      <c r="G52" s="9"/>
      <c r="H52" s="9"/>
      <c r="I52" s="9"/>
      <c r="K52" s="8"/>
      <c r="L52" s="10"/>
      <c r="M52" s="10"/>
      <c r="N52" s="10"/>
    </row>
    <row r="53" spans="1:14" x14ac:dyDescent="0.2">
      <c r="C53" s="9"/>
      <c r="D53" s="9"/>
      <c r="E53" s="9"/>
      <c r="F53" s="9"/>
      <c r="G53" s="9"/>
      <c r="H53" s="9"/>
      <c r="I53" s="9"/>
      <c r="K53" s="8"/>
      <c r="L53" s="10"/>
      <c r="M53" s="10"/>
      <c r="N53" s="10"/>
    </row>
    <row r="54" spans="1:14" x14ac:dyDescent="0.2">
      <c r="A54" s="9"/>
      <c r="B54" s="9"/>
      <c r="C54" s="9"/>
      <c r="D54" s="9"/>
      <c r="E54" s="9"/>
      <c r="F54" s="9"/>
      <c r="G54" s="9"/>
      <c r="H54" s="9"/>
      <c r="I54" s="9"/>
    </row>
    <row r="55" spans="1:14" x14ac:dyDescent="0.2">
      <c r="A55" s="11"/>
      <c r="B55" s="9"/>
      <c r="C55" s="9"/>
      <c r="D55" s="9"/>
      <c r="E55" s="9"/>
      <c r="F55" s="9"/>
      <c r="G55" s="9"/>
      <c r="H55" s="9"/>
      <c r="I55" s="9"/>
    </row>
    <row r="56" spans="1:14" x14ac:dyDescent="0.2">
      <c r="A56" s="11"/>
      <c r="B56" s="9"/>
      <c r="C56" s="9"/>
      <c r="D56" s="9"/>
      <c r="E56" s="9"/>
      <c r="F56" s="9"/>
      <c r="G56" s="9"/>
      <c r="H56" s="9"/>
      <c r="I56" s="9"/>
    </row>
    <row r="57" spans="1:14" x14ac:dyDescent="0.2">
      <c r="B57" s="9"/>
      <c r="C57" s="9"/>
      <c r="D57" s="9"/>
      <c r="E57" s="9"/>
      <c r="F57" s="9"/>
      <c r="G57" s="9"/>
      <c r="H57" s="9"/>
      <c r="I57" s="9"/>
    </row>
    <row r="58" spans="1:14" x14ac:dyDescent="0.2">
      <c r="B58" s="9"/>
      <c r="C58" s="9"/>
      <c r="D58" s="9"/>
      <c r="E58" s="9"/>
      <c r="F58" s="9"/>
      <c r="G58" s="9"/>
      <c r="H58" s="9"/>
      <c r="I58" s="9"/>
    </row>
    <row r="59" spans="1:14" x14ac:dyDescent="0.2">
      <c r="A59" s="12"/>
      <c r="B59" s="9"/>
      <c r="C59" s="9"/>
      <c r="D59" s="9"/>
      <c r="E59" s="9"/>
      <c r="F59" s="9"/>
      <c r="G59" s="9"/>
      <c r="H59" s="9"/>
      <c r="I59" s="9"/>
    </row>
    <row r="60" spans="1:14" x14ac:dyDescent="0.2">
      <c r="A60" s="12"/>
      <c r="B60" s="9"/>
      <c r="C60" s="9"/>
      <c r="D60" s="9"/>
      <c r="E60" s="9"/>
      <c r="F60" s="9"/>
      <c r="G60" s="9"/>
      <c r="H60" s="9"/>
      <c r="I60" s="9"/>
    </row>
    <row r="61" spans="1:14" x14ac:dyDescent="0.2">
      <c r="A61" s="12"/>
      <c r="B61" s="9"/>
      <c r="C61" s="9"/>
      <c r="D61" s="9"/>
      <c r="E61" s="9"/>
      <c r="F61" s="9"/>
      <c r="G61" s="9"/>
      <c r="H61" s="9"/>
      <c r="I61" s="9"/>
    </row>
    <row r="62" spans="1:14" x14ac:dyDescent="0.2">
      <c r="A62" s="12"/>
      <c r="B62" s="9"/>
      <c r="C62" s="9"/>
      <c r="D62" s="9"/>
      <c r="E62" s="9"/>
      <c r="F62" s="9"/>
      <c r="G62" s="9"/>
      <c r="H62" s="9"/>
      <c r="I62" s="9"/>
    </row>
    <row r="63" spans="1:14" x14ac:dyDescent="0.2">
      <c r="B63" s="9"/>
      <c r="C63" s="9"/>
      <c r="D63" s="9"/>
      <c r="E63" s="9"/>
      <c r="F63" s="9"/>
      <c r="G63" s="9"/>
      <c r="H63" s="9"/>
      <c r="I63" s="9"/>
    </row>
  </sheetData>
  <mergeCells count="7">
    <mergeCell ref="R28:R31"/>
    <mergeCell ref="R8:R11"/>
    <mergeCell ref="R4:R7"/>
    <mergeCell ref="R12:R15"/>
    <mergeCell ref="R16:R19"/>
    <mergeCell ref="R20:R23"/>
    <mergeCell ref="R24:R27"/>
  </mergeCells>
  <phoneticPr fontId="19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47273ad5-242c-45ef-b79b-1c6dc3879941">
      <Value>English</Value>
    </Language>
    <Description xmlns="47273ad5-242c-45ef-b79b-1c6dc3879941">UL selection program to calculate pressure drops. See section 3 of product manual. For internal use only.</Description>
    <Category xmlns="47273ad5-242c-45ef-b79b-1c6dc3879941">Software</Category>
    <VersionHistory xmlns="47273ad5-242c-45ef-b79b-1c6dc3879941" xsi:nil="true"/>
    <Issue xmlns="47273ad5-242c-45ef-b79b-1c6dc3879941" xsi:nil="true"/>
    <Download xmlns="47273ad5-242c-45ef-b79b-1c6dc3879941" xsi:nil="true"/>
    <Status xmlns="47273ad5-242c-45ef-b79b-1c6dc3879941" xsi:nil="true"/>
    <lcf76f155ced4ddcb4097134ff3c332f xmlns="47273ad5-242c-45ef-b79b-1c6dc3879941">
      <Terms xmlns="http://schemas.microsoft.com/office/infopath/2007/PartnerControls"/>
    </lcf76f155ced4ddcb4097134ff3c332f>
    <TaxCatchAll xmlns="a493fd96-8b4b-463c-b8ca-0796e640fa28" xsi:nil="true"/>
    <Library xmlns="47273ad5-242c-45ef-b79b-1c6dc3879941">Software</Library>
    <Thumbnail xmlns="47273ad5-242c-45ef-b79b-1c6dc3879941" xsi:nil="true"/>
    <ProductName xmlns="47273ad5-242c-45ef-b79b-1c6dc3879941">UNIVERSAL LOUVRE/ MISTRAL</ProductName>
    <Distributor xmlns="47273ad5-242c-45ef-b79b-1c6dc3879941">false</Distributor>
    <ProductManager_x002f_Owner xmlns="47273ad5-242c-45ef-b79b-1c6dc3879941">
      <UserInfo>
        <DisplayName/>
        <AccountId xsi:nil="true"/>
        <AccountType/>
      </UserInfo>
    </ProductManager_x002f_Owner>
    <ProductPage xmlns="47273ad5-242c-45ef-b79b-1c6dc3879941">
      <Url xsi:nil="true"/>
      <Description xsi:nil="true"/>
    </ProductPage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92147E490D314CBC815A332AE7C4CC" ma:contentTypeVersion="30" ma:contentTypeDescription="Create a new document." ma:contentTypeScope="" ma:versionID="e0fbf0c1696e92d04251c5963c41a715">
  <xsd:schema xmlns:xsd="http://www.w3.org/2001/XMLSchema" xmlns:xs="http://www.w3.org/2001/XMLSchema" xmlns:p="http://schemas.microsoft.com/office/2006/metadata/properties" xmlns:ns2="47273ad5-242c-45ef-b79b-1c6dc3879941" xmlns:ns3="a493fd96-8b4b-463c-b8ca-0796e640fa28" targetNamespace="http://schemas.microsoft.com/office/2006/metadata/properties" ma:root="true" ma:fieldsID="a39e0a5e9a13f4808e7df7764efa1f85" ns2:_="" ns3:_="">
    <xsd:import namespace="47273ad5-242c-45ef-b79b-1c6dc3879941"/>
    <xsd:import namespace="a493fd96-8b4b-463c-b8ca-0796e640fa28"/>
    <xsd:element name="properties">
      <xsd:complexType>
        <xsd:sequence>
          <xsd:element name="documentManagement">
            <xsd:complexType>
              <xsd:all>
                <xsd:element ref="ns2:Category" minOccurs="0"/>
                <xsd:element ref="ns2:Language" minOccurs="0"/>
                <xsd:element ref="ns2:Status" minOccurs="0"/>
                <xsd:element ref="ns2:Issue" minOccurs="0"/>
                <xsd:element ref="ns2:Description" minOccurs="0"/>
                <xsd:element ref="ns2:Library" minOccurs="0"/>
                <xsd:element ref="ns2:Thumbnail" minOccurs="0"/>
                <xsd:element ref="ns2:Download" minOccurs="0"/>
                <xsd:element ref="ns2:VersionHistory" minOccurs="0"/>
                <xsd:element ref="ns2:ProductNa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Distributor" minOccurs="0"/>
                <xsd:element ref="ns2:MediaServiceBillingMetadata" minOccurs="0"/>
                <xsd:element ref="ns2:ProductManager_x002f_Owner" minOccurs="0"/>
                <xsd:element ref="ns2:ProductP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273ad5-242c-45ef-b79b-1c6dc3879941" elementFormDefault="qualified">
    <xsd:import namespace="http://schemas.microsoft.com/office/2006/documentManagement/types"/>
    <xsd:import namespace="http://schemas.microsoft.com/office/infopath/2007/PartnerControls"/>
    <xsd:element name="Category" ma:index="4" nillable="true" ma:displayName="Category" ma:format="Dropdown" ma:indexed="true" ma:internalName="Category">
      <xsd:simpleType>
        <xsd:union memberTypes="dms:Text">
          <xsd:simpleType>
            <xsd:restriction base="dms:Choice">
              <xsd:enumeration value="Product Manual"/>
              <xsd:enumeration value="Installation &amp; Operation Manual"/>
              <xsd:enumeration value="Drawings"/>
              <xsd:enumeration value="Technical Infos"/>
              <xsd:enumeration value="Approvals"/>
              <xsd:enumeration value="Certificates"/>
              <xsd:enumeration value="Declarations"/>
              <xsd:enumeration value="External test reports"/>
              <xsd:enumeration value="Internal test reports"/>
              <xsd:enumeration value="Configurator"/>
              <xsd:enumeration value="Pictures"/>
              <xsd:enumeration value="Videos"/>
              <xsd:enumeration value="Comparison"/>
              <xsd:enumeration value="Product Presentation"/>
              <xsd:enumeration value="Competitor Product Analysis"/>
              <xsd:enumeration value="Analysis of Competitor Product"/>
              <xsd:enumeration value="Datasheet"/>
              <xsd:enumeration value="Product Specification"/>
              <xsd:enumeration value="Service Info"/>
              <xsd:enumeration value="Software"/>
              <xsd:enumeration value="BIM Models"/>
              <xsd:enumeration value="Quotation Text"/>
              <xsd:enumeration value="Case Study"/>
              <xsd:enumeration value="Diagnosis"/>
              <xsd:enumeration value="Installation"/>
              <xsd:enumeration value="FDES"/>
              <xsd:enumeration value="GPTS"/>
              <xsd:enumeration value="Technical info / Instructions / Bulletins"/>
              <xsd:enumeration value="Fitting of automatic curtains"/>
              <xsd:enumeration value="Installation drawings"/>
              <xsd:enumeration value="Installation, Operation and Maintenance Manuals"/>
              <xsd:enumeration value="Wiring Diagrams"/>
              <xsd:enumeration value="Webinar"/>
              <xsd:enumeration value="Declarations"/>
            </xsd:restriction>
          </xsd:simpleType>
        </xsd:union>
      </xsd:simpleType>
    </xsd:element>
    <xsd:element name="Language" ma:index="5" nillable="true" ma:displayName="Language" ma:format="Dropdown" ma:internalName="Languag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glish"/>
                    <xsd:enumeration value="German"/>
                    <xsd:enumeration value="Dutch"/>
                    <xsd:enumeration value="French"/>
                    <xsd:enumeration value="Polish"/>
                    <xsd:enumeration value="Spanish"/>
                    <xsd:enumeration value="Czech"/>
                    <xsd:enumeration value="Slovak"/>
                    <xsd:enumeration value="Hungarian"/>
                    <xsd:enumeration value="Romanian"/>
                    <xsd:enumeration value="Italian"/>
                    <xsd:enumeration value="Danish"/>
                    <xsd:enumeration value="Arabic"/>
                    <xsd:enumeration value="Portuguese"/>
                    <xsd:enumeration value="Russian"/>
                    <xsd:enumeration value="Turkish"/>
                  </xsd:restriction>
                </xsd:simpleType>
              </xsd:element>
            </xsd:sequence>
          </xsd:extension>
        </xsd:complexContent>
      </xsd:complexType>
    </xsd:element>
    <xsd:element name="Status" ma:index="6" nillable="true" ma:displayName="Status" ma:format="Dropdown" ma:internalName="Status" ma:readOnly="false">
      <xsd:simpleType>
        <xsd:restriction base="dms:Choice">
          <xsd:enumeration value="Up-to-date"/>
          <xsd:enumeration value="Outdated"/>
        </xsd:restriction>
      </xsd:simpleType>
    </xsd:element>
    <xsd:element name="Issue" ma:index="7" nillable="true" ma:displayName="Issue" ma:internalName="Issue" ma:readOnly="false">
      <xsd:simpleType>
        <xsd:restriction base="dms:Text">
          <xsd:maxLength value="255"/>
        </xsd:restriction>
      </xsd:simpleType>
    </xsd:element>
    <xsd:element name="Description" ma:index="8" nillable="true" ma:displayName="Description" ma:internalName="Description0" ma:readOnly="false">
      <xsd:simpleType>
        <xsd:restriction base="dms:Note">
          <xsd:maxLength value="255"/>
        </xsd:restriction>
      </xsd:simpleType>
    </xsd:element>
    <xsd:element name="Library" ma:index="9" nillable="true" ma:displayName="Library" ma:format="Dropdown" ma:indexed="true" ma:internalName="Library">
      <xsd:simpleType>
        <xsd:union memberTypes="dms:Text">
          <xsd:simpleType>
            <xsd:restriction base="dms:Choice">
              <xsd:enumeration value="Technical Info"/>
              <xsd:enumeration value="Test Reports &amp; Certificates"/>
              <xsd:enumeration value="Software"/>
              <xsd:enumeration value="Pictures"/>
              <xsd:enumeration value="Videos"/>
              <xsd:enumeration value="Training"/>
              <xsd:enumeration value="Datasheet"/>
              <xsd:enumeration value="Product Specification"/>
              <xsd:enumeration value="Service Info"/>
              <xsd:enumeration value="BIM Models"/>
              <xsd:enumeration value="Quotation Text"/>
              <xsd:enumeration value="Declarations"/>
            </xsd:restriction>
          </xsd:simpleType>
        </xsd:union>
      </xsd:simpleType>
    </xsd:element>
    <xsd:element name="Thumbnail" ma:index="10" nillable="true" ma:displayName="Thumbnail" ma:internalName="Thumbnail" ma:readOnly="false">
      <xsd:simpleType>
        <xsd:restriction base="dms:Unknown"/>
      </xsd:simpleType>
    </xsd:element>
    <xsd:element name="Download" ma:index="11" nillable="true" ma:displayName="Download" ma:internalName="Download" ma:readOnly="false">
      <xsd:simpleType>
        <xsd:restriction base="dms:Text">
          <xsd:maxLength value="255"/>
        </xsd:restriction>
      </xsd:simpleType>
    </xsd:element>
    <xsd:element name="VersionHistory" ma:index="12" nillable="true" ma:displayName="Version History" ma:internalName="VersionHistory" ma:readOnly="false">
      <xsd:simpleType>
        <xsd:restriction base="dms:Text">
          <xsd:maxLength value="255"/>
        </xsd:restriction>
      </xsd:simpleType>
    </xsd:element>
    <xsd:element name="ProductName" ma:index="13" nillable="true" ma:displayName="Product Name" ma:indexed="true" ma:internalName="ProductName" ma:readOnly="false">
      <xsd:simpleType>
        <xsd:restriction base="dms:Text">
          <xsd:maxLength value="255"/>
        </xsd:restriction>
      </xsd:simpleType>
    </xsd:element>
    <xsd:element name="MediaServiceMetadata" ma:index="1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8a7b3f3f-e5a1-4961-851f-eb29f9d0b8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30" nillable="true" ma:displayName="Location" ma:indexed="true" ma:internalName="MediaServiceLocation" ma:readOnly="true">
      <xsd:simpleType>
        <xsd:restriction base="dms:Text"/>
      </xsd:simpleType>
    </xsd:element>
    <xsd:element name="Distributor" ma:index="31" nillable="true" ma:displayName="Distributor" ma:default="0" ma:format="Dropdown" ma:internalName="Distributor">
      <xsd:simpleType>
        <xsd:restriction base="dms:Boolean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  <xsd:element name="ProductManager_x002f_Owner" ma:index="33" nillable="true" ma:displayName="Product Manager / Owner" ma:format="Dropdown" ma:list="UserInfo" ma:SharePointGroup="0" ma:internalName="ProductManager_x002f_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roductPage" ma:index="34" nillable="true" ma:displayName="Product Page" ma:format="Hyperlink" ma:internalName="ProductP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93fd96-8b4b-463c-b8ca-0796e640fa28" elementFormDefault="qualified">
    <xsd:import namespace="http://schemas.microsoft.com/office/2006/documentManagement/types"/>
    <xsd:import namespace="http://schemas.microsoft.com/office/infopath/2007/PartnerControls"/>
    <xsd:element name="TaxCatchAll" ma:index="28" nillable="true" ma:displayName="Taxonomy Catch All Column" ma:hidden="true" ma:list="{58ba56b1-cbb8-473f-9c44-2da01b2dcb89}" ma:internalName="TaxCatchAll" ma:showField="CatchAllData" ma:web="a493fd96-8b4b-463c-b8ca-0796e640fa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8D9977-48AC-4A66-B9FD-3606EAA08D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B10E7D-6F9E-45A8-BCC1-A5C0529F363F}">
  <ds:schemaRefs>
    <ds:schemaRef ds:uri="http://schemas.microsoft.com/office/2006/metadata/properties"/>
    <ds:schemaRef ds:uri="http://schemas.microsoft.com/office/infopath/2007/PartnerControls"/>
    <ds:schemaRef ds:uri="268448E6-A11F-487F-AAC5-5012A1FDCA27"/>
  </ds:schemaRefs>
</ds:datastoreItem>
</file>

<file path=customXml/itemProps3.xml><?xml version="1.0" encoding="utf-8"?>
<ds:datastoreItem xmlns:ds="http://schemas.openxmlformats.org/officeDocument/2006/customXml" ds:itemID="{D31A31E5-EF45-4B41-8BC0-04E20669147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51200CB0-F840-4019-961E-330954059A7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39</vt:i4>
      </vt:variant>
    </vt:vector>
  </HeadingPairs>
  <TitlesOfParts>
    <vt:vector size="45" baseType="lpstr">
      <vt:lpstr>Data input and results</vt:lpstr>
      <vt:lpstr>information</vt:lpstr>
      <vt:lpstr>Acoustics</vt:lpstr>
      <vt:lpstr>selection</vt:lpstr>
      <vt:lpstr>ulpanel</vt:lpstr>
      <vt:lpstr>ulpress</vt:lpstr>
      <vt:lpstr>acc</vt:lpstr>
      <vt:lpstr>class1</vt:lpstr>
      <vt:lpstr>class2</vt:lpstr>
      <vt:lpstr>con</vt:lpstr>
      <vt:lpstr>conn</vt:lpstr>
      <vt:lpstr>cvel1</vt:lpstr>
      <vt:lpstr>cvel2</vt:lpstr>
      <vt:lpstr>dense</vt:lpstr>
      <vt:lpstr>dir</vt:lpstr>
      <vt:lpstr>drop1</vt:lpstr>
      <vt:lpstr>drop2</vt:lpstr>
      <vt:lpstr>flow</vt:lpstr>
      <vt:lpstr>free1</vt:lpstr>
      <vt:lpstr>free2</vt:lpstr>
      <vt:lpstr>high</vt:lpstr>
      <vt:lpstr>high1</vt:lpstr>
      <vt:lpstr>high2</vt:lpstr>
      <vt:lpstr>httable</vt:lpstr>
      <vt:lpstr>loc</vt:lpstr>
      <vt:lpstr>mat</vt:lpstr>
      <vt:lpstr>mfree1</vt:lpstr>
      <vt:lpstr>mfree2</vt:lpstr>
      <vt:lpstr>mull</vt:lpstr>
      <vt:lpstr>mulltyp</vt:lpstr>
      <vt:lpstr>other</vt:lpstr>
      <vt:lpstr>othercv</vt:lpstr>
      <vt:lpstr>pdrop</vt:lpstr>
      <vt:lpstr>space1</vt:lpstr>
      <vt:lpstr>space2</vt:lpstr>
      <vt:lpstr>space3</vt:lpstr>
      <vt:lpstr>thick</vt:lpstr>
      <vt:lpstr>type</vt:lpstr>
      <vt:lpstr>type1</vt:lpstr>
      <vt:lpstr>type2</vt:lpstr>
      <vt:lpstr>wide</vt:lpstr>
      <vt:lpstr>wide1</vt:lpstr>
      <vt:lpstr>wide2</vt:lpstr>
      <vt:lpstr>witable</vt:lpstr>
      <vt:lpstr>wres</vt:lpstr>
    </vt:vector>
  </TitlesOfParts>
  <Company>Colt Group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UL select</dc:title>
  <dc:creator>ukpco</dc:creator>
  <cp:lastModifiedBy>Clark Warner-Hill</cp:lastModifiedBy>
  <cp:lastPrinted>2024-02-12T12:54:32Z</cp:lastPrinted>
  <dcterms:created xsi:type="dcterms:W3CDTF">2003-03-14T15:18:25Z</dcterms:created>
  <dcterms:modified xsi:type="dcterms:W3CDTF">2024-05-22T14:46:02Z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Originator">
    <vt:lpwstr>Compton, Paul</vt:lpwstr>
  </property>
  <property fmtid="{D5CDD505-2E9C-101B-9397-08002B2CF9AE}" pid="3" name="display_urn:schemas-microsoft-com:office:office#Owner">
    <vt:lpwstr>Compton, Paul</vt:lpwstr>
  </property>
  <property fmtid="{D5CDD505-2E9C-101B-9397-08002B2CF9AE}" pid="4" name="ContentType">
    <vt:lpwstr>Document</vt:lpwstr>
  </property>
  <property fmtid="{D5CDD505-2E9C-101B-9397-08002B2CF9AE}" pid="5" name="display_urn:schemas-microsoft-com:office:office#Editor">
    <vt:lpwstr>O'Hea, Simon</vt:lpwstr>
  </property>
  <property fmtid="{D5CDD505-2E9C-101B-9397-08002B2CF9AE}" pid="6" name="display_urn:schemas-microsoft-com:office:office#Author">
    <vt:lpwstr>O'Hea, Simon</vt:lpwstr>
  </property>
  <property fmtid="{D5CDD505-2E9C-101B-9397-08002B2CF9AE}" pid="7" name="ContentTypeId">
    <vt:lpwstr>0x0101000F92147E490D314CBC815A332AE7C4CC</vt:lpwstr>
  </property>
  <property fmtid="{D5CDD505-2E9C-101B-9397-08002B2CF9AE}" pid="8" name="MediaServiceImageTags">
    <vt:lpwstr/>
  </property>
</Properties>
</file>