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marti\Desktop\"/>
    </mc:Choice>
  </mc:AlternateContent>
  <xr:revisionPtr revIDLastSave="0" documentId="13_ncr:1_{D242333F-F884-4994-B919-9E0675545DEE}" xr6:coauthVersionLast="47" xr6:coauthVersionMax="47" xr10:uidLastSave="{00000000-0000-0000-0000-000000000000}"/>
  <bookViews>
    <workbookView xWindow="2580" yWindow="2685" windowWidth="28575" windowHeight="14115" tabRatio="500" xr2:uid="{00000000-000D-0000-FFFF-FFFF00000000}"/>
  </bookViews>
  <sheets>
    <sheet name="Forutsetninger" sheetId="1" r:id="rId1"/>
    <sheet name="Scenarioanalyse" sheetId="2" r:id="rId2"/>
    <sheet name="Capex-ROIC" sheetId="3" r:id="rId3"/>
    <sheet name="Reverse-DCF" sheetId="4" r:id="rId4"/>
    <sheet name="Graham" sheetId="5" r:id="rId5"/>
    <sheet name="Capex-EPS" sheetId="6" r:id="rId6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0" i="6" l="1"/>
  <c r="B18" i="6"/>
  <c r="B17" i="6"/>
  <c r="B10" i="6"/>
  <c r="B9" i="6"/>
  <c r="B16" i="6" s="1"/>
  <c r="B8" i="6"/>
  <c r="B12" i="6" s="1"/>
  <c r="B25" i="5"/>
  <c r="C25" i="5" s="1"/>
  <c r="D25" i="5" s="1"/>
  <c r="B23" i="5"/>
  <c r="C23" i="5" s="1"/>
  <c r="D23" i="5" s="1"/>
  <c r="B21" i="5"/>
  <c r="C21" i="5" s="1"/>
  <c r="D21" i="5" s="1"/>
  <c r="B15" i="5"/>
  <c r="B13" i="5"/>
  <c r="B16" i="5" s="1"/>
  <c r="B7" i="5"/>
  <c r="B5" i="5"/>
  <c r="B24" i="5" s="1"/>
  <c r="C24" i="5" s="1"/>
  <c r="D24" i="5" s="1"/>
  <c r="E16" i="4"/>
  <c r="D16" i="4"/>
  <c r="C16" i="4"/>
  <c r="B16" i="4"/>
  <c r="E15" i="4"/>
  <c r="D15" i="4"/>
  <c r="C15" i="4"/>
  <c r="B15" i="4"/>
  <c r="E14" i="4"/>
  <c r="D14" i="4"/>
  <c r="C14" i="4"/>
  <c r="B14" i="4"/>
  <c r="E13" i="4"/>
  <c r="D13" i="4"/>
  <c r="C13" i="4"/>
  <c r="B13" i="4"/>
  <c r="B7" i="4"/>
  <c r="B5" i="4"/>
  <c r="B9" i="4" s="1"/>
  <c r="E14" i="3"/>
  <c r="D14" i="3"/>
  <c r="C14" i="3"/>
  <c r="B14" i="3"/>
  <c r="E13" i="3"/>
  <c r="D13" i="3"/>
  <c r="C13" i="3"/>
  <c r="B13" i="3"/>
  <c r="E12" i="3"/>
  <c r="D12" i="3"/>
  <c r="C12" i="3"/>
  <c r="B12" i="3"/>
  <c r="E11" i="3"/>
  <c r="D11" i="3"/>
  <c r="C11" i="3"/>
  <c r="B11" i="3"/>
  <c r="E10" i="3"/>
  <c r="D10" i="3"/>
  <c r="C10" i="3"/>
  <c r="B10" i="3"/>
  <c r="E9" i="3"/>
  <c r="D9" i="3"/>
  <c r="C9" i="3"/>
  <c r="B9" i="3"/>
  <c r="H8" i="2"/>
  <c r="D7" i="2"/>
  <c r="E7" i="2" s="1"/>
  <c r="E6" i="2"/>
  <c r="G6" i="2" s="1"/>
  <c r="G11" i="2" s="1"/>
  <c r="D6" i="2"/>
  <c r="D5" i="2"/>
  <c r="E5" i="2" s="1"/>
  <c r="G5" i="2" l="1"/>
  <c r="G10" i="2" s="1"/>
  <c r="F5" i="2"/>
  <c r="C20" i="6"/>
  <c r="D20" i="6" s="1"/>
  <c r="E20" i="6" s="1"/>
  <c r="C16" i="6"/>
  <c r="D16" i="6" s="1"/>
  <c r="E16" i="6" s="1"/>
  <c r="C18" i="6"/>
  <c r="D18" i="6" s="1"/>
  <c r="E18" i="6" s="1"/>
  <c r="C17" i="6"/>
  <c r="D17" i="6" s="1"/>
  <c r="E17" i="6" s="1"/>
  <c r="G7" i="2"/>
  <c r="F7" i="2"/>
  <c r="B14" i="5"/>
  <c r="B17" i="5" s="1"/>
  <c r="B22" i="5"/>
  <c r="C22" i="5" s="1"/>
  <c r="D22" i="5" s="1"/>
  <c r="B15" i="6"/>
  <c r="C15" i="6" s="1"/>
  <c r="D15" i="6" s="1"/>
  <c r="E15" i="6" s="1"/>
  <c r="B19" i="6"/>
  <c r="C19" i="6" s="1"/>
  <c r="D19" i="6" s="1"/>
  <c r="E19" i="6" s="1"/>
  <c r="F6" i="2"/>
</calcChain>
</file>

<file path=xl/sharedStrings.xml><?xml version="1.0" encoding="utf-8"?>
<sst xmlns="http://schemas.openxmlformats.org/spreadsheetml/2006/main" count="122" uniqueCount="108">
  <si>
    <t>Meta (META) — Scenario- og capex-modell</t>
  </si>
  <si>
    <t>Alle inputs (blå) kan endres. Formler (sort) regner automatisk. Kjør Beregn på nytt i Excel ved endring.</t>
  </si>
  <si>
    <t>INPUT</t>
  </si>
  <si>
    <t>Verdi</t>
  </si>
  <si>
    <t>Kommentar</t>
  </si>
  <si>
    <t>Aksjekurs ($)</t>
  </si>
  <si>
    <t>Per 12. juni 2026</t>
  </si>
  <si>
    <t>Normalisert EPS base, TTM ($)</t>
  </si>
  <si>
    <t>Justert for OBBBA/CAMT</t>
  </si>
  <si>
    <t>Akkumulert utbytte over 5 år ($)</t>
  </si>
  <si>
    <t>Estimat, ~$2,4/år stigende</t>
  </si>
  <si>
    <t>Aksjeantall (mill.)</t>
  </si>
  <si>
    <t>Q1 2026</t>
  </si>
  <si>
    <t>10-årig statsrente</t>
  </si>
  <si>
    <t>Avkastningskrav (required return)</t>
  </si>
  <si>
    <t>Brukes i reverse-DCF</t>
  </si>
  <si>
    <t>Holdeperiode (år)</t>
  </si>
  <si>
    <t>Scenarioanalyse — 5 års IRR fra $571,38</t>
  </si>
  <si>
    <t>EPS-CAGR og terminal-P/E er inputs (blå). Bear bruker negativ CAGR (inntjeningsfall). Vekter summerer til 100%.</t>
  </si>
  <si>
    <t>Scenario</t>
  </si>
  <si>
    <t>EPS-CAGR</t>
  </si>
  <si>
    <t>Terminal P/E</t>
  </si>
  <si>
    <t>EPS år 5 ($)</t>
  </si>
  <si>
    <t>Kursmål 2031 ($)</t>
  </si>
  <si>
    <t>Kursavk.</t>
  </si>
  <si>
    <t>IRR (m/utbytte)</t>
  </si>
  <si>
    <t>Vekt</t>
  </si>
  <si>
    <t>Bull</t>
  </si>
  <si>
    <t>Base</t>
  </si>
  <si>
    <t>Bear</t>
  </si>
  <si>
    <t>Sum vekt</t>
  </si>
  <si>
    <t>Sjekk = 100%</t>
  </si>
  <si>
    <t>Forventet IRR (sannsynlighetsvektet)</t>
  </si>
  <si>
    <t>Modus (Base, mest sannsynlige enkeltutfall)</t>
  </si>
  <si>
    <t>Base er tyngst vektet (50%) og er referanseutfallet (modus) med ~16,8% IRR.</t>
  </si>
  <si>
    <t>Base holder P/E flat på 20x — tosifret avkastning fra inntjeningsvekst alene, uten reprising. Det er billig-argumentet.</t>
  </si>
  <si>
    <t>Bull (20% vekst + P/E 25) er det minst sannsynlige; multippelekspansjon ligger her, ikke i base.</t>
  </si>
  <si>
    <t>Forventet IRR (~12,6%) &lt; modus fordi bear-halen (25%) trekker snittet ned. Endre vektene i kolonne H.</t>
  </si>
  <si>
    <t>Capex-ROIC-følsomhet — hva må AI-kapitalen tjene?</t>
  </si>
  <si>
    <t>Inkrementell EPS = akkumulert AI-kapital × inkrementell ROIC (etter skatt) / aksjeantall.</t>
  </si>
  <si>
    <t>Akkumulert AI-investert kapital 2024–2028 ($ mrd.)</t>
  </si>
  <si>
    <t>Inkrementell etter-skatt ROIC (rad/kolonne-akser under)</t>
  </si>
  <si>
    <t>Referanse: ~$135 mrd./år guidet ⇒ 2024–28 grovt $400–700 mrd. avhengig av bane.</t>
  </si>
  <si>
    <t>Inkr. EPS ($) →  ROIC↓ / Kapital→</t>
  </si>
  <si>
    <t>Tolkning</t>
  </si>
  <si>
    <t>Base-case krever at EPS vokser fra $30,6 til ~$53,9 over 5 år (+$23,3). Tabellen viser hvor mye av det</t>
  </si>
  <si>
    <t>AI-kapitalen alene kan bidra: ved $500 mrd. kapital trengs bare ~8% inkr. ROIC for ~$16 ekstra EPS.</t>
  </si>
  <si>
    <t>Selv 5% inkrementell ROIC på $500 mrd. gir ~$10 EPS, materielt mot en base på $30. Hovedrisikoen er ikke</t>
  </si>
  <si>
    <t>at avkastningen er negativ, men at avskrivningene treffer P&amp;L raskere enn inntektene den nye kapitalen skaper.</t>
  </si>
  <si>
    <t>Marginalt avkastningskrav (WACC ~8-10%): under denne linjen ødelegger capexen verdi selv om EPS vokser.</t>
  </si>
  <si>
    <t>Reverse-DCF — hvilken EPS-vekst priser markedet inn?</t>
  </si>
  <si>
    <t>Løser for implisitt 5-års EPS-CAGR slik at nåverdi av terminalkurs + utbytte = dagens kurs.</t>
  </si>
  <si>
    <t>Input</t>
  </si>
  <si>
    <t>Avkastningskrav (r)</t>
  </si>
  <si>
    <t>Implisitt EPS-CAGR priset inn</t>
  </si>
  <si>
    <t>Implisitt EPS-CAGR:  r↓ / Terminal P/E→</t>
  </si>
  <si>
    <t>Konklusjon: ved $571 priser markedet inn ~9,5–13,5% EPS-vekst avhengig av terminal-multippel og avkastningskrav.</t>
  </si>
  <si>
    <t>Det er under konsensus (19,7%) og under Metas egen historikk (14,3% 2021–25 inkl. 2022-kollapsen).</t>
  </si>
  <si>
    <t>Kobling til Capex-ROIC: implisitt ~12% vekst tilsvarer moderat inkrementell ROIC på AI-kapitalen, ikke en</t>
  </si>
  <si>
    <t>krevende terskel. Bear-tesen handler derfor om timing (avskrivninger før inntekt), ikke om at kravet er høyt.</t>
  </si>
  <si>
    <t>Graham Growth Model — base case</t>
  </si>
  <si>
    <t>V = EPS × (7 + G) × 4,4 / Y.  G = base-case EPS-vekst i %-poeng, Y = 10-årig statsrente i %.</t>
  </si>
  <si>
    <t>Kilde / kommentar</t>
  </si>
  <si>
    <t>Normalisert EPS ($)</t>
  </si>
  <si>
    <t>Base, TTM</t>
  </si>
  <si>
    <t>G — base-case EPS-vekst (%-poeng)</t>
  </si>
  <si>
    <t>lik scenario Base (15 %)</t>
  </si>
  <si>
    <t>Y — 10-årig statsrente (%)</t>
  </si>
  <si>
    <t>Per 12.06.2026</t>
  </si>
  <si>
    <t>Basis-P/E uten vekst</t>
  </si>
  <si>
    <t>Grahams konstant</t>
  </si>
  <si>
    <t>Normaliseringsfaktor</t>
  </si>
  <si>
    <t>Konservativt fradrag</t>
  </si>
  <si>
    <t>10y &lt; AAA corporate yield</t>
  </si>
  <si>
    <t>RESULTAT</t>
  </si>
  <si>
    <t>Konservativ verdi, -10 % ($)</t>
  </si>
  <si>
    <t>Oppside mot konservativ verdi</t>
  </si>
  <si>
    <t>Følsomhet på G (base = 15)</t>
  </si>
  <si>
    <t>G (%-poeng)</t>
  </si>
  <si>
    <t>Konservativ ($)</t>
  </si>
  <si>
    <t>Oppside konservativ</t>
  </si>
  <si>
    <t>Graham er kun en indikasjon, ikke en presis verdsettelse. Ved G = 12 lander verdien rundt dagens kurs ($571),</t>
  </si>
  <si>
    <t>noe som bekrefter at markedet priser inn lav tosifret vekst. Base-case (G = 15) gir rundt $661 rå / ~$595 konservativt.</t>
  </si>
  <si>
    <t>Forbehold: 10-årig statsrente er lavere enn AAA corporate yield som Graham brukte, så formelen overdriver verdien noe;</t>
  </si>
  <si>
    <t>derav det konservative 10 %-fradraget. Endre G, Y eller EPS i de blå cellene for å teste følsomheten.</t>
  </si>
  <si>
    <t>Capex-EPS — fra ROIC til EPS i år 5</t>
  </si>
  <si>
    <t>EPS år 5 = kjerne-EPS (annonse eks. AI) + bidrag fra akkumulert AI-kapital × inkr. ROIC.</t>
  </si>
  <si>
    <t>Akkumulert AI-kapital ($ mrd.)</t>
  </si>
  <si>
    <t>Kjernevekst, annonse eks. AI (%/år)</t>
  </si>
  <si>
    <t>Terminal P/E (base)</t>
  </si>
  <si>
    <t>Normalisert EPS base ($)</t>
  </si>
  <si>
    <t>Kjerne-EPS år 5 ($)</t>
  </si>
  <si>
    <t>Inkr. ROIC e/skatt</t>
  </si>
  <si>
    <t>Inkr. EPS ($)</t>
  </si>
  <si>
    <t>Kursmål (P/E base)</t>
  </si>
  <si>
    <t>Tilsvarer</t>
  </si>
  <si>
    <t>under base</t>
  </si>
  <si>
    <t>~ Base</t>
  </si>
  <si>
    <t>over base</t>
  </si>
  <si>
    <t>~ Bull</t>
  </si>
  <si>
    <t>over bull</t>
  </si>
  <si>
    <t>hist. ROIC</t>
  </si>
  <si>
    <t>Leser scenarioene baklengs: Base (EPS5 ~$61) tilsvarer ~8% inkr. ROIC; Bull (EPS5 ~$76) ~15%.</t>
  </si>
  <si>
    <t>Begge ligger godt under Metas historiske 30-35%. Markedet krever altså moderat marginalavkastning.</t>
  </si>
  <si>
    <t>ROIC er etter avskrivninger, så avskrivningsbølgen ligger inne i tallet. Endre kapital/kjernevekst i blå celler.</t>
  </si>
  <si>
    <t>Oppside mot verdi</t>
  </si>
  <si>
    <t>Graham-verdi ($)</t>
  </si>
  <si>
    <t>Graham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</si>
</sst>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%"/>
    <numFmt numFmtId="165" formatCode="0.0\x"/>
    <numFmt numFmtId="166" formatCode="\$#,##0.0"/>
    <numFmt numFmtId="167" formatCode="\$#,##0"/>
    <numFmt numFmtId="168" formatCode="0%"/>
    <numFmt numFmtId="169" formatCode="0.0"/>
    <numFmt numFmtId="170" formatCode="0.000"/>
    <numFmt numFmtId="171" formatCode="\$#,##0.00"/>
  </numFmts>
  <fonts count="8" x14ac:knownFonts="1">
    <font>
      <sz val="11"/>
      <color theme="1"/>
      <name val="Calibri"/>
      <family val="2"/>
      <charset val="1"/>
    </font>
    <font>
      <b/>
      <sz val="14"/>
      <color rgb="FF1F3864"/>
      <name val="Arial"/>
      <charset val="1"/>
    </font>
    <font>
      <i/>
      <sz val="11"/>
      <color rgb="FF595959"/>
      <name val="Arial"/>
      <charset val="1"/>
    </font>
    <font>
      <b/>
      <sz val="11"/>
      <color rgb="FFFFFFFF"/>
      <name val="Arial"/>
      <charset val="1"/>
    </font>
    <font>
      <sz val="11"/>
      <color rgb="FF000000"/>
      <name val="Arial"/>
      <charset val="1"/>
    </font>
    <font>
      <sz val="11"/>
      <color rgb="FF0000FF"/>
      <name val="Arial"/>
      <charset val="1"/>
    </font>
    <font>
      <b/>
      <sz val="11"/>
      <color rgb="FF000000"/>
      <name val="Arial"/>
      <charset val="1"/>
    </font>
    <font>
      <sz val="11"/>
      <color rgb="FF008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FFFF00"/>
        <bgColor rgb="FFFFFF00"/>
      </patternFill>
    </fill>
    <fill>
      <patternFill patternType="solid">
        <fgColor rgb="FFD9E1F2"/>
        <bgColor rgb="FFCCFFFF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0" borderId="0" xfId="0" applyFont="1"/>
    <xf numFmtId="0" fontId="2" fillId="0" borderId="0" xfId="0" applyFont="1"/>
    <xf numFmtId="0" fontId="1" fillId="0" borderId="0" xfId="0" applyFont="1"/>
    <xf numFmtId="0" fontId="3" fillId="2" borderId="0" xfId="0" applyFont="1" applyFill="1"/>
    <xf numFmtId="0" fontId="4" fillId="0" borderId="1" xfId="0" applyFont="1" applyBorder="1"/>
    <xf numFmtId="2" fontId="5" fillId="3" borderId="1" xfId="0" applyNumberFormat="1" applyFont="1" applyFill="1" applyBorder="1"/>
    <xf numFmtId="0" fontId="2" fillId="0" borderId="1" xfId="0" applyFont="1" applyBorder="1"/>
    <xf numFmtId="3" fontId="5" fillId="3" borderId="1" xfId="0" applyNumberFormat="1" applyFont="1" applyFill="1" applyBorder="1"/>
    <xf numFmtId="164" fontId="5" fillId="3" borderId="1" xfId="0" applyNumberFormat="1" applyFont="1" applyFill="1" applyBorder="1"/>
    <xf numFmtId="1" fontId="5" fillId="3" borderId="1" xfId="0" applyNumberFormat="1" applyFont="1" applyFill="1" applyBorder="1"/>
    <xf numFmtId="0" fontId="3" fillId="2" borderId="1" xfId="0" applyFont="1" applyFill="1" applyBorder="1" applyAlignment="1">
      <alignment horizontal="center" vertical="center"/>
    </xf>
    <xf numFmtId="0" fontId="6" fillId="0" borderId="1" xfId="0" applyFont="1" applyBorder="1"/>
    <xf numFmtId="165" fontId="5" fillId="3" borderId="1" xfId="0" applyNumberFormat="1" applyFont="1" applyFill="1" applyBorder="1"/>
    <xf numFmtId="166" fontId="7" fillId="0" borderId="1" xfId="0" applyNumberFormat="1" applyFont="1" applyBorder="1"/>
    <xf numFmtId="167" fontId="4" fillId="0" borderId="1" xfId="0" applyNumberFormat="1" applyFont="1" applyBorder="1"/>
    <xf numFmtId="164" fontId="4" fillId="0" borderId="1" xfId="0" applyNumberFormat="1" applyFont="1" applyBorder="1"/>
    <xf numFmtId="164" fontId="6" fillId="0" borderId="1" xfId="0" applyNumberFormat="1" applyFont="1" applyBorder="1"/>
    <xf numFmtId="168" fontId="5" fillId="3" borderId="1" xfId="0" applyNumberFormat="1" applyFont="1" applyFill="1" applyBorder="1"/>
    <xf numFmtId="0" fontId="6" fillId="0" borderId="0" xfId="0" applyFont="1"/>
    <xf numFmtId="168" fontId="6" fillId="0" borderId="0" xfId="0" applyNumberFormat="1" applyFont="1"/>
    <xf numFmtId="164" fontId="6" fillId="4" borderId="0" xfId="0" applyNumberFormat="1" applyFont="1" applyFill="1"/>
    <xf numFmtId="164" fontId="4" fillId="0" borderId="0" xfId="0" applyNumberFormat="1" applyFont="1"/>
    <xf numFmtId="167" fontId="5" fillId="3" borderId="1" xfId="0" applyNumberFormat="1" applyFont="1" applyFill="1" applyBorder="1" applyAlignment="1">
      <alignment horizontal="center" vertical="center"/>
    </xf>
    <xf numFmtId="168" fontId="5" fillId="3" borderId="1" xfId="0" applyNumberFormat="1" applyFont="1" applyFill="1" applyBorder="1" applyAlignment="1">
      <alignment horizontal="center" vertical="center"/>
    </xf>
    <xf numFmtId="166" fontId="4" fillId="0" borderId="1" xfId="0" applyNumberFormat="1" applyFont="1" applyBorder="1"/>
    <xf numFmtId="164" fontId="7" fillId="0" borderId="1" xfId="0" applyNumberFormat="1" applyFont="1" applyBorder="1"/>
    <xf numFmtId="169" fontId="5" fillId="3" borderId="1" xfId="0" applyNumberFormat="1" applyFont="1" applyFill="1" applyBorder="1"/>
    <xf numFmtId="1" fontId="7" fillId="0" borderId="1" xfId="0" applyNumberFormat="1" applyFont="1" applyBorder="1"/>
    <xf numFmtId="169" fontId="5" fillId="3" borderId="1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Border="1"/>
    <xf numFmtId="170" fontId="7" fillId="0" borderId="1" xfId="0" applyNumberFormat="1" applyFont="1" applyBorder="1"/>
    <xf numFmtId="0" fontId="0" fillId="2" borderId="0" xfId="0" applyFill="1"/>
    <xf numFmtId="167" fontId="6" fillId="4" borderId="1" xfId="0" applyNumberFormat="1" applyFont="1" applyFill="1" applyBorder="1"/>
    <xf numFmtId="171" fontId="4" fillId="0" borderId="1" xfId="0" applyNumberFormat="1" applyFont="1" applyBorder="1"/>
    <xf numFmtId="1" fontId="5" fillId="3" borderId="1" xfId="0" applyNumberFormat="1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>
      <alignment horizontal="center" vertical="center"/>
    </xf>
    <xf numFmtId="167" fontId="4" fillId="4" borderId="1" xfId="0" applyNumberFormat="1" applyFont="1" applyFill="1" applyBorder="1"/>
    <xf numFmtId="164" fontId="4" fillId="4" borderId="1" xfId="0" applyNumberFormat="1" applyFont="1" applyFill="1" applyBorder="1"/>
    <xf numFmtId="167" fontId="5" fillId="3" borderId="1" xfId="0" applyNumberFormat="1" applyFont="1" applyFill="1" applyBorder="1"/>
    <xf numFmtId="3" fontId="7" fillId="0" borderId="1" xfId="0" applyNumberFormat="1" applyFont="1" applyBorder="1"/>
    <xf numFmtId="166" fontId="6" fillId="4" borderId="0" xfId="0" applyNumberFormat="1" applyFont="1" applyFill="1"/>
    <xf numFmtId="0" fontId="2" fillId="0" borderId="0" xfId="0" applyFont="1"/>
    <xf numFmtId="0" fontId="4" fillId="0" borderId="0" xfId="0" applyFont="1" applyAlignment="1">
      <alignment horizontal="left" vertical="center" wrapText="1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"/>
  <sheetViews>
    <sheetView showGridLines="0" tabSelected="1" zoomScaleNormal="100" workbookViewId="0">
      <selection activeCell="B10" sqref="B10"/>
    </sheetView>
  </sheetViews>
  <sheetFormatPr baseColWidth="10" defaultColWidth="8.7109375" defaultRowHeight="15" x14ac:dyDescent="0.25"/>
  <cols>
    <col min="1" max="1" width="34" customWidth="1"/>
    <col min="2" max="2" width="19.5703125" customWidth="1"/>
    <col min="3" max="3" width="34.28515625" customWidth="1"/>
  </cols>
  <sheetData>
    <row r="1" spans="1:6" ht="18" x14ac:dyDescent="0.25">
      <c r="A1" s="3" t="s">
        <v>0</v>
      </c>
    </row>
    <row r="2" spans="1:6" x14ac:dyDescent="0.25">
      <c r="A2" s="43" t="s">
        <v>1</v>
      </c>
      <c r="B2" s="43"/>
      <c r="C2" s="43"/>
      <c r="D2" s="43"/>
      <c r="E2" s="43"/>
      <c r="F2" s="43"/>
    </row>
    <row r="3" spans="1:6" x14ac:dyDescent="0.25">
      <c r="A3" s="4" t="s">
        <v>2</v>
      </c>
      <c r="B3" s="4" t="s">
        <v>3</v>
      </c>
      <c r="C3" s="4" t="s">
        <v>4</v>
      </c>
    </row>
    <row r="4" spans="1:6" x14ac:dyDescent="0.25">
      <c r="A4" s="5" t="s">
        <v>5</v>
      </c>
      <c r="B4" s="6">
        <v>571.38</v>
      </c>
      <c r="C4" s="7" t="s">
        <v>6</v>
      </c>
    </row>
    <row r="5" spans="1:6" x14ac:dyDescent="0.25">
      <c r="A5" s="5" t="s">
        <v>7</v>
      </c>
      <c r="B5" s="6">
        <v>30.6</v>
      </c>
      <c r="C5" s="7" t="s">
        <v>8</v>
      </c>
    </row>
    <row r="6" spans="1:6" x14ac:dyDescent="0.25">
      <c r="A6" s="5" t="s">
        <v>9</v>
      </c>
      <c r="B6" s="6">
        <v>12</v>
      </c>
      <c r="C6" s="7" t="s">
        <v>10</v>
      </c>
    </row>
    <row r="7" spans="1:6" x14ac:dyDescent="0.25">
      <c r="A7" s="5" t="s">
        <v>11</v>
      </c>
      <c r="B7" s="8">
        <v>2538</v>
      </c>
      <c r="C7" s="7" t="s">
        <v>12</v>
      </c>
    </row>
    <row r="8" spans="1:6" x14ac:dyDescent="0.25">
      <c r="A8" s="5" t="s">
        <v>13</v>
      </c>
      <c r="B8" s="9">
        <v>4.4810000000000003E-2</v>
      </c>
      <c r="C8" s="7" t="s">
        <v>6</v>
      </c>
    </row>
    <row r="9" spans="1:6" x14ac:dyDescent="0.25">
      <c r="A9" s="5" t="s">
        <v>14</v>
      </c>
      <c r="B9" s="9">
        <v>0.1</v>
      </c>
      <c r="C9" s="7" t="s">
        <v>15</v>
      </c>
    </row>
    <row r="10" spans="1:6" x14ac:dyDescent="0.25">
      <c r="A10" s="5" t="s">
        <v>16</v>
      </c>
      <c r="B10" s="10">
        <v>5</v>
      </c>
      <c r="C10" s="7"/>
    </row>
  </sheetData>
  <mergeCells count="1">
    <mergeCell ref="A2:F2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showGridLines="0" zoomScaleNormal="100" workbookViewId="0">
      <selection activeCell="J7" sqref="J7"/>
    </sheetView>
  </sheetViews>
  <sheetFormatPr baseColWidth="10" defaultColWidth="8.7109375" defaultRowHeight="15" x14ac:dyDescent="0.25"/>
  <cols>
    <col min="1" max="1" width="13" customWidth="1"/>
    <col min="2" max="2" width="12.140625" bestFit="1" customWidth="1"/>
    <col min="3" max="3" width="13.85546875" bestFit="1" customWidth="1"/>
    <col min="4" max="4" width="16.5703125" customWidth="1"/>
    <col min="5" max="5" width="17.7109375" bestFit="1" customWidth="1"/>
    <col min="6" max="6" width="15.5703125" customWidth="1"/>
    <col min="7" max="7" width="21.5703125" customWidth="1"/>
    <col min="8" max="8" width="11.42578125" customWidth="1"/>
    <col min="9" max="9" width="12.140625" customWidth="1"/>
  </cols>
  <sheetData>
    <row r="1" spans="1:8" ht="18" x14ac:dyDescent="0.25">
      <c r="A1" s="3" t="s">
        <v>17</v>
      </c>
    </row>
    <row r="2" spans="1:8" x14ac:dyDescent="0.25">
      <c r="A2" s="43" t="s">
        <v>18</v>
      </c>
      <c r="B2" s="43"/>
      <c r="C2" s="43"/>
      <c r="D2" s="43"/>
      <c r="E2" s="43"/>
      <c r="F2" s="43"/>
      <c r="G2" s="43"/>
      <c r="H2" s="43"/>
    </row>
    <row r="4" spans="1:8" x14ac:dyDescent="0.25">
      <c r="A4" s="11" t="s">
        <v>19</v>
      </c>
      <c r="B4" s="11" t="s">
        <v>20</v>
      </c>
      <c r="C4" s="11" t="s">
        <v>21</v>
      </c>
      <c r="D4" s="11" t="s">
        <v>22</v>
      </c>
      <c r="E4" s="11" t="s">
        <v>23</v>
      </c>
      <c r="F4" s="11" t="s">
        <v>24</v>
      </c>
      <c r="G4" s="11" t="s">
        <v>25</v>
      </c>
      <c r="H4" s="11" t="s">
        <v>26</v>
      </c>
    </row>
    <row r="5" spans="1:8" x14ac:dyDescent="0.25">
      <c r="A5" s="12" t="s">
        <v>27</v>
      </c>
      <c r="B5" s="9">
        <v>0.2</v>
      </c>
      <c r="C5" s="13">
        <v>25</v>
      </c>
      <c r="D5" s="14">
        <f>Forutsetninger!$B$5*(1+B5)^Forutsetninger!$B$10</f>
        <v>76.142591999999993</v>
      </c>
      <c r="E5" s="15">
        <f>D5*C5</f>
        <v>1903.5647999999999</v>
      </c>
      <c r="F5" s="16">
        <f>E5/Forutsetninger!$B$4-1</f>
        <v>2.3315215793342432</v>
      </c>
      <c r="G5" s="17">
        <f>((E5+Forutsetninger!$B$6)/Forutsetninger!$B$4)^(1/Forutsetninger!$B$10)-1</f>
        <v>0.27372115693237209</v>
      </c>
      <c r="H5" s="18">
        <v>0.25</v>
      </c>
    </row>
    <row r="6" spans="1:8" x14ac:dyDescent="0.25">
      <c r="A6" s="12" t="s">
        <v>28</v>
      </c>
      <c r="B6" s="9">
        <v>0.15</v>
      </c>
      <c r="C6" s="13">
        <v>20</v>
      </c>
      <c r="D6" s="14">
        <f>Forutsetninger!$B$5*(1+B6)^Forutsetninger!$B$10</f>
        <v>61.547529937499981</v>
      </c>
      <c r="E6" s="15">
        <f>D6*C6</f>
        <v>1230.9505987499997</v>
      </c>
      <c r="F6" s="16">
        <f>E6/Forutsetninger!$B$4-1</f>
        <v>1.1543466672792184</v>
      </c>
      <c r="G6" s="17">
        <f>((E6+Forutsetninger!$B$6)/Forutsetninger!$B$4)^(1/Forutsetninger!$B$10)-1</f>
        <v>0.16816924090518426</v>
      </c>
      <c r="H6" s="18">
        <v>0.5</v>
      </c>
    </row>
    <row r="7" spans="1:8" x14ac:dyDescent="0.25">
      <c r="A7" s="12" t="s">
        <v>29</v>
      </c>
      <c r="B7" s="9">
        <v>-0.04</v>
      </c>
      <c r="C7" s="13">
        <v>12.5</v>
      </c>
      <c r="D7" s="14">
        <f>Forutsetninger!$B$5*(1+B7)^Forutsetninger!$B$10</f>
        <v>24.950404546560002</v>
      </c>
      <c r="E7" s="15">
        <f>D7*C7</f>
        <v>311.88005683200004</v>
      </c>
      <c r="F7" s="16">
        <f>E7/Forutsetninger!$B$4-1</f>
        <v>-0.45416350444187747</v>
      </c>
      <c r="G7" s="17">
        <f>((E7+Forutsetninger!$B$6)/Forutsetninger!$B$4)^(1/Forutsetninger!$B$10)-1</f>
        <v>-0.10732816087704977</v>
      </c>
      <c r="H7" s="18">
        <v>0.25</v>
      </c>
    </row>
    <row r="8" spans="1:8" x14ac:dyDescent="0.25">
      <c r="A8" s="19" t="s">
        <v>30</v>
      </c>
      <c r="G8" s="2" t="s">
        <v>31</v>
      </c>
      <c r="H8" s="20">
        <f>SUM(H5:H7)</f>
        <v>1</v>
      </c>
    </row>
    <row r="10" spans="1:8" x14ac:dyDescent="0.25">
      <c r="A10" s="19" t="s">
        <v>32</v>
      </c>
      <c r="G10" s="21">
        <f>SUMPRODUCT(G5:G7,H5:H7)</f>
        <v>0.12568286946642271</v>
      </c>
    </row>
    <row r="11" spans="1:8" x14ac:dyDescent="0.25">
      <c r="A11" s="1" t="s">
        <v>33</v>
      </c>
      <c r="G11" s="22">
        <f>G6</f>
        <v>0.16816924090518426</v>
      </c>
    </row>
    <row r="13" spans="1:8" x14ac:dyDescent="0.25">
      <c r="A13" s="43" t="s">
        <v>34</v>
      </c>
      <c r="B13" s="43"/>
      <c r="C13" s="43"/>
      <c r="D13" s="43"/>
      <c r="E13" s="43"/>
      <c r="F13" s="43"/>
      <c r="G13" s="43"/>
      <c r="H13" s="43"/>
    </row>
    <row r="14" spans="1:8" x14ac:dyDescent="0.25">
      <c r="A14" s="43" t="s">
        <v>35</v>
      </c>
      <c r="B14" s="43"/>
      <c r="C14" s="43"/>
      <c r="D14" s="43"/>
      <c r="E14" s="43"/>
      <c r="F14" s="43"/>
      <c r="G14" s="43"/>
      <c r="H14" s="43"/>
    </row>
    <row r="15" spans="1:8" x14ac:dyDescent="0.25">
      <c r="A15" s="43" t="s">
        <v>36</v>
      </c>
      <c r="B15" s="43"/>
      <c r="C15" s="43"/>
      <c r="D15" s="43"/>
      <c r="E15" s="43"/>
      <c r="F15" s="43"/>
      <c r="G15" s="43"/>
      <c r="H15" s="43"/>
    </row>
    <row r="16" spans="1:8" x14ac:dyDescent="0.25">
      <c r="A16" s="43" t="s">
        <v>37</v>
      </c>
      <c r="B16" s="43"/>
      <c r="C16" s="43"/>
      <c r="D16" s="43"/>
      <c r="E16" s="43"/>
      <c r="F16" s="43"/>
      <c r="G16" s="43"/>
      <c r="H16" s="43"/>
    </row>
  </sheetData>
  <mergeCells count="5">
    <mergeCell ref="A2:H2"/>
    <mergeCell ref="A13:H13"/>
    <mergeCell ref="A14:H14"/>
    <mergeCell ref="A15:H15"/>
    <mergeCell ref="A16:H16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1"/>
  <sheetViews>
    <sheetView showGridLines="0" zoomScaleNormal="100" workbookViewId="0"/>
  </sheetViews>
  <sheetFormatPr baseColWidth="10" defaultColWidth="8.7109375" defaultRowHeight="15" x14ac:dyDescent="0.25"/>
  <cols>
    <col min="1" max="1" width="37.28515625" customWidth="1"/>
    <col min="2" max="5" width="13" customWidth="1"/>
  </cols>
  <sheetData>
    <row r="1" spans="1:9" ht="18" x14ac:dyDescent="0.25">
      <c r="A1" s="3" t="s">
        <v>38</v>
      </c>
    </row>
    <row r="2" spans="1:9" x14ac:dyDescent="0.25">
      <c r="A2" s="43" t="s">
        <v>39</v>
      </c>
      <c r="B2" s="43"/>
      <c r="C2" s="43"/>
      <c r="D2" s="43"/>
      <c r="E2" s="43"/>
      <c r="F2" s="43"/>
      <c r="G2" s="43"/>
      <c r="H2" s="43"/>
      <c r="I2" s="43"/>
    </row>
    <row r="4" spans="1:9" ht="15" customHeight="1" x14ac:dyDescent="0.25">
      <c r="A4" s="44" t="s">
        <v>40</v>
      </c>
      <c r="B4" s="44"/>
      <c r="C4" s="44"/>
      <c r="D4" s="44"/>
    </row>
    <row r="5" spans="1:9" x14ac:dyDescent="0.25">
      <c r="A5" s="45" t="s">
        <v>41</v>
      </c>
      <c r="B5" s="45"/>
      <c r="C5" s="45"/>
      <c r="D5" s="45"/>
    </row>
    <row r="6" spans="1:9" x14ac:dyDescent="0.25">
      <c r="A6" s="43" t="s">
        <v>42</v>
      </c>
      <c r="B6" s="43"/>
      <c r="C6" s="43"/>
      <c r="D6" s="43"/>
      <c r="E6" s="43"/>
      <c r="F6" s="43"/>
      <c r="G6" s="43"/>
      <c r="H6" s="43"/>
      <c r="I6" s="43"/>
    </row>
    <row r="8" spans="1:9" x14ac:dyDescent="0.25">
      <c r="A8" s="11" t="s">
        <v>43</v>
      </c>
      <c r="B8" s="23">
        <v>400</v>
      </c>
      <c r="C8" s="23">
        <v>500</v>
      </c>
      <c r="D8" s="23">
        <v>600</v>
      </c>
      <c r="E8" s="23">
        <v>700</v>
      </c>
    </row>
    <row r="9" spans="1:9" x14ac:dyDescent="0.25">
      <c r="A9" s="24">
        <v>0.05</v>
      </c>
      <c r="B9" s="25">
        <f>$A9*B8*1000/Forutsetninger!$B$7</f>
        <v>7.8802206461780928</v>
      </c>
      <c r="C9" s="25">
        <f>$A9*C8*1000/Forutsetninger!$B$7</f>
        <v>9.8502758077226158</v>
      </c>
      <c r="D9" s="25">
        <f>$A9*D8*1000/Forutsetninger!$B$7</f>
        <v>11.82033096926714</v>
      </c>
      <c r="E9" s="25">
        <f>$A9*E8*1000/Forutsetninger!$B$7</f>
        <v>13.790386130811664</v>
      </c>
    </row>
    <row r="10" spans="1:9" x14ac:dyDescent="0.25">
      <c r="A10" s="24">
        <v>0.08</v>
      </c>
      <c r="B10" s="25">
        <f>$A10*B8*1000/Forutsetninger!$B$7</f>
        <v>12.608353033884949</v>
      </c>
      <c r="C10" s="25">
        <f>$A10*C8*1000/Forutsetninger!$B$7</f>
        <v>15.760441292356186</v>
      </c>
      <c r="D10" s="25">
        <f>$A10*D8*1000/Forutsetninger!$B$7</f>
        <v>18.912529550827422</v>
      </c>
      <c r="E10" s="25">
        <f>$A10*E8*1000/Forutsetninger!$B$7</f>
        <v>22.06461780929866</v>
      </c>
    </row>
    <row r="11" spans="1:9" x14ac:dyDescent="0.25">
      <c r="A11" s="24">
        <v>0.12</v>
      </c>
      <c r="B11" s="25">
        <f>$A11*B8*1000/Forutsetninger!$B$7</f>
        <v>18.912529550827422</v>
      </c>
      <c r="C11" s="25">
        <f>$A11*C8*1000/Forutsetninger!$B$7</f>
        <v>23.640661938534279</v>
      </c>
      <c r="D11" s="25">
        <f>$A11*D8*1000/Forutsetninger!$B$7</f>
        <v>28.368794326241133</v>
      </c>
      <c r="E11" s="25">
        <f>$A11*E8*1000/Forutsetninger!$B$7</f>
        <v>33.096926713947994</v>
      </c>
    </row>
    <row r="12" spans="1:9" x14ac:dyDescent="0.25">
      <c r="A12" s="24">
        <v>0.15</v>
      </c>
      <c r="B12" s="25">
        <f>$A12*B8*1000/Forutsetninger!$B$7</f>
        <v>23.640661938534279</v>
      </c>
      <c r="C12" s="25">
        <f>$A12*C8*1000/Forutsetninger!$B$7</f>
        <v>29.550827423167849</v>
      </c>
      <c r="D12" s="25">
        <f>$A12*D8*1000/Forutsetninger!$B$7</f>
        <v>35.460992907801419</v>
      </c>
      <c r="E12" s="25">
        <f>$A12*E8*1000/Forutsetninger!$B$7</f>
        <v>41.371158392434985</v>
      </c>
    </row>
    <row r="13" spans="1:9" x14ac:dyDescent="0.25">
      <c r="A13" s="24">
        <v>0.2</v>
      </c>
      <c r="B13" s="25">
        <f>$A13*B8*1000/Forutsetninger!$B$7</f>
        <v>31.520882584712371</v>
      </c>
      <c r="C13" s="25">
        <f>$A13*C8*1000/Forutsetninger!$B$7</f>
        <v>39.401103230890463</v>
      </c>
      <c r="D13" s="25">
        <f>$A13*D8*1000/Forutsetninger!$B$7</f>
        <v>47.281323877068559</v>
      </c>
      <c r="E13" s="25">
        <f>$A13*E8*1000/Forutsetninger!$B$7</f>
        <v>55.161544523246654</v>
      </c>
    </row>
    <row r="14" spans="1:9" x14ac:dyDescent="0.25">
      <c r="A14" s="24">
        <v>0.25</v>
      </c>
      <c r="B14" s="25">
        <f>$A14*B8*1000/Forutsetninger!$B$7</f>
        <v>39.401103230890463</v>
      </c>
      <c r="C14" s="25">
        <f>$A14*C8*1000/Forutsetninger!$B$7</f>
        <v>49.251379038613081</v>
      </c>
      <c r="D14" s="25">
        <f>$A14*D8*1000/Forutsetninger!$B$7</f>
        <v>59.101654846335698</v>
      </c>
      <c r="E14" s="25">
        <f>$A14*E8*1000/Forutsetninger!$B$7</f>
        <v>68.951930654058316</v>
      </c>
    </row>
    <row r="16" spans="1:9" x14ac:dyDescent="0.25">
      <c r="A16" s="19" t="s">
        <v>44</v>
      </c>
    </row>
    <row r="17" spans="1:9" x14ac:dyDescent="0.25">
      <c r="A17" s="43" t="s">
        <v>45</v>
      </c>
      <c r="B17" s="43"/>
      <c r="C17" s="43"/>
      <c r="D17" s="43"/>
      <c r="E17" s="43"/>
      <c r="F17" s="43"/>
      <c r="G17" s="43"/>
      <c r="H17" s="43"/>
      <c r="I17" s="43"/>
    </row>
    <row r="18" spans="1:9" x14ac:dyDescent="0.25">
      <c r="A18" s="43" t="s">
        <v>46</v>
      </c>
      <c r="B18" s="43"/>
      <c r="C18" s="43"/>
      <c r="D18" s="43"/>
      <c r="E18" s="43"/>
      <c r="F18" s="43"/>
      <c r="G18" s="43"/>
      <c r="H18" s="43"/>
      <c r="I18" s="43"/>
    </row>
    <row r="19" spans="1:9" x14ac:dyDescent="0.25">
      <c r="A19" s="43" t="s">
        <v>47</v>
      </c>
      <c r="B19" s="43"/>
      <c r="C19" s="43"/>
      <c r="D19" s="43"/>
      <c r="E19" s="43"/>
      <c r="F19" s="43"/>
      <c r="G19" s="43"/>
      <c r="H19" s="43"/>
      <c r="I19" s="43"/>
    </row>
    <row r="20" spans="1:9" x14ac:dyDescent="0.25">
      <c r="A20" s="43" t="s">
        <v>48</v>
      </c>
      <c r="B20" s="43"/>
      <c r="C20" s="43"/>
      <c r="D20" s="43"/>
      <c r="E20" s="43"/>
      <c r="F20" s="43"/>
      <c r="G20" s="43"/>
      <c r="H20" s="43"/>
      <c r="I20" s="43"/>
    </row>
    <row r="21" spans="1:9" x14ac:dyDescent="0.25">
      <c r="A21" s="43" t="s">
        <v>49</v>
      </c>
      <c r="B21" s="43"/>
      <c r="C21" s="43"/>
      <c r="D21" s="43"/>
      <c r="E21" s="43"/>
      <c r="F21" s="43"/>
      <c r="G21" s="43"/>
      <c r="H21" s="43"/>
      <c r="I21" s="43"/>
    </row>
  </sheetData>
  <mergeCells count="9">
    <mergeCell ref="A18:I18"/>
    <mergeCell ref="A19:I19"/>
    <mergeCell ref="A20:I20"/>
    <mergeCell ref="A21:I21"/>
    <mergeCell ref="A2:I2"/>
    <mergeCell ref="A4:D4"/>
    <mergeCell ref="A5:D5"/>
    <mergeCell ref="A6:I6"/>
    <mergeCell ref="A17:I17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1"/>
  <sheetViews>
    <sheetView showGridLines="0" zoomScaleNormal="100" workbookViewId="0">
      <selection activeCell="C32" sqref="C32"/>
    </sheetView>
  </sheetViews>
  <sheetFormatPr baseColWidth="10" defaultColWidth="8.7109375" defaultRowHeight="15" x14ac:dyDescent="0.25"/>
  <cols>
    <col min="1" max="1" width="38" customWidth="1"/>
    <col min="2" max="5" width="12" customWidth="1"/>
  </cols>
  <sheetData>
    <row r="1" spans="1:8" ht="18" x14ac:dyDescent="0.25">
      <c r="A1" s="3" t="s">
        <v>50</v>
      </c>
    </row>
    <row r="2" spans="1:8" x14ac:dyDescent="0.25">
      <c r="A2" s="43" t="s">
        <v>51</v>
      </c>
      <c r="B2" s="43"/>
      <c r="C2" s="43"/>
      <c r="D2" s="43"/>
      <c r="E2" s="43"/>
      <c r="F2" s="43"/>
      <c r="G2" s="43"/>
      <c r="H2" s="43"/>
    </row>
    <row r="4" spans="1:8" x14ac:dyDescent="0.25">
      <c r="A4" s="4" t="s">
        <v>52</v>
      </c>
      <c r="B4" s="4" t="s">
        <v>3</v>
      </c>
    </row>
    <row r="5" spans="1:8" x14ac:dyDescent="0.25">
      <c r="A5" s="5" t="s">
        <v>53</v>
      </c>
      <c r="B5" s="26">
        <f>Forutsetninger!$B$9</f>
        <v>0.1</v>
      </c>
    </row>
    <row r="6" spans="1:8" x14ac:dyDescent="0.25">
      <c r="A6" s="5" t="s">
        <v>21</v>
      </c>
      <c r="B6" s="27">
        <v>16</v>
      </c>
    </row>
    <row r="7" spans="1:8" x14ac:dyDescent="0.25">
      <c r="A7" s="5" t="s">
        <v>16</v>
      </c>
      <c r="B7" s="28">
        <f>Forutsetninger!$B$10</f>
        <v>5</v>
      </c>
    </row>
    <row r="9" spans="1:8" x14ac:dyDescent="0.25">
      <c r="A9" s="19" t="s">
        <v>54</v>
      </c>
      <c r="B9" s="21">
        <f>((Forutsetninger!$B$4*(1+B5)^B7-Forutsetninger!$B$6)/(Forutsetninger!$B$5*B6))^(1/B7)-1</f>
        <v>0.13153835744341502</v>
      </c>
    </row>
    <row r="12" spans="1:8" x14ac:dyDescent="0.25">
      <c r="A12" s="11" t="s">
        <v>55</v>
      </c>
      <c r="B12" s="29">
        <v>14</v>
      </c>
      <c r="C12" s="29">
        <v>16</v>
      </c>
      <c r="D12" s="29">
        <v>18</v>
      </c>
      <c r="E12" s="29">
        <v>20</v>
      </c>
    </row>
    <row r="13" spans="1:8" x14ac:dyDescent="0.25">
      <c r="A13" s="30">
        <v>0.08</v>
      </c>
      <c r="B13" s="16">
        <f>((Forutsetninger!$B$4*(1+$A13)^Forutsetninger!$B$10-Forutsetninger!$B$6)/(Forutsetninger!$B$5*B12))^(1/Forutsetninger!$B$10)-1</f>
        <v>0.14074453647035923</v>
      </c>
      <c r="C13" s="16">
        <f>((Forutsetninger!$B$4*(1+$A13)^Forutsetninger!$B$10-Forutsetninger!$B$6)/(Forutsetninger!$B$5*C12))^(1/Forutsetninger!$B$10)-1</f>
        <v>0.11068270173652217</v>
      </c>
      <c r="D13" s="16">
        <f>((Forutsetninger!$B$4*(1+$A13)^Forutsetninger!$B$10-Forutsetninger!$B$6)/(Forutsetninger!$B$5*D12))^(1/Forutsetninger!$B$10)-1</f>
        <v>8.4824546627468633E-2</v>
      </c>
      <c r="E13" s="16">
        <f>((Forutsetninger!$B$4*(1+$A13)^Forutsetninger!$B$10-Forutsetninger!$B$6)/(Forutsetninger!$B$5*E12))^(1/Forutsetninger!$B$10)-1</f>
        <v>6.2204178279275046E-2</v>
      </c>
    </row>
    <row r="14" spans="1:8" x14ac:dyDescent="0.25">
      <c r="A14" s="30">
        <v>0.09</v>
      </c>
      <c r="B14" s="16">
        <f>((Forutsetninger!$B$4*(1+$A14)^Forutsetninger!$B$10-Forutsetninger!$B$6)/(Forutsetninger!$B$5*B12))^(1/Forutsetninger!$B$10)-1</f>
        <v>0.15145732514739785</v>
      </c>
      <c r="C14" s="16">
        <f>((Forutsetninger!$B$4*(1+$A14)^Forutsetninger!$B$10-Forutsetninger!$B$6)/(Forutsetninger!$B$5*C12))^(1/Forutsetninger!$B$10)-1</f>
        <v>0.12111317822844692</v>
      </c>
      <c r="D14" s="16">
        <f>((Forutsetninger!$B$4*(1+$A14)^Forutsetninger!$B$10-Forutsetninger!$B$6)/(Forutsetninger!$B$5*D12))^(1/Forutsetninger!$B$10)-1</f>
        <v>9.5012187898706246E-2</v>
      </c>
      <c r="E14" s="16">
        <f>((Forutsetninger!$B$4*(1+$A14)^Forutsetninger!$B$10-Forutsetninger!$B$6)/(Forutsetninger!$B$5*E12))^(1/Forutsetninger!$B$10)-1</f>
        <v>7.2179390546328381E-2</v>
      </c>
    </row>
    <row r="15" spans="1:8" x14ac:dyDescent="0.25">
      <c r="A15" s="30">
        <v>0.1</v>
      </c>
      <c r="B15" s="16">
        <f>((Forutsetninger!$B$4*(1+$A15)^Forutsetninger!$B$10-Forutsetninger!$B$6)/(Forutsetninger!$B$5*B12))^(1/Forutsetninger!$B$10)-1</f>
        <v>0.16216467317092031</v>
      </c>
      <c r="C15" s="16">
        <f>((Forutsetninger!$B$4*(1+$A15)^Forutsetninger!$B$10-Forutsetninger!$B$6)/(Forutsetninger!$B$5*C12))^(1/Forutsetninger!$B$10)-1</f>
        <v>0.13153835744341502</v>
      </c>
      <c r="D15" s="16">
        <f>((Forutsetninger!$B$4*(1+$A15)^Forutsetninger!$B$10-Forutsetninger!$B$6)/(Forutsetninger!$B$5*D12))^(1/Forutsetninger!$B$10)-1</f>
        <v>0.1051946552205667</v>
      </c>
      <c r="E15" s="16">
        <f>((Forutsetninger!$B$4*(1+$A15)^Forutsetninger!$B$10-Forutsetninger!$B$6)/(Forutsetninger!$B$5*E12))^(1/Forutsetninger!$B$10)-1</f>
        <v>8.2149536749322349E-2</v>
      </c>
    </row>
    <row r="16" spans="1:8" x14ac:dyDescent="0.25">
      <c r="A16" s="30">
        <v>0.11</v>
      </c>
      <c r="B16" s="16">
        <f>((Forutsetninger!$B$4*(1+$A16)^Forutsetninger!$B$10-Forutsetninger!$B$6)/(Forutsetninger!$B$5*B12))^(1/Forutsetninger!$B$10)-1</f>
        <v>0.17286687639471121</v>
      </c>
      <c r="C16" s="16">
        <f>((Forutsetninger!$B$4*(1+$A16)^Forutsetninger!$B$10-Forutsetninger!$B$6)/(Forutsetninger!$B$5*C12))^(1/Forutsetninger!$B$10)-1</f>
        <v>0.14195852743862947</v>
      </c>
      <c r="D16" s="16">
        <f>((Forutsetninger!$B$4*(1+$A16)^Forutsetninger!$B$10-Forutsetninger!$B$6)/(Forutsetninger!$B$5*D12))^(1/Forutsetninger!$B$10)-1</f>
        <v>0.11537222994390239</v>
      </c>
      <c r="E16" s="16">
        <f>((Forutsetninger!$B$4*(1+$A16)^Forutsetninger!$B$10-Forutsetninger!$B$6)/(Forutsetninger!$B$5*E12))^(1/Forutsetninger!$B$10)-1</f>
        <v>9.2114892372482826E-2</v>
      </c>
    </row>
    <row r="18" spans="1:8" x14ac:dyDescent="0.25">
      <c r="A18" s="43" t="s">
        <v>56</v>
      </c>
      <c r="B18" s="43"/>
      <c r="C18" s="43"/>
      <c r="D18" s="43"/>
      <c r="E18" s="43"/>
      <c r="F18" s="43"/>
      <c r="G18" s="43"/>
      <c r="H18" s="43"/>
    </row>
    <row r="19" spans="1:8" x14ac:dyDescent="0.25">
      <c r="A19" s="43" t="s">
        <v>57</v>
      </c>
      <c r="B19" s="43"/>
      <c r="C19" s="43"/>
      <c r="D19" s="43"/>
      <c r="E19" s="43"/>
      <c r="F19" s="43"/>
      <c r="G19" s="43"/>
      <c r="H19" s="43"/>
    </row>
    <row r="20" spans="1:8" x14ac:dyDescent="0.25">
      <c r="A20" s="43" t="s">
        <v>58</v>
      </c>
      <c r="B20" s="43"/>
      <c r="C20" s="43"/>
      <c r="D20" s="43"/>
      <c r="E20" s="43"/>
      <c r="F20" s="43"/>
      <c r="G20" s="43"/>
      <c r="H20" s="43"/>
    </row>
    <row r="21" spans="1:8" x14ac:dyDescent="0.25">
      <c r="A21" s="43" t="s">
        <v>59</v>
      </c>
      <c r="B21" s="43"/>
      <c r="C21" s="43"/>
      <c r="D21" s="43"/>
      <c r="E21" s="43"/>
      <c r="F21" s="43"/>
      <c r="G21" s="43"/>
      <c r="H21" s="43"/>
    </row>
  </sheetData>
  <mergeCells count="5">
    <mergeCell ref="A2:H2"/>
    <mergeCell ref="A18:H18"/>
    <mergeCell ref="A19:H19"/>
    <mergeCell ref="A20:H20"/>
    <mergeCell ref="A21:H21"/>
  </mergeCell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0"/>
  <sheetViews>
    <sheetView showGridLines="0" zoomScaleNormal="100" workbookViewId="0">
      <selection activeCell="A23" sqref="A23"/>
    </sheetView>
  </sheetViews>
  <sheetFormatPr baseColWidth="10" defaultColWidth="8.7109375" defaultRowHeight="15" x14ac:dyDescent="0.25"/>
  <cols>
    <col min="1" max="1" width="49.7109375" bestFit="1" customWidth="1"/>
    <col min="2" max="2" width="18.28515625" customWidth="1"/>
    <col min="3" max="3" width="33.7109375" customWidth="1"/>
    <col min="4" max="4" width="22.42578125" bestFit="1" customWidth="1"/>
  </cols>
  <sheetData>
    <row r="1" spans="1:4" ht="18" x14ac:dyDescent="0.25">
      <c r="A1" s="3" t="s">
        <v>60</v>
      </c>
    </row>
    <row r="2" spans="1:4" x14ac:dyDescent="0.25">
      <c r="A2" s="43" t="s">
        <v>61</v>
      </c>
      <c r="B2" s="43"/>
      <c r="C2" s="43"/>
      <c r="D2" s="43"/>
    </row>
    <row r="4" spans="1:4" x14ac:dyDescent="0.25">
      <c r="A4" s="4" t="s">
        <v>2</v>
      </c>
      <c r="B4" s="4" t="s">
        <v>3</v>
      </c>
      <c r="C4" s="4" t="s">
        <v>62</v>
      </c>
    </row>
    <row r="5" spans="1:4" x14ac:dyDescent="0.25">
      <c r="A5" s="5" t="s">
        <v>63</v>
      </c>
      <c r="B5" s="31">
        <f>Forutsetninger!$B$5</f>
        <v>30.6</v>
      </c>
      <c r="C5" s="7" t="s">
        <v>64</v>
      </c>
    </row>
    <row r="6" spans="1:4" x14ac:dyDescent="0.25">
      <c r="A6" s="5" t="s">
        <v>65</v>
      </c>
      <c r="B6" s="10">
        <v>15</v>
      </c>
      <c r="C6" s="7" t="s">
        <v>66</v>
      </c>
    </row>
    <row r="7" spans="1:4" x14ac:dyDescent="0.25">
      <c r="A7" s="5" t="s">
        <v>67</v>
      </c>
      <c r="B7" s="32">
        <f>Forutsetninger!$B$8*100</f>
        <v>4.4809999999999999</v>
      </c>
      <c r="C7" s="7" t="s">
        <v>68</v>
      </c>
    </row>
    <row r="8" spans="1:4" x14ac:dyDescent="0.25">
      <c r="A8" s="5" t="s">
        <v>69</v>
      </c>
      <c r="B8" s="10">
        <v>7</v>
      </c>
      <c r="C8" s="7" t="s">
        <v>70</v>
      </c>
    </row>
    <row r="9" spans="1:4" x14ac:dyDescent="0.25">
      <c r="A9" s="5" t="s">
        <v>71</v>
      </c>
      <c r="B9" s="27">
        <v>4.4000000000000004</v>
      </c>
      <c r="C9" s="7" t="s">
        <v>70</v>
      </c>
    </row>
    <row r="10" spans="1:4" x14ac:dyDescent="0.25">
      <c r="A10" s="5" t="s">
        <v>72</v>
      </c>
      <c r="B10" s="18">
        <v>0.1</v>
      </c>
      <c r="C10" s="7" t="s">
        <v>73</v>
      </c>
    </row>
    <row r="12" spans="1:4" x14ac:dyDescent="0.25">
      <c r="A12" s="4" t="s">
        <v>74</v>
      </c>
      <c r="B12" s="33"/>
    </row>
    <row r="13" spans="1:4" x14ac:dyDescent="0.25">
      <c r="A13" s="12" t="s">
        <v>106</v>
      </c>
      <c r="B13" s="34">
        <f>B5*(B8+B6)*B9/B7</f>
        <v>661.03101986163813</v>
      </c>
    </row>
    <row r="14" spans="1:4" x14ac:dyDescent="0.25">
      <c r="A14" s="12" t="s">
        <v>75</v>
      </c>
      <c r="B14" s="34">
        <f>B13*(1-B10)</f>
        <v>594.92791787547435</v>
      </c>
    </row>
    <row r="15" spans="1:4" x14ac:dyDescent="0.25">
      <c r="A15" s="5" t="s">
        <v>5</v>
      </c>
      <c r="B15" s="35">
        <f>Forutsetninger!$B$4</f>
        <v>571.38</v>
      </c>
    </row>
    <row r="16" spans="1:4" x14ac:dyDescent="0.25">
      <c r="A16" s="12" t="s">
        <v>105</v>
      </c>
      <c r="B16" s="17">
        <f>B13/B15-1</f>
        <v>0.15690262148069256</v>
      </c>
    </row>
    <row r="17" spans="1:4" x14ac:dyDescent="0.25">
      <c r="A17" s="12" t="s">
        <v>76</v>
      </c>
      <c r="B17" s="17">
        <f>B14/B15-1</f>
        <v>4.1212359332623461E-2</v>
      </c>
    </row>
    <row r="19" spans="1:4" x14ac:dyDescent="0.25">
      <c r="A19" s="19" t="s">
        <v>77</v>
      </c>
    </row>
    <row r="20" spans="1:4" x14ac:dyDescent="0.25">
      <c r="A20" s="11" t="s">
        <v>78</v>
      </c>
      <c r="B20" s="11" t="s">
        <v>107</v>
      </c>
      <c r="C20" s="11" t="s">
        <v>79</v>
      </c>
      <c r="D20" s="11" t="s">
        <v>80</v>
      </c>
    </row>
    <row r="21" spans="1:4" x14ac:dyDescent="0.25">
      <c r="A21" s="36">
        <v>10</v>
      </c>
      <c r="B21" s="15">
        <f>$B$5*($B$8+$A21)*$B$9/$B$7</f>
        <v>510.79669716581134</v>
      </c>
      <c r="C21" s="15">
        <f>B21*(1-$B$10)</f>
        <v>459.71702744923022</v>
      </c>
      <c r="D21" s="16">
        <f>C21/$B$15-1</f>
        <v>-0.19542681324297273</v>
      </c>
    </row>
    <row r="22" spans="1:4" x14ac:dyDescent="0.25">
      <c r="A22" s="36">
        <v>12</v>
      </c>
      <c r="B22" s="15">
        <f>$B$5*($B$8+$A22)*$B$9/$B$7</f>
        <v>570.89042624414196</v>
      </c>
      <c r="C22" s="15">
        <f>B22*(1-$B$10)</f>
        <v>513.80138361972774</v>
      </c>
      <c r="D22" s="16">
        <f>C22/$B$15-1</f>
        <v>-0.10077114421273448</v>
      </c>
    </row>
    <row r="23" spans="1:4" x14ac:dyDescent="0.25">
      <c r="A23" s="37">
        <v>15</v>
      </c>
      <c r="B23" s="38">
        <f>$B$5*($B$8+$A23)*$B$9/$B$7</f>
        <v>661.03101986163813</v>
      </c>
      <c r="C23" s="38">
        <f>B23*(1-$B$10)</f>
        <v>594.92791787547435</v>
      </c>
      <c r="D23" s="39">
        <f>C23/$B$15-1</f>
        <v>4.1212359332623461E-2</v>
      </c>
    </row>
    <row r="24" spans="1:4" x14ac:dyDescent="0.25">
      <c r="A24" s="36">
        <v>18</v>
      </c>
      <c r="B24" s="15">
        <f>$B$5*($B$8+$A24)*$B$9/$B$7</f>
        <v>751.17161347913429</v>
      </c>
      <c r="C24" s="15">
        <f>B24*(1-$B$10)</f>
        <v>676.05445213122084</v>
      </c>
      <c r="D24" s="16">
        <f>C24/$B$15-1</f>
        <v>0.18319586287798106</v>
      </c>
    </row>
    <row r="25" spans="1:4" x14ac:dyDescent="0.25">
      <c r="A25" s="36">
        <v>20</v>
      </c>
      <c r="B25" s="15">
        <f>$B$5*($B$8+$A25)*$B$9/$B$7</f>
        <v>811.26534255746503</v>
      </c>
      <c r="C25" s="15">
        <f>B25*(1-$B$10)</f>
        <v>730.13880830171854</v>
      </c>
      <c r="D25" s="16">
        <f>C25/$B$15-1</f>
        <v>0.27785153190821976</v>
      </c>
    </row>
    <row r="27" spans="1:4" x14ac:dyDescent="0.25">
      <c r="A27" s="43" t="s">
        <v>81</v>
      </c>
      <c r="B27" s="43"/>
      <c r="C27" s="43"/>
      <c r="D27" s="43"/>
    </row>
    <row r="28" spans="1:4" x14ac:dyDescent="0.25">
      <c r="A28" s="43" t="s">
        <v>82</v>
      </c>
      <c r="B28" s="43"/>
      <c r="C28" s="43"/>
      <c r="D28" s="43"/>
    </row>
    <row r="29" spans="1:4" x14ac:dyDescent="0.25">
      <c r="A29" s="43" t="s">
        <v>83</v>
      </c>
      <c r="B29" s="43"/>
      <c r="C29" s="43"/>
      <c r="D29" s="43"/>
    </row>
    <row r="30" spans="1:4" x14ac:dyDescent="0.25">
      <c r="A30" s="43" t="s">
        <v>84</v>
      </c>
      <c r="B30" s="43"/>
      <c r="C30" s="43"/>
      <c r="D30" s="43"/>
    </row>
  </sheetData>
  <mergeCells count="5">
    <mergeCell ref="A2:D2"/>
    <mergeCell ref="A27:D27"/>
    <mergeCell ref="A28:D28"/>
    <mergeCell ref="A29:D29"/>
    <mergeCell ref="A30:D30"/>
  </mergeCells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4"/>
  <sheetViews>
    <sheetView showGridLines="0" zoomScaleNormal="100" workbookViewId="0"/>
  </sheetViews>
  <sheetFormatPr baseColWidth="10" defaultColWidth="8.7109375" defaultRowHeight="15" x14ac:dyDescent="0.25"/>
  <cols>
    <col min="1" max="1" width="38.42578125" customWidth="1"/>
    <col min="2" max="2" width="21.140625" customWidth="1"/>
    <col min="3" max="3" width="20.7109375" customWidth="1"/>
    <col min="4" max="4" width="23.5703125" customWidth="1"/>
    <col min="5" max="5" width="21" customWidth="1"/>
    <col min="6" max="6" width="17" customWidth="1"/>
  </cols>
  <sheetData>
    <row r="1" spans="1:6" ht="18" x14ac:dyDescent="0.25">
      <c r="A1" s="3" t="s">
        <v>85</v>
      </c>
    </row>
    <row r="2" spans="1:6" x14ac:dyDescent="0.25">
      <c r="A2" s="43" t="s">
        <v>86</v>
      </c>
      <c r="B2" s="43"/>
      <c r="C2" s="43"/>
      <c r="D2" s="43"/>
      <c r="E2" s="43"/>
      <c r="F2" s="43"/>
    </row>
    <row r="4" spans="1:6" x14ac:dyDescent="0.25">
      <c r="A4" s="4" t="s">
        <v>2</v>
      </c>
      <c r="B4" s="4" t="s">
        <v>3</v>
      </c>
    </row>
    <row r="5" spans="1:6" x14ac:dyDescent="0.25">
      <c r="A5" s="5" t="s">
        <v>87</v>
      </c>
      <c r="B5" s="40">
        <v>500</v>
      </c>
    </row>
    <row r="6" spans="1:6" x14ac:dyDescent="0.25">
      <c r="A6" s="5" t="s">
        <v>88</v>
      </c>
      <c r="B6" s="9">
        <v>0.08</v>
      </c>
    </row>
    <row r="7" spans="1:6" x14ac:dyDescent="0.25">
      <c r="A7" s="5" t="s">
        <v>89</v>
      </c>
      <c r="B7" s="27">
        <v>20</v>
      </c>
    </row>
    <row r="8" spans="1:6" x14ac:dyDescent="0.25">
      <c r="A8" s="5" t="s">
        <v>90</v>
      </c>
      <c r="B8" s="31">
        <f>Forutsetninger!$B$5</f>
        <v>30.6</v>
      </c>
    </row>
    <row r="9" spans="1:6" x14ac:dyDescent="0.25">
      <c r="A9" s="5" t="s">
        <v>11</v>
      </c>
      <c r="B9" s="41">
        <f>Forutsetninger!$B$7</f>
        <v>2538</v>
      </c>
    </row>
    <row r="10" spans="1:6" x14ac:dyDescent="0.25">
      <c r="A10" s="5" t="s">
        <v>16</v>
      </c>
      <c r="B10" s="28">
        <f>Forutsetninger!$B$10</f>
        <v>5</v>
      </c>
    </row>
    <row r="12" spans="1:6" x14ac:dyDescent="0.25">
      <c r="A12" s="19" t="s">
        <v>91</v>
      </c>
      <c r="B12" s="42">
        <f>B8*(1+B6)^B10</f>
        <v>44.961439150080011</v>
      </c>
    </row>
    <row r="14" spans="1:6" x14ac:dyDescent="0.25">
      <c r="A14" s="11" t="s">
        <v>92</v>
      </c>
      <c r="B14" s="11" t="s">
        <v>93</v>
      </c>
      <c r="C14" s="11" t="s">
        <v>22</v>
      </c>
      <c r="D14" s="11" t="s">
        <v>94</v>
      </c>
      <c r="E14" s="11" t="s">
        <v>25</v>
      </c>
      <c r="F14" s="11" t="s">
        <v>95</v>
      </c>
    </row>
    <row r="15" spans="1:6" x14ac:dyDescent="0.25">
      <c r="A15" s="24">
        <v>0.05</v>
      </c>
      <c r="B15" s="25">
        <f t="shared" ref="B15:B20" si="0">$B$5*$A15*1000/$B$9</f>
        <v>9.8502758077226158</v>
      </c>
      <c r="C15" s="25">
        <f t="shared" ref="C15:C20" si="1">$B$12+B15</f>
        <v>54.811714957802629</v>
      </c>
      <c r="D15" s="15">
        <f t="shared" ref="D15:D20" si="2">C15*$B$7</f>
        <v>1096.2342991560527</v>
      </c>
      <c r="E15" s="16">
        <f>((D15+Forutsetninger!$B$6)/Forutsetninger!$B$4)^(1/$B$10)-1</f>
        <v>0.14167189633859167</v>
      </c>
      <c r="F15" s="7" t="s">
        <v>96</v>
      </c>
    </row>
    <row r="16" spans="1:6" x14ac:dyDescent="0.25">
      <c r="A16" s="24">
        <v>0.08</v>
      </c>
      <c r="B16" s="25">
        <f t="shared" si="0"/>
        <v>15.760441292356186</v>
      </c>
      <c r="C16" s="25">
        <f t="shared" si="1"/>
        <v>60.721880442436195</v>
      </c>
      <c r="D16" s="15">
        <f t="shared" si="2"/>
        <v>1214.4376088487238</v>
      </c>
      <c r="E16" s="16">
        <f>((D16+Forutsetninger!$B$6)/Forutsetninger!$B$4)^(1/$B$10)-1</f>
        <v>0.16504871447273395</v>
      </c>
      <c r="F16" s="7" t="s">
        <v>97</v>
      </c>
    </row>
    <row r="17" spans="1:6" x14ac:dyDescent="0.25">
      <c r="A17" s="24">
        <v>0.1</v>
      </c>
      <c r="B17" s="25">
        <f t="shared" si="0"/>
        <v>19.700551615445232</v>
      </c>
      <c r="C17" s="25">
        <f t="shared" si="1"/>
        <v>64.661990765525246</v>
      </c>
      <c r="D17" s="15">
        <f t="shared" si="2"/>
        <v>1293.239815310505</v>
      </c>
      <c r="E17" s="16">
        <f>((D17+Forutsetninger!$B$6)/Forutsetninger!$B$4)^(1/$B$10)-1</f>
        <v>0.17964968395017689</v>
      </c>
      <c r="F17" s="7" t="s">
        <v>98</v>
      </c>
    </row>
    <row r="18" spans="1:6" x14ac:dyDescent="0.25">
      <c r="A18" s="24">
        <v>0.15</v>
      </c>
      <c r="B18" s="25">
        <f t="shared" si="0"/>
        <v>29.550827423167849</v>
      </c>
      <c r="C18" s="25">
        <f t="shared" si="1"/>
        <v>74.512266573247857</v>
      </c>
      <c r="D18" s="15">
        <f t="shared" si="2"/>
        <v>1490.2453314649572</v>
      </c>
      <c r="E18" s="16">
        <f>((D18+Forutsetninger!$B$6)/Forutsetninger!$B$4)^(1/$B$10)-1</f>
        <v>0.21328594222990915</v>
      </c>
      <c r="F18" s="7" t="s">
        <v>99</v>
      </c>
    </row>
    <row r="19" spans="1:6" x14ac:dyDescent="0.25">
      <c r="A19" s="24">
        <v>0.2</v>
      </c>
      <c r="B19" s="25">
        <f t="shared" si="0"/>
        <v>39.401103230890463</v>
      </c>
      <c r="C19" s="25">
        <f t="shared" si="1"/>
        <v>84.362542380970467</v>
      </c>
      <c r="D19" s="15">
        <f t="shared" si="2"/>
        <v>1687.2508476194093</v>
      </c>
      <c r="E19" s="16">
        <f>((D19+Forutsetninger!$B$6)/Forutsetninger!$B$4)^(1/$B$10)-1</f>
        <v>0.2435592781390945</v>
      </c>
      <c r="F19" s="7" t="s">
        <v>100</v>
      </c>
    </row>
    <row r="20" spans="1:6" x14ac:dyDescent="0.25">
      <c r="A20" s="24">
        <v>0.3</v>
      </c>
      <c r="B20" s="25">
        <f t="shared" si="0"/>
        <v>59.101654846335698</v>
      </c>
      <c r="C20" s="25">
        <f t="shared" si="1"/>
        <v>104.06309399641572</v>
      </c>
      <c r="D20" s="15">
        <f t="shared" si="2"/>
        <v>2081.2618799283146</v>
      </c>
      <c r="E20" s="16">
        <f>((D20+Forutsetninger!$B$6)/Forutsetninger!$B$4)^(1/$B$10)-1</f>
        <v>0.2965214492147572</v>
      </c>
      <c r="F20" s="7" t="s">
        <v>101</v>
      </c>
    </row>
    <row r="22" spans="1:6" x14ac:dyDescent="0.25">
      <c r="A22" s="43" t="s">
        <v>102</v>
      </c>
      <c r="B22" s="43"/>
      <c r="C22" s="43"/>
      <c r="D22" s="43"/>
      <c r="E22" s="43"/>
      <c r="F22" s="43"/>
    </row>
    <row r="23" spans="1:6" x14ac:dyDescent="0.25">
      <c r="A23" s="43" t="s">
        <v>103</v>
      </c>
      <c r="B23" s="43"/>
      <c r="C23" s="43"/>
      <c r="D23" s="43"/>
      <c r="E23" s="43"/>
      <c r="F23" s="43"/>
    </row>
    <row r="24" spans="1:6" x14ac:dyDescent="0.25">
      <c r="A24" s="43" t="s">
        <v>104</v>
      </c>
      <c r="B24" s="43"/>
      <c r="C24" s="43"/>
      <c r="D24" s="43"/>
      <c r="E24" s="43"/>
      <c r="F24" s="43"/>
    </row>
  </sheetData>
  <mergeCells count="4">
    <mergeCell ref="A2:F2"/>
    <mergeCell ref="A22:F22"/>
    <mergeCell ref="A23:F23"/>
    <mergeCell ref="A24:F24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Forutsetninger</vt:lpstr>
      <vt:lpstr>Scenarioanalyse</vt:lpstr>
      <vt:lpstr>Capex-ROIC</vt:lpstr>
      <vt:lpstr>Reverse-DCF</vt:lpstr>
      <vt:lpstr>Graham</vt:lpstr>
      <vt:lpstr>Capex-EPS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Martin Bruteig</cp:lastModifiedBy>
  <cp:revision>0</cp:revision>
  <dcterms:created xsi:type="dcterms:W3CDTF">2026-06-14T13:25:42Z</dcterms:created>
  <dcterms:modified xsi:type="dcterms:W3CDTF">2026-06-14T13:53:19Z</dcterms:modified>
  <dc:language>en-US</dc:language>
</cp:coreProperties>
</file>