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2.xml" ContentType="application/vnd.openxmlformats-officedocument.spreadsheetml.table+xml"/>
  <Override PartName="/xl/comments3.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ac16100\HCP\Skrivbord\"/>
    </mc:Choice>
  </mc:AlternateContent>
  <xr:revisionPtr revIDLastSave="0" documentId="8_{D6DFF8E4-5732-4BFB-8BAA-7128B82590E2}" xr6:coauthVersionLast="47" xr6:coauthVersionMax="47" xr10:uidLastSave="{00000000-0000-0000-0000-000000000000}"/>
  <workbookProtection workbookAlgorithmName="SHA-512" workbookHashValue="vSSjeXCiemEgC+I/Y04kCIhnBA/OT7AE/Vh1nH7JXDRp5fwbzX5dzxj3ouNEuxtw37Lb0AU8neARzSpWEFzg2g==" workbookSaltValue="oVLEsiiMT5Mi3uDWt2xP1A==" workbookSpinCount="100000" lockStructure="1"/>
  <bookViews>
    <workbookView xWindow="-120" yWindow="-120" windowWidth="29040" windowHeight="15720" tabRatio="701" activeTab="1" xr2:uid="{00000000-000D-0000-FFFF-FFFF00000000}"/>
  </bookViews>
  <sheets>
    <sheet name="Vägledning" sheetId="21" r:id="rId1"/>
    <sheet name="Försättsblad" sheetId="13" r:id="rId2"/>
    <sheet name="Kalkyl start" sheetId="14" r:id="rId3"/>
    <sheet name="Kalkyl slut" sheetId="30" r:id="rId4"/>
    <sheet name="Sammanställning" sheetId="10" r:id="rId5"/>
    <sheet name="Materiallista" sheetId="15" r:id="rId6"/>
    <sheet name="Anteckningar" sheetId="28" r:id="rId7"/>
    <sheet name="Enhetsomräkning" sheetId="33" r:id="rId8"/>
    <sheet name="Staden Export" sheetId="32" state="hidden" r:id="rId9"/>
    <sheet name="Tabeller" sheetId="16" state="hidden" r:id="rId10"/>
  </sheets>
  <definedNames>
    <definedName name="_xlnm._FilterDatabase" localSheetId="5" hidden="1">Materiallista!$B$4:$M$104</definedName>
    <definedName name="Anläggningssten">Tabeller!$K$2:$K$26</definedName>
    <definedName name="Asfalt">Tabeller!$G$2:$G$26</definedName>
    <definedName name="Betong">Tabeller!$H$2:$H$26</definedName>
    <definedName name="Materialnamn" localSheetId="7">Materialtabell[Materialnamn]</definedName>
    <definedName name="Materialnamn" localSheetId="3">Materialtabell[Materialnamn]</definedName>
    <definedName name="Materialnamn">Materialtabell[Materialnamn]</definedName>
    <definedName name="Materialtyp">Tabeller!$E$2:$E$26</definedName>
    <definedName name="Metall">Tabeller!$I$2:$I$26</definedName>
    <definedName name="Omräkningsfaktor">Tabeller!$B$2:$B$26</definedName>
    <definedName name="Plast">Tabeller!$J$2:$J$26</definedName>
    <definedName name="Projektskede">Tabeller!$D$2:$D$26</definedName>
    <definedName name="Schaktmassa">Tabeller!$L$2:$L$26</definedName>
    <definedName name="Skeden">Tabeller!$C$2:$C$26</definedName>
    <definedName name="Teknikomr">Tabeller!$F$2:$F$26</definedName>
    <definedName name="_xlnm.Print_Area" localSheetId="1">Försättsblad!$B$1:$E$27</definedName>
    <definedName name="_xlnm.Print_Area" localSheetId="3">'Kalkyl slut'!$B$1:$R$207</definedName>
    <definedName name="_xlnm.Print_Area" localSheetId="2">'Kalkyl start'!$B$1:$R$207</definedName>
    <definedName name="_xlnm.Print_Area" localSheetId="5">Materiallista!$B$1:$N$112</definedName>
    <definedName name="_xlnm.Print_Area" localSheetId="4">Sammanställning!$B$1:$O$86</definedName>
    <definedName name="_xlnm.Print_Area" localSheetId="0">Vägledning!$B$1:$O$59</definedName>
    <definedName name="Övrigt">Tabeller!$O$2:$O$26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92" i="15" l="1"/>
  <c r="AA92" i="15" s="1"/>
  <c r="Z93" i="15"/>
  <c r="AA93" i="15"/>
  <c r="Z94" i="15"/>
  <c r="AA94" i="15" s="1"/>
  <c r="G9" i="33"/>
  <c r="G10" i="33"/>
  <c r="G11" i="33"/>
  <c r="G12" i="33"/>
  <c r="G13" i="33"/>
  <c r="G14" i="33"/>
  <c r="G15" i="33"/>
  <c r="G16" i="33"/>
  <c r="G17" i="33"/>
  <c r="G18" i="33"/>
  <c r="G19" i="33"/>
  <c r="G20" i="33"/>
  <c r="G21" i="33"/>
  <c r="G22" i="33"/>
  <c r="G23" i="33"/>
  <c r="G24" i="33"/>
  <c r="G25" i="33"/>
  <c r="G26" i="33"/>
  <c r="G27" i="33"/>
  <c r="G28" i="33"/>
  <c r="G29" i="33"/>
  <c r="G30" i="33"/>
  <c r="G8" i="33"/>
  <c r="F9" i="33"/>
  <c r="F10" i="33"/>
  <c r="F11" i="33"/>
  <c r="F12" i="33"/>
  <c r="F13" i="33"/>
  <c r="F14" i="33"/>
  <c r="F15" i="33"/>
  <c r="F16" i="33"/>
  <c r="F17" i="33"/>
  <c r="F18" i="33"/>
  <c r="F19" i="33"/>
  <c r="F20" i="33"/>
  <c r="F21" i="33"/>
  <c r="F22" i="33"/>
  <c r="F23" i="33"/>
  <c r="F24" i="33"/>
  <c r="F25" i="33"/>
  <c r="F26" i="33"/>
  <c r="F27" i="33"/>
  <c r="F28" i="33"/>
  <c r="F29" i="33"/>
  <c r="F30" i="33"/>
  <c r="F8" i="33"/>
  <c r="F6" i="32"/>
  <c r="Z57" i="15" l="1"/>
  <c r="AA57" i="15" s="1"/>
  <c r="Z44" i="15"/>
  <c r="AA44" i="15" s="1"/>
  <c r="Z43" i="15"/>
  <c r="AA43" i="15" s="1"/>
  <c r="Z33" i="15"/>
  <c r="AA33" i="15" s="1"/>
  <c r="Z28" i="15"/>
  <c r="AA28" i="15"/>
  <c r="Z29" i="15"/>
  <c r="AA29" i="15" s="1"/>
  <c r="O30" i="30" l="1"/>
  <c r="O29" i="30"/>
  <c r="O28" i="30"/>
  <c r="O27" i="30"/>
  <c r="O26" i="30"/>
  <c r="O25" i="30"/>
  <c r="O24" i="30"/>
  <c r="O23" i="30"/>
  <c r="O22" i="30"/>
  <c r="O21" i="30"/>
  <c r="O20" i="30"/>
  <c r="O19" i="30"/>
  <c r="O8" i="30"/>
  <c r="O9" i="30"/>
  <c r="O10" i="30"/>
  <c r="O11" i="30"/>
  <c r="O12" i="30"/>
  <c r="O13" i="30"/>
  <c r="O14" i="30"/>
  <c r="O15" i="30"/>
  <c r="O16" i="30"/>
  <c r="O17" i="30"/>
  <c r="O18" i="30"/>
  <c r="O7" i="14"/>
  <c r="O8" i="14"/>
  <c r="O9" i="14"/>
  <c r="O10" i="14"/>
  <c r="O11" i="14"/>
  <c r="O12" i="14"/>
  <c r="O13" i="14"/>
  <c r="O14" i="14"/>
  <c r="O15" i="14"/>
  <c r="O16" i="14"/>
  <c r="O17" i="14"/>
  <c r="O18" i="14"/>
  <c r="O19" i="14"/>
  <c r="O20" i="14"/>
  <c r="T18" i="32"/>
  <c r="S18" i="32"/>
  <c r="R18" i="32"/>
  <c r="Q18" i="32"/>
  <c r="P18" i="32"/>
  <c r="O18" i="32"/>
  <c r="M18" i="32"/>
  <c r="L18" i="32"/>
  <c r="K18" i="32"/>
  <c r="J18" i="32"/>
  <c r="I18" i="32"/>
  <c r="H18" i="32"/>
  <c r="G18" i="32"/>
  <c r="F18" i="32"/>
  <c r="B18" i="32"/>
  <c r="C18" i="32"/>
  <c r="D18" i="32"/>
  <c r="E18" i="32"/>
  <c r="I206" i="30" l="1"/>
  <c r="I207" i="30"/>
  <c r="I208" i="30"/>
  <c r="I209" i="30"/>
  <c r="I210" i="30"/>
  <c r="I211" i="30"/>
  <c r="I212" i="30"/>
  <c r="I213" i="30"/>
  <c r="I214" i="30"/>
  <c r="I215" i="30"/>
  <c r="I216" i="30"/>
  <c r="I217" i="30"/>
  <c r="I218" i="30"/>
  <c r="I219" i="30"/>
  <c r="I220" i="30"/>
  <c r="I221" i="30"/>
  <c r="I222" i="30"/>
  <c r="I223" i="30"/>
  <c r="I224" i="30"/>
  <c r="I225" i="30"/>
  <c r="I226" i="30"/>
  <c r="I227" i="30"/>
  <c r="I228" i="30"/>
  <c r="I229" i="30"/>
  <c r="I230" i="30"/>
  <c r="I231" i="30"/>
  <c r="I232" i="30"/>
  <c r="I233" i="30"/>
  <c r="I234" i="30"/>
  <c r="I235" i="30"/>
  <c r="I236" i="30"/>
  <c r="I237" i="30"/>
  <c r="I238" i="30"/>
  <c r="I239" i="30"/>
  <c r="I240" i="30"/>
  <c r="I241" i="30"/>
  <c r="I242" i="30"/>
  <c r="I243" i="30"/>
  <c r="I244" i="30"/>
  <c r="I245" i="30"/>
  <c r="I246" i="30"/>
  <c r="I247" i="30"/>
  <c r="I248" i="30"/>
  <c r="I249" i="30"/>
  <c r="I250" i="30"/>
  <c r="I251" i="30"/>
  <c r="I252" i="30"/>
  <c r="I253" i="30"/>
  <c r="I254" i="30"/>
  <c r="I255" i="30"/>
  <c r="J206" i="30"/>
  <c r="M206" i="30" s="1"/>
  <c r="J207" i="30"/>
  <c r="M207" i="30" s="1"/>
  <c r="J208" i="30"/>
  <c r="L208" i="30" s="1"/>
  <c r="J209" i="30"/>
  <c r="L209" i="30" s="1"/>
  <c r="J210" i="30"/>
  <c r="M210" i="30" s="1"/>
  <c r="J211" i="30"/>
  <c r="M211" i="30" s="1"/>
  <c r="J212" i="30"/>
  <c r="M212" i="30" s="1"/>
  <c r="J213" i="30"/>
  <c r="L213" i="30" s="1"/>
  <c r="J214" i="30"/>
  <c r="M214" i="30" s="1"/>
  <c r="J215" i="30"/>
  <c r="L215" i="30" s="1"/>
  <c r="J216" i="30"/>
  <c r="L216" i="30" s="1"/>
  <c r="J217" i="30"/>
  <c r="L217" i="30" s="1"/>
  <c r="J218" i="30"/>
  <c r="L218" i="30" s="1"/>
  <c r="J219" i="30"/>
  <c r="L219" i="30" s="1"/>
  <c r="J220" i="30"/>
  <c r="N220" i="30" s="1"/>
  <c r="J221" i="30"/>
  <c r="N221" i="30" s="1"/>
  <c r="J222" i="30"/>
  <c r="M222" i="30" s="1"/>
  <c r="J223" i="30"/>
  <c r="M223" i="30" s="1"/>
  <c r="J224" i="30"/>
  <c r="L224" i="30" s="1"/>
  <c r="J225" i="30"/>
  <c r="L225" i="30" s="1"/>
  <c r="J226" i="30"/>
  <c r="J227" i="30"/>
  <c r="J228" i="30"/>
  <c r="N228" i="30" s="1"/>
  <c r="J229" i="30"/>
  <c r="N229" i="30" s="1"/>
  <c r="J230" i="30"/>
  <c r="N230" i="30" s="1"/>
  <c r="J231" i="30"/>
  <c r="N231" i="30" s="1"/>
  <c r="J232" i="30"/>
  <c r="N232" i="30" s="1"/>
  <c r="J233" i="30"/>
  <c r="L233" i="30" s="1"/>
  <c r="J234" i="30"/>
  <c r="N234" i="30" s="1"/>
  <c r="J235" i="30"/>
  <c r="M235" i="30" s="1"/>
  <c r="J236" i="30"/>
  <c r="M236" i="30" s="1"/>
  <c r="J237" i="30"/>
  <c r="M237" i="30" s="1"/>
  <c r="J238" i="30"/>
  <c r="M238" i="30" s="1"/>
  <c r="J239" i="30"/>
  <c r="M239" i="30" s="1"/>
  <c r="J240" i="30"/>
  <c r="N240" i="30" s="1"/>
  <c r="J241" i="30"/>
  <c r="N241" i="30" s="1"/>
  <c r="J242" i="30"/>
  <c r="J243" i="30"/>
  <c r="J244" i="30"/>
  <c r="N244" i="30" s="1"/>
  <c r="J245" i="30"/>
  <c r="N245" i="30" s="1"/>
  <c r="J246" i="30"/>
  <c r="M246" i="30" s="1"/>
  <c r="J247" i="30"/>
  <c r="M247" i="30" s="1"/>
  <c r="J248" i="30"/>
  <c r="L248" i="30" s="1"/>
  <c r="J249" i="30"/>
  <c r="L249" i="30" s="1"/>
  <c r="J250" i="30"/>
  <c r="M250" i="30" s="1"/>
  <c r="J251" i="30"/>
  <c r="M251" i="30" s="1"/>
  <c r="J252" i="30"/>
  <c r="L252" i="30" s="1"/>
  <c r="J253" i="30"/>
  <c r="M253" i="30" s="1"/>
  <c r="J254" i="30"/>
  <c r="M254" i="30" s="1"/>
  <c r="J255" i="30"/>
  <c r="M255" i="30" s="1"/>
  <c r="K206" i="30"/>
  <c r="K207" i="30"/>
  <c r="K208" i="30"/>
  <c r="K209" i="30"/>
  <c r="K210" i="30"/>
  <c r="K211" i="30"/>
  <c r="K212" i="30"/>
  <c r="K213" i="30"/>
  <c r="K214" i="30"/>
  <c r="K215" i="30"/>
  <c r="K216" i="30"/>
  <c r="K217" i="30"/>
  <c r="K218" i="30"/>
  <c r="K219" i="30"/>
  <c r="K220" i="30"/>
  <c r="K221" i="30"/>
  <c r="K222" i="30"/>
  <c r="K223" i="30"/>
  <c r="K224" i="30"/>
  <c r="K225" i="30"/>
  <c r="K226" i="30"/>
  <c r="K227" i="30"/>
  <c r="K228" i="30"/>
  <c r="K229" i="30"/>
  <c r="K230" i="30"/>
  <c r="K231" i="30"/>
  <c r="K232" i="30"/>
  <c r="K233" i="30"/>
  <c r="K234" i="30"/>
  <c r="K235" i="30"/>
  <c r="K236" i="30"/>
  <c r="K237" i="30"/>
  <c r="K238" i="30"/>
  <c r="K239" i="30"/>
  <c r="K240" i="30"/>
  <c r="K241" i="30"/>
  <c r="K242" i="30"/>
  <c r="K243" i="30"/>
  <c r="K244" i="30"/>
  <c r="K245" i="30"/>
  <c r="K246" i="30"/>
  <c r="K247" i="30"/>
  <c r="K248" i="30"/>
  <c r="K249" i="30"/>
  <c r="K250" i="30"/>
  <c r="K251" i="30"/>
  <c r="K252" i="30"/>
  <c r="K253" i="30"/>
  <c r="K254" i="30"/>
  <c r="K255" i="30"/>
  <c r="O206" i="30"/>
  <c r="O207" i="30"/>
  <c r="O208" i="30"/>
  <c r="O209" i="30"/>
  <c r="O210" i="30"/>
  <c r="O211" i="30"/>
  <c r="O212" i="30"/>
  <c r="O213" i="30"/>
  <c r="O214" i="30"/>
  <c r="O215" i="30"/>
  <c r="O216" i="30"/>
  <c r="O217" i="30"/>
  <c r="O218" i="30"/>
  <c r="O219" i="30"/>
  <c r="O220" i="30"/>
  <c r="O221" i="30"/>
  <c r="O222" i="30"/>
  <c r="O223" i="30"/>
  <c r="O224" i="30"/>
  <c r="O225" i="30"/>
  <c r="O226" i="30"/>
  <c r="O227" i="30"/>
  <c r="O228" i="30"/>
  <c r="O229" i="30"/>
  <c r="O230" i="30"/>
  <c r="O231" i="30"/>
  <c r="O232" i="30"/>
  <c r="O233" i="30"/>
  <c r="O234" i="30"/>
  <c r="O235" i="30"/>
  <c r="O236" i="30"/>
  <c r="O237" i="30"/>
  <c r="O238" i="30"/>
  <c r="O239" i="30"/>
  <c r="O240" i="30"/>
  <c r="O241" i="30"/>
  <c r="O242" i="30"/>
  <c r="O243" i="30"/>
  <c r="O244" i="30"/>
  <c r="O245" i="30"/>
  <c r="O246" i="30"/>
  <c r="O247" i="30"/>
  <c r="O248" i="30"/>
  <c r="O249" i="30"/>
  <c r="O250" i="30"/>
  <c r="O251" i="30"/>
  <c r="O252" i="30"/>
  <c r="O253" i="30"/>
  <c r="O254" i="30"/>
  <c r="O255" i="30"/>
  <c r="I206" i="14"/>
  <c r="I207" i="14"/>
  <c r="I208" i="14"/>
  <c r="I209" i="14"/>
  <c r="I210" i="14"/>
  <c r="I211" i="14"/>
  <c r="I212" i="14"/>
  <c r="I213" i="14"/>
  <c r="I214" i="14"/>
  <c r="I215" i="14"/>
  <c r="I216" i="14"/>
  <c r="I217" i="14"/>
  <c r="I218" i="14"/>
  <c r="I219" i="14"/>
  <c r="I220" i="14"/>
  <c r="I221" i="14"/>
  <c r="I222" i="14"/>
  <c r="I223" i="14"/>
  <c r="I224" i="14"/>
  <c r="I225" i="14"/>
  <c r="I226" i="14"/>
  <c r="I227" i="14"/>
  <c r="I228" i="14"/>
  <c r="I229" i="14"/>
  <c r="I230" i="14"/>
  <c r="I231" i="14"/>
  <c r="I232" i="14"/>
  <c r="I233" i="14"/>
  <c r="I234" i="14"/>
  <c r="I235" i="14"/>
  <c r="I236" i="14"/>
  <c r="I237" i="14"/>
  <c r="I238" i="14"/>
  <c r="I239" i="14"/>
  <c r="I240" i="14"/>
  <c r="I241" i="14"/>
  <c r="I242" i="14"/>
  <c r="I243" i="14"/>
  <c r="I244" i="14"/>
  <c r="I245" i="14"/>
  <c r="I246" i="14"/>
  <c r="I247" i="14"/>
  <c r="I248" i="14"/>
  <c r="I249" i="14"/>
  <c r="I250" i="14"/>
  <c r="I251" i="14"/>
  <c r="I252" i="14"/>
  <c r="I253" i="14"/>
  <c r="I254" i="14"/>
  <c r="I255" i="14"/>
  <c r="J206" i="14"/>
  <c r="M206" i="14" s="1"/>
  <c r="J207" i="14"/>
  <c r="N207" i="14" s="1"/>
  <c r="J208" i="14"/>
  <c r="M208" i="14" s="1"/>
  <c r="J209" i="14"/>
  <c r="M209" i="14" s="1"/>
  <c r="J210" i="14"/>
  <c r="L210" i="14" s="1"/>
  <c r="J211" i="14"/>
  <c r="L211" i="14" s="1"/>
  <c r="J212" i="14"/>
  <c r="L212" i="14" s="1"/>
  <c r="J213" i="14"/>
  <c r="L213" i="14" s="1"/>
  <c r="J214" i="14"/>
  <c r="L214" i="14" s="1"/>
  <c r="J215" i="14"/>
  <c r="N215" i="14" s="1"/>
  <c r="J216" i="14"/>
  <c r="N216" i="14" s="1"/>
  <c r="J217" i="14"/>
  <c r="N217" i="14" s="1"/>
  <c r="J218" i="14"/>
  <c r="J219" i="14"/>
  <c r="L219" i="14" s="1"/>
  <c r="J220" i="14"/>
  <c r="N220" i="14" s="1"/>
  <c r="J221" i="14"/>
  <c r="N221" i="14" s="1"/>
  <c r="J222" i="14"/>
  <c r="M222" i="14" s="1"/>
  <c r="J223" i="14"/>
  <c r="M223" i="14" s="1"/>
  <c r="J224" i="14"/>
  <c r="L224" i="14" s="1"/>
  <c r="J225" i="14"/>
  <c r="M225" i="14" s="1"/>
  <c r="J226" i="14"/>
  <c r="M226" i="14" s="1"/>
  <c r="J227" i="14"/>
  <c r="L227" i="14" s="1"/>
  <c r="J228" i="14"/>
  <c r="M228" i="14" s="1"/>
  <c r="J229" i="14"/>
  <c r="N229" i="14" s="1"/>
  <c r="J230" i="14"/>
  <c r="N230" i="14" s="1"/>
  <c r="J231" i="14"/>
  <c r="N231" i="14" s="1"/>
  <c r="J232" i="14"/>
  <c r="M232" i="14" s="1"/>
  <c r="J233" i="14"/>
  <c r="M233" i="14" s="1"/>
  <c r="J234" i="14"/>
  <c r="L234" i="14" s="1"/>
  <c r="J235" i="14"/>
  <c r="L235" i="14" s="1"/>
  <c r="J236" i="14"/>
  <c r="L236" i="14" s="1"/>
  <c r="J237" i="14"/>
  <c r="L237" i="14" s="1"/>
  <c r="J238" i="14"/>
  <c r="L238" i="14" s="1"/>
  <c r="J239" i="14"/>
  <c r="L239" i="14" s="1"/>
  <c r="J240" i="14"/>
  <c r="M240" i="14" s="1"/>
  <c r="J241" i="14"/>
  <c r="L241" i="14" s="1"/>
  <c r="J242" i="14"/>
  <c r="M242" i="14" s="1"/>
  <c r="J243" i="14"/>
  <c r="M243" i="14" s="1"/>
  <c r="J244" i="14"/>
  <c r="N244" i="14" s="1"/>
  <c r="J245" i="14"/>
  <c r="N245" i="14" s="1"/>
  <c r="J246" i="14"/>
  <c r="M246" i="14" s="1"/>
  <c r="J247" i="14"/>
  <c r="M247" i="14" s="1"/>
  <c r="J248" i="14"/>
  <c r="L248" i="14" s="1"/>
  <c r="J249" i="14"/>
  <c r="L249" i="14" s="1"/>
  <c r="J250" i="14"/>
  <c r="M250" i="14" s="1"/>
  <c r="J251" i="14"/>
  <c r="M251" i="14" s="1"/>
  <c r="J252" i="14"/>
  <c r="J253" i="14"/>
  <c r="L253" i="14" s="1"/>
  <c r="J254" i="14"/>
  <c r="N254" i="14" s="1"/>
  <c r="J255" i="14"/>
  <c r="N255" i="14" s="1"/>
  <c r="K206" i="14"/>
  <c r="K207" i="14"/>
  <c r="K208" i="14"/>
  <c r="K209" i="14"/>
  <c r="K210" i="14"/>
  <c r="K211" i="14"/>
  <c r="K212" i="14"/>
  <c r="K213" i="14"/>
  <c r="K214" i="14"/>
  <c r="K215" i="14"/>
  <c r="K216" i="14"/>
  <c r="K217" i="14"/>
  <c r="K218" i="14"/>
  <c r="K219" i="14"/>
  <c r="K220" i="14"/>
  <c r="K221" i="14"/>
  <c r="K222" i="14"/>
  <c r="K223" i="14"/>
  <c r="K224" i="14"/>
  <c r="K225" i="14"/>
  <c r="K226" i="14"/>
  <c r="K227" i="14"/>
  <c r="K228" i="14"/>
  <c r="K229" i="14"/>
  <c r="K230" i="14"/>
  <c r="K231" i="14"/>
  <c r="K232" i="14"/>
  <c r="K233" i="14"/>
  <c r="K234" i="14"/>
  <c r="K235" i="14"/>
  <c r="K236" i="14"/>
  <c r="K237" i="14"/>
  <c r="K238" i="14"/>
  <c r="K239" i="14"/>
  <c r="K240" i="14"/>
  <c r="K241" i="14"/>
  <c r="K242" i="14"/>
  <c r="K243" i="14"/>
  <c r="K244" i="14"/>
  <c r="K245" i="14"/>
  <c r="K246" i="14"/>
  <c r="K247" i="14"/>
  <c r="K248" i="14"/>
  <c r="K249" i="14"/>
  <c r="K250" i="14"/>
  <c r="K251" i="14"/>
  <c r="K252" i="14"/>
  <c r="K253" i="14"/>
  <c r="K254" i="14"/>
  <c r="K255" i="14"/>
  <c r="O206" i="14"/>
  <c r="O207" i="14"/>
  <c r="O208" i="14"/>
  <c r="O209" i="14"/>
  <c r="O210" i="14"/>
  <c r="O211" i="14"/>
  <c r="O212" i="14"/>
  <c r="O213" i="14"/>
  <c r="O214" i="14"/>
  <c r="O215" i="14"/>
  <c r="O216" i="14"/>
  <c r="O217" i="14"/>
  <c r="O218" i="14"/>
  <c r="O219" i="14"/>
  <c r="O220" i="14"/>
  <c r="O221" i="14"/>
  <c r="O222" i="14"/>
  <c r="O223" i="14"/>
  <c r="O224" i="14"/>
  <c r="O225" i="14"/>
  <c r="O226" i="14"/>
  <c r="O227" i="14"/>
  <c r="O228" i="14"/>
  <c r="O229" i="14"/>
  <c r="O230" i="14"/>
  <c r="O231" i="14"/>
  <c r="O232" i="14"/>
  <c r="O233" i="14"/>
  <c r="O234" i="14"/>
  <c r="O235" i="14"/>
  <c r="O236" i="14"/>
  <c r="O237" i="14"/>
  <c r="O238" i="14"/>
  <c r="O239" i="14"/>
  <c r="O240" i="14"/>
  <c r="O241" i="14"/>
  <c r="O242" i="14"/>
  <c r="O243" i="14"/>
  <c r="O244" i="14"/>
  <c r="O245" i="14"/>
  <c r="O246" i="14"/>
  <c r="O247" i="14"/>
  <c r="O248" i="14"/>
  <c r="O249" i="14"/>
  <c r="O250" i="14"/>
  <c r="O251" i="14"/>
  <c r="O252" i="14"/>
  <c r="O253" i="14"/>
  <c r="O254" i="14"/>
  <c r="O255" i="14"/>
  <c r="E5" i="10"/>
  <c r="E4" i="10"/>
  <c r="L5" i="10"/>
  <c r="I20" i="30"/>
  <c r="J20" i="30"/>
  <c r="I21" i="30"/>
  <c r="J21" i="30"/>
  <c r="I22" i="30"/>
  <c r="J22" i="30"/>
  <c r="I23" i="30"/>
  <c r="J23" i="30"/>
  <c r="I24" i="30"/>
  <c r="J24" i="30"/>
  <c r="I25" i="30"/>
  <c r="J25" i="30"/>
  <c r="I26" i="30"/>
  <c r="J26" i="30"/>
  <c r="I27" i="30"/>
  <c r="J27" i="30"/>
  <c r="I28" i="30"/>
  <c r="J28" i="30"/>
  <c r="I29" i="30"/>
  <c r="J29" i="30"/>
  <c r="I30" i="30"/>
  <c r="J30" i="30"/>
  <c r="I31" i="30"/>
  <c r="J31" i="30"/>
  <c r="I32" i="30"/>
  <c r="J32" i="30"/>
  <c r="I33" i="30"/>
  <c r="J33" i="30"/>
  <c r="I34" i="30"/>
  <c r="J34" i="30"/>
  <c r="I35" i="30"/>
  <c r="J35" i="30"/>
  <c r="I36" i="30"/>
  <c r="J36" i="30"/>
  <c r="I37" i="30"/>
  <c r="J37" i="30"/>
  <c r="I38" i="30"/>
  <c r="J38" i="30"/>
  <c r="I39" i="30"/>
  <c r="J39" i="30"/>
  <c r="I40" i="30"/>
  <c r="J40" i="30"/>
  <c r="I41" i="30"/>
  <c r="J41" i="30"/>
  <c r="I42" i="30"/>
  <c r="J42" i="30"/>
  <c r="I43" i="30"/>
  <c r="J43" i="30"/>
  <c r="L229" i="30" l="1"/>
  <c r="P206" i="30"/>
  <c r="P253" i="30"/>
  <c r="L234" i="30"/>
  <c r="N210" i="30"/>
  <c r="P252" i="30"/>
  <c r="L228" i="30"/>
  <c r="N208" i="30"/>
  <c r="N209" i="30"/>
  <c r="M213" i="30"/>
  <c r="L239" i="30"/>
  <c r="L235" i="30"/>
  <c r="L209" i="14"/>
  <c r="M209" i="30"/>
  <c r="L240" i="30"/>
  <c r="L230" i="14"/>
  <c r="L238" i="30"/>
  <c r="L237" i="30"/>
  <c r="L229" i="14"/>
  <c r="Q237" i="30"/>
  <c r="P213" i="30"/>
  <c r="L228" i="14"/>
  <c r="N238" i="30"/>
  <c r="N235" i="30"/>
  <c r="N214" i="30"/>
  <c r="L214" i="30"/>
  <c r="L211" i="30"/>
  <c r="P215" i="30"/>
  <c r="P239" i="30"/>
  <c r="N239" i="30"/>
  <c r="Q228" i="14"/>
  <c r="L232" i="30"/>
  <c r="P206" i="14"/>
  <c r="Q232" i="14"/>
  <c r="Q208" i="14"/>
  <c r="N237" i="30"/>
  <c r="M210" i="14"/>
  <c r="N236" i="30"/>
  <c r="Q206" i="14"/>
  <c r="N233" i="30"/>
  <c r="L254" i="14"/>
  <c r="L233" i="14"/>
  <c r="N217" i="30"/>
  <c r="Q255" i="14"/>
  <c r="Q207" i="14"/>
  <c r="P230" i="14"/>
  <c r="M207" i="14"/>
  <c r="L255" i="14"/>
  <c r="N216" i="30"/>
  <c r="N219" i="30"/>
  <c r="L232" i="14"/>
  <c r="L231" i="14"/>
  <c r="N215" i="30"/>
  <c r="P227" i="30"/>
  <c r="N218" i="30"/>
  <c r="Q213" i="14"/>
  <c r="L221" i="30"/>
  <c r="P235" i="14"/>
  <c r="Q210" i="14"/>
  <c r="P209" i="14"/>
  <c r="Q211" i="14"/>
  <c r="P208" i="14"/>
  <c r="N212" i="30"/>
  <c r="P207" i="14"/>
  <c r="Q233" i="14"/>
  <c r="Q209" i="14"/>
  <c r="P238" i="30"/>
  <c r="P214" i="30"/>
  <c r="N211" i="30"/>
  <c r="Q211" i="30"/>
  <c r="Q212" i="14"/>
  <c r="N209" i="14"/>
  <c r="P232" i="30"/>
  <c r="P208" i="30"/>
  <c r="M234" i="30"/>
  <c r="P210" i="30"/>
  <c r="N206" i="14"/>
  <c r="M233" i="30"/>
  <c r="P236" i="30"/>
  <c r="Q235" i="30"/>
  <c r="Q210" i="30"/>
  <c r="P228" i="14"/>
  <c r="N211" i="14"/>
  <c r="M234" i="14"/>
  <c r="M232" i="30"/>
  <c r="M231" i="14"/>
  <c r="Q226" i="30"/>
  <c r="P254" i="30"/>
  <c r="L222" i="30"/>
  <c r="Q231" i="14"/>
  <c r="Q253" i="30"/>
  <c r="L230" i="30"/>
  <c r="N255" i="30"/>
  <c r="L207" i="14"/>
  <c r="N254" i="30"/>
  <c r="L220" i="30"/>
  <c r="P207" i="30"/>
  <c r="Q229" i="14"/>
  <c r="N253" i="30"/>
  <c r="M231" i="30"/>
  <c r="Q230" i="14"/>
  <c r="M230" i="30"/>
  <c r="P237" i="30"/>
  <c r="P235" i="30"/>
  <c r="P255" i="30"/>
  <c r="L223" i="30"/>
  <c r="M255" i="14"/>
  <c r="M245" i="14"/>
  <c r="Q252" i="30"/>
  <c r="M208" i="30"/>
  <c r="M239" i="14"/>
  <c r="Q254" i="30"/>
  <c r="M238" i="14"/>
  <c r="M236" i="14"/>
  <c r="M235" i="14"/>
  <c r="Q213" i="30"/>
  <c r="M241" i="14"/>
  <c r="Q243" i="30"/>
  <c r="N236" i="14"/>
  <c r="Q242" i="30"/>
  <c r="P241" i="30"/>
  <c r="P254" i="14"/>
  <c r="P240" i="30"/>
  <c r="M244" i="14"/>
  <c r="N237" i="14"/>
  <c r="Q219" i="30"/>
  <c r="Q218" i="30"/>
  <c r="P255" i="14"/>
  <c r="N235" i="14"/>
  <c r="L206" i="14"/>
  <c r="P234" i="30"/>
  <c r="P217" i="30"/>
  <c r="N234" i="14"/>
  <c r="L255" i="30"/>
  <c r="P216" i="30"/>
  <c r="P233" i="14"/>
  <c r="N233" i="14"/>
  <c r="M230" i="14"/>
  <c r="P212" i="30"/>
  <c r="L254" i="30"/>
  <c r="Q239" i="30"/>
  <c r="Q215" i="30"/>
  <c r="P232" i="14"/>
  <c r="N232" i="14"/>
  <c r="M217" i="14"/>
  <c r="P211" i="30"/>
  <c r="Q233" i="30"/>
  <c r="P209" i="30"/>
  <c r="N213" i="30"/>
  <c r="L253" i="30"/>
  <c r="L212" i="30"/>
  <c r="Q252" i="14"/>
  <c r="P229" i="14"/>
  <c r="M237" i="14"/>
  <c r="P231" i="14"/>
  <c r="M212" i="14"/>
  <c r="L236" i="30"/>
  <c r="N238" i="14"/>
  <c r="P215" i="14"/>
  <c r="P214" i="14"/>
  <c r="M211" i="14"/>
  <c r="N239" i="14"/>
  <c r="L215" i="14"/>
  <c r="M216" i="14"/>
  <c r="M213" i="14"/>
  <c r="Q254" i="14"/>
  <c r="N243" i="30"/>
  <c r="Q207" i="30"/>
  <c r="M215" i="14"/>
  <c r="P213" i="14"/>
  <c r="P212" i="14"/>
  <c r="Q238" i="14"/>
  <c r="Q214" i="14"/>
  <c r="M253" i="14"/>
  <c r="Q236" i="30"/>
  <c r="N242" i="30"/>
  <c r="Q206" i="30"/>
  <c r="Q239" i="14"/>
  <c r="M254" i="14"/>
  <c r="M252" i="14"/>
  <c r="N212" i="14"/>
  <c r="M214" i="14"/>
  <c r="Q215" i="14"/>
  <c r="P211" i="14"/>
  <c r="P210" i="14"/>
  <c r="P236" i="14"/>
  <c r="Q234" i="30"/>
  <c r="L231" i="30"/>
  <c r="L221" i="14"/>
  <c r="P243" i="14"/>
  <c r="L246" i="30"/>
  <c r="M229" i="30"/>
  <c r="L245" i="30"/>
  <c r="P242" i="14"/>
  <c r="Q232" i="30"/>
  <c r="L252" i="14"/>
  <c r="M219" i="30"/>
  <c r="Q228" i="30"/>
  <c r="N214" i="14"/>
  <c r="L245" i="14"/>
  <c r="P252" i="14"/>
  <c r="N213" i="14"/>
  <c r="L244" i="14"/>
  <c r="L208" i="14"/>
  <c r="Q212" i="30"/>
  <c r="M252" i="30"/>
  <c r="M216" i="30"/>
  <c r="L210" i="30"/>
  <c r="Q238" i="30"/>
  <c r="Q214" i="30"/>
  <c r="Q255" i="30"/>
  <c r="N252" i="30"/>
  <c r="Q219" i="14"/>
  <c r="P233" i="30"/>
  <c r="P217" i="14"/>
  <c r="P231" i="30"/>
  <c r="N207" i="30"/>
  <c r="L243" i="30"/>
  <c r="P216" i="14"/>
  <c r="P230" i="30"/>
  <c r="L247" i="14"/>
  <c r="L246" i="14"/>
  <c r="P228" i="30"/>
  <c r="M218" i="30"/>
  <c r="P253" i="14"/>
  <c r="M217" i="30"/>
  <c r="Q253" i="14"/>
  <c r="P239" i="14"/>
  <c r="N253" i="14"/>
  <c r="M229" i="14"/>
  <c r="L243" i="14"/>
  <c r="M245" i="30"/>
  <c r="M215" i="30"/>
  <c r="Q218" i="14"/>
  <c r="N218" i="14"/>
  <c r="L217" i="14"/>
  <c r="Q231" i="30"/>
  <c r="M221" i="30"/>
  <c r="L216" i="14"/>
  <c r="Q230" i="30"/>
  <c r="N206" i="30"/>
  <c r="M220" i="30"/>
  <c r="L242" i="30"/>
  <c r="L242" i="14"/>
  <c r="M244" i="30"/>
  <c r="Q237" i="14"/>
  <c r="P237" i="14"/>
  <c r="N243" i="14"/>
  <c r="N210" i="14"/>
  <c r="M221" i="14"/>
  <c r="Q209" i="30"/>
  <c r="M243" i="30"/>
  <c r="L207" i="30"/>
  <c r="L218" i="14"/>
  <c r="M228" i="30"/>
  <c r="L244" i="30"/>
  <c r="P240" i="14"/>
  <c r="P238" i="14"/>
  <c r="L223" i="14"/>
  <c r="L247" i="30"/>
  <c r="N219" i="14"/>
  <c r="P241" i="14"/>
  <c r="Q229" i="30"/>
  <c r="P229" i="30"/>
  <c r="L241" i="30"/>
  <c r="N252" i="14"/>
  <c r="Q236" i="14"/>
  <c r="N242" i="14"/>
  <c r="M220" i="14"/>
  <c r="M242" i="30"/>
  <c r="L206" i="30"/>
  <c r="Q235" i="14"/>
  <c r="N241" i="14"/>
  <c r="N208" i="14"/>
  <c r="M219" i="14"/>
  <c r="M241" i="30"/>
  <c r="L222" i="14"/>
  <c r="L220" i="14"/>
  <c r="N228" i="14"/>
  <c r="L240" i="14"/>
  <c r="Q208" i="30"/>
  <c r="Q234" i="14"/>
  <c r="P234" i="14"/>
  <c r="N240" i="14"/>
  <c r="M218" i="14"/>
  <c r="M240" i="30"/>
  <c r="Q251" i="30"/>
  <c r="Q224" i="30"/>
  <c r="P226" i="30"/>
  <c r="Q247" i="30"/>
  <c r="Q223" i="30"/>
  <c r="P225" i="30"/>
  <c r="Q222" i="30"/>
  <c r="P224" i="30"/>
  <c r="Q221" i="30"/>
  <c r="N251" i="30"/>
  <c r="N227" i="30"/>
  <c r="Q244" i="30"/>
  <c r="P222" i="30"/>
  <c r="N226" i="30"/>
  <c r="Q241" i="30"/>
  <c r="Q217" i="30"/>
  <c r="P243" i="30"/>
  <c r="P219" i="30"/>
  <c r="N247" i="30"/>
  <c r="N223" i="30"/>
  <c r="M249" i="30"/>
  <c r="M225" i="30"/>
  <c r="L251" i="30"/>
  <c r="L227" i="30"/>
  <c r="Q240" i="30"/>
  <c r="Q216" i="30"/>
  <c r="P242" i="30"/>
  <c r="P218" i="30"/>
  <c r="N246" i="30"/>
  <c r="N222" i="30"/>
  <c r="M248" i="30"/>
  <c r="M224" i="30"/>
  <c r="L250" i="30"/>
  <c r="L226" i="30"/>
  <c r="P251" i="30"/>
  <c r="P250" i="30"/>
  <c r="P248" i="30"/>
  <c r="Q245" i="30"/>
  <c r="P247" i="30"/>
  <c r="P223" i="30"/>
  <c r="Q220" i="30"/>
  <c r="N250" i="30"/>
  <c r="P221" i="30"/>
  <c r="N225" i="30"/>
  <c r="M227" i="30"/>
  <c r="P220" i="30"/>
  <c r="N224" i="30"/>
  <c r="M226" i="30"/>
  <c r="Q227" i="30"/>
  <c r="Q250" i="30"/>
  <c r="Q249" i="30"/>
  <c r="Q225" i="30"/>
  <c r="Q248" i="30"/>
  <c r="P249" i="30"/>
  <c r="Q246" i="30"/>
  <c r="P246" i="30"/>
  <c r="P245" i="30"/>
  <c r="N249" i="30"/>
  <c r="P244" i="30"/>
  <c r="N248" i="30"/>
  <c r="Q250" i="14"/>
  <c r="Q226" i="14"/>
  <c r="Q249" i="14"/>
  <c r="Q225" i="14"/>
  <c r="P251" i="14"/>
  <c r="P227" i="14"/>
  <c r="Q248" i="14"/>
  <c r="Q224" i="14"/>
  <c r="P250" i="14"/>
  <c r="P226" i="14"/>
  <c r="Q244" i="14"/>
  <c r="Q220" i="14"/>
  <c r="P246" i="14"/>
  <c r="P222" i="14"/>
  <c r="N250" i="14"/>
  <c r="N226" i="14"/>
  <c r="Q243" i="14"/>
  <c r="Q247" i="14"/>
  <c r="P249" i="14"/>
  <c r="Q222" i="14"/>
  <c r="N227" i="14"/>
  <c r="P220" i="14"/>
  <c r="Q241" i="14"/>
  <c r="P219" i="14"/>
  <c r="L251" i="14"/>
  <c r="N246" i="14"/>
  <c r="N222" i="14"/>
  <c r="M248" i="14"/>
  <c r="M224" i="14"/>
  <c r="L250" i="14"/>
  <c r="L226" i="14"/>
  <c r="Q251" i="14"/>
  <c r="Q227" i="14"/>
  <c r="Q223" i="14"/>
  <c r="P225" i="14"/>
  <c r="Q245" i="14"/>
  <c r="Q221" i="14"/>
  <c r="P247" i="14"/>
  <c r="P223" i="14"/>
  <c r="P221" i="14"/>
  <c r="Q242" i="14"/>
  <c r="N224" i="14"/>
  <c r="Q240" i="14"/>
  <c r="Q216" i="14"/>
  <c r="P218" i="14"/>
  <c r="L225" i="14"/>
  <c r="Q246" i="14"/>
  <c r="P248" i="14"/>
  <c r="P224" i="14"/>
  <c r="N251" i="14"/>
  <c r="P245" i="14"/>
  <c r="N249" i="14"/>
  <c r="N225" i="14"/>
  <c r="M227" i="14"/>
  <c r="P244" i="14"/>
  <c r="N248" i="14"/>
  <c r="Q217" i="14"/>
  <c r="N247" i="14"/>
  <c r="N223" i="14"/>
  <c r="M249" i="14"/>
  <c r="Z6" i="15"/>
  <c r="AA6" i="15" s="1"/>
  <c r="Z7" i="15"/>
  <c r="AA7" i="15" s="1"/>
  <c r="Z8" i="15"/>
  <c r="AA8" i="15" s="1"/>
  <c r="Z9" i="15"/>
  <c r="AA9" i="15" s="1"/>
  <c r="Z10" i="15"/>
  <c r="AA10" i="15" s="1"/>
  <c r="Z11" i="15"/>
  <c r="AA11" i="15" s="1"/>
  <c r="Z12" i="15"/>
  <c r="AA12" i="15" s="1"/>
  <c r="Z13" i="15"/>
  <c r="AA13" i="15" s="1"/>
  <c r="Z14" i="15"/>
  <c r="AA14" i="15" s="1"/>
  <c r="Z15" i="15"/>
  <c r="AA15" i="15" s="1"/>
  <c r="Z16" i="15"/>
  <c r="AA16" i="15" s="1"/>
  <c r="Z17" i="15"/>
  <c r="AA17" i="15" s="1"/>
  <c r="Z18" i="15"/>
  <c r="AA18" i="15" s="1"/>
  <c r="Z19" i="15"/>
  <c r="AA19" i="15" s="1"/>
  <c r="Z20" i="15"/>
  <c r="AA20" i="15" s="1"/>
  <c r="Z21" i="15"/>
  <c r="AA21" i="15" s="1"/>
  <c r="Z22" i="15"/>
  <c r="AA22" i="15" s="1"/>
  <c r="Z23" i="15"/>
  <c r="AA23" i="15" s="1"/>
  <c r="Z24" i="15"/>
  <c r="AA24" i="15" s="1"/>
  <c r="Z25" i="15"/>
  <c r="AA25" i="15" s="1"/>
  <c r="Z26" i="15"/>
  <c r="AA26" i="15" s="1"/>
  <c r="Z27" i="15"/>
  <c r="AA27" i="15" s="1"/>
  <c r="Z30" i="15"/>
  <c r="AA30" i="15" s="1"/>
  <c r="Z31" i="15"/>
  <c r="AA31" i="15" s="1"/>
  <c r="Z32" i="15"/>
  <c r="AA32" i="15" s="1"/>
  <c r="Z34" i="15"/>
  <c r="AA34" i="15" s="1"/>
  <c r="Z35" i="15"/>
  <c r="AA35" i="15" s="1"/>
  <c r="Z36" i="15"/>
  <c r="AA36" i="15" s="1"/>
  <c r="Z37" i="15"/>
  <c r="AA37" i="15" s="1"/>
  <c r="Z38" i="15"/>
  <c r="AA38" i="15" s="1"/>
  <c r="Z39" i="15"/>
  <c r="AA39" i="15" s="1"/>
  <c r="Z40" i="15"/>
  <c r="AA40" i="15" s="1"/>
  <c r="Z41" i="15"/>
  <c r="AA41" i="15" s="1"/>
  <c r="Z42" i="15"/>
  <c r="AA42" i="15" s="1"/>
  <c r="Z45" i="15"/>
  <c r="AA45" i="15" s="1"/>
  <c r="Z46" i="15"/>
  <c r="AA46" i="15" s="1"/>
  <c r="Z47" i="15"/>
  <c r="AA47" i="15" s="1"/>
  <c r="Z48" i="15"/>
  <c r="AA48" i="15" s="1"/>
  <c r="Z49" i="15"/>
  <c r="AA49" i="15" s="1"/>
  <c r="Z50" i="15"/>
  <c r="AA50" i="15" s="1"/>
  <c r="Z51" i="15"/>
  <c r="AA51" i="15" s="1"/>
  <c r="Z52" i="15"/>
  <c r="AA52" i="15" s="1"/>
  <c r="Z53" i="15"/>
  <c r="AA53" i="15" s="1"/>
  <c r="Z54" i="15"/>
  <c r="AA54" i="15" s="1"/>
  <c r="Z55" i="15"/>
  <c r="AA55" i="15" s="1"/>
  <c r="Z56" i="15"/>
  <c r="AA56" i="15" s="1"/>
  <c r="Z58" i="15"/>
  <c r="AA58" i="15" s="1"/>
  <c r="Z59" i="15"/>
  <c r="AA59" i="15" s="1"/>
  <c r="Z60" i="15"/>
  <c r="AA60" i="15" s="1"/>
  <c r="Z61" i="15"/>
  <c r="AA61" i="15" s="1"/>
  <c r="Z62" i="15"/>
  <c r="AA62" i="15" s="1"/>
  <c r="Z63" i="15"/>
  <c r="Z64" i="15"/>
  <c r="AA64" i="15" s="1"/>
  <c r="Z65" i="15"/>
  <c r="AA65" i="15" s="1"/>
  <c r="Z66" i="15"/>
  <c r="AA66" i="15" s="1"/>
  <c r="Z67" i="15"/>
  <c r="AA67" i="15" s="1"/>
  <c r="Z68" i="15"/>
  <c r="AA68" i="15" s="1"/>
  <c r="Z71" i="15"/>
  <c r="AA71" i="15" s="1"/>
  <c r="Z72" i="15"/>
  <c r="AA72" i="15" s="1"/>
  <c r="Z73" i="15"/>
  <c r="AA73" i="15" s="1"/>
  <c r="Z74" i="15"/>
  <c r="AA74" i="15" s="1"/>
  <c r="Z75" i="15"/>
  <c r="AA75" i="15" s="1"/>
  <c r="Z76" i="15"/>
  <c r="AA76" i="15" s="1"/>
  <c r="Z77" i="15"/>
  <c r="AA77" i="15" s="1"/>
  <c r="Z78" i="15"/>
  <c r="AA78" i="15" s="1"/>
  <c r="Z69" i="15"/>
  <c r="AA69" i="15" s="1"/>
  <c r="Z70" i="15"/>
  <c r="AA70" i="15" s="1"/>
  <c r="Z79" i="15"/>
  <c r="AA79" i="15" s="1"/>
  <c r="Z80" i="15"/>
  <c r="AA80" i="15" s="1"/>
  <c r="Z81" i="15"/>
  <c r="AA81" i="15" s="1"/>
  <c r="Z82" i="15"/>
  <c r="AA82" i="15" s="1"/>
  <c r="Z83" i="15"/>
  <c r="AA83" i="15" s="1"/>
  <c r="Z84" i="15"/>
  <c r="AA84" i="15" s="1"/>
  <c r="Z85" i="15"/>
  <c r="AA85" i="15" s="1"/>
  <c r="Z86" i="15"/>
  <c r="AA86" i="15" s="1"/>
  <c r="Z87" i="15"/>
  <c r="AA87" i="15" s="1"/>
  <c r="Z88" i="15"/>
  <c r="AA88" i="15" s="1"/>
  <c r="Z89" i="15"/>
  <c r="AA89" i="15" s="1"/>
  <c r="Z90" i="15"/>
  <c r="AA90" i="15" s="1"/>
  <c r="Z91" i="15"/>
  <c r="AA91" i="15" s="1"/>
  <c r="Z95" i="15"/>
  <c r="AA95" i="15" s="1"/>
  <c r="Z96" i="15"/>
  <c r="AA96" i="15" s="1"/>
  <c r="Z97" i="15"/>
  <c r="AA97" i="15" s="1"/>
  <c r="Z98" i="15"/>
  <c r="AA98" i="15" s="1"/>
  <c r="Z99" i="15"/>
  <c r="AA99" i="15" s="1"/>
  <c r="Z100" i="15"/>
  <c r="AA100" i="15" s="1"/>
  <c r="Z101" i="15"/>
  <c r="AA101" i="15" s="1"/>
  <c r="Z102" i="15"/>
  <c r="AA102" i="15" s="1"/>
  <c r="Z103" i="15"/>
  <c r="AA103" i="15" s="1"/>
  <c r="Z104" i="15"/>
  <c r="AA104" i="15" s="1"/>
  <c r="AA63" i="15"/>
  <c r="E23" i="10"/>
  <c r="O7" i="30"/>
  <c r="O31" i="30"/>
  <c r="O32" i="30"/>
  <c r="O33" i="30"/>
  <c r="O34" i="30"/>
  <c r="O35" i="30"/>
  <c r="O36" i="30"/>
  <c r="O37" i="30"/>
  <c r="O38" i="30"/>
  <c r="O39" i="30"/>
  <c r="O40" i="30"/>
  <c r="O41" i="30"/>
  <c r="O42" i="30"/>
  <c r="O43" i="30"/>
  <c r="O44" i="30"/>
  <c r="O45" i="30"/>
  <c r="O46" i="30"/>
  <c r="O47" i="30"/>
  <c r="O48" i="30"/>
  <c r="O49" i="30"/>
  <c r="O50" i="30"/>
  <c r="O51" i="30"/>
  <c r="O52" i="30"/>
  <c r="O53" i="30"/>
  <c r="O54" i="30"/>
  <c r="O55" i="30"/>
  <c r="O56" i="30"/>
  <c r="O57" i="30"/>
  <c r="O58" i="30"/>
  <c r="O59" i="30"/>
  <c r="O60" i="30"/>
  <c r="O61" i="30"/>
  <c r="O62" i="30"/>
  <c r="O63" i="30"/>
  <c r="O64" i="30"/>
  <c r="O65" i="30"/>
  <c r="O66" i="30"/>
  <c r="O67" i="30"/>
  <c r="O68" i="30"/>
  <c r="O69" i="30"/>
  <c r="O70" i="30"/>
  <c r="O71" i="30"/>
  <c r="O72" i="30"/>
  <c r="O73" i="30"/>
  <c r="O74" i="30"/>
  <c r="O75" i="30"/>
  <c r="O76" i="30"/>
  <c r="O77" i="30"/>
  <c r="O78" i="30"/>
  <c r="O79" i="30"/>
  <c r="O80" i="30"/>
  <c r="O81" i="30"/>
  <c r="O82" i="30"/>
  <c r="O83" i="30"/>
  <c r="O84" i="30"/>
  <c r="O85" i="30"/>
  <c r="O86" i="30"/>
  <c r="O87" i="30"/>
  <c r="O88" i="30"/>
  <c r="O89" i="30"/>
  <c r="O90" i="30"/>
  <c r="O91" i="30"/>
  <c r="O92" i="30"/>
  <c r="O93" i="30"/>
  <c r="O94" i="30"/>
  <c r="O95" i="30"/>
  <c r="O96" i="30"/>
  <c r="O97" i="30"/>
  <c r="O98" i="30"/>
  <c r="O99" i="30"/>
  <c r="O100" i="30"/>
  <c r="O101" i="30"/>
  <c r="O102" i="30"/>
  <c r="O103" i="30"/>
  <c r="O104" i="30"/>
  <c r="O105" i="30"/>
  <c r="O106" i="30"/>
  <c r="O107" i="30"/>
  <c r="O108" i="30"/>
  <c r="O109" i="30"/>
  <c r="O110" i="30"/>
  <c r="O111" i="30"/>
  <c r="O112" i="30"/>
  <c r="O113" i="30"/>
  <c r="O114" i="30"/>
  <c r="O115" i="30"/>
  <c r="O116" i="30"/>
  <c r="O117" i="30"/>
  <c r="O118" i="30"/>
  <c r="O119" i="30"/>
  <c r="O120" i="30"/>
  <c r="O121" i="30"/>
  <c r="O122" i="30"/>
  <c r="O123" i="30"/>
  <c r="O124" i="30"/>
  <c r="O125" i="30"/>
  <c r="O126" i="30"/>
  <c r="O127" i="30"/>
  <c r="O128" i="30"/>
  <c r="O129" i="30"/>
  <c r="O130" i="30"/>
  <c r="O131" i="30"/>
  <c r="O132" i="30"/>
  <c r="O133" i="30"/>
  <c r="O134" i="30"/>
  <c r="O135" i="30"/>
  <c r="O136" i="30"/>
  <c r="O137" i="30"/>
  <c r="O138" i="30"/>
  <c r="O139" i="30"/>
  <c r="O140" i="30"/>
  <c r="O141" i="30"/>
  <c r="O142" i="30"/>
  <c r="O143" i="30"/>
  <c r="O144" i="30"/>
  <c r="O145" i="30"/>
  <c r="O146" i="30"/>
  <c r="O147" i="30"/>
  <c r="O148" i="30"/>
  <c r="O149" i="30"/>
  <c r="O150" i="30"/>
  <c r="O151" i="30"/>
  <c r="O152" i="30"/>
  <c r="O153" i="30"/>
  <c r="O154" i="30"/>
  <c r="O155" i="30"/>
  <c r="O156" i="30"/>
  <c r="O157" i="30"/>
  <c r="O158" i="30"/>
  <c r="O159" i="30"/>
  <c r="O160" i="30"/>
  <c r="O161" i="30"/>
  <c r="O162" i="30"/>
  <c r="O163" i="30"/>
  <c r="O164" i="30"/>
  <c r="O165" i="30"/>
  <c r="O166" i="30"/>
  <c r="O167" i="30"/>
  <c r="O168" i="30"/>
  <c r="O169" i="30"/>
  <c r="O170" i="30"/>
  <c r="O171" i="30"/>
  <c r="O172" i="30"/>
  <c r="O173" i="30"/>
  <c r="O174" i="30"/>
  <c r="O175" i="30"/>
  <c r="O176" i="30"/>
  <c r="O177" i="30"/>
  <c r="O178" i="30"/>
  <c r="O179" i="30"/>
  <c r="O180" i="30"/>
  <c r="O181" i="30"/>
  <c r="O182" i="30"/>
  <c r="O183" i="30"/>
  <c r="O184" i="30"/>
  <c r="O185" i="30"/>
  <c r="O186" i="30"/>
  <c r="O187" i="30"/>
  <c r="O188" i="30"/>
  <c r="O189" i="30"/>
  <c r="O190" i="30"/>
  <c r="O191" i="30"/>
  <c r="O192" i="30"/>
  <c r="O193" i="30"/>
  <c r="O194" i="30"/>
  <c r="O195" i="30"/>
  <c r="O196" i="30"/>
  <c r="O197" i="30"/>
  <c r="O198" i="30"/>
  <c r="O199" i="30"/>
  <c r="O200" i="30"/>
  <c r="O201" i="30"/>
  <c r="O202" i="30"/>
  <c r="O203" i="30"/>
  <c r="O204" i="30"/>
  <c r="O205" i="30"/>
  <c r="J17" i="14"/>
  <c r="D16" i="13" l="1"/>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176" i="14"/>
  <c r="I177" i="14"/>
  <c r="I178" i="14"/>
  <c r="I179" i="14"/>
  <c r="I180" i="14"/>
  <c r="I181" i="14"/>
  <c r="I182" i="14"/>
  <c r="I183" i="14"/>
  <c r="I184" i="14"/>
  <c r="I185" i="14"/>
  <c r="I186" i="14"/>
  <c r="I187" i="14"/>
  <c r="I188" i="14"/>
  <c r="I189" i="14"/>
  <c r="I190" i="14"/>
  <c r="I191" i="14"/>
  <c r="I192" i="14"/>
  <c r="I193" i="14"/>
  <c r="I194" i="14"/>
  <c r="I195" i="14"/>
  <c r="I196" i="14"/>
  <c r="I197" i="14"/>
  <c r="I198" i="14"/>
  <c r="I199" i="14"/>
  <c r="I200" i="14"/>
  <c r="I201" i="14"/>
  <c r="I202" i="14"/>
  <c r="I203" i="14"/>
  <c r="I204" i="14"/>
  <c r="I205" i="14"/>
  <c r="J106" i="14"/>
  <c r="L106" i="14" s="1"/>
  <c r="J107" i="14"/>
  <c r="J108" i="14"/>
  <c r="N108" i="14" s="1"/>
  <c r="J109" i="14"/>
  <c r="N109" i="14" s="1"/>
  <c r="J110" i="14"/>
  <c r="L110" i="14" s="1"/>
  <c r="J111" i="14"/>
  <c r="N111" i="14" s="1"/>
  <c r="J112" i="14"/>
  <c r="L112" i="14" s="1"/>
  <c r="J113" i="14"/>
  <c r="N113" i="14" s="1"/>
  <c r="J114" i="14"/>
  <c r="M114" i="14" s="1"/>
  <c r="J115" i="14"/>
  <c r="M115" i="14" s="1"/>
  <c r="J116" i="14"/>
  <c r="M116" i="14" s="1"/>
  <c r="J117" i="14"/>
  <c r="M117" i="14" s="1"/>
  <c r="J118" i="14"/>
  <c r="N118" i="14" s="1"/>
  <c r="J119" i="14"/>
  <c r="N119" i="14" s="1"/>
  <c r="J120" i="14"/>
  <c r="J121" i="14"/>
  <c r="J122" i="14"/>
  <c r="M122" i="14" s="1"/>
  <c r="J123" i="14"/>
  <c r="J124" i="14"/>
  <c r="L124" i="14" s="1"/>
  <c r="J125" i="14"/>
  <c r="N125" i="14" s="1"/>
  <c r="J126" i="14"/>
  <c r="M126" i="14" s="1"/>
  <c r="J127" i="14"/>
  <c r="N127" i="14" s="1"/>
  <c r="J128" i="14"/>
  <c r="L128" i="14" s="1"/>
  <c r="J129" i="14"/>
  <c r="L129" i="14" s="1"/>
  <c r="J130" i="14"/>
  <c r="L130" i="14" s="1"/>
  <c r="J131" i="14"/>
  <c r="J132" i="14"/>
  <c r="J133" i="14"/>
  <c r="L133" i="14" s="1"/>
  <c r="J134" i="14"/>
  <c r="L134" i="14" s="1"/>
  <c r="J135" i="14"/>
  <c r="N135" i="14" s="1"/>
  <c r="J136" i="14"/>
  <c r="M136" i="14" s="1"/>
  <c r="J137" i="14"/>
  <c r="M137" i="14" s="1"/>
  <c r="J138" i="14"/>
  <c r="M138" i="14" s="1"/>
  <c r="J139" i="14"/>
  <c r="M139" i="14" s="1"/>
  <c r="J140" i="14"/>
  <c r="M140" i="14" s="1"/>
  <c r="J141" i="14"/>
  <c r="M141" i="14" s="1"/>
  <c r="J142" i="14"/>
  <c r="N142" i="14" s="1"/>
  <c r="J143" i="14"/>
  <c r="L143" i="14" s="1"/>
  <c r="J144" i="14"/>
  <c r="J145" i="14"/>
  <c r="J146" i="14"/>
  <c r="M146" i="14" s="1"/>
  <c r="J147" i="14"/>
  <c r="M147" i="14" s="1"/>
  <c r="J148" i="14"/>
  <c r="J149" i="14"/>
  <c r="L149" i="14" s="1"/>
  <c r="J150" i="14"/>
  <c r="N150" i="14" s="1"/>
  <c r="J151" i="14"/>
  <c r="N151" i="14" s="1"/>
  <c r="J152" i="14"/>
  <c r="L152" i="14" s="1"/>
  <c r="J153" i="14"/>
  <c r="M153" i="14" s="1"/>
  <c r="J154" i="14"/>
  <c r="L154" i="14" s="1"/>
  <c r="J155" i="14"/>
  <c r="N155" i="14" s="1"/>
  <c r="J156" i="14"/>
  <c r="N156" i="14" s="1"/>
  <c r="J157" i="14"/>
  <c r="L157" i="14" s="1"/>
  <c r="J158" i="14"/>
  <c r="L158" i="14" s="1"/>
  <c r="J159" i="14"/>
  <c r="N159" i="14" s="1"/>
  <c r="J160" i="14"/>
  <c r="L160" i="14" s="1"/>
  <c r="J161" i="14"/>
  <c r="L161" i="14" s="1"/>
  <c r="J162" i="14"/>
  <c r="M162" i="14" s="1"/>
  <c r="J163" i="14"/>
  <c r="M163" i="14" s="1"/>
  <c r="J164" i="14"/>
  <c r="M164" i="14" s="1"/>
  <c r="J165" i="14"/>
  <c r="M165" i="14" s="1"/>
  <c r="J166" i="14"/>
  <c r="J167" i="14"/>
  <c r="L167" i="14" s="1"/>
  <c r="J168" i="14"/>
  <c r="J169" i="14"/>
  <c r="J170" i="14"/>
  <c r="J171" i="14"/>
  <c r="J172" i="14"/>
  <c r="J173" i="14"/>
  <c r="J174" i="14"/>
  <c r="L174" i="14" s="1"/>
  <c r="J175" i="14"/>
  <c r="N175" i="14" s="1"/>
  <c r="J176" i="14"/>
  <c r="L176" i="14" s="1"/>
  <c r="J177" i="14"/>
  <c r="J178" i="14"/>
  <c r="L178" i="14" s="1"/>
  <c r="J179" i="14"/>
  <c r="J180" i="14"/>
  <c r="N180" i="14" s="1"/>
  <c r="J181" i="14"/>
  <c r="J182" i="14"/>
  <c r="L182" i="14" s="1"/>
  <c r="J183" i="14"/>
  <c r="N183" i="14" s="1"/>
  <c r="J184" i="14"/>
  <c r="L184" i="14" s="1"/>
  <c r="J185" i="14"/>
  <c r="M185" i="14" s="1"/>
  <c r="J186" i="14"/>
  <c r="M186" i="14" s="1"/>
  <c r="J187" i="14"/>
  <c r="M187" i="14" s="1"/>
  <c r="J188" i="14"/>
  <c r="M188" i="14" s="1"/>
  <c r="J189" i="14"/>
  <c r="M189" i="14" s="1"/>
  <c r="J190" i="14"/>
  <c r="J191" i="14"/>
  <c r="L191" i="14" s="1"/>
  <c r="J192" i="14"/>
  <c r="M192" i="14" s="1"/>
  <c r="J193" i="14"/>
  <c r="M193" i="14" s="1"/>
  <c r="J194" i="14"/>
  <c r="J195" i="14"/>
  <c r="M195" i="14" s="1"/>
  <c r="J196" i="14"/>
  <c r="L196" i="14" s="1"/>
  <c r="J197" i="14"/>
  <c r="N197" i="14" s="1"/>
  <c r="J198" i="14"/>
  <c r="N198" i="14" s="1"/>
  <c r="J199" i="14"/>
  <c r="M199" i="14" s="1"/>
  <c r="J200" i="14"/>
  <c r="L200" i="14" s="1"/>
  <c r="J201" i="14"/>
  <c r="L201" i="14" s="1"/>
  <c r="J202" i="14"/>
  <c r="L202" i="14" s="1"/>
  <c r="J203" i="14"/>
  <c r="M203" i="14" s="1"/>
  <c r="J204" i="14"/>
  <c r="J205" i="14"/>
  <c r="K106" i="14"/>
  <c r="K107" i="14"/>
  <c r="K108" i="14"/>
  <c r="K109" i="14"/>
  <c r="K110" i="14"/>
  <c r="K111" i="14"/>
  <c r="K112" i="14"/>
  <c r="K113" i="14"/>
  <c r="K114" i="14"/>
  <c r="K115" i="14"/>
  <c r="K116" i="14"/>
  <c r="K117" i="14"/>
  <c r="K118" i="14"/>
  <c r="K119" i="14"/>
  <c r="K120" i="14"/>
  <c r="K121" i="14"/>
  <c r="K122" i="14"/>
  <c r="K123" i="14"/>
  <c r="K124" i="14"/>
  <c r="K125" i="14"/>
  <c r="K126" i="14"/>
  <c r="K127" i="14"/>
  <c r="K128" i="14"/>
  <c r="K129" i="14"/>
  <c r="K130" i="14"/>
  <c r="K131" i="14"/>
  <c r="K132" i="14"/>
  <c r="K133" i="14"/>
  <c r="K134" i="14"/>
  <c r="K135" i="14"/>
  <c r="K136" i="14"/>
  <c r="K137" i="14"/>
  <c r="K138" i="14"/>
  <c r="K139" i="14"/>
  <c r="K140" i="14"/>
  <c r="K141" i="14"/>
  <c r="K142" i="14"/>
  <c r="K143" i="14"/>
  <c r="K144" i="14"/>
  <c r="K145" i="14"/>
  <c r="K146" i="14"/>
  <c r="K147" i="14"/>
  <c r="K148" i="14"/>
  <c r="K149" i="14"/>
  <c r="K150" i="14"/>
  <c r="K151" i="14"/>
  <c r="K152" i="14"/>
  <c r="K153" i="14"/>
  <c r="K154" i="14"/>
  <c r="K155" i="14"/>
  <c r="K156" i="14"/>
  <c r="K157" i="14"/>
  <c r="K158" i="14"/>
  <c r="K159" i="14"/>
  <c r="K160" i="14"/>
  <c r="K161" i="14"/>
  <c r="K162" i="14"/>
  <c r="K163" i="14"/>
  <c r="K164" i="14"/>
  <c r="K165" i="14"/>
  <c r="K166" i="14"/>
  <c r="K167" i="14"/>
  <c r="K168" i="14"/>
  <c r="K169" i="14"/>
  <c r="K170" i="14"/>
  <c r="K171" i="14"/>
  <c r="K172" i="14"/>
  <c r="K173" i="14"/>
  <c r="K174" i="14"/>
  <c r="K175" i="14"/>
  <c r="K176" i="14"/>
  <c r="K177" i="14"/>
  <c r="K178" i="14"/>
  <c r="K179" i="14"/>
  <c r="K180" i="14"/>
  <c r="K181" i="14"/>
  <c r="K182" i="14"/>
  <c r="K183" i="14"/>
  <c r="K184" i="14"/>
  <c r="K185" i="14"/>
  <c r="K186" i="14"/>
  <c r="K187" i="14"/>
  <c r="K188" i="14"/>
  <c r="K189" i="14"/>
  <c r="K190" i="14"/>
  <c r="K191" i="14"/>
  <c r="K192" i="14"/>
  <c r="K193" i="14"/>
  <c r="K194" i="14"/>
  <c r="K195" i="14"/>
  <c r="K196" i="14"/>
  <c r="K197" i="14"/>
  <c r="K198" i="14"/>
  <c r="K199" i="14"/>
  <c r="K200" i="14"/>
  <c r="K201" i="14"/>
  <c r="K202" i="14"/>
  <c r="K203" i="14"/>
  <c r="K204" i="14"/>
  <c r="K205" i="14"/>
  <c r="O106" i="14"/>
  <c r="O107" i="14"/>
  <c r="O108" i="14"/>
  <c r="O109" i="14"/>
  <c r="O110" i="14"/>
  <c r="O111" i="14"/>
  <c r="O112" i="14"/>
  <c r="O113" i="14"/>
  <c r="O114" i="14"/>
  <c r="O115" i="14"/>
  <c r="O116" i="14"/>
  <c r="O117" i="14"/>
  <c r="O118" i="14"/>
  <c r="O119" i="14"/>
  <c r="O120" i="14"/>
  <c r="O121" i="14"/>
  <c r="O122" i="14"/>
  <c r="O123" i="14"/>
  <c r="O124" i="14"/>
  <c r="O125" i="14"/>
  <c r="O126" i="14"/>
  <c r="O127" i="14"/>
  <c r="O128" i="14"/>
  <c r="O129" i="14"/>
  <c r="O130" i="14"/>
  <c r="O131" i="14"/>
  <c r="O132" i="14"/>
  <c r="O133" i="14"/>
  <c r="O134" i="14"/>
  <c r="O135" i="14"/>
  <c r="O136" i="14"/>
  <c r="O137" i="14"/>
  <c r="O138" i="14"/>
  <c r="O139" i="14"/>
  <c r="O140" i="14"/>
  <c r="O141" i="14"/>
  <c r="O142" i="14"/>
  <c r="O143" i="14"/>
  <c r="O144" i="14"/>
  <c r="O145" i="14"/>
  <c r="O146" i="14"/>
  <c r="O147" i="14"/>
  <c r="O148" i="14"/>
  <c r="O149" i="14"/>
  <c r="O150" i="14"/>
  <c r="O151" i="14"/>
  <c r="O152" i="14"/>
  <c r="O153" i="14"/>
  <c r="O154" i="14"/>
  <c r="O155" i="14"/>
  <c r="O156" i="14"/>
  <c r="O157" i="14"/>
  <c r="O158" i="14"/>
  <c r="O159" i="14"/>
  <c r="O160" i="14"/>
  <c r="O161" i="14"/>
  <c r="O162" i="14"/>
  <c r="O163" i="14"/>
  <c r="O164" i="14"/>
  <c r="O165" i="14"/>
  <c r="O166" i="14"/>
  <c r="O167" i="14"/>
  <c r="O168" i="14"/>
  <c r="O169" i="14"/>
  <c r="O170" i="14"/>
  <c r="O171" i="14"/>
  <c r="O172" i="14"/>
  <c r="O173" i="14"/>
  <c r="O174" i="14"/>
  <c r="O175" i="14"/>
  <c r="O176" i="14"/>
  <c r="O177" i="14"/>
  <c r="O178" i="14"/>
  <c r="O179" i="14"/>
  <c r="O180" i="14"/>
  <c r="O181" i="14"/>
  <c r="O182" i="14"/>
  <c r="O183" i="14"/>
  <c r="O184" i="14"/>
  <c r="O185" i="14"/>
  <c r="O186" i="14"/>
  <c r="O187" i="14"/>
  <c r="O188" i="14"/>
  <c r="O189" i="14"/>
  <c r="O190" i="14"/>
  <c r="O191" i="14"/>
  <c r="O192" i="14"/>
  <c r="O193" i="14"/>
  <c r="O194" i="14"/>
  <c r="O195" i="14"/>
  <c r="O196" i="14"/>
  <c r="O197" i="14"/>
  <c r="O198" i="14"/>
  <c r="O199" i="14"/>
  <c r="O200" i="14"/>
  <c r="O201" i="14"/>
  <c r="O202" i="14"/>
  <c r="O203" i="14"/>
  <c r="O204" i="14"/>
  <c r="O205" i="14"/>
  <c r="I129" i="30"/>
  <c r="I130" i="30"/>
  <c r="I131" i="30"/>
  <c r="I132" i="30"/>
  <c r="I133" i="30"/>
  <c r="I134" i="30"/>
  <c r="I135" i="30"/>
  <c r="I136" i="30"/>
  <c r="I137" i="30"/>
  <c r="I138" i="30"/>
  <c r="I139" i="30"/>
  <c r="I140" i="30"/>
  <c r="I141" i="30"/>
  <c r="I142" i="30"/>
  <c r="I143" i="30"/>
  <c r="I144" i="30"/>
  <c r="I145" i="30"/>
  <c r="I146" i="30"/>
  <c r="I147" i="30"/>
  <c r="I148" i="30"/>
  <c r="I149" i="30"/>
  <c r="I150" i="30"/>
  <c r="I151" i="30"/>
  <c r="I152" i="30"/>
  <c r="I153" i="30"/>
  <c r="I154" i="30"/>
  <c r="I155" i="30"/>
  <c r="I156" i="30"/>
  <c r="I157" i="30"/>
  <c r="I158" i="30"/>
  <c r="I159" i="30"/>
  <c r="I160" i="30"/>
  <c r="I161" i="30"/>
  <c r="I162" i="30"/>
  <c r="I163" i="30"/>
  <c r="I164" i="30"/>
  <c r="I165" i="30"/>
  <c r="I166" i="30"/>
  <c r="I167" i="30"/>
  <c r="I168" i="30"/>
  <c r="I169" i="30"/>
  <c r="I170" i="30"/>
  <c r="I171" i="30"/>
  <c r="I172" i="30"/>
  <c r="I173" i="30"/>
  <c r="I174" i="30"/>
  <c r="I175" i="30"/>
  <c r="I176" i="30"/>
  <c r="I177" i="30"/>
  <c r="I178" i="30"/>
  <c r="I179" i="30"/>
  <c r="I180" i="30"/>
  <c r="I181" i="30"/>
  <c r="I182" i="30"/>
  <c r="I183" i="30"/>
  <c r="I184" i="30"/>
  <c r="I185" i="30"/>
  <c r="I186" i="30"/>
  <c r="I187" i="30"/>
  <c r="I188" i="30"/>
  <c r="I189" i="30"/>
  <c r="I190" i="30"/>
  <c r="I191" i="30"/>
  <c r="I192" i="30"/>
  <c r="I193" i="30"/>
  <c r="I194" i="30"/>
  <c r="I195" i="30"/>
  <c r="I196" i="30"/>
  <c r="I197" i="30"/>
  <c r="I198" i="30"/>
  <c r="I199" i="30"/>
  <c r="I200" i="30"/>
  <c r="I201" i="30"/>
  <c r="I202" i="30"/>
  <c r="I203" i="30"/>
  <c r="I204" i="30"/>
  <c r="I205" i="30"/>
  <c r="J129" i="30"/>
  <c r="N129" i="30" s="1"/>
  <c r="J130" i="30"/>
  <c r="L130" i="30" s="1"/>
  <c r="J131" i="30"/>
  <c r="M131" i="30" s="1"/>
  <c r="J132" i="30"/>
  <c r="M132" i="30" s="1"/>
  <c r="J133" i="30"/>
  <c r="M133" i="30" s="1"/>
  <c r="J134" i="30"/>
  <c r="M134" i="30" s="1"/>
  <c r="J135" i="30"/>
  <c r="M135" i="30" s="1"/>
  <c r="J136" i="30"/>
  <c r="M136" i="30" s="1"/>
  <c r="J137" i="30"/>
  <c r="J138" i="30"/>
  <c r="L138" i="30" s="1"/>
  <c r="J139" i="30"/>
  <c r="J140" i="30"/>
  <c r="J141" i="30"/>
  <c r="L141" i="30" s="1"/>
  <c r="J142" i="30"/>
  <c r="J143" i="30"/>
  <c r="L143" i="30" s="1"/>
  <c r="J144" i="30"/>
  <c r="J145" i="30"/>
  <c r="M145" i="30" s="1"/>
  <c r="J146" i="30"/>
  <c r="J147" i="30"/>
  <c r="J148" i="30"/>
  <c r="L148" i="30" s="1"/>
  <c r="J149" i="30"/>
  <c r="N149" i="30" s="1"/>
  <c r="J150" i="30"/>
  <c r="L150" i="30" s="1"/>
  <c r="J151" i="30"/>
  <c r="M151" i="30" s="1"/>
  <c r="J152" i="30"/>
  <c r="N152" i="30" s="1"/>
  <c r="J153" i="30"/>
  <c r="N153" i="30" s="1"/>
  <c r="J154" i="30"/>
  <c r="L154" i="30" s="1"/>
  <c r="J155" i="30"/>
  <c r="L155" i="30" s="1"/>
  <c r="J156" i="30"/>
  <c r="M156" i="30" s="1"/>
  <c r="J157" i="30"/>
  <c r="M157" i="30" s="1"/>
  <c r="J158" i="30"/>
  <c r="M158" i="30" s="1"/>
  <c r="J159" i="30"/>
  <c r="M159" i="30" s="1"/>
  <c r="J160" i="30"/>
  <c r="M160" i="30" s="1"/>
  <c r="J161" i="30"/>
  <c r="J162" i="30"/>
  <c r="L162" i="30" s="1"/>
  <c r="J163" i="30"/>
  <c r="J164" i="30"/>
  <c r="N164" i="30" s="1"/>
  <c r="J165" i="30"/>
  <c r="J166" i="30"/>
  <c r="J167" i="30"/>
  <c r="L167" i="30" s="1"/>
  <c r="J168" i="30"/>
  <c r="J169" i="30"/>
  <c r="J170" i="30"/>
  <c r="M170" i="30" s="1"/>
  <c r="J171" i="30"/>
  <c r="M171" i="30" s="1"/>
  <c r="J172" i="30"/>
  <c r="N172" i="30" s="1"/>
  <c r="J173" i="30"/>
  <c r="L173" i="30" s="1"/>
  <c r="J174" i="30"/>
  <c r="N174" i="30" s="1"/>
  <c r="J175" i="30"/>
  <c r="M175" i="30" s="1"/>
  <c r="J176" i="30"/>
  <c r="N176" i="30" s="1"/>
  <c r="J177" i="30"/>
  <c r="N177" i="30" s="1"/>
  <c r="J178" i="30"/>
  <c r="N178" i="30" s="1"/>
  <c r="J179" i="30"/>
  <c r="N179" i="30" s="1"/>
  <c r="J180" i="30"/>
  <c r="L180" i="30" s="1"/>
  <c r="J181" i="30"/>
  <c r="M181" i="30" s="1"/>
  <c r="J182" i="30"/>
  <c r="M182" i="30" s="1"/>
  <c r="J183" i="30"/>
  <c r="M183" i="30" s="1"/>
  <c r="J184" i="30"/>
  <c r="M184" i="30" s="1"/>
  <c r="J185" i="30"/>
  <c r="J186" i="30"/>
  <c r="L186" i="30" s="1"/>
  <c r="J187" i="30"/>
  <c r="L187" i="30" s="1"/>
  <c r="J188" i="30"/>
  <c r="L188" i="30" s="1"/>
  <c r="J189" i="30"/>
  <c r="L189" i="30" s="1"/>
  <c r="J190" i="30"/>
  <c r="J191" i="30"/>
  <c r="L191" i="30" s="1"/>
  <c r="J192" i="30"/>
  <c r="J193" i="30"/>
  <c r="J194" i="30"/>
  <c r="J195" i="30"/>
  <c r="J196" i="30"/>
  <c r="L196" i="30" s="1"/>
  <c r="J197" i="30"/>
  <c r="M197" i="30" s="1"/>
  <c r="J198" i="30"/>
  <c r="L198" i="30" s="1"/>
  <c r="J199" i="30"/>
  <c r="J200" i="30"/>
  <c r="N200" i="30" s="1"/>
  <c r="J201" i="30"/>
  <c r="N201" i="30" s="1"/>
  <c r="J202" i="30"/>
  <c r="M202" i="30" s="1"/>
  <c r="J203" i="30"/>
  <c r="M203" i="30" s="1"/>
  <c r="J204" i="30"/>
  <c r="J205" i="30"/>
  <c r="M205" i="30" s="1"/>
  <c r="K129" i="30"/>
  <c r="K130" i="30"/>
  <c r="K131" i="30"/>
  <c r="K132" i="30"/>
  <c r="K133" i="30"/>
  <c r="K134" i="30"/>
  <c r="K135" i="30"/>
  <c r="K136" i="30"/>
  <c r="K137" i="30"/>
  <c r="K138" i="30"/>
  <c r="K139" i="30"/>
  <c r="K140" i="30"/>
  <c r="K141" i="30"/>
  <c r="K142" i="30"/>
  <c r="K143" i="30"/>
  <c r="K144" i="30"/>
  <c r="K145" i="30"/>
  <c r="K146" i="30"/>
  <c r="K147" i="30"/>
  <c r="K148" i="30"/>
  <c r="K149" i="30"/>
  <c r="K150" i="30"/>
  <c r="K151" i="30"/>
  <c r="K152" i="30"/>
  <c r="K153" i="30"/>
  <c r="K154" i="30"/>
  <c r="K155" i="30"/>
  <c r="K156" i="30"/>
  <c r="K157" i="30"/>
  <c r="K158" i="30"/>
  <c r="K159" i="30"/>
  <c r="K160" i="30"/>
  <c r="K161" i="30"/>
  <c r="K162" i="30"/>
  <c r="K163" i="30"/>
  <c r="K164" i="30"/>
  <c r="K165" i="30"/>
  <c r="K166" i="30"/>
  <c r="K167" i="30"/>
  <c r="K168" i="30"/>
  <c r="K169" i="30"/>
  <c r="K170" i="30"/>
  <c r="K171" i="30"/>
  <c r="K172" i="30"/>
  <c r="K173" i="30"/>
  <c r="K174" i="30"/>
  <c r="K175" i="30"/>
  <c r="K176" i="30"/>
  <c r="K177" i="30"/>
  <c r="K178" i="30"/>
  <c r="K179" i="30"/>
  <c r="K180" i="30"/>
  <c r="K181" i="30"/>
  <c r="K182" i="30"/>
  <c r="K183" i="30"/>
  <c r="K184" i="30"/>
  <c r="K185" i="30"/>
  <c r="K186" i="30"/>
  <c r="K187" i="30"/>
  <c r="K188" i="30"/>
  <c r="K189" i="30"/>
  <c r="K190" i="30"/>
  <c r="K191" i="30"/>
  <c r="K192" i="30"/>
  <c r="K193" i="30"/>
  <c r="K194" i="30"/>
  <c r="K195" i="30"/>
  <c r="K196" i="30"/>
  <c r="K197" i="30"/>
  <c r="K198" i="30"/>
  <c r="K199" i="30"/>
  <c r="K200" i="30"/>
  <c r="K201" i="30"/>
  <c r="K202" i="30"/>
  <c r="K203" i="30"/>
  <c r="K204" i="30"/>
  <c r="K205" i="30"/>
  <c r="I106" i="30"/>
  <c r="I107" i="30"/>
  <c r="I108" i="30"/>
  <c r="I109" i="30"/>
  <c r="I110" i="30"/>
  <c r="I111" i="30"/>
  <c r="I112" i="30"/>
  <c r="I113" i="30"/>
  <c r="I114" i="30"/>
  <c r="I115" i="30"/>
  <c r="I116" i="30"/>
  <c r="I117" i="30"/>
  <c r="I118" i="30"/>
  <c r="I119" i="30"/>
  <c r="I120" i="30"/>
  <c r="I121" i="30"/>
  <c r="I122" i="30"/>
  <c r="I123" i="30"/>
  <c r="I124" i="30"/>
  <c r="I125" i="30"/>
  <c r="I126" i="30"/>
  <c r="I127" i="30"/>
  <c r="I128" i="30"/>
  <c r="J106" i="30"/>
  <c r="J107" i="30"/>
  <c r="L107" i="30" s="1"/>
  <c r="J108" i="30"/>
  <c r="L108" i="30" s="1"/>
  <c r="J109" i="30"/>
  <c r="M109" i="30" s="1"/>
  <c r="J110" i="30"/>
  <c r="M110" i="30" s="1"/>
  <c r="J111" i="30"/>
  <c r="L111" i="30" s="1"/>
  <c r="J112" i="30"/>
  <c r="M112" i="30" s="1"/>
  <c r="J113" i="30"/>
  <c r="J114" i="30"/>
  <c r="J115" i="30"/>
  <c r="J116" i="30"/>
  <c r="L116" i="30" s="1"/>
  <c r="J117" i="30"/>
  <c r="J118" i="30"/>
  <c r="N118" i="30" s="1"/>
  <c r="J119" i="30"/>
  <c r="N119" i="30" s="1"/>
  <c r="J120" i="30"/>
  <c r="L120" i="30" s="1"/>
  <c r="J121" i="30"/>
  <c r="M121" i="30" s="1"/>
  <c r="J122" i="30"/>
  <c r="N122" i="30" s="1"/>
  <c r="J123" i="30"/>
  <c r="N123" i="30" s="1"/>
  <c r="J124" i="30"/>
  <c r="J125" i="30"/>
  <c r="J126" i="30"/>
  <c r="J127" i="30"/>
  <c r="J128" i="30"/>
  <c r="K106" i="30"/>
  <c r="K107" i="30"/>
  <c r="K108" i="30"/>
  <c r="K109" i="30"/>
  <c r="K110" i="30"/>
  <c r="K111" i="30"/>
  <c r="K112" i="30"/>
  <c r="K113" i="30"/>
  <c r="K114" i="30"/>
  <c r="K115" i="30"/>
  <c r="K116" i="30"/>
  <c r="K117" i="30"/>
  <c r="K118" i="30"/>
  <c r="K119" i="30"/>
  <c r="K120" i="30"/>
  <c r="K121" i="30"/>
  <c r="K122" i="30"/>
  <c r="K123" i="30"/>
  <c r="K124" i="30"/>
  <c r="K125" i="30"/>
  <c r="K126" i="30"/>
  <c r="K127" i="30"/>
  <c r="K128" i="30"/>
  <c r="L4" i="10" l="1"/>
  <c r="N18" i="32"/>
  <c r="L150" i="14"/>
  <c r="N174" i="14"/>
  <c r="M127" i="14"/>
  <c r="N126" i="14"/>
  <c r="L127" i="14"/>
  <c r="L126" i="14"/>
  <c r="L151" i="14"/>
  <c r="L198" i="14"/>
  <c r="L111" i="14"/>
  <c r="P204" i="14"/>
  <c r="P180" i="14"/>
  <c r="L115" i="14"/>
  <c r="P205" i="14"/>
  <c r="L117" i="14"/>
  <c r="Q152" i="14"/>
  <c r="Q199" i="14"/>
  <c r="Q175" i="14"/>
  <c r="Q151" i="14"/>
  <c r="Q127" i="14"/>
  <c r="M198" i="14"/>
  <c r="M150" i="14"/>
  <c r="L116" i="14"/>
  <c r="L114" i="14"/>
  <c r="P183" i="14"/>
  <c r="P159" i="14"/>
  <c r="Q135" i="14"/>
  <c r="Q111" i="14"/>
  <c r="P110" i="14"/>
  <c r="P157" i="14"/>
  <c r="N161" i="14"/>
  <c r="L181" i="30"/>
  <c r="N154" i="30"/>
  <c r="P156" i="30"/>
  <c r="P202" i="30"/>
  <c r="Q130" i="30"/>
  <c r="M174" i="30"/>
  <c r="Q124" i="30"/>
  <c r="M173" i="30"/>
  <c r="N155" i="30"/>
  <c r="L197" i="30"/>
  <c r="M176" i="14"/>
  <c r="L179" i="30"/>
  <c r="L178" i="30"/>
  <c r="L177" i="30"/>
  <c r="M172" i="30"/>
  <c r="P144" i="30"/>
  <c r="Q178" i="14"/>
  <c r="P130" i="14"/>
  <c r="Q106" i="14"/>
  <c r="L176" i="30"/>
  <c r="N184" i="14"/>
  <c r="P168" i="30"/>
  <c r="Q202" i="14"/>
  <c r="L174" i="30"/>
  <c r="N162" i="14"/>
  <c r="L172" i="30"/>
  <c r="N160" i="14"/>
  <c r="P192" i="30"/>
  <c r="P154" i="14"/>
  <c r="L175" i="30"/>
  <c r="L149" i="30"/>
  <c r="P152" i="30"/>
  <c r="N197" i="30"/>
  <c r="P175" i="30"/>
  <c r="P151" i="30"/>
  <c r="M183" i="14"/>
  <c r="N173" i="30"/>
  <c r="M129" i="14"/>
  <c r="N151" i="30"/>
  <c r="N132" i="30"/>
  <c r="M111" i="14"/>
  <c r="P119" i="30"/>
  <c r="L113" i="14"/>
  <c r="Q109" i="30"/>
  <c r="Q107" i="30"/>
  <c r="Q151" i="30"/>
  <c r="Q150" i="30"/>
  <c r="N130" i="30"/>
  <c r="M175" i="14"/>
  <c r="N131" i="30"/>
  <c r="N107" i="30"/>
  <c r="Q149" i="30"/>
  <c r="M198" i="30"/>
  <c r="P180" i="30"/>
  <c r="M174" i="14"/>
  <c r="M161" i="14"/>
  <c r="M160" i="14"/>
  <c r="M150" i="30"/>
  <c r="P110" i="30"/>
  <c r="P141" i="30"/>
  <c r="P155" i="30"/>
  <c r="M130" i="30"/>
  <c r="P154" i="30"/>
  <c r="L202" i="30"/>
  <c r="P172" i="14"/>
  <c r="P148" i="14"/>
  <c r="P203" i="30"/>
  <c r="L203" i="30"/>
  <c r="Q185" i="30"/>
  <c r="Q161" i="30"/>
  <c r="Q137" i="30"/>
  <c r="N110" i="30"/>
  <c r="Q156" i="30"/>
  <c r="P132" i="30"/>
  <c r="Q199" i="30"/>
  <c r="N109" i="30"/>
  <c r="Q203" i="30"/>
  <c r="P179" i="30"/>
  <c r="Q155" i="30"/>
  <c r="P131" i="30"/>
  <c r="M196" i="30"/>
  <c r="Q174" i="30"/>
  <c r="M159" i="14"/>
  <c r="Q112" i="14"/>
  <c r="Q154" i="30"/>
  <c r="P130" i="30"/>
  <c r="M180" i="30"/>
  <c r="M157" i="14"/>
  <c r="N108" i="30"/>
  <c r="Q202" i="30"/>
  <c r="P178" i="30"/>
  <c r="Q152" i="30"/>
  <c r="M179" i="30"/>
  <c r="L156" i="30"/>
  <c r="M156" i="14"/>
  <c r="M155" i="30"/>
  <c r="L133" i="30"/>
  <c r="Q134" i="30"/>
  <c r="N180" i="30"/>
  <c r="M154" i="30"/>
  <c r="L132" i="30"/>
  <c r="P190" i="30"/>
  <c r="P166" i="30"/>
  <c r="P142" i="30"/>
  <c r="M108" i="14"/>
  <c r="M178" i="30"/>
  <c r="N202" i="30"/>
  <c r="L134" i="30"/>
  <c r="N181" i="30"/>
  <c r="Q133" i="30"/>
  <c r="L131" i="30"/>
  <c r="Q136" i="30"/>
  <c r="Q135" i="30"/>
  <c r="N202" i="14"/>
  <c r="N203" i="30"/>
  <c r="Q197" i="30"/>
  <c r="N196" i="30"/>
  <c r="Q118" i="30"/>
  <c r="Q132" i="30"/>
  <c r="M149" i="30"/>
  <c r="Q140" i="30"/>
  <c r="L159" i="14"/>
  <c r="Q131" i="30"/>
  <c r="N175" i="30"/>
  <c r="L129" i="30"/>
  <c r="Q163" i="30"/>
  <c r="Q139" i="30"/>
  <c r="N163" i="14"/>
  <c r="L153" i="14"/>
  <c r="P108" i="14"/>
  <c r="Q165" i="30"/>
  <c r="P140" i="30"/>
  <c r="M111" i="30"/>
  <c r="P137" i="30"/>
  <c r="P136" i="30"/>
  <c r="L110" i="30"/>
  <c r="P135" i="30"/>
  <c r="L159" i="30"/>
  <c r="Q204" i="30"/>
  <c r="Q128" i="30"/>
  <c r="Q198" i="30"/>
  <c r="N150" i="30"/>
  <c r="M148" i="30"/>
  <c r="L158" i="30"/>
  <c r="L160" i="30"/>
  <c r="N157" i="14"/>
  <c r="Q121" i="30"/>
  <c r="L109" i="30"/>
  <c r="P199" i="30"/>
  <c r="P134" i="30"/>
  <c r="N137" i="14"/>
  <c r="M113" i="14"/>
  <c r="Q120" i="30"/>
  <c r="P185" i="30"/>
  <c r="Q205" i="30"/>
  <c r="P157" i="30"/>
  <c r="P133" i="30"/>
  <c r="N148" i="30"/>
  <c r="L157" i="30"/>
  <c r="N136" i="14"/>
  <c r="M112" i="14"/>
  <c r="P139" i="30"/>
  <c r="Q183" i="30"/>
  <c r="M129" i="30"/>
  <c r="N115" i="14"/>
  <c r="Q181" i="30"/>
  <c r="P181" i="30"/>
  <c r="P187" i="14"/>
  <c r="Q163" i="14"/>
  <c r="Q139" i="14"/>
  <c r="P115" i="14"/>
  <c r="N114" i="14"/>
  <c r="L162" i="14"/>
  <c r="Q180" i="30"/>
  <c r="N204" i="30"/>
  <c r="L204" i="30"/>
  <c r="L152" i="30"/>
  <c r="Q173" i="30"/>
  <c r="P186" i="14"/>
  <c r="P162" i="14"/>
  <c r="P138" i="14"/>
  <c r="P114" i="14"/>
  <c r="N112" i="14"/>
  <c r="Q182" i="30"/>
  <c r="M204" i="30"/>
  <c r="L205" i="30"/>
  <c r="L153" i="30"/>
  <c r="Q179" i="30"/>
  <c r="P183" i="30"/>
  <c r="P182" i="30"/>
  <c r="L151" i="30"/>
  <c r="Q178" i="30"/>
  <c r="P198" i="30"/>
  <c r="P174" i="30"/>
  <c r="P150" i="30"/>
  <c r="M201" i="30"/>
  <c r="P184" i="14"/>
  <c r="P160" i="14"/>
  <c r="P136" i="14"/>
  <c r="P112" i="14"/>
  <c r="M202" i="14"/>
  <c r="L156" i="14"/>
  <c r="P138" i="30"/>
  <c r="P109" i="14"/>
  <c r="L161" i="30"/>
  <c r="Q184" i="30"/>
  <c r="P184" i="30"/>
  <c r="P112" i="30"/>
  <c r="P177" i="30"/>
  <c r="N199" i="30"/>
  <c r="M200" i="30"/>
  <c r="Q111" i="30"/>
  <c r="P176" i="30"/>
  <c r="Q196" i="30"/>
  <c r="Q172" i="30"/>
  <c r="Q148" i="30"/>
  <c r="N198" i="30"/>
  <c r="M199" i="30"/>
  <c r="P106" i="14"/>
  <c r="M184" i="14"/>
  <c r="P113" i="30"/>
  <c r="M108" i="30"/>
  <c r="L201" i="30"/>
  <c r="M107" i="30"/>
  <c r="Q175" i="30"/>
  <c r="P164" i="30"/>
  <c r="Q113" i="30"/>
  <c r="L119" i="30"/>
  <c r="P205" i="30"/>
  <c r="P163" i="30"/>
  <c r="N156" i="30"/>
  <c r="M176" i="30"/>
  <c r="L199" i="30"/>
  <c r="Q177" i="30"/>
  <c r="Q123" i="30"/>
  <c r="Q176" i="30"/>
  <c r="P165" i="30"/>
  <c r="Q122" i="30"/>
  <c r="Q129" i="30"/>
  <c r="N157" i="30"/>
  <c r="M177" i="30"/>
  <c r="L200" i="30"/>
  <c r="Q112" i="30"/>
  <c r="P108" i="30"/>
  <c r="L118" i="30"/>
  <c r="P204" i="30"/>
  <c r="P162" i="30"/>
  <c r="P129" i="30"/>
  <c r="Q160" i="30"/>
  <c r="P160" i="30"/>
  <c r="N121" i="30"/>
  <c r="Q106" i="30"/>
  <c r="Q159" i="30"/>
  <c r="P201" i="30"/>
  <c r="P159" i="30"/>
  <c r="L185" i="30"/>
  <c r="N120" i="30"/>
  <c r="Q158" i="30"/>
  <c r="P200" i="30"/>
  <c r="P158" i="30"/>
  <c r="L184" i="30"/>
  <c r="N205" i="30"/>
  <c r="N133" i="30"/>
  <c r="L182" i="30"/>
  <c r="P196" i="30"/>
  <c r="P172" i="30"/>
  <c r="P148" i="30"/>
  <c r="M120" i="30"/>
  <c r="M119" i="30"/>
  <c r="M118" i="30"/>
  <c r="P161" i="30"/>
  <c r="Q157" i="30"/>
  <c r="L183" i="30"/>
  <c r="M153" i="30"/>
  <c r="Q117" i="30"/>
  <c r="Q115" i="30"/>
  <c r="P122" i="30"/>
  <c r="P189" i="30"/>
  <c r="Q201" i="30"/>
  <c r="L137" i="30"/>
  <c r="P195" i="30"/>
  <c r="P147" i="30"/>
  <c r="Q200" i="30"/>
  <c r="P194" i="30"/>
  <c r="P146" i="30"/>
  <c r="M117" i="30"/>
  <c r="Q114" i="30"/>
  <c r="P123" i="30"/>
  <c r="L117" i="30"/>
  <c r="Q127" i="30"/>
  <c r="N117" i="30"/>
  <c r="Q126" i="30"/>
  <c r="P188" i="30"/>
  <c r="N112" i="30"/>
  <c r="Q125" i="30"/>
  <c r="P187" i="30"/>
  <c r="M152" i="30"/>
  <c r="L136" i="30"/>
  <c r="N111" i="30"/>
  <c r="P124" i="30"/>
  <c r="Q153" i="30"/>
  <c r="P186" i="30"/>
  <c r="P153" i="30"/>
  <c r="P197" i="30"/>
  <c r="P173" i="30"/>
  <c r="P149" i="30"/>
  <c r="L135" i="30"/>
  <c r="P193" i="30"/>
  <c r="P169" i="30"/>
  <c r="P173" i="14"/>
  <c r="P169" i="14"/>
  <c r="P145" i="14"/>
  <c r="Q121" i="14"/>
  <c r="P144" i="14"/>
  <c r="Q154" i="14"/>
  <c r="N130" i="14"/>
  <c r="Q164" i="14"/>
  <c r="P178" i="14"/>
  <c r="P111" i="14"/>
  <c r="P185" i="14"/>
  <c r="P161" i="14"/>
  <c r="P137" i="14"/>
  <c r="P113" i="14"/>
  <c r="M106" i="14"/>
  <c r="P181" i="14"/>
  <c r="L199" i="14"/>
  <c r="Q179" i="14"/>
  <c r="P131" i="14"/>
  <c r="P107" i="14"/>
  <c r="Q177" i="14"/>
  <c r="M178" i="14"/>
  <c r="N152" i="14"/>
  <c r="M177" i="14"/>
  <c r="N131" i="14"/>
  <c r="L203" i="14"/>
  <c r="L175" i="14"/>
  <c r="M107" i="14"/>
  <c r="P129" i="14"/>
  <c r="P176" i="14"/>
  <c r="P152" i="14"/>
  <c r="N129" i="14"/>
  <c r="P202" i="14"/>
  <c r="N181" i="14"/>
  <c r="M154" i="14"/>
  <c r="L163" i="14"/>
  <c r="L107" i="14"/>
  <c r="Q155" i="14"/>
  <c r="Q203" i="14"/>
  <c r="P201" i="14"/>
  <c r="P200" i="14"/>
  <c r="N128" i="14"/>
  <c r="L179" i="14"/>
  <c r="P203" i="14"/>
  <c r="Q113" i="14"/>
  <c r="P177" i="14"/>
  <c r="N203" i="14"/>
  <c r="N201" i="14"/>
  <c r="L177" i="14"/>
  <c r="N179" i="14"/>
  <c r="M152" i="14"/>
  <c r="N153" i="14"/>
  <c r="P155" i="14"/>
  <c r="P153" i="14"/>
  <c r="Q107" i="14"/>
  <c r="P128" i="14"/>
  <c r="N199" i="14"/>
  <c r="M155" i="14"/>
  <c r="L109" i="14"/>
  <c r="P179" i="14"/>
  <c r="N178" i="14"/>
  <c r="M151" i="14"/>
  <c r="N177" i="14"/>
  <c r="N176" i="14"/>
  <c r="N107" i="14"/>
  <c r="M131" i="14"/>
  <c r="P121" i="14"/>
  <c r="N106" i="14"/>
  <c r="M130" i="14"/>
  <c r="M201" i="14"/>
  <c r="M128" i="14"/>
  <c r="L155" i="14"/>
  <c r="Q176" i="14"/>
  <c r="M179" i="14"/>
  <c r="M121" i="14"/>
  <c r="Q140" i="14"/>
  <c r="Q201" i="14"/>
  <c r="Q131" i="14"/>
  <c r="P199" i="14"/>
  <c r="P175" i="14"/>
  <c r="P151" i="14"/>
  <c r="P127" i="14"/>
  <c r="P158" i="14"/>
  <c r="Q200" i="14"/>
  <c r="Q130" i="14"/>
  <c r="P146" i="14"/>
  <c r="N200" i="14"/>
  <c r="N154" i="14"/>
  <c r="L139" i="14"/>
  <c r="Q205" i="14"/>
  <c r="Q181" i="14"/>
  <c r="Q157" i="14"/>
  <c r="Q133" i="14"/>
  <c r="Q109" i="14"/>
  <c r="Q145" i="14"/>
  <c r="Q143" i="14"/>
  <c r="L189" i="14"/>
  <c r="Q180" i="14"/>
  <c r="Q187" i="14"/>
  <c r="L188" i="14"/>
  <c r="L137" i="14"/>
  <c r="Q186" i="14"/>
  <c r="P143" i="14"/>
  <c r="N189" i="14"/>
  <c r="M200" i="14"/>
  <c r="L187" i="14"/>
  <c r="L136" i="14"/>
  <c r="Q185" i="14"/>
  <c r="P142" i="14"/>
  <c r="N188" i="14"/>
  <c r="M145" i="14"/>
  <c r="L186" i="14"/>
  <c r="L135" i="14"/>
  <c r="Q132" i="14"/>
  <c r="Q144" i="14"/>
  <c r="Q142" i="14"/>
  <c r="Q141" i="14"/>
  <c r="L138" i="14"/>
  <c r="Q156" i="14"/>
  <c r="Q128" i="14"/>
  <c r="Q115" i="14"/>
  <c r="N187" i="14"/>
  <c r="N140" i="14"/>
  <c r="L185" i="14"/>
  <c r="N186" i="14"/>
  <c r="P193" i="14"/>
  <c r="M167" i="14"/>
  <c r="Q129" i="14"/>
  <c r="Q204" i="14"/>
  <c r="Q108" i="14"/>
  <c r="Q184" i="14"/>
  <c r="P141" i="14"/>
  <c r="Q183" i="14"/>
  <c r="Q114" i="14"/>
  <c r="P140" i="14"/>
  <c r="N139" i="14"/>
  <c r="L131" i="14"/>
  <c r="N185" i="14"/>
  <c r="N138" i="14"/>
  <c r="M135" i="14"/>
  <c r="L183" i="14"/>
  <c r="Q194" i="14"/>
  <c r="L194" i="14"/>
  <c r="N194" i="14"/>
  <c r="M194" i="14"/>
  <c r="M158" i="14"/>
  <c r="L193" i="14"/>
  <c r="N193" i="14"/>
  <c r="L169" i="14"/>
  <c r="N169" i="14"/>
  <c r="L145" i="14"/>
  <c r="N145" i="14"/>
  <c r="L121" i="14"/>
  <c r="N121" i="14"/>
  <c r="Q170" i="14"/>
  <c r="L170" i="14"/>
  <c r="N170" i="14"/>
  <c r="L168" i="14"/>
  <c r="N168" i="14"/>
  <c r="M191" i="14"/>
  <c r="L166" i="14"/>
  <c r="M166" i="14"/>
  <c r="P135" i="14"/>
  <c r="Q138" i="14"/>
  <c r="Q169" i="14"/>
  <c r="L180" i="14"/>
  <c r="L140" i="14"/>
  <c r="Q149" i="14"/>
  <c r="M149" i="14"/>
  <c r="Q171" i="14"/>
  <c r="L171" i="14"/>
  <c r="L120" i="14"/>
  <c r="N120" i="14"/>
  <c r="N148" i="14"/>
  <c r="N116" i="14"/>
  <c r="L108" i="14"/>
  <c r="N147" i="14"/>
  <c r="M182" i="14"/>
  <c r="Q173" i="14"/>
  <c r="M173" i="14"/>
  <c r="Q196" i="14"/>
  <c r="M196" i="14"/>
  <c r="Q123" i="14"/>
  <c r="L123" i="14"/>
  <c r="L144" i="14"/>
  <c r="N144" i="14"/>
  <c r="N123" i="14"/>
  <c r="P139" i="14"/>
  <c r="L190" i="14"/>
  <c r="M190" i="14"/>
  <c r="L118" i="14"/>
  <c r="M118" i="14"/>
  <c r="P168" i="14"/>
  <c r="P134" i="14"/>
  <c r="N149" i="14"/>
  <c r="N117" i="14"/>
  <c r="M120" i="14"/>
  <c r="L141" i="14"/>
  <c r="P167" i="14"/>
  <c r="Q168" i="14"/>
  <c r="Q136" i="14"/>
  <c r="P197" i="14"/>
  <c r="P166" i="14"/>
  <c r="P132" i="14"/>
  <c r="P165" i="14"/>
  <c r="N143" i="14"/>
  <c r="M181" i="14"/>
  <c r="Q166" i="14"/>
  <c r="P195" i="14"/>
  <c r="P164" i="14"/>
  <c r="M180" i="14"/>
  <c r="M110" i="14"/>
  <c r="Q125" i="14"/>
  <c r="M125" i="14"/>
  <c r="P170" i="14"/>
  <c r="L142" i="14"/>
  <c r="M142" i="14"/>
  <c r="L148" i="14"/>
  <c r="L181" i="14"/>
  <c r="Q137" i="14"/>
  <c r="P133" i="14"/>
  <c r="N205" i="14"/>
  <c r="Q167" i="14"/>
  <c r="P196" i="14"/>
  <c r="N204" i="14"/>
  <c r="Q165" i="14"/>
  <c r="P194" i="14"/>
  <c r="P163" i="14"/>
  <c r="P125" i="14"/>
  <c r="P198" i="14"/>
  <c r="Q198" i="14"/>
  <c r="P174" i="14"/>
  <c r="Q174" i="14"/>
  <c r="P150" i="14"/>
  <c r="Q150" i="14"/>
  <c r="P126" i="14"/>
  <c r="Q126" i="14"/>
  <c r="N173" i="14"/>
  <c r="N141" i="14"/>
  <c r="M109" i="14"/>
  <c r="L192" i="14"/>
  <c r="N192" i="14"/>
  <c r="P171" i="14"/>
  <c r="M123" i="14"/>
  <c r="Q124" i="14"/>
  <c r="M124" i="14"/>
  <c r="Q195" i="14"/>
  <c r="L195" i="14"/>
  <c r="Q146" i="14"/>
  <c r="L146" i="14"/>
  <c r="N146" i="14"/>
  <c r="N182" i="14"/>
  <c r="Q182" i="14"/>
  <c r="L205" i="14"/>
  <c r="L164" i="14"/>
  <c r="L132" i="14"/>
  <c r="Q192" i="14"/>
  <c r="Q160" i="14"/>
  <c r="Q120" i="14"/>
  <c r="P189" i="14"/>
  <c r="P120" i="14"/>
  <c r="N165" i="14"/>
  <c r="M205" i="14"/>
  <c r="L204" i="14"/>
  <c r="Q172" i="14"/>
  <c r="M172" i="14"/>
  <c r="Q122" i="14"/>
  <c r="L122" i="14"/>
  <c r="N122" i="14"/>
  <c r="N124" i="14"/>
  <c r="L173" i="14"/>
  <c r="N158" i="14"/>
  <c r="Q158" i="14"/>
  <c r="P192" i="14"/>
  <c r="N171" i="14"/>
  <c r="M144" i="14"/>
  <c r="L172" i="14"/>
  <c r="Q162" i="14"/>
  <c r="P191" i="14"/>
  <c r="P122" i="14"/>
  <c r="P156" i="14"/>
  <c r="Q159" i="14"/>
  <c r="N196" i="14"/>
  <c r="N133" i="14"/>
  <c r="M171" i="14"/>
  <c r="Q190" i="14"/>
  <c r="M170" i="14"/>
  <c r="L119" i="14"/>
  <c r="M119" i="14"/>
  <c r="P124" i="14"/>
  <c r="N172" i="14"/>
  <c r="N134" i="14"/>
  <c r="Q134" i="14"/>
  <c r="P123" i="14"/>
  <c r="M143" i="14"/>
  <c r="L165" i="14"/>
  <c r="Q161" i="14"/>
  <c r="N166" i="14"/>
  <c r="Q191" i="14"/>
  <c r="Q119" i="14"/>
  <c r="P119" i="14"/>
  <c r="N164" i="14"/>
  <c r="M204" i="14"/>
  <c r="N195" i="14"/>
  <c r="Q197" i="14"/>
  <c r="M197" i="14"/>
  <c r="Q148" i="14"/>
  <c r="M148" i="14"/>
  <c r="Q147" i="14"/>
  <c r="L147" i="14"/>
  <c r="N110" i="14"/>
  <c r="Q110" i="14"/>
  <c r="N167" i="14"/>
  <c r="Q193" i="14"/>
  <c r="P190" i="14"/>
  <c r="P188" i="14"/>
  <c r="Q118" i="14"/>
  <c r="P149" i="14"/>
  <c r="P118" i="14"/>
  <c r="N132" i="14"/>
  <c r="M134" i="14"/>
  <c r="Q189" i="14"/>
  <c r="Q117" i="14"/>
  <c r="P117" i="14"/>
  <c r="N191" i="14"/>
  <c r="M169" i="14"/>
  <c r="M133" i="14"/>
  <c r="Q188" i="14"/>
  <c r="Q153" i="14"/>
  <c r="Q116" i="14"/>
  <c r="P182" i="14"/>
  <c r="P147" i="14"/>
  <c r="P116" i="14"/>
  <c r="N190" i="14"/>
  <c r="M168" i="14"/>
  <c r="M132" i="14"/>
  <c r="L197" i="14"/>
  <c r="L125" i="14"/>
  <c r="N193" i="30"/>
  <c r="N167" i="30"/>
  <c r="N166" i="30"/>
  <c r="M195" i="30"/>
  <c r="M147" i="30"/>
  <c r="N141" i="30"/>
  <c r="M194" i="30"/>
  <c r="M146" i="30"/>
  <c r="M169" i="30"/>
  <c r="N163" i="30"/>
  <c r="Q195" i="30"/>
  <c r="Q171" i="30"/>
  <c r="Q147" i="30"/>
  <c r="N162" i="30"/>
  <c r="M191" i="30"/>
  <c r="M167" i="30"/>
  <c r="Q194" i="30"/>
  <c r="Q170" i="30"/>
  <c r="Q146" i="30"/>
  <c r="N185" i="30"/>
  <c r="N161" i="30"/>
  <c r="N137" i="30"/>
  <c r="M190" i="30"/>
  <c r="M166" i="30"/>
  <c r="M142" i="30"/>
  <c r="L195" i="30"/>
  <c r="L171" i="30"/>
  <c r="L147" i="30"/>
  <c r="Q193" i="30"/>
  <c r="Q169" i="30"/>
  <c r="Q145" i="30"/>
  <c r="N184" i="30"/>
  <c r="N160" i="30"/>
  <c r="N136" i="30"/>
  <c r="M189" i="30"/>
  <c r="M165" i="30"/>
  <c r="M141" i="30"/>
  <c r="L194" i="30"/>
  <c r="L170" i="30"/>
  <c r="L146" i="30"/>
  <c r="Q192" i="30"/>
  <c r="Q168" i="30"/>
  <c r="Q144" i="30"/>
  <c r="N183" i="30"/>
  <c r="N159" i="30"/>
  <c r="N135" i="30"/>
  <c r="M188" i="30"/>
  <c r="M164" i="30"/>
  <c r="M140" i="30"/>
  <c r="L193" i="30"/>
  <c r="L169" i="30"/>
  <c r="L145" i="30"/>
  <c r="Q191" i="30"/>
  <c r="Q167" i="30"/>
  <c r="Q143" i="30"/>
  <c r="N182" i="30"/>
  <c r="N158" i="30"/>
  <c r="N134" i="30"/>
  <c r="M187" i="30"/>
  <c r="M163" i="30"/>
  <c r="M139" i="30"/>
  <c r="L192" i="30"/>
  <c r="L168" i="30"/>
  <c r="L144" i="30"/>
  <c r="N195" i="30"/>
  <c r="N192" i="30"/>
  <c r="N144" i="30"/>
  <c r="N190" i="30"/>
  <c r="N188" i="30"/>
  <c r="M168" i="30"/>
  <c r="N142" i="30"/>
  <c r="M193" i="30"/>
  <c r="N187" i="30"/>
  <c r="N186" i="30"/>
  <c r="N138" i="30"/>
  <c r="M143" i="30"/>
  <c r="Q142" i="30"/>
  <c r="M186" i="30"/>
  <c r="P170" i="30"/>
  <c r="M185" i="30"/>
  <c r="M137" i="30"/>
  <c r="L190" i="30"/>
  <c r="L166" i="30"/>
  <c r="L142" i="30"/>
  <c r="N146" i="30"/>
  <c r="N140" i="30"/>
  <c r="N194" i="30"/>
  <c r="N147" i="30"/>
  <c r="N170" i="30"/>
  <c r="N169" i="30"/>
  <c r="N168" i="30"/>
  <c r="N189" i="30"/>
  <c r="N139" i="30"/>
  <c r="M192" i="30"/>
  <c r="M144" i="30"/>
  <c r="Q166" i="30"/>
  <c r="P171" i="30"/>
  <c r="M138" i="30"/>
  <c r="Q189" i="30"/>
  <c r="Q141" i="30"/>
  <c r="Q164" i="30"/>
  <c r="P145" i="30"/>
  <c r="L165" i="30"/>
  <c r="Q187" i="30"/>
  <c r="L164" i="30"/>
  <c r="L140" i="30"/>
  <c r="Q186" i="30"/>
  <c r="Q162" i="30"/>
  <c r="Q138" i="30"/>
  <c r="P191" i="30"/>
  <c r="P167" i="30"/>
  <c r="P143" i="30"/>
  <c r="L163" i="30"/>
  <c r="L139" i="30"/>
  <c r="N171" i="30"/>
  <c r="N145" i="30"/>
  <c r="N191" i="30"/>
  <c r="N143" i="30"/>
  <c r="N165" i="30"/>
  <c r="Q190" i="30"/>
  <c r="M162" i="30"/>
  <c r="M161" i="30"/>
  <c r="Q188" i="30"/>
  <c r="P111" i="30"/>
  <c r="L106" i="30"/>
  <c r="Q110" i="30"/>
  <c r="P109" i="30"/>
  <c r="M106" i="30"/>
  <c r="N106" i="30"/>
  <c r="L128" i="30"/>
  <c r="Q108" i="30"/>
  <c r="P107" i="30"/>
  <c r="M128" i="30"/>
  <c r="L127" i="30"/>
  <c r="P106" i="30"/>
  <c r="N128" i="30"/>
  <c r="M127" i="30"/>
  <c r="L126" i="30"/>
  <c r="N127" i="30"/>
  <c r="M126" i="30"/>
  <c r="L125" i="30"/>
  <c r="P128" i="30"/>
  <c r="N126" i="30"/>
  <c r="M125" i="30"/>
  <c r="L124" i="30"/>
  <c r="P127" i="30"/>
  <c r="N125" i="30"/>
  <c r="M124" i="30"/>
  <c r="L123" i="30"/>
  <c r="P126" i="30"/>
  <c r="N124" i="30"/>
  <c r="M123" i="30"/>
  <c r="L122" i="30"/>
  <c r="P125" i="30"/>
  <c r="M122" i="30"/>
  <c r="L121" i="30"/>
  <c r="P121" i="30"/>
  <c r="P120" i="30"/>
  <c r="M116" i="30"/>
  <c r="L115" i="30"/>
  <c r="Q119" i="30"/>
  <c r="P118" i="30"/>
  <c r="N116" i="30"/>
  <c r="M115" i="30"/>
  <c r="L114" i="30"/>
  <c r="P117" i="30"/>
  <c r="N115" i="30"/>
  <c r="M114" i="30"/>
  <c r="L113" i="30"/>
  <c r="P116" i="30"/>
  <c r="N114" i="30"/>
  <c r="M113" i="30"/>
  <c r="L112" i="30"/>
  <c r="Q116" i="30"/>
  <c r="P115" i="30"/>
  <c r="N113" i="30"/>
  <c r="P114" i="30"/>
  <c r="K11" i="30" l="1"/>
  <c r="E10" i="15" l="1"/>
  <c r="K105" i="30" l="1"/>
  <c r="J105" i="30"/>
  <c r="I105" i="30"/>
  <c r="K104" i="30"/>
  <c r="J104" i="30"/>
  <c r="M104" i="30" s="1"/>
  <c r="I104" i="30"/>
  <c r="K103" i="30"/>
  <c r="J103" i="30"/>
  <c r="I103" i="30"/>
  <c r="K102" i="30"/>
  <c r="J102" i="30"/>
  <c r="I102" i="30"/>
  <c r="K101" i="30"/>
  <c r="J101" i="30"/>
  <c r="M101" i="30" s="1"/>
  <c r="I101" i="30"/>
  <c r="K100" i="30"/>
  <c r="J100" i="30"/>
  <c r="M100" i="30" s="1"/>
  <c r="I100" i="30"/>
  <c r="K99" i="30"/>
  <c r="J99" i="30"/>
  <c r="I99" i="30"/>
  <c r="K98" i="30"/>
  <c r="J98" i="30"/>
  <c r="I98" i="30"/>
  <c r="K97" i="30"/>
  <c r="J97" i="30"/>
  <c r="M97" i="30" s="1"/>
  <c r="I97" i="30"/>
  <c r="K96" i="30"/>
  <c r="J96" i="30"/>
  <c r="I96" i="30"/>
  <c r="K95" i="30"/>
  <c r="J95" i="30"/>
  <c r="I95" i="30"/>
  <c r="K94" i="30"/>
  <c r="J94" i="30"/>
  <c r="M94" i="30" s="1"/>
  <c r="I94" i="30"/>
  <c r="K93" i="30"/>
  <c r="J93" i="30"/>
  <c r="I93" i="30"/>
  <c r="K92" i="30"/>
  <c r="J92" i="30"/>
  <c r="M92" i="30" s="1"/>
  <c r="I92" i="30"/>
  <c r="K91" i="30"/>
  <c r="J91" i="30"/>
  <c r="I91" i="30"/>
  <c r="K90" i="30"/>
  <c r="J90" i="30"/>
  <c r="I90" i="30"/>
  <c r="K89" i="30"/>
  <c r="J89" i="30"/>
  <c r="I89" i="30"/>
  <c r="K88" i="30"/>
  <c r="J88" i="30"/>
  <c r="I88" i="30"/>
  <c r="K87" i="30"/>
  <c r="J87" i="30"/>
  <c r="I87" i="30"/>
  <c r="K86" i="30"/>
  <c r="J86" i="30"/>
  <c r="M86" i="30" s="1"/>
  <c r="I86" i="30"/>
  <c r="K85" i="30"/>
  <c r="J85" i="30"/>
  <c r="M85" i="30" s="1"/>
  <c r="I85" i="30"/>
  <c r="K84" i="30"/>
  <c r="J84" i="30"/>
  <c r="I84" i="30"/>
  <c r="K83" i="30"/>
  <c r="J83" i="30"/>
  <c r="M83" i="30" s="1"/>
  <c r="I83" i="30"/>
  <c r="K82" i="30"/>
  <c r="J82" i="30"/>
  <c r="I82" i="30"/>
  <c r="K81" i="30"/>
  <c r="J81" i="30"/>
  <c r="I81" i="30"/>
  <c r="K80" i="30"/>
  <c r="J80" i="30"/>
  <c r="I80" i="30"/>
  <c r="K79" i="30"/>
  <c r="J79" i="30"/>
  <c r="M79" i="30" s="1"/>
  <c r="I79" i="30"/>
  <c r="K78" i="30"/>
  <c r="J78" i="30"/>
  <c r="I78" i="30"/>
  <c r="K77" i="30"/>
  <c r="J77" i="30"/>
  <c r="I77" i="30"/>
  <c r="K76" i="30"/>
  <c r="J76" i="30"/>
  <c r="M76" i="30" s="1"/>
  <c r="I76" i="30"/>
  <c r="K75" i="30"/>
  <c r="J75" i="30"/>
  <c r="I75" i="30"/>
  <c r="K74" i="30"/>
  <c r="J74" i="30"/>
  <c r="M74" i="30" s="1"/>
  <c r="I74" i="30"/>
  <c r="K73" i="30"/>
  <c r="J73" i="30"/>
  <c r="M73" i="30" s="1"/>
  <c r="I73" i="30"/>
  <c r="K72" i="30"/>
  <c r="J72" i="30"/>
  <c r="I72" i="30"/>
  <c r="K71" i="30"/>
  <c r="J71" i="30"/>
  <c r="M71" i="30" s="1"/>
  <c r="I71" i="30"/>
  <c r="K70" i="30"/>
  <c r="J70" i="30"/>
  <c r="I70" i="30"/>
  <c r="K69" i="30"/>
  <c r="J69" i="30"/>
  <c r="I69" i="30"/>
  <c r="K68" i="30"/>
  <c r="J68" i="30"/>
  <c r="I68" i="30"/>
  <c r="K67" i="30"/>
  <c r="J67" i="30"/>
  <c r="M67" i="30" s="1"/>
  <c r="I67" i="30"/>
  <c r="K66" i="30"/>
  <c r="J66" i="30"/>
  <c r="I66" i="30"/>
  <c r="K65" i="30"/>
  <c r="J65" i="30"/>
  <c r="M65" i="30" s="1"/>
  <c r="I65" i="30"/>
  <c r="K64" i="30"/>
  <c r="J64" i="30"/>
  <c r="I64" i="30"/>
  <c r="K63" i="30"/>
  <c r="J63" i="30"/>
  <c r="I63" i="30"/>
  <c r="K62" i="30"/>
  <c r="J62" i="30"/>
  <c r="I62" i="30"/>
  <c r="K61" i="30"/>
  <c r="J61" i="30"/>
  <c r="M61" i="30" s="1"/>
  <c r="I61" i="30"/>
  <c r="K60" i="30"/>
  <c r="J60" i="30"/>
  <c r="I60" i="30"/>
  <c r="K59" i="30"/>
  <c r="J59" i="30"/>
  <c r="I59" i="30"/>
  <c r="K58" i="30"/>
  <c r="J58" i="30"/>
  <c r="M58" i="30" s="1"/>
  <c r="I58" i="30"/>
  <c r="K57" i="30"/>
  <c r="J57" i="30"/>
  <c r="I57" i="30"/>
  <c r="K56" i="30"/>
  <c r="J56" i="30"/>
  <c r="M56" i="30" s="1"/>
  <c r="I56" i="30"/>
  <c r="K55" i="30"/>
  <c r="J55" i="30"/>
  <c r="M55" i="30" s="1"/>
  <c r="I55" i="30"/>
  <c r="K54" i="30"/>
  <c r="J54" i="30"/>
  <c r="I54" i="30"/>
  <c r="K53" i="30"/>
  <c r="J53" i="30"/>
  <c r="I53" i="30"/>
  <c r="K52" i="30"/>
  <c r="J52" i="30"/>
  <c r="I52" i="30"/>
  <c r="K51" i="30"/>
  <c r="J51" i="30"/>
  <c r="I51" i="30"/>
  <c r="K50" i="30"/>
  <c r="J50" i="30"/>
  <c r="M50" i="30" s="1"/>
  <c r="I50" i="30"/>
  <c r="K49" i="30"/>
  <c r="J49" i="30"/>
  <c r="I49" i="30"/>
  <c r="K48" i="30"/>
  <c r="J48" i="30"/>
  <c r="I48" i="30"/>
  <c r="K47" i="30"/>
  <c r="J47" i="30"/>
  <c r="I47" i="30"/>
  <c r="K46" i="30"/>
  <c r="J46" i="30"/>
  <c r="M46" i="30" s="1"/>
  <c r="I46" i="30"/>
  <c r="K45" i="30"/>
  <c r="J45" i="30"/>
  <c r="I45" i="30"/>
  <c r="K44" i="30"/>
  <c r="J44" i="30"/>
  <c r="M44" i="30" s="1"/>
  <c r="I44" i="30"/>
  <c r="K43" i="30"/>
  <c r="K42" i="30"/>
  <c r="K41" i="30"/>
  <c r="K40" i="30"/>
  <c r="M40" i="30"/>
  <c r="K39" i="30"/>
  <c r="K38" i="30"/>
  <c r="K37" i="30"/>
  <c r="M37" i="30"/>
  <c r="K36" i="30"/>
  <c r="K35" i="30"/>
  <c r="M35" i="30"/>
  <c r="K34" i="30"/>
  <c r="M34" i="30"/>
  <c r="K33" i="30"/>
  <c r="K32" i="30"/>
  <c r="M32" i="30"/>
  <c r="K31" i="30"/>
  <c r="K30" i="30"/>
  <c r="K29" i="30"/>
  <c r="M29" i="30"/>
  <c r="K28" i="30"/>
  <c r="K27" i="30"/>
  <c r="K26" i="30"/>
  <c r="M26" i="30"/>
  <c r="K25" i="30"/>
  <c r="M25" i="30"/>
  <c r="K24" i="30"/>
  <c r="K23" i="30"/>
  <c r="K22" i="30"/>
  <c r="M22" i="30"/>
  <c r="K21" i="30"/>
  <c r="K20" i="30"/>
  <c r="M20" i="30"/>
  <c r="K19" i="30"/>
  <c r="J19" i="30"/>
  <c r="M19" i="30" s="1"/>
  <c r="I19" i="30"/>
  <c r="K18" i="30"/>
  <c r="J18" i="30"/>
  <c r="I18" i="30"/>
  <c r="K17" i="30"/>
  <c r="J17" i="30"/>
  <c r="I17" i="30"/>
  <c r="K16" i="30"/>
  <c r="J16" i="30"/>
  <c r="I16" i="30"/>
  <c r="K15" i="30"/>
  <c r="J15" i="30"/>
  <c r="I15" i="30"/>
  <c r="K14" i="30"/>
  <c r="J14" i="30"/>
  <c r="I14" i="30"/>
  <c r="K13" i="30"/>
  <c r="J13" i="30"/>
  <c r="M13" i="30" s="1"/>
  <c r="I13" i="30"/>
  <c r="K12" i="30"/>
  <c r="J12" i="30"/>
  <c r="I12" i="30"/>
  <c r="J11" i="30"/>
  <c r="M11" i="30" s="1"/>
  <c r="I11" i="30"/>
  <c r="K10" i="30"/>
  <c r="J10" i="30"/>
  <c r="I10" i="30"/>
  <c r="K9" i="30"/>
  <c r="J9" i="30"/>
  <c r="I9" i="30"/>
  <c r="K8" i="30"/>
  <c r="J8" i="30"/>
  <c r="M8" i="30" s="1"/>
  <c r="I8" i="30"/>
  <c r="K7" i="30"/>
  <c r="J7" i="30"/>
  <c r="I7" i="30"/>
  <c r="K6" i="30"/>
  <c r="I6" i="30"/>
  <c r="G12" i="10" l="1"/>
  <c r="G18" i="10"/>
  <c r="I12" i="10"/>
  <c r="I18" i="10"/>
  <c r="G13" i="10"/>
  <c r="G14" i="10"/>
  <c r="I13" i="10"/>
  <c r="I14" i="10"/>
  <c r="N14" i="30"/>
  <c r="M14" i="30"/>
  <c r="N10" i="30"/>
  <c r="M10" i="30"/>
  <c r="L64" i="30"/>
  <c r="M64" i="30"/>
  <c r="N48" i="30"/>
  <c r="M48" i="30"/>
  <c r="N90" i="30"/>
  <c r="M90" i="30"/>
  <c r="N16" i="30"/>
  <c r="M16" i="30"/>
  <c r="N23" i="30"/>
  <c r="M23" i="30"/>
  <c r="N47" i="30"/>
  <c r="M47" i="30"/>
  <c r="N59" i="30"/>
  <c r="M59" i="30"/>
  <c r="L77" i="30"/>
  <c r="M77" i="30"/>
  <c r="N95" i="30"/>
  <c r="M95" i="30"/>
  <c r="N66" i="30"/>
  <c r="M66" i="30"/>
  <c r="N38" i="30"/>
  <c r="M38" i="30"/>
  <c r="N70" i="30"/>
  <c r="M70" i="30"/>
  <c r="N53" i="30"/>
  <c r="M53" i="30"/>
  <c r="N24" i="30"/>
  <c r="I16" i="10" s="1"/>
  <c r="M24" i="30"/>
  <c r="N42" i="30"/>
  <c r="M42" i="30"/>
  <c r="N60" i="30"/>
  <c r="M60" i="30"/>
  <c r="N84" i="30"/>
  <c r="M84" i="30"/>
  <c r="N102" i="30"/>
  <c r="M102" i="30"/>
  <c r="N28" i="30"/>
  <c r="M28" i="30"/>
  <c r="N52" i="30"/>
  <c r="M52" i="30"/>
  <c r="N82" i="30"/>
  <c r="M82" i="30"/>
  <c r="L17" i="30"/>
  <c r="M17" i="30"/>
  <c r="L41" i="30"/>
  <c r="M41" i="30"/>
  <c r="L89" i="30"/>
  <c r="M89" i="30"/>
  <c r="N12" i="30"/>
  <c r="M12" i="30"/>
  <c r="N30" i="30"/>
  <c r="M30" i="30"/>
  <c r="N54" i="30"/>
  <c r="M54" i="30"/>
  <c r="N78" i="30"/>
  <c r="M78" i="30"/>
  <c r="N96" i="30"/>
  <c r="M96" i="30"/>
  <c r="N43" i="30"/>
  <c r="M43" i="30"/>
  <c r="L49" i="30"/>
  <c r="M49" i="30"/>
  <c r="L91" i="30"/>
  <c r="M91" i="30"/>
  <c r="L103" i="30"/>
  <c r="M103" i="30"/>
  <c r="N88" i="30"/>
  <c r="M88" i="30"/>
  <c r="N18" i="30"/>
  <c r="M18" i="30"/>
  <c r="N36" i="30"/>
  <c r="M36" i="30"/>
  <c r="N72" i="30"/>
  <c r="M72" i="30"/>
  <c r="L31" i="30"/>
  <c r="M31" i="30"/>
  <c r="N7" i="30"/>
  <c r="M7" i="30"/>
  <c r="N98" i="30"/>
  <c r="M98" i="30"/>
  <c r="N33" i="30"/>
  <c r="M33" i="30"/>
  <c r="N45" i="30"/>
  <c r="M45" i="30"/>
  <c r="N57" i="30"/>
  <c r="M57" i="30"/>
  <c r="N63" i="30"/>
  <c r="M63" i="30"/>
  <c r="N75" i="30"/>
  <c r="M75" i="30"/>
  <c r="N81" i="30"/>
  <c r="M81" i="30"/>
  <c r="N87" i="30"/>
  <c r="M87" i="30"/>
  <c r="N93" i="30"/>
  <c r="M93" i="30"/>
  <c r="N99" i="30"/>
  <c r="M99" i="30"/>
  <c r="N105" i="30"/>
  <c r="M105" i="30"/>
  <c r="L62" i="30"/>
  <c r="M62" i="30"/>
  <c r="L68" i="30"/>
  <c r="M68" i="30"/>
  <c r="N80" i="30"/>
  <c r="M80" i="30"/>
  <c r="N15" i="30"/>
  <c r="M15" i="30"/>
  <c r="N27" i="30"/>
  <c r="M27" i="30"/>
  <c r="N39" i="30"/>
  <c r="M39" i="30"/>
  <c r="N51" i="30"/>
  <c r="M51" i="30"/>
  <c r="N69" i="30"/>
  <c r="M69" i="30"/>
  <c r="N9" i="30"/>
  <c r="M9" i="30"/>
  <c r="N21" i="30"/>
  <c r="M21" i="30"/>
  <c r="Q55" i="30"/>
  <c r="Q73" i="30"/>
  <c r="Q32" i="30"/>
  <c r="Q8" i="30"/>
  <c r="L80" i="30"/>
  <c r="Q45" i="30"/>
  <c r="Q58" i="30"/>
  <c r="N31" i="30"/>
  <c r="P31" i="30"/>
  <c r="Q91" i="30"/>
  <c r="N91" i="30"/>
  <c r="P81" i="30"/>
  <c r="P87" i="30"/>
  <c r="L70" i="30"/>
  <c r="P34" i="30"/>
  <c r="P67" i="30"/>
  <c r="Q100" i="30"/>
  <c r="L23" i="30"/>
  <c r="Q34" i="30"/>
  <c r="L73" i="30"/>
  <c r="Q90" i="30"/>
  <c r="L95" i="30"/>
  <c r="P45" i="30"/>
  <c r="Q35" i="30"/>
  <c r="P51" i="30"/>
  <c r="Q51" i="30"/>
  <c r="Q24" i="30"/>
  <c r="Q30" i="30"/>
  <c r="P41" i="30"/>
  <c r="P96" i="30"/>
  <c r="L47" i="30"/>
  <c r="P91" i="30"/>
  <c r="Q96" i="30"/>
  <c r="N41" i="30"/>
  <c r="P36" i="30"/>
  <c r="Q37" i="30"/>
  <c r="L88" i="30"/>
  <c r="L38" i="30"/>
  <c r="P9" i="30"/>
  <c r="P55" i="30"/>
  <c r="P66" i="30"/>
  <c r="Q94" i="30"/>
  <c r="Q22" i="30"/>
  <c r="L55" i="30"/>
  <c r="Q66" i="30"/>
  <c r="Q15" i="30"/>
  <c r="L52" i="30"/>
  <c r="P27" i="30"/>
  <c r="P42" i="30"/>
  <c r="N62" i="30"/>
  <c r="N77" i="30"/>
  <c r="Q97" i="30"/>
  <c r="Q27" i="30"/>
  <c r="P52" i="30"/>
  <c r="Q57" i="30"/>
  <c r="Q87" i="30"/>
  <c r="P102" i="30"/>
  <c r="Q102" i="30"/>
  <c r="P48" i="30"/>
  <c r="N73" i="30"/>
  <c r="L28" i="30"/>
  <c r="P33" i="30"/>
  <c r="P38" i="30"/>
  <c r="Q48" i="30"/>
  <c r="Q63" i="30"/>
  <c r="Q78" i="30"/>
  <c r="Q88" i="30"/>
  <c r="Q33" i="30"/>
  <c r="Q44" i="30"/>
  <c r="P73" i="30"/>
  <c r="Q93" i="30"/>
  <c r="L98" i="30"/>
  <c r="P28" i="30"/>
  <c r="Q79" i="30"/>
  <c r="P69" i="30"/>
  <c r="P84" i="30"/>
  <c r="Q29" i="30"/>
  <c r="P39" i="30"/>
  <c r="Q54" i="30"/>
  <c r="L59" i="30"/>
  <c r="Q69" i="30"/>
  <c r="Q84" i="30"/>
  <c r="P24" i="30"/>
  <c r="Q40" i="30"/>
  <c r="Q50" i="30"/>
  <c r="P85" i="30"/>
  <c r="P99" i="30"/>
  <c r="Q20" i="30"/>
  <c r="L14" i="30"/>
  <c r="P25" i="30"/>
  <c r="N55" i="30"/>
  <c r="Q72" i="30"/>
  <c r="Q46" i="30"/>
  <c r="P60" i="30"/>
  <c r="Q70" i="30"/>
  <c r="Q75" i="30"/>
  <c r="L100" i="30"/>
  <c r="P105" i="30"/>
  <c r="Q26" i="30"/>
  <c r="Q61" i="30"/>
  <c r="Q76" i="30"/>
  <c r="Q105" i="30"/>
  <c r="Q9" i="30"/>
  <c r="P12" i="30"/>
  <c r="N17" i="30"/>
  <c r="P17" i="30"/>
  <c r="Q18" i="30"/>
  <c r="L7" i="30"/>
  <c r="Q56" i="30"/>
  <c r="P56" i="30"/>
  <c r="L25" i="30"/>
  <c r="N35" i="30"/>
  <c r="Q52" i="30"/>
  <c r="L85" i="30"/>
  <c r="Q71" i="30"/>
  <c r="P71" i="30"/>
  <c r="Q89" i="30"/>
  <c r="P89" i="30"/>
  <c r="P15" i="30"/>
  <c r="N22" i="30"/>
  <c r="N64" i="30"/>
  <c r="N71" i="30"/>
  <c r="N89" i="30"/>
  <c r="N100" i="30"/>
  <c r="Q28" i="30"/>
  <c r="Q99" i="30"/>
  <c r="N103" i="30"/>
  <c r="N32" i="30"/>
  <c r="Q25" i="30"/>
  <c r="Q85" i="30"/>
  <c r="Q103" i="30"/>
  <c r="L19" i="30"/>
  <c r="P22" i="30"/>
  <c r="N29" i="30"/>
  <c r="L43" i="30"/>
  <c r="Q86" i="30"/>
  <c r="P86" i="30"/>
  <c r="Q104" i="30"/>
  <c r="P104" i="30"/>
  <c r="Q12" i="30"/>
  <c r="L26" i="30"/>
  <c r="P29" i="30"/>
  <c r="Q36" i="30"/>
  <c r="L50" i="30"/>
  <c r="P57" i="30"/>
  <c r="P64" i="30"/>
  <c r="P75" i="30"/>
  <c r="P82" i="30"/>
  <c r="P93" i="30"/>
  <c r="P100" i="30"/>
  <c r="L16" i="30"/>
  <c r="Q23" i="30"/>
  <c r="N26" i="30"/>
  <c r="L40" i="30"/>
  <c r="P43" i="30"/>
  <c r="Q47" i="30"/>
  <c r="N50" i="30"/>
  <c r="L61" i="30"/>
  <c r="Q64" i="30"/>
  <c r="L79" i="30"/>
  <c r="Q82" i="30"/>
  <c r="L86" i="30"/>
  <c r="L97" i="30"/>
  <c r="L104" i="30"/>
  <c r="Q92" i="30"/>
  <c r="P92" i="30"/>
  <c r="P18" i="30"/>
  <c r="N25" i="30"/>
  <c r="N49" i="30"/>
  <c r="Q81" i="30"/>
  <c r="P35" i="30"/>
  <c r="Q42" i="30"/>
  <c r="N67" i="30"/>
  <c r="P46" i="30"/>
  <c r="Q68" i="30"/>
  <c r="P68" i="30"/>
  <c r="N40" i="30"/>
  <c r="Q43" i="30"/>
  <c r="N61" i="30"/>
  <c r="N68" i="30"/>
  <c r="N79" i="30"/>
  <c r="N86" i="30"/>
  <c r="N97" i="30"/>
  <c r="N104" i="30"/>
  <c r="Q74" i="30"/>
  <c r="P74" i="30"/>
  <c r="N11" i="30"/>
  <c r="P63" i="30"/>
  <c r="P70" i="30"/>
  <c r="P88" i="30"/>
  <c r="L56" i="30"/>
  <c r="N85" i="30"/>
  <c r="P78" i="30"/>
  <c r="P103" i="30"/>
  <c r="Q39" i="30"/>
  <c r="N19" i="30"/>
  <c r="P50" i="30"/>
  <c r="Q65" i="30"/>
  <c r="P65" i="30"/>
  <c r="Q83" i="30"/>
  <c r="P83" i="30"/>
  <c r="Q101" i="30"/>
  <c r="P101" i="30"/>
  <c r="P49" i="30"/>
  <c r="L11" i="30"/>
  <c r="P26" i="30"/>
  <c r="L101" i="30"/>
  <c r="L74" i="30"/>
  <c r="L92" i="30"/>
  <c r="L22" i="30"/>
  <c r="L46" i="30"/>
  <c r="N46" i="30"/>
  <c r="Q49" i="30"/>
  <c r="L71" i="30"/>
  <c r="P16" i="30"/>
  <c r="P61" i="30"/>
  <c r="L94" i="30"/>
  <c r="Q31" i="30"/>
  <c r="L29" i="30"/>
  <c r="Q60" i="30"/>
  <c r="Q67" i="30"/>
  <c r="L13" i="30"/>
  <c r="L37" i="30"/>
  <c r="P40" i="30"/>
  <c r="P54" i="30"/>
  <c r="P72" i="30"/>
  <c r="P79" i="30"/>
  <c r="P90" i="30"/>
  <c r="P97" i="30"/>
  <c r="N13" i="30"/>
  <c r="Q16" i="30"/>
  <c r="P30" i="30"/>
  <c r="N37" i="30"/>
  <c r="L58" i="30"/>
  <c r="L65" i="30"/>
  <c r="L76" i="30"/>
  <c r="L83" i="30"/>
  <c r="L20" i="30"/>
  <c r="P23" i="30"/>
  <c r="L44" i="30"/>
  <c r="P47" i="30"/>
  <c r="N58" i="30"/>
  <c r="N65" i="30"/>
  <c r="N76" i="30"/>
  <c r="N83" i="30"/>
  <c r="N94" i="30"/>
  <c r="N101" i="30"/>
  <c r="L10" i="30"/>
  <c r="Q17" i="30"/>
  <c r="N20" i="30"/>
  <c r="L34" i="30"/>
  <c r="P37" i="30"/>
  <c r="Q41" i="30"/>
  <c r="N44" i="30"/>
  <c r="Q62" i="30"/>
  <c r="P62" i="30"/>
  <c r="Q80" i="30"/>
  <c r="P80" i="30"/>
  <c r="Q98" i="30"/>
  <c r="P98" i="30"/>
  <c r="L67" i="30"/>
  <c r="L8" i="30"/>
  <c r="L32" i="30"/>
  <c r="N56" i="30"/>
  <c r="N74" i="30"/>
  <c r="N92" i="30"/>
  <c r="N8" i="30"/>
  <c r="Q53" i="30"/>
  <c r="P53" i="30"/>
  <c r="L82" i="30"/>
  <c r="N34" i="30"/>
  <c r="P58" i="30"/>
  <c r="P76" i="30"/>
  <c r="P94" i="30"/>
  <c r="P8" i="30"/>
  <c r="P32" i="30"/>
  <c r="L53" i="30"/>
  <c r="P20" i="30"/>
  <c r="P44" i="30"/>
  <c r="Q38" i="30"/>
  <c r="L35" i="30"/>
  <c r="Q59" i="30"/>
  <c r="P59" i="30"/>
  <c r="Q77" i="30"/>
  <c r="P77" i="30"/>
  <c r="Q95" i="30"/>
  <c r="P95" i="30"/>
  <c r="L9" i="30"/>
  <c r="L12" i="30"/>
  <c r="L15" i="30"/>
  <c r="L18" i="30"/>
  <c r="L21" i="30"/>
  <c r="L24" i="30"/>
  <c r="G16" i="10" s="1"/>
  <c r="L27" i="30"/>
  <c r="L30" i="30"/>
  <c r="L33" i="30"/>
  <c r="L36" i="30"/>
  <c r="L39" i="30"/>
  <c r="L42" i="30"/>
  <c r="L45" i="30"/>
  <c r="L48" i="30"/>
  <c r="L51" i="30"/>
  <c r="L54" i="30"/>
  <c r="L57" i="30"/>
  <c r="L60" i="30"/>
  <c r="L63" i="30"/>
  <c r="L66" i="30"/>
  <c r="L69" i="30"/>
  <c r="L72" i="30"/>
  <c r="L75" i="30"/>
  <c r="L78" i="30"/>
  <c r="L81" i="30"/>
  <c r="L84" i="30"/>
  <c r="L87" i="30"/>
  <c r="L90" i="30"/>
  <c r="L93" i="30"/>
  <c r="L96" i="30"/>
  <c r="L99" i="30"/>
  <c r="L102" i="30"/>
  <c r="L105" i="30"/>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J93" i="14"/>
  <c r="J94" i="14"/>
  <c r="N94" i="14" s="1"/>
  <c r="J95" i="14"/>
  <c r="J96" i="14"/>
  <c r="J97" i="14"/>
  <c r="J98" i="14"/>
  <c r="J99" i="14"/>
  <c r="J100" i="14"/>
  <c r="J101" i="14"/>
  <c r="J102" i="14"/>
  <c r="J103" i="14"/>
  <c r="J104" i="14"/>
  <c r="J105" i="14"/>
  <c r="K93" i="14"/>
  <c r="K94" i="14"/>
  <c r="K95" i="14"/>
  <c r="K96" i="14"/>
  <c r="K97" i="14"/>
  <c r="K98" i="14"/>
  <c r="K99" i="14"/>
  <c r="K100" i="14"/>
  <c r="K101" i="14"/>
  <c r="K102" i="14"/>
  <c r="K103" i="14"/>
  <c r="K104" i="14"/>
  <c r="K105" i="14"/>
  <c r="O93" i="14"/>
  <c r="O94" i="14"/>
  <c r="O95" i="14"/>
  <c r="O96" i="14"/>
  <c r="O97" i="14"/>
  <c r="O98" i="14"/>
  <c r="O99" i="14"/>
  <c r="O100" i="14"/>
  <c r="O101" i="14"/>
  <c r="O102" i="14"/>
  <c r="O103" i="14"/>
  <c r="O104" i="14"/>
  <c r="O105" i="14"/>
  <c r="J76" i="14"/>
  <c r="J77" i="14"/>
  <c r="J78" i="14"/>
  <c r="J79" i="14"/>
  <c r="J80" i="14"/>
  <c r="J81" i="14"/>
  <c r="J82" i="14"/>
  <c r="J83" i="14"/>
  <c r="L83" i="14" s="1"/>
  <c r="J84" i="14"/>
  <c r="J85" i="14"/>
  <c r="J86" i="14"/>
  <c r="J87" i="14"/>
  <c r="J88" i="14"/>
  <c r="J89" i="14"/>
  <c r="J90" i="14"/>
  <c r="J91" i="14"/>
  <c r="J92" i="14"/>
  <c r="K76" i="14"/>
  <c r="K77" i="14"/>
  <c r="K78" i="14"/>
  <c r="K79" i="14"/>
  <c r="K80" i="14"/>
  <c r="K81" i="14"/>
  <c r="K82" i="14"/>
  <c r="K83" i="14"/>
  <c r="K84" i="14"/>
  <c r="K85" i="14"/>
  <c r="K86" i="14"/>
  <c r="K87" i="14"/>
  <c r="K88" i="14"/>
  <c r="K89" i="14"/>
  <c r="K90" i="14"/>
  <c r="K91" i="14"/>
  <c r="K92" i="14"/>
  <c r="O76" i="14"/>
  <c r="O77" i="14"/>
  <c r="O78" i="14"/>
  <c r="O79" i="14"/>
  <c r="O80" i="14"/>
  <c r="O81" i="14"/>
  <c r="O82" i="14"/>
  <c r="O83" i="14"/>
  <c r="O84" i="14"/>
  <c r="O85" i="14"/>
  <c r="O86" i="14"/>
  <c r="O87" i="14"/>
  <c r="O88" i="14"/>
  <c r="O89" i="14"/>
  <c r="O90" i="14"/>
  <c r="O91" i="14"/>
  <c r="O92" i="14"/>
  <c r="G10" i="10" l="1"/>
  <c r="I10" i="10"/>
  <c r="F18" i="10"/>
  <c r="H18" i="10"/>
  <c r="G17" i="10"/>
  <c r="I11" i="10"/>
  <c r="I17" i="10"/>
  <c r="K17" i="10" s="1"/>
  <c r="G11" i="10"/>
  <c r="K18" i="10"/>
  <c r="M18" i="10"/>
  <c r="K14" i="10"/>
  <c r="M14" i="10"/>
  <c r="Q102" i="14"/>
  <c r="N80" i="14"/>
  <c r="M80" i="14"/>
  <c r="L104" i="14"/>
  <c r="M104" i="14"/>
  <c r="L105" i="14"/>
  <c r="M105" i="14"/>
  <c r="L103" i="14"/>
  <c r="M103" i="14"/>
  <c r="N76" i="14"/>
  <c r="M76" i="14"/>
  <c r="N102" i="14"/>
  <c r="M102" i="14"/>
  <c r="L92" i="14"/>
  <c r="M92" i="14"/>
  <c r="N101" i="14"/>
  <c r="M101" i="14"/>
  <c r="L91" i="14"/>
  <c r="M91" i="14"/>
  <c r="N100" i="14"/>
  <c r="M100" i="14"/>
  <c r="N90" i="14"/>
  <c r="M90" i="14"/>
  <c r="N99" i="14"/>
  <c r="M99" i="14"/>
  <c r="L81" i="14"/>
  <c r="M81" i="14"/>
  <c r="N77" i="14"/>
  <c r="M77" i="14"/>
  <c r="L86" i="14"/>
  <c r="M86" i="14"/>
  <c r="L85" i="14"/>
  <c r="M85" i="14"/>
  <c r="L94" i="14"/>
  <c r="M94" i="14"/>
  <c r="N98" i="14"/>
  <c r="M98" i="14"/>
  <c r="L88" i="14"/>
  <c r="M88" i="14"/>
  <c r="L96" i="14"/>
  <c r="M96" i="14"/>
  <c r="L95" i="14"/>
  <c r="M95" i="14"/>
  <c r="L93" i="14"/>
  <c r="M93" i="14"/>
  <c r="N79" i="14"/>
  <c r="M79" i="14"/>
  <c r="N83" i="14"/>
  <c r="M83" i="14"/>
  <c r="N78" i="14"/>
  <c r="M78" i="14"/>
  <c r="N89" i="14"/>
  <c r="M89" i="14"/>
  <c r="N97" i="14"/>
  <c r="M97" i="14"/>
  <c r="L87" i="14"/>
  <c r="M87" i="14"/>
  <c r="L84" i="14"/>
  <c r="M84" i="14"/>
  <c r="N82" i="14"/>
  <c r="M82" i="14"/>
  <c r="Q93" i="14"/>
  <c r="N96" i="14"/>
  <c r="P94" i="14"/>
  <c r="N95" i="14"/>
  <c r="Q92" i="14"/>
  <c r="Q91" i="14"/>
  <c r="Q105" i="14"/>
  <c r="L90" i="14"/>
  <c r="Q94" i="14"/>
  <c r="Q104" i="14"/>
  <c r="L89" i="14"/>
  <c r="L102" i="14"/>
  <c r="Q103" i="14"/>
  <c r="L82" i="14"/>
  <c r="L80" i="14"/>
  <c r="L79" i="14"/>
  <c r="L78" i="14"/>
  <c r="L101" i="14"/>
  <c r="L77" i="14"/>
  <c r="L100" i="14"/>
  <c r="L76" i="14"/>
  <c r="P80" i="14"/>
  <c r="Q100" i="14"/>
  <c r="L98" i="14"/>
  <c r="L99" i="14"/>
  <c r="Q101" i="14"/>
  <c r="L97" i="14"/>
  <c r="P90" i="14"/>
  <c r="P89" i="14"/>
  <c r="P83" i="14"/>
  <c r="P82" i="14"/>
  <c r="Q97" i="14"/>
  <c r="P104" i="14"/>
  <c r="Q96" i="14"/>
  <c r="P103" i="14"/>
  <c r="P95" i="14"/>
  <c r="P105" i="14"/>
  <c r="P87" i="14"/>
  <c r="P88" i="14"/>
  <c r="P86" i="14"/>
  <c r="Q85" i="14"/>
  <c r="Q84" i="14"/>
  <c r="P81" i="14"/>
  <c r="P79" i="14"/>
  <c r="N105" i="14"/>
  <c r="Q90" i="14"/>
  <c r="Q83" i="14"/>
  <c r="Q99" i="14"/>
  <c r="N104" i="14"/>
  <c r="Q89" i="14"/>
  <c r="Q82" i="14"/>
  <c r="Q98" i="14"/>
  <c r="N103" i="14"/>
  <c r="N88" i="14"/>
  <c r="N87" i="14"/>
  <c r="Q88" i="14"/>
  <c r="Q87" i="14"/>
  <c r="Q86" i="14"/>
  <c r="Q95" i="14"/>
  <c r="P97" i="14"/>
  <c r="P92" i="14"/>
  <c r="P96" i="14"/>
  <c r="N92" i="14"/>
  <c r="P91" i="14"/>
  <c r="P85" i="14"/>
  <c r="N91" i="14"/>
  <c r="P84" i="14"/>
  <c r="P93" i="14"/>
  <c r="P102" i="14"/>
  <c r="P101" i="14"/>
  <c r="P100" i="14"/>
  <c r="P99" i="14"/>
  <c r="P98" i="14"/>
  <c r="N93" i="14"/>
  <c r="P77" i="14"/>
  <c r="P76" i="14"/>
  <c r="N86" i="14"/>
  <c r="N85" i="14"/>
  <c r="Q81" i="14"/>
  <c r="N84" i="14"/>
  <c r="Q80" i="14"/>
  <c r="Q79" i="14"/>
  <c r="Q78" i="14"/>
  <c r="Q77" i="14"/>
  <c r="P78" i="14"/>
  <c r="N81" i="14"/>
  <c r="Q76" i="14"/>
  <c r="L18" i="10" l="1"/>
  <c r="J18" i="10"/>
  <c r="M17" i="10"/>
  <c r="K11" i="10"/>
  <c r="M11" i="10"/>
  <c r="M16" i="10"/>
  <c r="K16" i="10"/>
  <c r="K12" i="10"/>
  <c r="M12" i="10"/>
  <c r="M13" i="10"/>
  <c r="K13" i="10"/>
  <c r="K8" i="14"/>
  <c r="K9" i="14"/>
  <c r="K10" i="14"/>
  <c r="K11" i="14"/>
  <c r="K12" i="14"/>
  <c r="K13" i="14"/>
  <c r="K14" i="14"/>
  <c r="K15" i="14"/>
  <c r="K16" i="14"/>
  <c r="K17" i="14"/>
  <c r="K18" i="14"/>
  <c r="K19" i="14"/>
  <c r="K20" i="14"/>
  <c r="K21" i="14"/>
  <c r="K22" i="14"/>
  <c r="K23" i="14"/>
  <c r="K24" i="14"/>
  <c r="K25" i="14"/>
  <c r="K26" i="14"/>
  <c r="K27" i="14"/>
  <c r="K28" i="14"/>
  <c r="K29" i="14"/>
  <c r="K30" i="14"/>
  <c r="K31" i="14"/>
  <c r="K32" i="14"/>
  <c r="K33" i="14"/>
  <c r="K34" i="14"/>
  <c r="K35" i="14"/>
  <c r="K36" i="14"/>
  <c r="K37" i="14"/>
  <c r="K38" i="14"/>
  <c r="K39" i="14"/>
  <c r="K40" i="14"/>
  <c r="K41" i="14"/>
  <c r="K42" i="14"/>
  <c r="K43" i="14"/>
  <c r="K44" i="14"/>
  <c r="K45" i="14"/>
  <c r="K46" i="14"/>
  <c r="K47" i="14"/>
  <c r="K48" i="14"/>
  <c r="K49" i="14"/>
  <c r="K50" i="14"/>
  <c r="K51" i="14"/>
  <c r="K52" i="14"/>
  <c r="K53" i="14"/>
  <c r="K54" i="14"/>
  <c r="K55" i="14"/>
  <c r="K56" i="14"/>
  <c r="K57" i="14"/>
  <c r="K58" i="14"/>
  <c r="K59" i="14"/>
  <c r="K60" i="14"/>
  <c r="K61" i="14"/>
  <c r="K62" i="14"/>
  <c r="K63" i="14"/>
  <c r="K64" i="14"/>
  <c r="K65" i="14"/>
  <c r="K66" i="14"/>
  <c r="K67" i="14"/>
  <c r="K68" i="14"/>
  <c r="K69" i="14"/>
  <c r="K70" i="14"/>
  <c r="K71" i="14"/>
  <c r="K72" i="14"/>
  <c r="K73" i="14"/>
  <c r="K74" i="14"/>
  <c r="K75" i="14"/>
  <c r="J8" i="14"/>
  <c r="M8" i="14" s="1"/>
  <c r="J9" i="14"/>
  <c r="M9" i="14" s="1"/>
  <c r="J10" i="14"/>
  <c r="M10" i="14" s="1"/>
  <c r="J11" i="14"/>
  <c r="M11" i="14" s="1"/>
  <c r="J12" i="14"/>
  <c r="M12" i="14" s="1"/>
  <c r="J13" i="14"/>
  <c r="M13" i="14" s="1"/>
  <c r="J14" i="14"/>
  <c r="M14" i="14" s="1"/>
  <c r="J15" i="14"/>
  <c r="M15" i="14" s="1"/>
  <c r="J16" i="14"/>
  <c r="M16" i="14" s="1"/>
  <c r="M17" i="14"/>
  <c r="J18" i="14"/>
  <c r="M18" i="14" s="1"/>
  <c r="J19" i="14"/>
  <c r="M19" i="14" s="1"/>
  <c r="J20" i="14"/>
  <c r="J21" i="14"/>
  <c r="M21" i="14" s="1"/>
  <c r="J22" i="14"/>
  <c r="M22" i="14" s="1"/>
  <c r="J23" i="14"/>
  <c r="M23" i="14" s="1"/>
  <c r="J24" i="14"/>
  <c r="M24" i="14" s="1"/>
  <c r="J25" i="14"/>
  <c r="M25" i="14" s="1"/>
  <c r="J26" i="14"/>
  <c r="M26" i="14" s="1"/>
  <c r="J27" i="14"/>
  <c r="M27" i="14" s="1"/>
  <c r="J28" i="14"/>
  <c r="M28" i="14" s="1"/>
  <c r="J29" i="14"/>
  <c r="M29" i="14" s="1"/>
  <c r="J30" i="14"/>
  <c r="M30" i="14" s="1"/>
  <c r="J31" i="14"/>
  <c r="J32" i="14"/>
  <c r="M32" i="14" s="1"/>
  <c r="J33" i="14"/>
  <c r="M33" i="14" s="1"/>
  <c r="J34" i="14"/>
  <c r="M34" i="14" s="1"/>
  <c r="J35" i="14"/>
  <c r="M35" i="14" s="1"/>
  <c r="J36" i="14"/>
  <c r="M36" i="14" s="1"/>
  <c r="J37" i="14"/>
  <c r="M37" i="14" s="1"/>
  <c r="J38" i="14"/>
  <c r="M38" i="14" s="1"/>
  <c r="J39" i="14"/>
  <c r="M39" i="14" s="1"/>
  <c r="J40" i="14"/>
  <c r="M40" i="14" s="1"/>
  <c r="J41" i="14"/>
  <c r="M41" i="14" s="1"/>
  <c r="J42" i="14"/>
  <c r="M42" i="14" s="1"/>
  <c r="J43" i="14"/>
  <c r="M43" i="14" s="1"/>
  <c r="J44" i="14"/>
  <c r="M44" i="14" s="1"/>
  <c r="J45" i="14"/>
  <c r="M45" i="14" s="1"/>
  <c r="J46" i="14"/>
  <c r="M46" i="14" s="1"/>
  <c r="J47" i="14"/>
  <c r="M47" i="14" s="1"/>
  <c r="J48" i="14"/>
  <c r="M48" i="14" s="1"/>
  <c r="J49" i="14"/>
  <c r="M49" i="14" s="1"/>
  <c r="J50" i="14"/>
  <c r="M50" i="14" s="1"/>
  <c r="J51" i="14"/>
  <c r="M51" i="14" s="1"/>
  <c r="J52" i="14"/>
  <c r="M52" i="14" s="1"/>
  <c r="J53" i="14"/>
  <c r="M53" i="14" s="1"/>
  <c r="J54" i="14"/>
  <c r="J55" i="14"/>
  <c r="J56" i="14"/>
  <c r="J57" i="14"/>
  <c r="J58" i="14"/>
  <c r="M58" i="14" s="1"/>
  <c r="J59" i="14"/>
  <c r="M59" i="14" s="1"/>
  <c r="J60" i="14"/>
  <c r="M60" i="14" s="1"/>
  <c r="J61" i="14"/>
  <c r="M61" i="14" s="1"/>
  <c r="J62" i="14"/>
  <c r="J63" i="14"/>
  <c r="M63" i="14" s="1"/>
  <c r="J64" i="14"/>
  <c r="M64" i="14" s="1"/>
  <c r="J65" i="14"/>
  <c r="M65" i="14" s="1"/>
  <c r="J66" i="14"/>
  <c r="M66" i="14" s="1"/>
  <c r="J67" i="14"/>
  <c r="M67" i="14" s="1"/>
  <c r="J68" i="14"/>
  <c r="M68" i="14" s="1"/>
  <c r="J69" i="14"/>
  <c r="J70" i="14"/>
  <c r="M70" i="14" s="1"/>
  <c r="J71" i="14"/>
  <c r="M71" i="14" s="1"/>
  <c r="J72" i="14"/>
  <c r="M72" i="14" s="1"/>
  <c r="J73" i="14"/>
  <c r="M73" i="14" s="1"/>
  <c r="J74" i="14"/>
  <c r="M74" i="14" s="1"/>
  <c r="J75" i="14"/>
  <c r="M75" i="14" s="1"/>
  <c r="K7" i="14"/>
  <c r="K6" i="14"/>
  <c r="J7" i="14"/>
  <c r="M7" i="14" s="1"/>
  <c r="J6" i="14"/>
  <c r="O21" i="14"/>
  <c r="O23" i="14"/>
  <c r="O28" i="14"/>
  <c r="O29" i="14"/>
  <c r="O30" i="14"/>
  <c r="O31" i="14"/>
  <c r="O32" i="14"/>
  <c r="O33" i="14"/>
  <c r="O34" i="14"/>
  <c r="O35" i="14"/>
  <c r="O36" i="14"/>
  <c r="O37" i="14"/>
  <c r="O38" i="14"/>
  <c r="O39" i="14"/>
  <c r="O40" i="14"/>
  <c r="O41" i="14"/>
  <c r="O42" i="14"/>
  <c r="O43" i="14"/>
  <c r="O44" i="14"/>
  <c r="O45" i="14"/>
  <c r="O46" i="14"/>
  <c r="O47" i="14"/>
  <c r="O48" i="14"/>
  <c r="O49" i="14"/>
  <c r="O50" i="14"/>
  <c r="O51" i="14"/>
  <c r="O52" i="14"/>
  <c r="O53" i="14"/>
  <c r="O54" i="14"/>
  <c r="O55" i="14"/>
  <c r="O56" i="14"/>
  <c r="O57" i="14"/>
  <c r="O58" i="14"/>
  <c r="O59" i="14"/>
  <c r="O60" i="14"/>
  <c r="O61" i="14"/>
  <c r="O62" i="14"/>
  <c r="O63" i="14"/>
  <c r="O64" i="14"/>
  <c r="O65" i="14"/>
  <c r="O66" i="14"/>
  <c r="O67" i="14"/>
  <c r="O68" i="14"/>
  <c r="O69" i="14"/>
  <c r="O70" i="14"/>
  <c r="O71" i="14"/>
  <c r="O72" i="14"/>
  <c r="O73" i="14"/>
  <c r="O74" i="14"/>
  <c r="O75" i="14"/>
  <c r="N2" i="16" a="1"/>
  <c r="N2" i="16" s="1"/>
  <c r="M2" i="16" a="1"/>
  <c r="M2" i="16" s="1"/>
  <c r="E22" i="15"/>
  <c r="E17" i="15"/>
  <c r="E15" i="15"/>
  <c r="E13" i="15"/>
  <c r="J6" i="30" s="1"/>
  <c r="E90" i="15"/>
  <c r="E80" i="15"/>
  <c r="E38" i="15"/>
  <c r="E37" i="15"/>
  <c r="E16" i="15"/>
  <c r="E14" i="15"/>
  <c r="E21" i="15"/>
  <c r="E20" i="15"/>
  <c r="E19" i="15"/>
  <c r="E12" i="15"/>
  <c r="E11" i="15"/>
  <c r="L6" i="30" l="1"/>
  <c r="N6" i="30"/>
  <c r="M6" i="30"/>
  <c r="AF18" i="32" s="1"/>
  <c r="L31" i="14"/>
  <c r="M31" i="14"/>
  <c r="L69" i="14"/>
  <c r="M69" i="14"/>
  <c r="L6" i="14"/>
  <c r="M6" i="14"/>
  <c r="N20" i="14"/>
  <c r="M20" i="14"/>
  <c r="L54" i="14"/>
  <c r="M54" i="14"/>
  <c r="L55" i="14"/>
  <c r="M55" i="14"/>
  <c r="L62" i="14"/>
  <c r="M62" i="14"/>
  <c r="L57" i="14"/>
  <c r="M57" i="14"/>
  <c r="L56" i="14"/>
  <c r="M56" i="14"/>
  <c r="P44" i="14"/>
  <c r="P68" i="14"/>
  <c r="N58" i="14"/>
  <c r="L58" i="14"/>
  <c r="N34" i="14"/>
  <c r="L34" i="14"/>
  <c r="N10" i="14"/>
  <c r="L10" i="14"/>
  <c r="N30" i="14"/>
  <c r="L30" i="14"/>
  <c r="N51" i="14"/>
  <c r="L51" i="14"/>
  <c r="N25" i="14"/>
  <c r="L25" i="14"/>
  <c r="N52" i="14"/>
  <c r="L52" i="14"/>
  <c r="N27" i="14"/>
  <c r="L27" i="14"/>
  <c r="N26" i="14"/>
  <c r="L26" i="14"/>
  <c r="N49" i="14"/>
  <c r="L49" i="14"/>
  <c r="N53" i="14"/>
  <c r="L53" i="14"/>
  <c r="N50" i="14"/>
  <c r="L50" i="14"/>
  <c r="N73" i="14"/>
  <c r="L73" i="14"/>
  <c r="N24" i="14"/>
  <c r="H16" i="10" s="1"/>
  <c r="L24" i="14"/>
  <c r="F16" i="10" s="1"/>
  <c r="N7" i="14"/>
  <c r="L7" i="14"/>
  <c r="N28" i="14"/>
  <c r="L28" i="14"/>
  <c r="N72" i="14"/>
  <c r="L72" i="14"/>
  <c r="N47" i="14"/>
  <c r="L47" i="14"/>
  <c r="N70" i="14"/>
  <c r="L70" i="14"/>
  <c r="N46" i="14"/>
  <c r="L46" i="14"/>
  <c r="N22" i="14"/>
  <c r="L22" i="14"/>
  <c r="N74" i="14"/>
  <c r="L74" i="14"/>
  <c r="N48" i="14"/>
  <c r="L48" i="14"/>
  <c r="N71" i="14"/>
  <c r="L71" i="14"/>
  <c r="N23" i="14"/>
  <c r="L23" i="14"/>
  <c r="N45" i="14"/>
  <c r="L45" i="14"/>
  <c r="N21" i="14"/>
  <c r="H17" i="10" s="1"/>
  <c r="L21" i="14"/>
  <c r="F17" i="10" s="1"/>
  <c r="N59" i="14"/>
  <c r="L59" i="14"/>
  <c r="N32" i="14"/>
  <c r="L32" i="14"/>
  <c r="N68" i="14"/>
  <c r="L68" i="14"/>
  <c r="N44" i="14"/>
  <c r="L44" i="14"/>
  <c r="L20" i="14"/>
  <c r="N67" i="14"/>
  <c r="L67" i="14"/>
  <c r="N42" i="14"/>
  <c r="L42" i="14"/>
  <c r="N18" i="14"/>
  <c r="L18" i="14"/>
  <c r="N65" i="14"/>
  <c r="L65" i="14"/>
  <c r="N41" i="14"/>
  <c r="L41" i="14"/>
  <c r="N17" i="14"/>
  <c r="L17" i="14"/>
  <c r="N64" i="14"/>
  <c r="L64" i="14"/>
  <c r="N40" i="14"/>
  <c r="L40" i="14"/>
  <c r="N16" i="14"/>
  <c r="L16" i="14"/>
  <c r="N11" i="14"/>
  <c r="L11" i="14"/>
  <c r="N33" i="14"/>
  <c r="L33" i="14"/>
  <c r="N8" i="14"/>
  <c r="H14" i="10" s="1"/>
  <c r="L8" i="14"/>
  <c r="F14" i="10" s="1"/>
  <c r="N29" i="14"/>
  <c r="L29" i="14"/>
  <c r="F10" i="10" s="1"/>
  <c r="N39" i="14"/>
  <c r="L39" i="14"/>
  <c r="N35" i="14"/>
  <c r="L35" i="14"/>
  <c r="N9" i="14"/>
  <c r="L9" i="14"/>
  <c r="N75" i="14"/>
  <c r="L75" i="14"/>
  <c r="N19" i="14"/>
  <c r="L19" i="14"/>
  <c r="N14" i="14"/>
  <c r="L14" i="14"/>
  <c r="N43" i="14"/>
  <c r="L43" i="14"/>
  <c r="N66" i="14"/>
  <c r="L66" i="14"/>
  <c r="N63" i="14"/>
  <c r="L63" i="14"/>
  <c r="N13" i="14"/>
  <c r="L13" i="14"/>
  <c r="N15" i="14"/>
  <c r="L15" i="14"/>
  <c r="N38" i="14"/>
  <c r="L38" i="14"/>
  <c r="N61" i="14"/>
  <c r="L61" i="14"/>
  <c r="N37" i="14"/>
  <c r="L37" i="14"/>
  <c r="N60" i="14"/>
  <c r="L60" i="14"/>
  <c r="N36" i="14"/>
  <c r="L36" i="14"/>
  <c r="N12" i="14"/>
  <c r="L12" i="14"/>
  <c r="N6" i="14"/>
  <c r="P62" i="14"/>
  <c r="Q69" i="14"/>
  <c r="P41" i="14"/>
  <c r="Q46" i="14"/>
  <c r="P66" i="14"/>
  <c r="P57" i="14"/>
  <c r="P42" i="14"/>
  <c r="Q41" i="14"/>
  <c r="Q56" i="14"/>
  <c r="P39" i="14"/>
  <c r="P55" i="14"/>
  <c r="Q31" i="14"/>
  <c r="N62" i="14"/>
  <c r="P54" i="14"/>
  <c r="N54" i="14"/>
  <c r="Q49" i="14"/>
  <c r="P47" i="14"/>
  <c r="Q65" i="14"/>
  <c r="P48" i="14"/>
  <c r="P69" i="14"/>
  <c r="P65" i="14"/>
  <c r="Q64" i="14"/>
  <c r="P64" i="14"/>
  <c r="Q30" i="14"/>
  <c r="Q43" i="14"/>
  <c r="Q59" i="14"/>
  <c r="Q33" i="14"/>
  <c r="Q60" i="14"/>
  <c r="Q28" i="14"/>
  <c r="Q75" i="14"/>
  <c r="P58" i="14"/>
  <c r="Q34" i="14"/>
  <c r="Q73" i="14"/>
  <c r="Q72" i="14"/>
  <c r="Q48" i="14"/>
  <c r="P59" i="14"/>
  <c r="P32" i="14"/>
  <c r="P52" i="14"/>
  <c r="N69" i="14"/>
  <c r="P50" i="14"/>
  <c r="Q35" i="14"/>
  <c r="Q29" i="14"/>
  <c r="P35" i="14"/>
  <c r="Q37" i="14"/>
  <c r="P51" i="14"/>
  <c r="P74" i="14"/>
  <c r="P71" i="14"/>
  <c r="Q70" i="14"/>
  <c r="P46" i="14"/>
  <c r="N57" i="14"/>
  <c r="Q61" i="14"/>
  <c r="P40" i="14"/>
  <c r="P63" i="14"/>
  <c r="N56" i="14"/>
  <c r="P45" i="14"/>
  <c r="P67" i="14"/>
  <c r="P38" i="14"/>
  <c r="N55" i="14"/>
  <c r="N31" i="14"/>
  <c r="Q40" i="14"/>
  <c r="P70" i="14"/>
  <c r="Q45" i="14"/>
  <c r="Q71" i="14"/>
  <c r="Q57" i="14"/>
  <c r="P31" i="14"/>
  <c r="Q55" i="14"/>
  <c r="P23" i="14"/>
  <c r="Q21" i="14"/>
  <c r="Q47" i="14"/>
  <c r="P21" i="14"/>
  <c r="P72" i="14"/>
  <c r="Q53" i="14"/>
  <c r="P56" i="14"/>
  <c r="Q23" i="14"/>
  <c r="Q44" i="14"/>
  <c r="Q68" i="14"/>
  <c r="P33" i="14"/>
  <c r="Q67" i="14"/>
  <c r="P43" i="14"/>
  <c r="Q42" i="14"/>
  <c r="P60" i="14"/>
  <c r="Q36" i="14"/>
  <c r="Q32" i="14"/>
  <c r="Q66" i="14"/>
  <c r="Q58" i="14"/>
  <c r="P34" i="14"/>
  <c r="Q63" i="14"/>
  <c r="Q39" i="14"/>
  <c r="P20" i="14"/>
  <c r="P19" i="14"/>
  <c r="P18" i="14"/>
  <c r="Q20" i="14"/>
  <c r="Q19" i="14"/>
  <c r="P16" i="14"/>
  <c r="P15" i="14"/>
  <c r="Q18" i="14"/>
  <c r="P12" i="14"/>
  <c r="Q54" i="14"/>
  <c r="P53" i="14"/>
  <c r="P29" i="14"/>
  <c r="Q52" i="14"/>
  <c r="Q51" i="14"/>
  <c r="P75" i="14"/>
  <c r="Q62" i="14"/>
  <c r="P36" i="14"/>
  <c r="P30" i="14"/>
  <c r="P28" i="14"/>
  <c r="Q74" i="14"/>
  <c r="Q50" i="14"/>
  <c r="Q38" i="14"/>
  <c r="P73" i="14"/>
  <c r="P61" i="14"/>
  <c r="P49" i="14"/>
  <c r="P37" i="14"/>
  <c r="Z5" i="15"/>
  <c r="AA5" i="15" s="1"/>
  <c r="H13" i="10" l="1"/>
  <c r="L13" i="10" s="1"/>
  <c r="H12" i="10"/>
  <c r="F13" i="10"/>
  <c r="F12" i="10"/>
  <c r="L14" i="10"/>
  <c r="J14" i="10"/>
  <c r="F11" i="10"/>
  <c r="H11" i="10"/>
  <c r="L11" i="10" s="1"/>
  <c r="W18" i="32"/>
  <c r="AA18" i="32" s="1"/>
  <c r="AJ18" i="32"/>
  <c r="AH18" i="32"/>
  <c r="I15" i="10"/>
  <c r="K15" i="10" s="1"/>
  <c r="AG18" i="32"/>
  <c r="G15" i="10"/>
  <c r="AE18" i="32"/>
  <c r="X18" i="32"/>
  <c r="V18" i="32"/>
  <c r="H10" i="10"/>
  <c r="L10" i="10" s="1"/>
  <c r="F15" i="10"/>
  <c r="H15" i="10"/>
  <c r="L17" i="10"/>
  <c r="J17" i="10"/>
  <c r="L16" i="10"/>
  <c r="J16" i="10"/>
  <c r="O6" i="30"/>
  <c r="O6" i="14"/>
  <c r="P19" i="30"/>
  <c r="Q19" i="30"/>
  <c r="Q14" i="14"/>
  <c r="P13" i="14"/>
  <c r="P11" i="14"/>
  <c r="Q15" i="14"/>
  <c r="Q16" i="14"/>
  <c r="Q12" i="14"/>
  <c r="O2" i="16" a="1"/>
  <c r="O2" i="16" s="1"/>
  <c r="L2" i="16" a="1"/>
  <c r="L2" i="16" s="1"/>
  <c r="K2" i="16" a="1"/>
  <c r="K2" i="16" s="1"/>
  <c r="J2" i="16" a="1"/>
  <c r="J2" i="16" s="1"/>
  <c r="I2" i="16" a="1"/>
  <c r="I2" i="16" s="1"/>
  <c r="H2" i="16" a="1"/>
  <c r="H2" i="16" s="1"/>
  <c r="G2" i="16" a="1"/>
  <c r="G2" i="16" s="1"/>
  <c r="J13" i="10" l="1"/>
  <c r="L12" i="10"/>
  <c r="J12" i="10"/>
  <c r="M15" i="10"/>
  <c r="J11" i="10"/>
  <c r="Y18" i="32"/>
  <c r="AK18" i="32"/>
  <c r="AI18" i="32"/>
  <c r="AB18" i="32"/>
  <c r="Z18" i="32"/>
  <c r="J10" i="10"/>
  <c r="L15" i="10"/>
  <c r="J15" i="10"/>
  <c r="M10" i="10"/>
  <c r="K10" i="10"/>
  <c r="Q17" i="14"/>
  <c r="P17" i="14"/>
  <c r="P11" i="30"/>
  <c r="Q11" i="30"/>
  <c r="P14" i="30"/>
  <c r="Q14" i="30"/>
  <c r="P7" i="30"/>
  <c r="Q7" i="30"/>
  <c r="Q10" i="30"/>
  <c r="P10" i="30"/>
  <c r="Q21" i="30"/>
  <c r="P21" i="30"/>
  <c r="Q13" i="14"/>
  <c r="Q11" i="14"/>
  <c r="P14" i="14"/>
  <c r="Q6" i="30"/>
  <c r="P6" i="30"/>
  <c r="Q13" i="30"/>
  <c r="P13" i="30"/>
  <c r="F20" i="10"/>
  <c r="AM18" i="32" l="1"/>
  <c r="AL18" i="32"/>
  <c r="L75" i="10"/>
  <c r="K75" i="10"/>
  <c r="I19" i="10"/>
  <c r="K19" i="10" l="1"/>
  <c r="K20" i="10" s="1"/>
  <c r="M19" i="10"/>
  <c r="I20" i="10"/>
  <c r="M1" i="10"/>
  <c r="Q10" i="14" l="1"/>
  <c r="P10" i="14"/>
  <c r="P9" i="14"/>
  <c r="P6" i="14" l="1"/>
  <c r="Q8" i="14"/>
  <c r="P8" i="14"/>
  <c r="P7" i="14"/>
  <c r="Q9" i="14"/>
  <c r="Q6" i="14"/>
  <c r="Q7" i="14"/>
  <c r="O26" i="14"/>
  <c r="P26" i="14" s="1"/>
  <c r="G20" i="10"/>
  <c r="E29" i="10" s="1"/>
  <c r="O22" i="14"/>
  <c r="P22" i="14" s="1"/>
  <c r="O27" i="14"/>
  <c r="P27" i="14" s="1"/>
  <c r="O25" i="14"/>
  <c r="O24" i="14"/>
  <c r="P24" i="14" s="1"/>
  <c r="Q25" i="14" l="1"/>
  <c r="P25" i="14"/>
  <c r="K74" i="10" s="1"/>
  <c r="Q27" i="14"/>
  <c r="Q24" i="14"/>
  <c r="Q26" i="14"/>
  <c r="Q22" i="14"/>
  <c r="AD18" i="32" l="1"/>
  <c r="AC18" i="32"/>
  <c r="L74" i="10"/>
  <c r="H19" i="10"/>
  <c r="M20" i="10"/>
  <c r="L19" i="10" l="1"/>
  <c r="L20" i="10" s="1"/>
  <c r="J19" i="10"/>
  <c r="J20" i="10" s="1"/>
  <c r="L26" i="10"/>
  <c r="H20" i="10"/>
  <c r="E30" i="10" l="1"/>
  <c r="E31" i="10" l="1"/>
  <c r="E24" i="10"/>
  <c r="K26" i="10"/>
  <c r="E32" i="10"/>
  <c r="L28" i="10" l="1"/>
  <c r="K28" i="10" s="1"/>
  <c r="L27" i="10"/>
  <c r="E26" i="10"/>
  <c r="E2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Marve</author>
  </authors>
  <commentList>
    <comment ref="D18" authorId="0" shapeId="0" xr:uid="{21ED06BC-47EF-489A-A089-FCD6F774F9F0}">
      <text>
        <r>
          <rPr>
            <sz val="9"/>
            <color indexed="81"/>
            <rFont val="Tahoma"/>
            <family val="2"/>
          </rPr>
          <t>Stockholms stads övergripande reduktionmål till år 2030 är 50%
Standard reduktionsmål för projekt är 25% ifrån start till slut.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Robin Marve</author>
  </authors>
  <commentList>
    <comment ref="C4" authorId="0" shapeId="0" xr:uid="{106B396C-76EC-4739-9928-99C730C732AC}">
      <text>
        <r>
          <rPr>
            <sz val="9"/>
            <color indexed="81"/>
            <rFont val="Tahoma"/>
            <family val="2"/>
          </rPr>
          <t>Håll mus över respektive rubrik för mer information.
Vita celler är ämnade för editering medan färgade celler innehåller beräkningslogik och är låsta.
För in  klimatpåverkande material, mängd och enhet. Matcha sedan med Klimatmaterial för att sammanställa dess klimatpåverkan. 
Resultat av Start och Slut kalkyler presenteras på flik Sammanställning.</t>
        </r>
      </text>
    </comment>
    <comment ref="B5" authorId="0" shapeId="0" xr:uid="{FC81FEE6-C9DB-4370-BEED-740ED0293E6D}">
      <text>
        <r>
          <rPr>
            <sz val="9"/>
            <color indexed="81"/>
            <rFont val="Tahoma"/>
            <family val="2"/>
          </rPr>
          <t>Behövs fler än 250 rader kontakta Stockholm stad.</t>
        </r>
      </text>
    </comment>
    <comment ref="C5" authorId="0" shapeId="0" xr:uid="{EE791A7C-EEB5-41B0-8480-B937FF816E29}">
      <text>
        <r>
          <rPr>
            <sz val="9"/>
            <color indexed="81"/>
            <rFont val="Tahoma"/>
            <family val="2"/>
          </rPr>
          <t>Ange relevant teknikområde.</t>
        </r>
      </text>
    </comment>
    <comment ref="D5" authorId="0" shapeId="0" xr:uid="{D57A8D17-27B2-4BED-8FF4-96AD54782A46}">
      <text>
        <r>
          <rPr>
            <sz val="9"/>
            <color indexed="81"/>
            <rFont val="Tahoma"/>
            <family val="2"/>
          </rPr>
          <t>Ange AMA-kod för materialet om relevant, annars lämna blank.</t>
        </r>
      </text>
    </comment>
    <comment ref="E5" authorId="0" shapeId="0" xr:uid="{F390528E-4E36-4DF6-9CEE-947A3E4EC92A}">
      <text>
        <r>
          <rPr>
            <sz val="9"/>
            <color indexed="81"/>
            <rFont val="Tahoma"/>
            <family val="2"/>
          </rPr>
          <t>Ange material som fritext eller AMA-beskrivning om relevant.</t>
        </r>
      </text>
    </comment>
    <comment ref="F5" authorId="0" shapeId="0" xr:uid="{CACB50D8-E7B2-49BE-99C4-CE54FF443578}">
      <text>
        <r>
          <rPr>
            <sz val="9"/>
            <color indexed="81"/>
            <rFont val="Tahoma"/>
            <family val="2"/>
          </rPr>
          <t>Ange mängd material.
Om använder beräkning för omvandling mellan enheter, kommera gärna i kommentarskolumnen.</t>
        </r>
      </text>
    </comment>
    <comment ref="G5" authorId="0" shapeId="0" xr:uid="{1CF6EC69-AF39-485B-99CB-41D24E5A234A}">
      <text>
        <r>
          <rPr>
            <sz val="9"/>
            <color indexed="81"/>
            <rFont val="Tahoma"/>
            <family val="2"/>
          </rPr>
          <t xml:space="preserve">Ange enhet av mängd material.
Enhet behöver vara viktenhet [kg/ton] eller enhet tillgängligt för Klimatmaterialet. </t>
        </r>
      </text>
    </comment>
    <comment ref="H5" authorId="0" shapeId="0" xr:uid="{8ABB2C05-68D8-43D0-A3D0-74053C126C4D}">
      <text>
        <r>
          <rPr>
            <sz val="9"/>
            <color indexed="81"/>
            <rFont val="Tahoma"/>
            <family val="2"/>
          </rPr>
          <t>Material till grund för klimatkalkyl, inhämtas ifrån Materiallista. Matcha på bästa sätt med material. 
Börja skriva materialtyp för att filtrera listan.</t>
        </r>
      </text>
    </comment>
    <comment ref="J5" authorId="0" shapeId="0" xr:uid="{F3F3E666-0169-484E-8206-D32C6BC2322C}">
      <text>
        <r>
          <rPr>
            <sz val="9"/>
            <color indexed="81"/>
            <rFont val="Tahoma"/>
            <family val="2"/>
          </rPr>
          <t xml:space="preserve">Redovisar den faktor som används utifrån angiven enhet av material.
Om otillgänglig enhet angetts framgår </t>
        </r>
        <r>
          <rPr>
            <b/>
            <sz val="9"/>
            <color indexed="81"/>
            <rFont val="Tahoma"/>
            <family val="2"/>
          </rPr>
          <t>Enhetsfel</t>
        </r>
        <r>
          <rPr>
            <sz val="9"/>
            <color indexed="81"/>
            <rFont val="Tahoma"/>
            <family val="2"/>
          </rPr>
          <t xml:space="preserve"> och tillgängliga enheter i röd text.</t>
        </r>
      </text>
    </comment>
    <comment ref="K5" authorId="0" shapeId="0" xr:uid="{80496A7A-8044-4591-8305-52D047C4E208}">
      <text>
        <r>
          <rPr>
            <sz val="9"/>
            <color indexed="81"/>
            <rFont val="Tahoma"/>
            <family val="2"/>
          </rPr>
          <t>Redovisar faktorenhet utifrån enhet av material. Om otillgänglig enhet angetts framgår tillgängliga enheter i röd text.</t>
        </r>
      </text>
    </comment>
    <comment ref="N5" authorId="0" shapeId="0" xr:uid="{33D4DECF-423A-45DF-8EE3-22B4F81303DF}">
      <text>
        <r>
          <rPr>
            <sz val="9"/>
            <color indexed="81"/>
            <rFont val="Tahoma"/>
            <family val="2"/>
          </rPr>
          <t>Materialets klimatpåverkan för livscykelskeden A1-3 med 2025 års klimatdata.</t>
        </r>
      </text>
    </comment>
    <comment ref="O5" authorId="0" shapeId="0" xr:uid="{7A105D9D-F318-453E-9B31-5B0F86814173}">
      <text>
        <r>
          <rPr>
            <sz val="9"/>
            <color indexed="81"/>
            <rFont val="Tahoma"/>
            <family val="2"/>
          </rPr>
          <t>Redovisar schablon för materialets transportavstånd till byggplatsen. Ändra till mer rättvisande avstånd om känt.</t>
        </r>
      </text>
    </comment>
    <comment ref="P5" authorId="0" shapeId="0" xr:uid="{9BC6B6F0-E1F3-4CAD-B172-905A87C3DA55}">
      <text>
        <r>
          <rPr>
            <sz val="9"/>
            <color indexed="81"/>
            <rFont val="Tahoma"/>
            <family val="2"/>
          </rPr>
          <t>Redovisar materialets klimatpåverkan för lastbilstransport tilll byggplatsen med bränslemix 20% HVO och 80% diesel.</t>
        </r>
      </text>
    </comment>
    <comment ref="Q5" authorId="0" shapeId="0" xr:uid="{5511C342-E84C-48F3-ACB5-09A906AF7B2B}">
      <text>
        <r>
          <rPr>
            <sz val="9"/>
            <color indexed="81"/>
            <rFont val="Tahoma"/>
            <family val="2"/>
          </rPr>
          <t>Redovisar materialets klimatpåverkan för lastbilstransport tilll byggplatsen med bränslemix 100% HVO.</t>
        </r>
      </text>
    </comment>
    <comment ref="R5" authorId="0" shapeId="0" xr:uid="{E6B2B209-2EC7-48E8-A673-ED86B292113E}">
      <text>
        <r>
          <rPr>
            <sz val="9"/>
            <color indexed="81"/>
            <rFont val="Tahoma"/>
            <family val="2"/>
          </rPr>
          <t xml:space="preserve">Ange eventuell kommentar i fritext.
Om mängd omberäknats för enhet förtydliga gärna hur.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Robin Marve</author>
  </authors>
  <commentList>
    <comment ref="C4" authorId="0" shapeId="0" xr:uid="{44D095C2-3A02-4DFB-A705-70EBDF5512DA}">
      <text>
        <r>
          <rPr>
            <sz val="9"/>
            <color indexed="81"/>
            <rFont val="Tahoma"/>
            <family val="2"/>
          </rPr>
          <t>Håll mus över respektive rubrik för mer information.
Vita celler är ämnade för editering medan färgade celler innehåller beräkningslogik och är låsta.
För in  klimatpåverkande material, mängd och enhet. Matcha sedan med Klimatmaterial för att sammanställa dess klimatpåverkan. 
Resultat av Start och Slut kalkyler presenteras på flik Sammanställning.</t>
        </r>
      </text>
    </comment>
    <comment ref="B5" authorId="0" shapeId="0" xr:uid="{88AF2552-4CEB-4CC7-9378-2664DA4608E1}">
      <text>
        <r>
          <rPr>
            <sz val="9"/>
            <color indexed="81"/>
            <rFont val="Tahoma"/>
            <family val="2"/>
          </rPr>
          <t xml:space="preserve">Behövs fler än 250 rader kontakta Stockholm stad.
</t>
        </r>
      </text>
    </comment>
    <comment ref="C5" authorId="0" shapeId="0" xr:uid="{CBEE3313-0B49-4DF0-986F-8725EB8BBCA3}">
      <text>
        <r>
          <rPr>
            <sz val="9"/>
            <color indexed="81"/>
            <rFont val="Tahoma"/>
            <family val="2"/>
          </rPr>
          <t>Ange relevant teknikområde.</t>
        </r>
      </text>
    </comment>
    <comment ref="D5" authorId="0" shapeId="0" xr:uid="{3A5560F9-8621-4934-B098-0F156135C679}">
      <text>
        <r>
          <rPr>
            <sz val="9"/>
            <color indexed="81"/>
            <rFont val="Tahoma"/>
            <family val="2"/>
          </rPr>
          <t>Ange AMA-kod för materialet om relevant, annars lämna blank.</t>
        </r>
      </text>
    </comment>
    <comment ref="E5" authorId="0" shapeId="0" xr:uid="{8697C722-A24E-4D52-B4FB-95707D0202EB}">
      <text>
        <r>
          <rPr>
            <sz val="9"/>
            <color indexed="81"/>
            <rFont val="Tahoma"/>
            <family val="2"/>
          </rPr>
          <t>Ange material som fritext eller AMA-beskrivning om relevant.</t>
        </r>
      </text>
    </comment>
    <comment ref="F5" authorId="0" shapeId="0" xr:uid="{9474543C-4F44-4703-B832-62D173406F8B}">
      <text>
        <r>
          <rPr>
            <sz val="9"/>
            <color indexed="81"/>
            <rFont val="Tahoma"/>
            <family val="2"/>
          </rPr>
          <t>Ange mängd material.
Om använder beräkning för omvandling mellan enheter, kommera gärna i kommentarskolumnen.</t>
        </r>
      </text>
    </comment>
    <comment ref="G5" authorId="0" shapeId="0" xr:uid="{F705F998-C8FF-44C5-B305-A48446E56E28}">
      <text>
        <r>
          <rPr>
            <sz val="9"/>
            <color indexed="81"/>
            <rFont val="Tahoma"/>
            <family val="2"/>
          </rPr>
          <t xml:space="preserve">Ange enhet av mängd material.
Enhet behöver vara viktenhet [kg/ton] eller enhet tillgängligt för Klimatmaterialet. </t>
        </r>
      </text>
    </comment>
    <comment ref="H5" authorId="0" shapeId="0" xr:uid="{DECDFF89-3FF5-48BA-95F0-682DEB6974EA}">
      <text>
        <r>
          <rPr>
            <sz val="9"/>
            <color indexed="81"/>
            <rFont val="Tahoma"/>
            <family val="2"/>
          </rPr>
          <t>Material till grund för klimatkalkyl, inhämtas ifrån Materiallista. Matcha på bästa sätt med material. 
Börja skriva materialtyp för att filtrera listan.</t>
        </r>
      </text>
    </comment>
    <comment ref="J5" authorId="0" shapeId="0" xr:uid="{7DB27C04-7B57-4257-BAD5-ABF4C9DD513A}">
      <text>
        <r>
          <rPr>
            <sz val="9"/>
            <color indexed="81"/>
            <rFont val="Tahoma"/>
            <family val="2"/>
          </rPr>
          <t xml:space="preserve">Redovisar den faktor som används utifrån angiven enhet av material.
Om otillgänglig enhet angetts framgår </t>
        </r>
        <r>
          <rPr>
            <b/>
            <sz val="9"/>
            <color indexed="81"/>
            <rFont val="Tahoma"/>
            <family val="2"/>
          </rPr>
          <t>Enhetsfel</t>
        </r>
        <r>
          <rPr>
            <sz val="9"/>
            <color indexed="81"/>
            <rFont val="Tahoma"/>
            <family val="2"/>
          </rPr>
          <t xml:space="preserve"> och tillgängliga enheter i röd text.</t>
        </r>
      </text>
    </comment>
    <comment ref="K5" authorId="0" shapeId="0" xr:uid="{D8A19BEA-8762-4EBA-BFD4-49E8B5B4B3BD}">
      <text>
        <r>
          <rPr>
            <sz val="9"/>
            <color indexed="81"/>
            <rFont val="Tahoma"/>
            <family val="2"/>
          </rPr>
          <t>Redovisar faktorenhet utifrån enhet av material. Om otillgänglig enhet angetts framgår tillgängliga enheter i röd text.</t>
        </r>
      </text>
    </comment>
    <comment ref="N5" authorId="0" shapeId="0" xr:uid="{E327A11E-AED5-4BE1-AE62-9143B1310EEC}">
      <text>
        <r>
          <rPr>
            <sz val="9"/>
            <color indexed="81"/>
            <rFont val="Tahoma"/>
            <family val="2"/>
          </rPr>
          <t>Materialets klimatpåverkan för livscykelskeden A1-3 med 2025 års klimatdata.</t>
        </r>
      </text>
    </comment>
    <comment ref="O5" authorId="0" shapeId="0" xr:uid="{2EC91F2D-390F-4852-A7AC-651528FCF890}">
      <text>
        <r>
          <rPr>
            <sz val="9"/>
            <color indexed="81"/>
            <rFont val="Tahoma"/>
            <family val="2"/>
          </rPr>
          <t>Redovisar schablon för materialets transportavstånd till byggplatsen. Ändra till mer rättvisande avstånd om känt.</t>
        </r>
      </text>
    </comment>
    <comment ref="P5" authorId="0" shapeId="0" xr:uid="{0B140B03-C202-4B7B-BAB8-EB98ED4E9AC5}">
      <text>
        <r>
          <rPr>
            <sz val="9"/>
            <color indexed="81"/>
            <rFont val="Tahoma"/>
            <family val="2"/>
          </rPr>
          <t>Redovisar materialets klimatpåverkan för lastbilstransport tilll byggplatsen med bränslemix 20% HVO och 80% diesel.</t>
        </r>
      </text>
    </comment>
    <comment ref="Q5" authorId="0" shapeId="0" xr:uid="{27258C63-837E-4E4E-99A1-B5968AC4EBA8}">
      <text>
        <r>
          <rPr>
            <sz val="9"/>
            <color indexed="81"/>
            <rFont val="Tahoma"/>
            <family val="2"/>
          </rPr>
          <t>Redovisar materialets klimatpåverkan för lastbilstransport tilll byggplatsen med bränslemix 100% HVO.</t>
        </r>
      </text>
    </comment>
    <comment ref="R5" authorId="0" shapeId="0" xr:uid="{DDB1E570-F310-4F68-9DC4-8FFF631B2583}">
      <text>
        <r>
          <rPr>
            <sz val="9"/>
            <color indexed="81"/>
            <rFont val="Tahoma"/>
            <family val="2"/>
          </rPr>
          <t xml:space="preserve">Ange eventuell kommentar i fritext.
Om mängd omberäknats för enhet förtydliga gärna hur.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<sst xmlns="http://schemas.openxmlformats.org/spreadsheetml/2006/main" count="1225" uniqueCount="446">
  <si>
    <t>Enhet</t>
  </si>
  <si>
    <t>kg</t>
  </si>
  <si>
    <t>Betong</t>
  </si>
  <si>
    <t>m3</t>
  </si>
  <si>
    <t>KC-pelare</t>
  </si>
  <si>
    <t>ton</t>
  </si>
  <si>
    <t>Asfalt</t>
  </si>
  <si>
    <t>Övrigt</t>
  </si>
  <si>
    <t>Makadam 16/32</t>
  </si>
  <si>
    <t>Projektkostnad</t>
  </si>
  <si>
    <t>Skapad av</t>
  </si>
  <si>
    <t>kr</t>
  </si>
  <si>
    <r>
      <t>m</t>
    </r>
    <r>
      <rPr>
        <vertAlign val="superscript"/>
        <sz val="11"/>
        <color theme="1"/>
        <rFont val="Tenorite"/>
      </rPr>
      <t>2</t>
    </r>
  </si>
  <si>
    <t>#</t>
  </si>
  <si>
    <t>Materialtyp</t>
  </si>
  <si>
    <t>Materialnamn</t>
  </si>
  <si>
    <t>Notering</t>
  </si>
  <si>
    <t>Bitumen</t>
  </si>
  <si>
    <t>Bitumenmatta</t>
  </si>
  <si>
    <t>Prefabricerad armerat betongelement, övrigt</t>
  </si>
  <si>
    <t>Fibercementskiva</t>
  </si>
  <si>
    <t>Kalk</t>
  </si>
  <si>
    <t>Metall</t>
  </si>
  <si>
    <t>Aluminium</t>
  </si>
  <si>
    <t>Plast</t>
  </si>
  <si>
    <t>Polyamide, PA</t>
  </si>
  <si>
    <t>Polyeten, HDPE</t>
  </si>
  <si>
    <t>Polyeten, LDPE</t>
  </si>
  <si>
    <t>Polypropylen, PP</t>
  </si>
  <si>
    <t>PVC</t>
  </si>
  <si>
    <t>Glas, härdat</t>
  </si>
  <si>
    <t>Glasfiber för optokabel</t>
  </si>
  <si>
    <t>Anläggningssten</t>
  </si>
  <si>
    <t>Asfalt, generellt värde</t>
  </si>
  <si>
    <t>Ledning av plaströr, dränrör dim 200</t>
  </si>
  <si>
    <t>Ledning av plaströr, markavloppsrör dim 225</t>
  </si>
  <si>
    <t>Materialtyper</t>
  </si>
  <si>
    <t>Kommentar</t>
  </si>
  <si>
    <t>Omräkningsfaktorer</t>
  </si>
  <si>
    <t>Skeden</t>
  </si>
  <si>
    <t>Klimatpåverkan från material (A1-3)</t>
  </si>
  <si>
    <t>Totalt</t>
  </si>
  <si>
    <t>Boverket introduktion till livscykelanalys</t>
  </si>
  <si>
    <t>HS30 klimatberäkningar</t>
  </si>
  <si>
    <t>-</t>
  </si>
  <si>
    <t>Noteringar</t>
  </si>
  <si>
    <t>Versionshistorik</t>
  </si>
  <si>
    <t>v.</t>
  </si>
  <si>
    <t>202x-xx-xx</t>
  </si>
  <si>
    <t>v.1.0</t>
  </si>
  <si>
    <t>Sanering</t>
  </si>
  <si>
    <t>Groventreprenad</t>
  </si>
  <si>
    <t>Finentreprenad</t>
  </si>
  <si>
    <t>Projekt:</t>
  </si>
  <si>
    <t>Skede:</t>
  </si>
  <si>
    <t>Projektyta:</t>
  </si>
  <si>
    <t>Projektkostnad:</t>
  </si>
  <si>
    <t>Projektskede</t>
  </si>
  <si>
    <t>OBS!</t>
  </si>
  <si>
    <t>DENNA FLIK ANVÄNDS FÖR FORMLER, LOGIK OCH FUNKTIONER I FILEN. INGA ÄNDRINGAR BÖR BEHÖVAS GÖRAS PÅ DENNA FLIK.</t>
  </si>
  <si>
    <t>Granit, generellt värde</t>
  </si>
  <si>
    <t>Trafikverket Klimatkalkyl v.8 2015</t>
  </si>
  <si>
    <t>Trafikverket Klimatkalkyl v. 8 2020</t>
  </si>
  <si>
    <t>CO2data.fi Utsläppsdatabas för infrastrukturbyggande</t>
  </si>
  <si>
    <t>2022-01-01 Boverkets Klimatdatabas</t>
  </si>
  <si>
    <t>Boverkts klimatdatabas, prefabriderat armerat ebtongelement övrigt, version 02.06.000 Gällande version</t>
  </si>
  <si>
    <t>Produktnamn/ID 2019</t>
  </si>
  <si>
    <t>Betong, anläggning, generellt värde (C35/45)</t>
  </si>
  <si>
    <t>Stålplåt för tak och väggar, varmförzinkad, målad eller omålad eller på COR-TEN-yta</t>
  </si>
  <si>
    <t>Betong marksten</t>
  </si>
  <si>
    <t>Armering, stål, slakarmering (stång)</t>
  </si>
  <si>
    <t xml:space="preserve">	Stål, konstruktionsstål, generellt värde, varmförzinkat</t>
  </si>
  <si>
    <t>Cellplast, expanderad polystyren (EPS) och extruderad polystyren (XPS)</t>
  </si>
  <si>
    <t xml:space="preserve">	Geotextil</t>
  </si>
  <si>
    <t>Granit, generellt värde (Kina)</t>
  </si>
  <si>
    <t>Krossmaterial</t>
  </si>
  <si>
    <t>Lättklinker</t>
  </si>
  <si>
    <t>Cement, anläggningscement, CEM I</t>
  </si>
  <si>
    <t>Cement, bascement, CEM II</t>
  </si>
  <si>
    <t>Asfalt, halvvarm asfalt (MJAG &amp; MJOG)</t>
  </si>
  <si>
    <t>Trä, limträ</t>
  </si>
  <si>
    <t>Trä, hyvlat</t>
  </si>
  <si>
    <t>Betong, byggnad (C40/50)</t>
  </si>
  <si>
    <t>Asfalt, ABb PMB</t>
  </si>
  <si>
    <t>Asfalt, ABS</t>
  </si>
  <si>
    <t>Asfalt, ABS PMB</t>
  </si>
  <si>
    <t>Asfalt, ABT</t>
  </si>
  <si>
    <t>Asfalt, ABT PMB</t>
  </si>
  <si>
    <t>Asfalt, AG</t>
  </si>
  <si>
    <t>Asfalt, AG PMB</t>
  </si>
  <si>
    <t>Berg Fall A, Fyll (emissionsfaktor Massor)</t>
  </si>
  <si>
    <t>Berg Fall B, Fyll (emissionsfaktor Krossmaterial)</t>
  </si>
  <si>
    <t>Bergschakt Fall A (emissionsfaktorer Massor, Sprängämne)</t>
  </si>
  <si>
    <t>Bergschakt Fall B (emissionsfaktorer Massor, Sprängämne)</t>
  </si>
  <si>
    <t>Jord Fall A, Fyll (emissionsfaktor Massor)</t>
  </si>
  <si>
    <t>Jord Fall B, Fyll (emissionsfaktor Jord)</t>
  </si>
  <si>
    <t>Jordschakt Fall A (emissionsfaktor Massor)</t>
  </si>
  <si>
    <t>Jordschakt Fall B (emissionsfaktor Massor)</t>
  </si>
  <si>
    <t>Källa 2025</t>
  </si>
  <si>
    <t>Källa 2019</t>
  </si>
  <si>
    <t>Produktnamn/ID 2025</t>
  </si>
  <si>
    <t>m2</t>
  </si>
  <si>
    <t>Yta gata – hårdgjorda ytor</t>
  </si>
  <si>
    <t>Yta park – gräs, grus</t>
  </si>
  <si>
    <t>Yta natur</t>
  </si>
  <si>
    <r>
      <t>kg CO</t>
    </r>
    <r>
      <rPr>
        <vertAlign val="subscript"/>
        <sz val="11"/>
        <color theme="1"/>
        <rFont val="Tenorite"/>
      </rPr>
      <t>2</t>
    </r>
    <r>
      <rPr>
        <sz val="11"/>
        <color theme="1"/>
        <rFont val="Tenorite"/>
      </rPr>
      <t>e/m</t>
    </r>
    <r>
      <rPr>
        <vertAlign val="superscript"/>
        <sz val="11"/>
        <color theme="1"/>
        <rFont val="Tenorite"/>
      </rPr>
      <t>2</t>
    </r>
  </si>
  <si>
    <t>Minskning</t>
  </si>
  <si>
    <t>Gruppering</t>
  </si>
  <si>
    <t>Projektyta</t>
  </si>
  <si>
    <t>Mål</t>
  </si>
  <si>
    <t>kg/m2</t>
  </si>
  <si>
    <t>kg/m3</t>
  </si>
  <si>
    <t>Kalkyl</t>
  </si>
  <si>
    <r>
      <t>ton CO</t>
    </r>
    <r>
      <rPr>
        <vertAlign val="subscript"/>
        <sz val="11"/>
        <color theme="1"/>
        <rFont val="Tenorite"/>
      </rPr>
      <t>2</t>
    </r>
    <r>
      <rPr>
        <sz val="11"/>
        <color theme="1"/>
        <rFont val="Tenorite"/>
      </rPr>
      <t>e/Mkr</t>
    </r>
  </si>
  <si>
    <t>Armering, stål, spännarmering (tråd)</t>
  </si>
  <si>
    <t>Stål, konstruktionsstål, generellt värde, ej varmförzinkat</t>
  </si>
  <si>
    <t>Stål, rostfritt, generellt värde</t>
  </si>
  <si>
    <t>Koppartråd</t>
  </si>
  <si>
    <t>/kr</t>
  </si>
  <si>
    <r>
      <t>/m</t>
    </r>
    <r>
      <rPr>
        <vertAlign val="superscript"/>
        <sz val="11"/>
        <color theme="1"/>
        <rFont val="Tenorite"/>
      </rPr>
      <t>2</t>
    </r>
  </si>
  <si>
    <t>v.1.0b</t>
  </si>
  <si>
    <t>Instruktioner</t>
  </si>
  <si>
    <t>Projektskeden</t>
  </si>
  <si>
    <t>Systemhandling</t>
  </si>
  <si>
    <t>Bygghandling</t>
  </si>
  <si>
    <t>Produktion</t>
  </si>
  <si>
    <t>Relationshandling</t>
  </si>
  <si>
    <t>Granskad av</t>
  </si>
  <si>
    <t>Reduktionsmål</t>
  </si>
  <si>
    <t>Material A1-3</t>
  </si>
  <si>
    <t>Transport A4</t>
  </si>
  <si>
    <t>Asfalt, ABb</t>
  </si>
  <si>
    <t>Trafikverket klimatkalkyl v.8 2015 - post "Asfalt, Abb"</t>
  </si>
  <si>
    <t>Miljökrav för entreprenadens genomförande (MEG) v. 1.0, dat. 2025-01-01</t>
  </si>
  <si>
    <t xml:space="preserve">Trafikverket klimatkalkyl v.8 2015 - post "Asfalt, Abb PMB" </t>
  </si>
  <si>
    <t>Trafikverket klimatkalkyl v.8 2015 - post "Asfalt, ABS"</t>
  </si>
  <si>
    <t>Trafikverket klimatkalkyl v.8 2015 - post "Asfalt, ABS PMB"</t>
  </si>
  <si>
    <t>Cement/Betong platsgjuten</t>
  </si>
  <si>
    <t>Gemensamma miljökrav för entreprenader 2024 v.1.1, dat. 2024-05-01</t>
  </si>
  <si>
    <t>Betong platsgjuten, exponeringsklass XD1, XD2, XS2, XF2</t>
  </si>
  <si>
    <t>Betong, grundkonstruktioner (C30/37)</t>
  </si>
  <si>
    <t>Tegelsten, frostbeständigt, hårdbränd</t>
  </si>
  <si>
    <t>Boverkts klimatdatabas version 02.06.000 Gällande version</t>
  </si>
  <si>
    <t>Trafikverket Klimatkalkyl v. 8 2015</t>
  </si>
  <si>
    <t>Betong platsgjuten, exponeringsklass XD3, XS3, XF4</t>
  </si>
  <si>
    <t>kg/m</t>
  </si>
  <si>
    <t>Klimatkrav Stockholm stad 2025- :  0,038 kg CO2e/kg</t>
  </si>
  <si>
    <t xml:space="preserve">
Klimatkrav Stockholm stad 2025- :  0,034 kg CO2e/kg</t>
  </si>
  <si>
    <t xml:space="preserve">
Klimatkrav Stockholm stad 2025- :  0,029 kg CO2e/kg</t>
  </si>
  <si>
    <t>Klimatkrav Stockholm stad 2020-2024: 0,125 kg CO2e/kg samt miljövarudeklaration typ III (EPD)
Klimatkrav Stockholm stad 2025- :0,12  kg CO2e/kg samt miljövarudeklaration typ III (EPD)</t>
  </si>
  <si>
    <t>Klimatkrav Stockholm stad 2020-2024: 0,125 kg CO2e/kg
Klimatkrav Stockholm stad 2025- :0,11  kg CO2e/kg samt miljövarudeklaration typ III (EPD)</t>
  </si>
  <si>
    <t>Klimatkrav Stockholm stad 2025- :0,13  kg CO2e/kg samt miljövarudeklaration typ III (EPD)</t>
  </si>
  <si>
    <t>Klimatkrav Stockholm stad 2020-2024: 0,75 kg CO2e/kg samt miljövarudeklaration typ III (EPD)
Klimatkrav Stockholm stad 2025- :0,52 kg CO2e/kg samt miljövarudeklaration typ III (EPD)</t>
  </si>
  <si>
    <t>Klimatkrav Stockholm stad: Krav på miljövarudeklaration typ III (EPD)</t>
  </si>
  <si>
    <t>m</t>
  </si>
  <si>
    <t>Datum</t>
  </si>
  <si>
    <t>Projektnamn</t>
  </si>
  <si>
    <t>Typ av entreprenad</t>
  </si>
  <si>
    <t>Tidigt skede</t>
  </si>
  <si>
    <t>Annat</t>
  </si>
  <si>
    <t>Projektyta totalt</t>
  </si>
  <si>
    <t>Avstånd
km</t>
  </si>
  <si>
    <t xml:space="preserve">Utskriven </t>
  </si>
  <si>
    <t>Yta övrigt</t>
  </si>
  <si>
    <t>v.1.1</t>
  </si>
  <si>
    <t>Teknikområde</t>
  </si>
  <si>
    <t>Teknikområden</t>
  </si>
  <si>
    <t>Arkitektur</t>
  </si>
  <si>
    <t>El</t>
  </si>
  <si>
    <t>Energi &amp; klimat</t>
  </si>
  <si>
    <t>Fukt</t>
  </si>
  <si>
    <t>Konstruktion</t>
  </si>
  <si>
    <t>Mark, landskap</t>
  </si>
  <si>
    <t>Plan &amp; MKB</t>
  </si>
  <si>
    <t>VA</t>
  </si>
  <si>
    <t>VVS</t>
  </si>
  <si>
    <t>v.1.2</t>
  </si>
  <si>
    <t>Mindre justeringar och buggfix.</t>
  </si>
  <si>
    <t>Upprättande av klimatberäkningsverktyg med validerade material.</t>
  </si>
  <si>
    <t>Upprättande av klimatberäkningsverktyg med validerade material v. beta.</t>
  </si>
  <si>
    <t>Projektnummer Stockholms stad</t>
  </si>
  <si>
    <t>Klimatpåverkan från transport (A4)</t>
  </si>
  <si>
    <t>Transporttyp leg 1</t>
  </si>
  <si>
    <t>Transporttyp leg 2</t>
  </si>
  <si>
    <t>Transporttyp leg 3</t>
  </si>
  <si>
    <t>Transporttyp leg 4</t>
  </si>
  <si>
    <t>Sträcka leg 1, km</t>
  </si>
  <si>
    <t>Sträcka leg 2, km</t>
  </si>
  <si>
    <t>Sträcka leg 3, km</t>
  </si>
  <si>
    <t>Sträcka leg 4, km</t>
  </si>
  <si>
    <t>Bränsle leg 1 MJ/tonkm</t>
  </si>
  <si>
    <t>Bränsle leg 2 MJ/tonkm</t>
  </si>
  <si>
    <t>Bränsle leg 3 MJ/tonkm</t>
  </si>
  <si>
    <t>Bränsle leg 4 MJ/tonkm</t>
  </si>
  <si>
    <t>Källa A4</t>
  </si>
  <si>
    <t>Kommentar A4</t>
  </si>
  <si>
    <t>Källa</t>
  </si>
  <si>
    <t>Lastbil, regiontransport</t>
  </si>
  <si>
    <t>Trafikverket klimatkalkyl, 2025-12-09.</t>
  </si>
  <si>
    <t xml:space="preserve">Räknar med samma värde för samtliga asfaltstyper då Trafikverket endast anger ett värde. </t>
  </si>
  <si>
    <t>Boverket, Version 02.07.000, 2026-01-21</t>
  </si>
  <si>
    <t>Lastbil, landsvägstransport</t>
  </si>
  <si>
    <t>Lastbil, närdistribution</t>
  </si>
  <si>
    <t>Boverket, Cement, Version 02.07.000, 2026-01-21</t>
  </si>
  <si>
    <t>Trafikverket har ej transportsträckor för Cement. Räknar med Boverkets generiska transportsträckor för Cement typ CEM II</t>
  </si>
  <si>
    <t>Trafikverket Prefabricerad Betong, 2025-12-09</t>
  </si>
  <si>
    <t>Trafikverket, Platsgjuten betong, 2025-12-09</t>
  </si>
  <si>
    <t>Trafikverket, KC-pelare, v 8.0.</t>
  </si>
  <si>
    <t xml:space="preserve">Trafikverket delar upp transporten för kalk &amp; cement. Kalk transporteras 1000 km med landsvägsdistribution och cement 400 km. Eftersom innehållet är 50/50 räknas transporten som 0,5*1000+0,5*400=700 km. + 40 km närdistribution. </t>
  </si>
  <si>
    <t>Boverket, Fibercementskiva, Version 02.07.000, 2026-01-21</t>
  </si>
  <si>
    <t>Boverket, Fabriksbetong, Version 02.07.000, 2026-01-21</t>
  </si>
  <si>
    <t>Lastbil landsvägstransport</t>
  </si>
  <si>
    <t>Lastbil närdistribution, från byggvaruhandeln</t>
  </si>
  <si>
    <t>Trafikverket klimatkalkyl, Aluminium, 2024-01-25</t>
  </si>
  <si>
    <t>Trafikverket klimatkalkyl, Koppar, 2024-01-25</t>
  </si>
  <si>
    <t>Trafikverkets klimatkalkyl, Cellplast, 2024-01-25</t>
  </si>
  <si>
    <t>Trafikverkets klimatkalkyl, Geotextil, 2024-01-25</t>
  </si>
  <si>
    <t>Trafikverkets klimatkalkyl, Ledning av plaströr dränrör, v8.0</t>
  </si>
  <si>
    <t>Trafikverkets klimatkalkyl, Ledning av plaströr markavloppsrör, v8.0</t>
  </si>
  <si>
    <t>Trafikverkets klimatkalkyl, Polyamid PA, 2024-01-25</t>
  </si>
  <si>
    <t>Trafikverkets klimatkalkyl, Polyeten HDPE, 2024-01-25</t>
  </si>
  <si>
    <t>Trafikverkets klimatkalkyl, Polyeten LDPE, 2024-01-25</t>
  </si>
  <si>
    <t>Trafikverkets klimatkalkyl, Polypropylen PP, 2024-01-25</t>
  </si>
  <si>
    <t xml:space="preserve">PVC har ej någon transportsträcka angedd i Trafikverkets klimatkalkyl. Boverket har transport för takduk PVC, vilken överensstämmer med Trafikverkets transporter för övriga plasttyper. Räknar därför med samma värde. </t>
  </si>
  <si>
    <t>Trafikverket klimatkalkyl, Anläggningssten, 2024-04-26</t>
  </si>
  <si>
    <t>Dumper</t>
  </si>
  <si>
    <t>Trafikverket klimatkalkyl, Fall A-upplag, 2025-12-09</t>
  </si>
  <si>
    <t>För fall A sker transport inom projektområdet enligt info i Trafikverkets klimatkalkyl-verktyg.</t>
  </si>
  <si>
    <t>Lastbil, regionaltransport</t>
  </si>
  <si>
    <t>Trafikverket klimatkalkyl, Fall B-upplag, 2025-12-09</t>
  </si>
  <si>
    <t>EPD: S-P-04621
EPD: HUB-2126</t>
  </si>
  <si>
    <t>Klimatdata för granit kommer från CO2data.fi, vilka ej anger transporter. 
Information om transport tas ifrån EPD:er för svensk granit. Saknas information om generisk transportsträcka, men produktionsorter finns i Lysekil, Skåne och Öland. Från dessa platser är det ca 500-600 km till Stockholm. Antagande görs om att använda samma transportsätt som för marktegel (Boverket, Tegelsten, Version 02.07.000, 2026-01-21).</t>
  </si>
  <si>
    <t>Båt, högsjöfart</t>
  </si>
  <si>
    <t>EPD: S-P-13485</t>
  </si>
  <si>
    <t xml:space="preserve">Transport för granit från Kina finns ej tillgängligt i generiska databaser. Räknar med transporter från EPD som representerar granitprodukter från fabrik i Kina som fraktas till Sverige/Norge. Räknar med regionaltransport istället för landsvägstransport för att ta höjd då lastbilstyp ej angavs. </t>
  </si>
  <si>
    <t>Trafikverket, klimatkalkyl, 2024-01-25</t>
  </si>
  <si>
    <t xml:space="preserve">Finns ej transport för generellt krossmaterial, men samtligt krossmaterial i Trafikverkets databas har samma transportsträcka, därför används denna. </t>
  </si>
  <si>
    <t>Trafikverket klimatkalkyl, Lättklinker, 2024-01-25</t>
  </si>
  <si>
    <t>Trafikverket, klimatkalkyl, Makadam, 2024-01-25</t>
  </si>
  <si>
    <t>Trafikverket, klimatkalkyl, Grus, 2024-01-25</t>
  </si>
  <si>
    <t xml:space="preserve">Grus har transport 30 km enligt Trafikverket. Sand &amp; Singel finns ej med. Räknar med samma för alla tre. </t>
  </si>
  <si>
    <t>Boverket, Hyvlat virke, version 02.07.000, 2026-01-21</t>
  </si>
  <si>
    <t>Trafikverket har ej transportsträckor för Trä. Räknar med Boverkets generiska transportsträckor för Hyvlat virke, u 16%, barrträ</t>
  </si>
  <si>
    <t>Boverket, Limträ, version 02.07.000, 2026-01-21</t>
  </si>
  <si>
    <t>Trafikverket har ej transportsträckor för Trä. Räknar med Boverkets generiska transportsträckor för Limträ, u 12%, gran</t>
  </si>
  <si>
    <t>Trafikverket klimatkalkyl, Kalk, 2024-01-25</t>
  </si>
  <si>
    <t>Trafikverket klimatkalkyl, Glas härdat, 2024-01-25</t>
  </si>
  <si>
    <t>Trafikverket klimatkalkyl, Glasfiber Optokabel, 2024-01-25</t>
  </si>
  <si>
    <t>Boverket, Tegelsten, Version 02.07.000, 2026-01-21</t>
  </si>
  <si>
    <t>2019: 20% HVO</t>
  </si>
  <si>
    <t>2025: 100% HVO</t>
  </si>
  <si>
    <t>Projektinformation</t>
  </si>
  <si>
    <t>KEX - Sammanställning</t>
  </si>
  <si>
    <t>KEX - Materiallista</t>
  </si>
  <si>
    <t>Boverket, Konstruktionsstål, Version 02.07.000, 2026-01-21</t>
  </si>
  <si>
    <t>Beräknas med Boverkets generiska transporter för att avgränsa bort transportavstånd med järnväg, utifrån dialog med Stockholm Stad</t>
  </si>
  <si>
    <t>AMA-kod</t>
  </si>
  <si>
    <t>Mängd</t>
  </si>
  <si>
    <t>Fyll</t>
  </si>
  <si>
    <t>Schakt</t>
  </si>
  <si>
    <t>Teknisk massa</t>
  </si>
  <si>
    <t>Asfalt: Asfalt, generellt värde</t>
  </si>
  <si>
    <t>Asfalt: Asfalt, halvvarm asfalt</t>
  </si>
  <si>
    <t>Asfalt: Bitumen</t>
  </si>
  <si>
    <t>Asfalt: Bitumenmatta</t>
  </si>
  <si>
    <t>Asfalt: Bindlager, ABb 11, 30-45 mm</t>
  </si>
  <si>
    <t>Asfalt: Bindlager, ABb 16, 40-60 mm</t>
  </si>
  <si>
    <t>Asfalt: Bindlager, ABb 22, 55-80 mm</t>
  </si>
  <si>
    <t>Asfalt: Asfalt, ABb PMB, 50 mm</t>
  </si>
  <si>
    <t>Asfalt: Slitlager, ABS, 40 mm</t>
  </si>
  <si>
    <t>Asfalt: Asfalt, ABS PMB, 40 mm</t>
  </si>
  <si>
    <t>Asfalt: Slitlager, ABT, 40 mm</t>
  </si>
  <si>
    <t>Asfalt: Asfalt, ABT PMB, 40 mm</t>
  </si>
  <si>
    <t>Asfalt: Bärlager, AG 16, 40-60 mm</t>
  </si>
  <si>
    <t>Asfalt: Bärlager, AG 22, 60-80 mm</t>
  </si>
  <si>
    <t>Asfalt: Bärlager, AG 32, 80-120 mm</t>
  </si>
  <si>
    <t>Asfalt: Asfalt, AG PMB, 60 mm</t>
  </si>
  <si>
    <t>Betong: Cement (CEM I)</t>
  </si>
  <si>
    <t>Betong: Cement (CEM II)</t>
  </si>
  <si>
    <t>Betong: Prefabricerad armerat betongelement, övrigt</t>
  </si>
  <si>
    <t>Betong: Betongkantstöd</t>
  </si>
  <si>
    <t>Betong: Betong, anläggning, generellt värde (C35/45), exponeringsklass XD3, XS3, XF4</t>
  </si>
  <si>
    <t>Betong: KC-pelare</t>
  </si>
  <si>
    <t>Betong: Fibercementskiva</t>
  </si>
  <si>
    <t>Betong: Markplattor, betong, 0-50 mm</t>
  </si>
  <si>
    <t>Betong: Markplattor, betong, 50-100 mm</t>
  </si>
  <si>
    <t>Betong: Betong anläggning (C30/37), exponeringsklass XC1</t>
  </si>
  <si>
    <t>Betong: Betong, anläggning (C32/40) exponeringsklass XD2, XS2, XF2</t>
  </si>
  <si>
    <t>Betong: Betong, byggnad (C40/50) exponeringsklass XD3</t>
  </si>
  <si>
    <t>Metall: Stål, varmförzinkat, generellt värde</t>
  </si>
  <si>
    <t>Metall: Stolpe vägmärke 3m, 60mm</t>
  </si>
  <si>
    <t>Metall: Standardvägmärke, normalstorlek</t>
  </si>
  <si>
    <t>Metall: Stål, konstruktionsstål, generellt värde, ej varmförzinkat</t>
  </si>
  <si>
    <t>Metall: Stål, rostfritt, generellt värde</t>
  </si>
  <si>
    <t>Metall: Aluminium</t>
  </si>
  <si>
    <t>Metall: Stål, armeringsstänger, slakarmering</t>
  </si>
  <si>
    <t>Metall: Stål, armeringstråd, spännarmering</t>
  </si>
  <si>
    <t>Metall: Stål, rosttrögt stål/cortenstål</t>
  </si>
  <si>
    <t>Metall: Koppartråd</t>
  </si>
  <si>
    <t>Plast: Cellplast, expanderad polystyren (lättfyllnadsmaterial)</t>
  </si>
  <si>
    <t>Plast: Geotextil, PP textil</t>
  </si>
  <si>
    <t>Plast: Ledning av plaströr, dränrör dim 200</t>
  </si>
  <si>
    <t>Plast: Ledning av plaströr, dränrör dim 110</t>
  </si>
  <si>
    <t>Plast: Ledning av plaströr, dim 225</t>
  </si>
  <si>
    <t>Plast: Polyamide, PA</t>
  </si>
  <si>
    <t>Plast: Polyeten, HDPE</t>
  </si>
  <si>
    <t>Plast: Polyeten, LDPE</t>
  </si>
  <si>
    <t>Plast: Polypropylen, PP</t>
  </si>
  <si>
    <t>Plast: PVC</t>
  </si>
  <si>
    <t>Anläggningssten: Anläggningssten, generellt värde</t>
  </si>
  <si>
    <t>Anläggningssten: Smågatsten</t>
  </si>
  <si>
    <t>Anläggningssten: Storgatsten</t>
  </si>
  <si>
    <t>Anläggningssten: Naturstensplattor, 70 mm</t>
  </si>
  <si>
    <t>Schakt: Jordschakt Fall A</t>
  </si>
  <si>
    <t>Schakt: Jordschakt Fall B</t>
  </si>
  <si>
    <t>Schakt: Bergschakt fall A</t>
  </si>
  <si>
    <t>Schakt: Bergschakt fall B</t>
  </si>
  <si>
    <t>Fyll: Jord Fall A, fyll</t>
  </si>
  <si>
    <t>Fyll: Jord Fall B, fyll</t>
  </si>
  <si>
    <t>Fyll: Berg Fall A, fyll</t>
  </si>
  <si>
    <t>Fyll: Berg Fall B, fyll</t>
  </si>
  <si>
    <t>Teknisk massa: Krossmaterial, generellt värde</t>
  </si>
  <si>
    <t>Teknisk massa: Bärlager, 80 mm</t>
  </si>
  <si>
    <t>Teknisk massa: Förstärkningslager</t>
  </si>
  <si>
    <t>Teknisk massa: Lättklinker (lättfyllnadsmaterial)</t>
  </si>
  <si>
    <t>Teknisk massa: Makadam 16/32</t>
  </si>
  <si>
    <t>Teknisk massa: Sand/grus/singel m.m.</t>
  </si>
  <si>
    <t>Övrigt: Trä</t>
  </si>
  <si>
    <t>Övrigt: Limträ</t>
  </si>
  <si>
    <t>Övrigt: Kalk</t>
  </si>
  <si>
    <t>Övrigt: Glas, härdat</t>
  </si>
  <si>
    <t>Övrigt: Glasfiber för optokabel</t>
  </si>
  <si>
    <t>Övrigt: Marktegel, 70mm</t>
  </si>
  <si>
    <t>Faktorenhet</t>
  </si>
  <si>
    <t>Start</t>
  </si>
  <si>
    <t>Slut</t>
  </si>
  <si>
    <r>
      <t>A1-3
kg CO</t>
    </r>
    <r>
      <rPr>
        <b/>
        <vertAlign val="subscript"/>
        <sz val="11"/>
        <color theme="0"/>
        <rFont val="Tenorite"/>
      </rPr>
      <t>2</t>
    </r>
    <r>
      <rPr>
        <b/>
        <sz val="11"/>
        <color theme="0"/>
        <rFont val="Tenorite"/>
      </rPr>
      <t>e</t>
    </r>
  </si>
  <si>
    <r>
      <t>20% HVO
kg CO</t>
    </r>
    <r>
      <rPr>
        <b/>
        <vertAlign val="subscript"/>
        <sz val="11"/>
        <color theme="0"/>
        <rFont val="Tenorite"/>
      </rPr>
      <t>2</t>
    </r>
    <r>
      <rPr>
        <b/>
        <sz val="11"/>
        <color theme="0"/>
        <rFont val="Tenorite"/>
      </rPr>
      <t>e</t>
    </r>
  </si>
  <si>
    <r>
      <t>100% HVO
kg CO</t>
    </r>
    <r>
      <rPr>
        <b/>
        <vertAlign val="subscript"/>
        <sz val="11"/>
        <color theme="0"/>
        <rFont val="Tenorite"/>
      </rPr>
      <t>2</t>
    </r>
    <r>
      <rPr>
        <b/>
        <sz val="11"/>
        <color theme="0"/>
        <rFont val="Tenorite"/>
      </rPr>
      <t>e</t>
    </r>
  </si>
  <si>
    <t>Klimatmaterial</t>
  </si>
  <si>
    <t>Materialvikt</t>
  </si>
  <si>
    <t>100% HVO</t>
  </si>
  <si>
    <r>
      <t>2019
kg CO</t>
    </r>
    <r>
      <rPr>
        <b/>
        <vertAlign val="subscript"/>
        <sz val="11"/>
        <color rgb="FFFF0000"/>
        <rFont val="Tenorite"/>
      </rPr>
      <t>2</t>
    </r>
    <r>
      <rPr>
        <b/>
        <sz val="11"/>
        <color rgb="FFFF0000"/>
        <rFont val="Tenorite"/>
      </rPr>
      <t>e</t>
    </r>
  </si>
  <si>
    <t>Slutkalkyl</t>
  </si>
  <si>
    <t>2026-xx-xx</t>
  </si>
  <si>
    <t>Material</t>
  </si>
  <si>
    <t>Klimatpåverkan</t>
  </si>
  <si>
    <r>
      <t>ton CO</t>
    </r>
    <r>
      <rPr>
        <vertAlign val="subscript"/>
        <sz val="11"/>
        <color theme="1"/>
        <rFont val="Tenorite"/>
      </rPr>
      <t>2</t>
    </r>
    <r>
      <rPr>
        <sz val="11"/>
        <color theme="1"/>
        <rFont val="Tenorite"/>
      </rPr>
      <t>e</t>
    </r>
  </si>
  <si>
    <t>KEX - Projektinformation</t>
  </si>
  <si>
    <t>KEX - Startkalkyl</t>
  </si>
  <si>
    <t>KEX - Slutkalkyl</t>
  </si>
  <si>
    <t>Asfalt: Asfalt, ABb</t>
  </si>
  <si>
    <t>Asfalt: Asfalt, AG</t>
  </si>
  <si>
    <t>-----</t>
  </si>
  <si>
    <t>Startkalkyl</t>
  </si>
  <si>
    <r>
      <t>CO</t>
    </r>
    <r>
      <rPr>
        <b/>
        <vertAlign val="subscript"/>
        <sz val="11"/>
        <color theme="1"/>
        <rFont val="Tenorite"/>
      </rPr>
      <t>2</t>
    </r>
    <r>
      <rPr>
        <b/>
        <sz val="11"/>
        <color theme="1"/>
        <rFont val="Tenorite"/>
      </rPr>
      <t>e/m</t>
    </r>
    <r>
      <rPr>
        <b/>
        <vertAlign val="superscript"/>
        <sz val="11"/>
        <color theme="1"/>
        <rFont val="Tenorite"/>
      </rPr>
      <t>2</t>
    </r>
    <r>
      <rPr>
        <b/>
        <sz val="11"/>
        <color theme="1"/>
        <rFont val="Tenorite"/>
      </rPr>
      <t xml:space="preserve"> 
</t>
    </r>
    <r>
      <rPr>
        <sz val="11"/>
        <color theme="1"/>
        <rFont val="Tenorite"/>
      </rPr>
      <t>kg</t>
    </r>
  </si>
  <si>
    <r>
      <t>CO</t>
    </r>
    <r>
      <rPr>
        <b/>
        <vertAlign val="subscript"/>
        <sz val="11"/>
        <color theme="1"/>
        <rFont val="Tenorite"/>
      </rPr>
      <t>2</t>
    </r>
    <r>
      <rPr>
        <b/>
        <sz val="11"/>
        <color theme="1"/>
        <rFont val="Tenorite"/>
      </rPr>
      <t xml:space="preserve">e 
</t>
    </r>
    <r>
      <rPr>
        <sz val="11"/>
        <color theme="1"/>
        <rFont val="Tenorite"/>
      </rPr>
      <t>ton</t>
    </r>
  </si>
  <si>
    <r>
      <t xml:space="preserve">Material 
</t>
    </r>
    <r>
      <rPr>
        <sz val="11"/>
        <color theme="1"/>
        <rFont val="Tenorite"/>
      </rPr>
      <t>ton</t>
    </r>
  </si>
  <si>
    <r>
      <t>CO</t>
    </r>
    <r>
      <rPr>
        <b/>
        <vertAlign val="subscript"/>
        <sz val="11"/>
        <color theme="1"/>
        <rFont val="Tenorite"/>
      </rPr>
      <t>2</t>
    </r>
    <r>
      <rPr>
        <b/>
        <sz val="11"/>
        <color theme="1"/>
        <rFont val="Tenorite"/>
      </rPr>
      <t xml:space="preserve">e/Mkr
</t>
    </r>
    <r>
      <rPr>
        <sz val="11"/>
        <color theme="1"/>
        <rFont val="Tenorite"/>
      </rPr>
      <t>ton</t>
    </r>
  </si>
  <si>
    <t>reduktion slut vs. start</t>
  </si>
  <si>
    <t>Slut vs. start</t>
  </si>
  <si>
    <t>Länkar för mer information om livscykelanalys och klimatberäkningar:</t>
  </si>
  <si>
    <t>Om du vill tillföra eller ändra material i materiallistan, eller har frågor om verktyget, kontakta:</t>
  </si>
  <si>
    <t>KEX - Klimatberäkningsverktyget</t>
  </si>
  <si>
    <t>Exkluderat material</t>
  </si>
  <si>
    <t>Exkluderat</t>
  </si>
  <si>
    <r>
      <t>Mål kg CO</t>
    </r>
    <r>
      <rPr>
        <vertAlign val="subscript"/>
        <sz val="11"/>
        <color theme="1"/>
        <rFont val="Tenorite"/>
      </rPr>
      <t>2</t>
    </r>
    <r>
      <rPr>
        <sz val="11"/>
        <color theme="1"/>
        <rFont val="Tenorite"/>
      </rPr>
      <t>e/m</t>
    </r>
    <r>
      <rPr>
        <vertAlign val="superscript"/>
        <sz val="11"/>
        <color theme="1"/>
        <rFont val="Tenorite"/>
      </rPr>
      <t>2</t>
    </r>
  </si>
  <si>
    <r>
      <t>Gentemot mål, kg CO</t>
    </r>
    <r>
      <rPr>
        <vertAlign val="subscript"/>
        <sz val="11"/>
        <color theme="1"/>
        <rFont val="Tenorite"/>
      </rPr>
      <t>2</t>
    </r>
    <r>
      <rPr>
        <sz val="11"/>
        <color theme="1"/>
        <rFont val="Tenorite"/>
      </rPr>
      <t>e/m</t>
    </r>
    <r>
      <rPr>
        <vertAlign val="superscript"/>
        <sz val="11"/>
        <color theme="1"/>
        <rFont val="Tenorite"/>
      </rPr>
      <t>2</t>
    </r>
  </si>
  <si>
    <t>Gentemot mål, %</t>
  </si>
  <si>
    <t>20% HVO</t>
  </si>
  <si>
    <t xml:space="preserve">Material / produkt / AMA-beskrivning </t>
  </si>
  <si>
    <t xml:space="preserve">Denna flik har ingen koppling till verktygets funktion, beräkningar eller logik. </t>
  </si>
  <si>
    <t>Omräkningsfaktor</t>
  </si>
  <si>
    <t>Emissionsfaktor 2019
kg CO2e/kg</t>
  </si>
  <si>
    <t>Emissionsfaktor 2025
kg CO2e/kg</t>
  </si>
  <si>
    <t>Omräknings-faktor</t>
  </si>
  <si>
    <t>kg CO2e/MJ</t>
  </si>
  <si>
    <t>Emissionfaktorer bränsle A4 transporter</t>
  </si>
  <si>
    <t>Slut 
100% HVO 
ton CO2e</t>
  </si>
  <si>
    <t>Slut 
20% HVO 
ton CO2e</t>
  </si>
  <si>
    <t>Slut 
Ton CO2e/Mkr 
2025</t>
  </si>
  <si>
    <t>Slut 
Ton CO2e/Mkr 
2019</t>
  </si>
  <si>
    <t>Slut 
Kg CO2e/m2 
2025</t>
  </si>
  <si>
    <t>Slut 
Kg CO2e/m2 
2019</t>
  </si>
  <si>
    <t>Slut 
Ton CO2e 
2025</t>
  </si>
  <si>
    <t>Slut 
Ton CO2e 
2019</t>
  </si>
  <si>
    <t>Slut 
Ton Material</t>
  </si>
  <si>
    <t>Start 
100% HVO 
ton CO2e</t>
  </si>
  <si>
    <t>Start 
20% HVO 
ton CO2e</t>
  </si>
  <si>
    <t>Start
Ton CO2e/Mkr 
2025</t>
  </si>
  <si>
    <t>Start 
Ton CO2e/Mkr 
2019</t>
  </si>
  <si>
    <t>Start 
Kg CO2e/m2 
2025</t>
  </si>
  <si>
    <t>Start 
Kg CO2e/m2 
2019</t>
  </si>
  <si>
    <t>Start 
Ton CO2e 
2025</t>
  </si>
  <si>
    <t>Start 
Ton CO2e 
2019</t>
  </si>
  <si>
    <t>Start 
Ton Material</t>
  </si>
  <si>
    <t>Exportnotering</t>
  </si>
  <si>
    <t>Referens/version</t>
  </si>
  <si>
    <t>Exportdatum</t>
  </si>
  <si>
    <t>Vägledning export</t>
  </si>
  <si>
    <t>Exportinfo</t>
  </si>
  <si>
    <t>KEX - Exportfunktion KAN</t>
  </si>
  <si>
    <t>Komplettera eventuellt information ni vill inkludera med exporten under exportinfo till vänster.</t>
  </si>
  <si>
    <t>OBS! Det är viktigt att data klistran in som värden. Så inte formler och länkar till den enskilda KEX filen klistras in.</t>
  </si>
  <si>
    <t>Markera hela den blå rutan ifrån cell B18 till AM18 och kopiera.</t>
  </si>
  <si>
    <r>
      <t xml:space="preserve">Gå till analysverktyget KAN och klistra in data </t>
    </r>
    <r>
      <rPr>
        <u/>
        <sz val="11"/>
        <color theme="1"/>
        <rFont val="Calibri"/>
        <family val="2"/>
        <scheme val="minor"/>
      </rPr>
      <t>som värden</t>
    </r>
    <r>
      <rPr>
        <sz val="11"/>
        <color theme="1"/>
        <rFont val="Calibri"/>
        <family val="2"/>
        <scheme val="minor"/>
      </rPr>
      <t xml:space="preserve"> på ny rad i tabell på importflik.</t>
    </r>
  </si>
  <si>
    <t>Uppdatera analaysverktyget KAN så samtliga grafer, pivottabeller m.m. inkluderar den nya datan.</t>
  </si>
  <si>
    <t>Betong: Stödmur, 2m längd (höjd 0,6)</t>
  </si>
  <si>
    <t>Betong: Stödmur, 2m längd (höjd 1)</t>
  </si>
  <si>
    <t>Betong: Stödmur, 2m längd (höjd 1.4)</t>
  </si>
  <si>
    <t>Betong: Stödmur, 2m längd (höjd 1.8)</t>
  </si>
  <si>
    <t>Betong: Betongfundament belysning, Cetong XXX/900</t>
  </si>
  <si>
    <t>Betong: Betongfundament belysning, Cetong XXX/1300</t>
  </si>
  <si>
    <t>Betong: Betongfundament belysning, Cetong XXX/1500 (Linspänn)</t>
  </si>
  <si>
    <t>Omräkningsfaktor efterhållen ifrån staden</t>
  </si>
  <si>
    <t>Samma A4 som Stål, varmförzinkat, generellt värde</t>
  </si>
  <si>
    <t>Samma A4 som Prefabricerad armerat betongelement, övrigt</t>
  </si>
  <si>
    <t>Plast: Ledning av plaströr, dim 400</t>
  </si>
  <si>
    <t>Exkluderat material, förtydliga som kommentar</t>
  </si>
  <si>
    <t>Klimatkrav Stockholm stad 2025- :0,022 kg CO2e/kg</t>
  </si>
  <si>
    <t>Klimatkrav Stockholm stad 2025- :  0,026 kg CO2e/kg</t>
  </si>
  <si>
    <t>Klimatkrav Stockholm stad 2025- :  0,024 kg CO2e/kg</t>
  </si>
  <si>
    <t>Samma A4 som Krossmaterial, generellt värde</t>
  </si>
  <si>
    <t>v.1.3</t>
  </si>
  <si>
    <t>Funktion A4 transporter introduceras. Omarbetning och anpassning för AMA-material samt ändrad logik för start- och slutkalkyl. Mindre justeringar och buggfix.</t>
  </si>
  <si>
    <t>Transport 
km</t>
  </si>
  <si>
    <t>Bränsle 
MJ/ton, km</t>
  </si>
  <si>
    <t>Använd gärna denna flik och nedan formateringsmall om du har vill omvandla mängder mellan enheter för att matcha klimatmaterials tillgängliga enheter för att klistra in i kalkyl.</t>
  </si>
  <si>
    <t>UNDER UTVECKLING FÖR KOMMANDE KAN-ANALYSVERKTYG</t>
  </si>
  <si>
    <t>ÄNDRAS NÅGOT PÅ DENNA FLIK ÄR DET VIKTIGT ATT MAN SÄKERSTÄLLER ATT LOGIK OCH BERÄKNINGAR I VERKTYGET FORTSÄTTER FUNGERA SOM ÄMNAT.</t>
  </si>
  <si>
    <t>REKOMMENDATION ATT DENNA FLIK ÄR DOLD OCH LÅST FÖR ATT UNDVIKA EVENTUELLA MISSTAG.</t>
  </si>
  <si>
    <t>Flik kan lämpligen användas för att inkludera mängdförteckning eller annan indata som du vill spara tillsammans med klimatkalkylen.</t>
  </si>
  <si>
    <t>Här kan exempelvis egna anteckningar, beräkningar, underlag m.m. infogas och bearbetas.</t>
  </si>
  <si>
    <r>
      <rPr>
        <b/>
        <sz val="14"/>
        <color theme="1"/>
        <rFont val="Tenorite"/>
      </rPr>
      <t xml:space="preserve">Inledning </t>
    </r>
    <r>
      <rPr>
        <sz val="11"/>
        <color theme="1"/>
        <rFont val="Tenorite"/>
      </rPr>
      <t xml:space="preserve">
Detta klimatberäkningsverktyg används för att göra övergripande uppskattning av materials klimatpåverkan för anläggningsprojekt åt Stockholms stad. Verktyget bygger på LCA (livscykelanalys) metodik med generiska klimatdata ifrån Trafikverkets klimatkalkyl och Boverkets klimatdatabas. För vissa produktspecifika material används specificerad miljövarudeklaration (EPD). Källreferenser för respektive klimatdata redovisas. Verktyget omfattar livscykelskeden A1-4.</t>
    </r>
  </si>
  <si>
    <r>
      <rPr>
        <b/>
        <sz val="14"/>
        <color theme="1"/>
        <rFont val="Tenorite"/>
      </rPr>
      <t>Instruktioner</t>
    </r>
    <r>
      <rPr>
        <sz val="11"/>
        <color theme="1"/>
        <rFont val="Tenorite"/>
      </rPr>
      <t xml:space="preserve">
Vägledande genom verktyget är att vita celler än tänkta för ifyllande av användare medan färgade celler är nödvändiga för beräkningslogik och är låsta. 
Verktyget används genom att man på flik </t>
    </r>
    <r>
      <rPr>
        <b/>
        <sz val="11"/>
        <color theme="1"/>
        <rFont val="Tenorite"/>
      </rPr>
      <t>Försättsblad</t>
    </r>
    <r>
      <rPr>
        <sz val="11"/>
        <color theme="1"/>
        <rFont val="Tenorite"/>
      </rPr>
      <t xml:space="preserve"> anger övergripande projektinformation. Klimatpåverkande material sammanställer men i början av projektet på flik </t>
    </r>
    <r>
      <rPr>
        <b/>
        <sz val="11"/>
        <color theme="1"/>
        <rFont val="Tenorite"/>
      </rPr>
      <t>Kalkyl start</t>
    </r>
    <r>
      <rPr>
        <sz val="11"/>
        <color theme="1"/>
        <rFont val="Tenorite"/>
      </rPr>
      <t xml:space="preserve"> vilket blir som en baslinje. Under projektets gång arbetar man och optimerar för att minska klimatpåverkan och vid slut sammanställer man utfall på flik </t>
    </r>
    <r>
      <rPr>
        <b/>
        <sz val="11"/>
        <color theme="1"/>
        <rFont val="Tenorite"/>
      </rPr>
      <t>Kalkyl slut</t>
    </r>
    <r>
      <rPr>
        <sz val="11"/>
        <color theme="1"/>
        <rFont val="Tenorite"/>
      </rPr>
      <t xml:space="preserve">.
I klimatkalkylerna anger man materialtyp och mängd som man matchar med klimatpåverkande material som inhämtas ifrån </t>
    </r>
    <r>
      <rPr>
        <b/>
        <sz val="11"/>
        <color theme="1"/>
        <rFont val="Tenorite"/>
      </rPr>
      <t>Materiallista</t>
    </r>
    <r>
      <rPr>
        <sz val="11"/>
        <color theme="1"/>
        <rFont val="Tenorite"/>
      </rPr>
      <t xml:space="preserve">. Tillgänglig enhet för respektive material behöver anges. Samtliga material kan anges i viktenhet kg/ton medan längd/area/volym, m, m2, m3, varierar beroende på material. För vissa material kan verktyget inte omvandla enheten ur AMA till kg, då behöver man själv räkna om till en möjlig enhet. För transparens bör detta omräkningsunderlag sparas på fliken </t>
    </r>
    <r>
      <rPr>
        <b/>
        <sz val="11"/>
        <color theme="1"/>
        <rFont val="Tenorite"/>
      </rPr>
      <t>Enhetsomräkning</t>
    </r>
    <r>
      <rPr>
        <sz val="11"/>
        <color theme="1"/>
        <rFont val="Tenorite"/>
      </rPr>
      <t>. 
Klimatpåverkan redovisas som koldioxidekvivalenter, CO</t>
    </r>
    <r>
      <rPr>
        <vertAlign val="subscript"/>
        <sz val="11"/>
        <color theme="1"/>
        <rFont val="Tenorite"/>
      </rPr>
      <t>2</t>
    </r>
    <r>
      <rPr>
        <sz val="11"/>
        <color theme="1"/>
        <rFont val="Tenorite"/>
      </rPr>
      <t xml:space="preserve">e för livscykelskeden A1-3 samt A4. För livscykelskede A4, transport, presenteras schabloniserade avstånd. Om faktiska transportavstånd är kända bör avståndet justeras. Önskar man inkludera något material men exkludera dess klimatpåverkan kan man välja Exkluderat material ur listan. Anger man exkluderat material bör man även kommentera varför. Resultat av klimatkalkylen presenteras på flik </t>
    </r>
    <r>
      <rPr>
        <b/>
        <sz val="11"/>
        <color theme="1"/>
        <rFont val="Tenorite"/>
      </rPr>
      <t>Sammanställning</t>
    </r>
    <r>
      <rPr>
        <sz val="11"/>
        <color theme="1"/>
        <rFont val="Tenorite"/>
      </rPr>
      <t xml:space="preserve">.
Flik </t>
    </r>
    <r>
      <rPr>
        <b/>
        <sz val="11"/>
        <color theme="1"/>
        <rFont val="Tenorite"/>
      </rPr>
      <t>Materiallista</t>
    </r>
    <r>
      <rPr>
        <sz val="11"/>
        <color theme="1"/>
        <rFont val="Tenorite"/>
      </rPr>
      <t xml:space="preserve"> innehåller den databas som länkar in i klimatkalkylen. Denna är låst för ändringar. Önskar man inkludera material man bedömer saknas kan man kontakta Stockholm stad, se sedan.
Flik </t>
    </r>
    <r>
      <rPr>
        <b/>
        <sz val="11"/>
        <color theme="1"/>
        <rFont val="Tenorite"/>
      </rPr>
      <t>Anteckningar</t>
    </r>
    <r>
      <rPr>
        <sz val="11"/>
        <color theme="1"/>
        <rFont val="Tenorite"/>
      </rPr>
      <t xml:space="preserve"> har ingen koppling till verktygets funktion och är helt olåst. Här kan exempelvis egna anteckningar, beräkningar, underlag m.m. infogas och bearbetas.
</t>
    </r>
    <r>
      <rPr>
        <b/>
        <sz val="14"/>
        <color theme="1"/>
        <rFont val="Tenorite"/>
      </rPr>
      <t>Förtydliganden</t>
    </r>
    <r>
      <rPr>
        <sz val="11"/>
        <color theme="1"/>
        <rFont val="Tenorite"/>
      </rPr>
      <t xml:space="preserve">
KEX redovisar koldioxidutsläpp utgående från 2025 års klimatdata. 
Massahantering bedöms ur LCA-metodik inte ha någon klimatpåverkan för livscykelskeden A1-3. Dessa skeden omfattar råvaruutvinning, transport och tillverkning av material vilket inte omfattar massor redan på byggplatsen. Klimatpåverkan för massahantering upparbetas vid bygg- och installationsprocesser i skede A5, vilket detta verktyg inte omfattar.
</t>
    </r>
    <r>
      <rPr>
        <b/>
        <sz val="14"/>
        <color theme="1"/>
        <rFont val="Tenorite"/>
      </rPr>
      <t>Bakgrund</t>
    </r>
    <r>
      <rPr>
        <sz val="11"/>
        <color theme="1"/>
        <rFont val="Tenorite"/>
      </rPr>
      <t xml:space="preserve">
Stockholms stads första ansats till att beräkna klimatpåverkan från den bebyggda miljön genomfördes i uppföljningen av Hammarby Sjöstad. Exploateringskontoret, i samarbete med KTH, utvecklade verktyget Miljöbelastningsprofilen, som inkluderade klimatpåverkan som en av flera utsläppskategorier. Analysen visade att inbyggda material stod för en stor del av klimatpåverkan. Erfarenheterna inspirerade utvecklingen av Norra Djurgårdstaden, där staden vidareutvecklade ett enklare klimatberäkningsverktyg och använda emissionsfaktorer från Trafikverkets klimatkalkyl.</t>
    </r>
  </si>
  <si>
    <t>Anläggningssten: Granit, generellt värde</t>
  </si>
  <si>
    <t>Anläggningssten: Granitkantstöd, generellt värde</t>
  </si>
  <si>
    <t>Samma A1-3 som Granit, generellt värde</t>
  </si>
  <si>
    <t>Anläggningssten: Granit, generellt värde, tillverkad i Kina</t>
  </si>
  <si>
    <t>Samma A1-3 som Granit, generellt värde, tillverkad i Kina</t>
  </si>
  <si>
    <t>Samma A4 som Granit, generellt värde. 
Klimatdata för granit kommer från CO2data.fi, vilka ej anger transporter. 
Information om transport tas ifrån EPD:er för svensk granit. Saknas information om generisk transportsträcka, men produktionsorter finns i Lysekil, Skåne och Öland. Från dessa platser är det ca 500-600 km till Stockholm. Antagande görs om att använda samma transportsätt som för marktegel (Boverket, Tegelsten, Version 02.07.000, 2026-01-21).</t>
  </si>
  <si>
    <t xml:space="preserve">Samma A4 som Granit, generellt värde, tillverkad i Kina. 
Transport för granit från Kina finns ej tillgängligt i generiska databaser. Räknar med transporter från EPD som representerar granitprodukter från fabrik i Kina som fraktas till Sverige/Norge. Räknar med regionaltransport istället för landsvägstransport för att ta höjd då lastbilstyp ej angavs. </t>
  </si>
  <si>
    <t>Anläggningssten: Granitkantstöd, generellt värde, tillverkad i Kina</t>
  </si>
  <si>
    <t>kg/st</t>
  </si>
  <si>
    <t>st</t>
  </si>
  <si>
    <t>Miljö : Exploateringskontoret Stockholms stad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</si>
</sst>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 #,##0.00_-;_-* &quot;-&quot;??_-;_-@_-"/>
    <numFmt numFmtId="164" formatCode="_-* #,##0\ &quot;kr&quot;_-;\-* #,##0\ &quot;kr&quot;_-;_-* &quot;-&quot;??\ &quot;kr&quot;_-;_-@_-"/>
    <numFmt numFmtId="165" formatCode="0.0000"/>
    <numFmt numFmtId="166" formatCode="#,##0.0000"/>
    <numFmt numFmtId="167" formatCode="\+\ 0;\-\ 0;0"/>
    <numFmt numFmtId="168" formatCode="\+#,##0;\-\ #,##0;0"/>
    <numFmt numFmtId="169" formatCode="#,###&quot; m2&quot;"/>
    <numFmt numFmtId="170" formatCode="#,##0\ &quot;kr&quot;"/>
    <numFmt numFmtId="171" formatCode="#,##0.0"/>
  </numFmts>
  <fonts count="39" x14ac:knownFonts="1">
    <font>
      <sz val="11"/>
      <color theme="1"/>
      <name val="Calibri"/>
      <family val="2"/>
      <scheme val="minor"/>
    </font>
    <font>
      <sz val="18"/>
      <color theme="3"/>
      <name val="Calibri Light"/>
      <family val="2"/>
      <scheme val="major"/>
    </font>
    <font>
      <sz val="11"/>
      <color theme="1"/>
      <name val="Calibri"/>
      <family val="2"/>
      <scheme val="minor"/>
    </font>
    <font>
      <u/>
      <sz val="11"/>
      <color theme="10"/>
      <name val="Calibri"/>
      <family val="2"/>
      <scheme val="minor"/>
    </font>
    <font>
      <sz val="8"/>
      <name val="Calibri"/>
      <family val="2"/>
      <scheme val="minor"/>
    </font>
    <font>
      <sz val="10"/>
      <color theme="1"/>
      <name val="Tenorite"/>
    </font>
    <font>
      <sz val="11"/>
      <color theme="1"/>
      <name val="Tenorite"/>
    </font>
    <font>
      <b/>
      <sz val="11"/>
      <color theme="1"/>
      <name val="Tenorite"/>
    </font>
    <font>
      <b/>
      <sz val="10"/>
      <color theme="1"/>
      <name val="Tenorite"/>
    </font>
    <font>
      <i/>
      <sz val="9"/>
      <color theme="1"/>
      <name val="Tenorite"/>
    </font>
    <font>
      <vertAlign val="superscript"/>
      <sz val="11"/>
      <color theme="1"/>
      <name val="Tenorite"/>
    </font>
    <font>
      <sz val="11"/>
      <name val="Tenorite"/>
    </font>
    <font>
      <b/>
      <sz val="26"/>
      <name val="Tenorite"/>
    </font>
    <font>
      <sz val="18"/>
      <color theme="3"/>
      <name val="Tenorite"/>
    </font>
    <font>
      <sz val="10"/>
      <name val="Tenorite"/>
    </font>
    <font>
      <i/>
      <sz val="11"/>
      <color theme="3"/>
      <name val="Tenorite"/>
    </font>
    <font>
      <vertAlign val="subscript"/>
      <sz val="11"/>
      <color theme="1"/>
      <name val="Tenorite"/>
    </font>
    <font>
      <sz val="11"/>
      <color theme="0"/>
      <name val="Tenorite"/>
    </font>
    <font>
      <b/>
      <sz val="11"/>
      <color theme="0"/>
      <name val="Tenorite"/>
    </font>
    <font>
      <sz val="11"/>
      <color rgb="FF000000"/>
      <name val="Tenorite"/>
    </font>
    <font>
      <u/>
      <sz val="11"/>
      <color theme="10"/>
      <name val="Tenorite"/>
    </font>
    <font>
      <b/>
      <sz val="26"/>
      <color theme="1"/>
      <name val="Tenorite"/>
    </font>
    <font>
      <i/>
      <sz val="11"/>
      <color theme="1"/>
      <name val="Tenorite"/>
    </font>
    <font>
      <b/>
      <vertAlign val="subscript"/>
      <sz val="11"/>
      <color theme="0"/>
      <name val="Tenorite"/>
    </font>
    <font>
      <b/>
      <sz val="10"/>
      <color rgb="FFFF0000"/>
      <name val="Tenorite"/>
    </font>
    <font>
      <sz val="10"/>
      <color rgb="FFFF0000"/>
      <name val="Tenorite"/>
    </font>
    <font>
      <i/>
      <sz val="10"/>
      <color rgb="FFFF0000"/>
      <name val="Tenorite"/>
    </font>
    <font>
      <sz val="16"/>
      <color rgb="FFFF0000"/>
      <name val="Tenorite"/>
    </font>
    <font>
      <i/>
      <sz val="10"/>
      <name val="Tenorite"/>
    </font>
    <font>
      <sz val="9"/>
      <color indexed="81"/>
      <name val="Tahoma"/>
      <family val="2"/>
    </font>
    <font>
      <b/>
      <sz val="14"/>
      <color theme="1"/>
      <name val="Tenorite"/>
    </font>
    <font>
      <b/>
      <sz val="11"/>
      <color rgb="FFFF0000"/>
      <name val="Tenorite"/>
    </font>
    <font>
      <b/>
      <vertAlign val="subscript"/>
      <sz val="11"/>
      <color rgb="FFFF0000"/>
      <name val="Tenorite"/>
    </font>
    <font>
      <i/>
      <sz val="11"/>
      <color theme="0"/>
      <name val="Tenorite"/>
    </font>
    <font>
      <b/>
      <vertAlign val="subscript"/>
      <sz val="11"/>
      <color theme="1"/>
      <name val="Tenorite"/>
    </font>
    <font>
      <b/>
      <vertAlign val="superscript"/>
      <sz val="11"/>
      <color theme="1"/>
      <name val="Tenorite"/>
    </font>
    <font>
      <b/>
      <sz val="9"/>
      <color indexed="81"/>
      <name val="Tahoma"/>
      <family val="2"/>
    </font>
    <font>
      <u/>
      <sz val="11"/>
      <color theme="1"/>
      <name val="Calibri"/>
      <family val="2"/>
      <scheme val="minor"/>
    </font>
    <font>
      <b/>
      <sz val="14"/>
      <color theme="0"/>
      <name val="Tenorite"/>
    </font>
  </fonts>
  <fills count="13">
    <fill>
      <patternFill patternType="none"/>
    </fill>
    <fill>
      <patternFill patternType="gray125"/>
    </fill>
    <fill>
      <patternFill patternType="solid">
        <fgColor theme="0"/>
        <bgColor indexed="64"/>
      </patternFill>
    </fill>
    <fill>
      <patternFill patternType="solid">
        <fgColor rgb="FFF5F3EE"/>
        <bgColor indexed="64"/>
      </patternFill>
    </fill>
    <fill>
      <patternFill patternType="solid">
        <fgColor rgb="FFF4F3EF"/>
        <bgColor indexed="64"/>
      </patternFill>
    </fill>
    <fill>
      <patternFill patternType="solid">
        <fgColor rgb="FFFFFF00"/>
        <bgColor indexed="64"/>
      </patternFill>
    </fill>
    <fill>
      <patternFill patternType="solid">
        <fgColor rgb="FF76368C"/>
        <bgColor indexed="64"/>
      </patternFill>
    </fill>
    <fill>
      <patternFill patternType="solid">
        <fgColor rgb="FF007FC8"/>
        <bgColor indexed="64"/>
      </patternFill>
    </fill>
    <fill>
      <patternFill patternType="solid">
        <fgColor rgb="FFE9500E"/>
        <bgColor indexed="64"/>
      </patternFill>
    </fill>
    <fill>
      <patternFill patternType="solid">
        <fgColor rgb="FF888B8D"/>
        <bgColor indexed="64"/>
      </patternFill>
    </fill>
    <fill>
      <patternFill patternType="solid">
        <fgColor rgb="FF333333"/>
        <bgColor indexed="64"/>
      </patternFill>
    </fill>
    <fill>
      <patternFill patternType="solid">
        <fgColor theme="6" tint="0.79998168889431442"/>
        <bgColor theme="6" tint="0.79998168889431442"/>
      </patternFill>
    </fill>
    <fill>
      <patternFill patternType="solid">
        <fgColor theme="4"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left>
      <right style="thin">
        <color theme="6"/>
      </right>
      <top style="thin">
        <color theme="6"/>
      </top>
      <bottom style="thin">
        <color theme="6"/>
      </bottom>
      <diagonal/>
    </border>
    <border>
      <left/>
      <right style="thin">
        <color theme="6"/>
      </right>
      <top style="thin">
        <color theme="6"/>
      </top>
      <bottom style="thin">
        <color theme="6"/>
      </bottom>
      <diagonal/>
    </border>
    <border>
      <left/>
      <right style="thin">
        <color theme="6"/>
      </right>
      <top/>
      <bottom style="medium">
        <color theme="6"/>
      </bottom>
      <diagonal/>
    </border>
    <border>
      <left style="thin">
        <color theme="6"/>
      </left>
      <right style="thin">
        <color theme="6"/>
      </right>
      <top/>
      <bottom style="medium">
        <color theme="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6"/>
      </left>
      <right style="thin">
        <color theme="6"/>
      </right>
      <top/>
      <bottom/>
      <diagonal/>
    </border>
    <border>
      <left/>
      <right style="thin">
        <color indexed="64"/>
      </right>
      <top/>
      <bottom/>
      <diagonal/>
    </border>
    <border>
      <left/>
      <right style="thin">
        <color indexed="64"/>
      </right>
      <top style="thin">
        <color indexed="64"/>
      </top>
      <bottom/>
      <diagonal/>
    </border>
    <border>
      <left style="thin">
        <color theme="6"/>
      </left>
      <right style="thin">
        <color indexed="64"/>
      </right>
      <top style="thin">
        <color theme="6" tint="0.39997558519241921"/>
      </top>
      <bottom style="medium">
        <color theme="6"/>
      </bottom>
      <diagonal/>
    </border>
    <border>
      <left style="thin">
        <color theme="6"/>
      </left>
      <right style="double">
        <color indexed="64"/>
      </right>
      <top/>
      <bottom/>
      <diagonal/>
    </border>
    <border>
      <left/>
      <right style="double">
        <color indexed="64"/>
      </right>
      <top/>
      <bottom/>
      <diagonal/>
    </border>
    <border>
      <left style="thin">
        <color theme="6"/>
      </left>
      <right style="double">
        <color indexed="64"/>
      </right>
      <top style="thin">
        <color theme="6"/>
      </top>
      <bottom style="thin">
        <color theme="6"/>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theme="6"/>
      </left>
      <right style="thin">
        <color theme="6"/>
      </right>
      <top style="thin">
        <color theme="6"/>
      </top>
      <bottom style="medium">
        <color theme="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cellStyleXfs>
  <cellXfs count="242">
    <xf numFmtId="0" fontId="0" fillId="0" borderId="0" xfId="0"/>
    <xf numFmtId="0" fontId="6" fillId="0" borderId="0" xfId="0" applyFont="1"/>
    <xf numFmtId="49" fontId="6" fillId="3" borderId="0" xfId="0" applyNumberFormat="1" applyFont="1" applyFill="1" applyAlignment="1">
      <alignment wrapText="1"/>
    </xf>
    <xf numFmtId="0" fontId="6" fillId="3" borderId="0" xfId="0" applyFont="1" applyFill="1"/>
    <xf numFmtId="49" fontId="6" fillId="3" borderId="0" xfId="0" applyNumberFormat="1" applyFont="1" applyFill="1" applyProtection="1">
      <protection locked="0"/>
    </xf>
    <xf numFmtId="0" fontId="11" fillId="2" borderId="0" xfId="0" applyFont="1" applyFill="1"/>
    <xf numFmtId="49" fontId="7" fillId="3" borderId="0" xfId="0" applyNumberFormat="1" applyFont="1" applyFill="1"/>
    <xf numFmtId="49" fontId="9" fillId="3" borderId="0" xfId="0" applyNumberFormat="1" applyFont="1" applyFill="1" applyAlignment="1">
      <alignment horizontal="left" wrapText="1"/>
    </xf>
    <xf numFmtId="49" fontId="6" fillId="3" borderId="0" xfId="0" applyNumberFormat="1" applyFont="1" applyFill="1" applyAlignment="1">
      <alignment horizontal="left" wrapText="1"/>
    </xf>
    <xf numFmtId="0" fontId="7" fillId="3" borderId="0" xfId="0" applyFont="1" applyFill="1" applyAlignment="1">
      <alignment wrapText="1"/>
    </xf>
    <xf numFmtId="0" fontId="6" fillId="3" borderId="0" xfId="0" applyFont="1" applyFill="1" applyAlignment="1">
      <alignment horizontal="left" wrapText="1"/>
    </xf>
    <xf numFmtId="0" fontId="7" fillId="3" borderId="3" xfId="0" applyFont="1" applyFill="1" applyBorder="1" applyAlignment="1">
      <alignment wrapText="1"/>
    </xf>
    <xf numFmtId="0" fontId="6" fillId="3" borderId="0" xfId="0" applyFont="1" applyFill="1" applyAlignment="1">
      <alignment wrapText="1"/>
    </xf>
    <xf numFmtId="0" fontId="6" fillId="3" borderId="3" xfId="0" applyFont="1" applyFill="1" applyBorder="1" applyAlignment="1">
      <alignment horizontal="left" wrapText="1" indent="2"/>
    </xf>
    <xf numFmtId="0" fontId="6" fillId="0" borderId="0" xfId="0" applyFont="1" applyAlignment="1">
      <alignment wrapText="1"/>
    </xf>
    <xf numFmtId="0" fontId="6" fillId="0" borderId="0" xfId="0" applyFont="1" applyAlignment="1">
      <alignment horizontal="left"/>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5" fillId="0" borderId="0" xfId="0" applyFont="1"/>
    <xf numFmtId="0" fontId="13" fillId="0" borderId="0" xfId="1" applyFont="1" applyFill="1" applyBorder="1"/>
    <xf numFmtId="0" fontId="6" fillId="4" borderId="0" xfId="0" applyFont="1" applyFill="1"/>
    <xf numFmtId="0" fontId="6" fillId="2" borderId="0" xfId="0" applyFont="1" applyFill="1"/>
    <xf numFmtId="0" fontId="6" fillId="3" borderId="0" xfId="0" applyFont="1" applyFill="1" applyAlignment="1">
      <alignment horizontal="left"/>
    </xf>
    <xf numFmtId="0" fontId="7" fillId="3" borderId="0" xfId="0" applyFont="1" applyFill="1" applyAlignment="1">
      <alignment horizontal="center" wrapText="1"/>
    </xf>
    <xf numFmtId="3" fontId="6" fillId="3" borderId="0" xfId="0" applyNumberFormat="1" applyFont="1" applyFill="1"/>
    <xf numFmtId="0" fontId="7" fillId="3" borderId="2" xfId="0" applyFont="1" applyFill="1" applyBorder="1" applyAlignment="1">
      <alignment wrapText="1"/>
    </xf>
    <xf numFmtId="0" fontId="13" fillId="2" borderId="0" xfId="1" applyFont="1" applyFill="1" applyBorder="1"/>
    <xf numFmtId="49" fontId="15" fillId="2" borderId="0" xfId="1" applyNumberFormat="1" applyFont="1" applyFill="1" applyBorder="1"/>
    <xf numFmtId="0" fontId="8" fillId="0" borderId="0" xfId="0" applyFont="1" applyAlignment="1">
      <alignment horizontal="center" vertical="center" wrapText="1"/>
    </xf>
    <xf numFmtId="0" fontId="5" fillId="2" borderId="0" xfId="0" applyFont="1" applyFill="1"/>
    <xf numFmtId="0" fontId="7" fillId="3" borderId="0" xfId="0" applyFont="1" applyFill="1"/>
    <xf numFmtId="164" fontId="6" fillId="0" borderId="0" xfId="0" applyNumberFormat="1" applyFont="1"/>
    <xf numFmtId="3" fontId="19" fillId="3" borderId="0" xfId="0" applyNumberFormat="1" applyFont="1" applyFill="1" applyAlignment="1">
      <alignment vertical="center" wrapText="1"/>
    </xf>
    <xf numFmtId="0" fontId="19" fillId="3" borderId="0" xfId="0" applyFont="1" applyFill="1" applyAlignment="1">
      <alignment vertical="center" wrapText="1"/>
    </xf>
    <xf numFmtId="0" fontId="6" fillId="3" borderId="0" xfId="0" applyFont="1" applyFill="1" applyAlignment="1">
      <alignment vertical="top" wrapText="1"/>
    </xf>
    <xf numFmtId="0" fontId="6" fillId="3" borderId="0" xfId="0" applyFont="1" applyFill="1" applyAlignment="1">
      <alignment vertical="top"/>
    </xf>
    <xf numFmtId="0" fontId="20" fillId="3" borderId="0" xfId="2" applyFont="1" applyFill="1" applyAlignment="1">
      <alignment vertical="top"/>
    </xf>
    <xf numFmtId="0" fontId="12" fillId="2" borderId="0" xfId="0" applyFont="1" applyFill="1" applyAlignment="1">
      <alignment horizontal="left" indent="3"/>
    </xf>
    <xf numFmtId="0" fontId="12" fillId="2" borderId="0" xfId="1" applyFont="1" applyFill="1" applyBorder="1" applyAlignment="1">
      <alignment horizontal="left" indent="3"/>
    </xf>
    <xf numFmtId="0" fontId="21" fillId="2" borderId="0" xfId="0" applyFont="1" applyFill="1" applyAlignment="1">
      <alignment horizontal="left" indent="3"/>
    </xf>
    <xf numFmtId="0" fontId="24" fillId="0" borderId="0" xfId="0" applyFont="1"/>
    <xf numFmtId="0" fontId="25" fillId="0" borderId="17" xfId="0" applyFont="1" applyBorder="1"/>
    <xf numFmtId="0" fontId="25" fillId="0" borderId="9" xfId="0" applyFont="1" applyBorder="1"/>
    <xf numFmtId="0" fontId="25" fillId="0" borderId="10" xfId="0" applyFont="1" applyBorder="1"/>
    <xf numFmtId="0" fontId="25" fillId="0" borderId="11" xfId="0" applyFont="1" applyBorder="1"/>
    <xf numFmtId="0" fontId="25" fillId="0" borderId="18" xfId="0" applyFont="1" applyBorder="1"/>
    <xf numFmtId="0" fontId="25" fillId="0" borderId="12" xfId="0" applyFont="1" applyBorder="1"/>
    <xf numFmtId="0" fontId="25" fillId="0" borderId="0" xfId="0" applyFont="1"/>
    <xf numFmtId="0" fontId="25" fillId="0" borderId="13" xfId="0" applyFont="1" applyBorder="1"/>
    <xf numFmtId="0" fontId="25" fillId="0" borderId="19" xfId="0" applyFont="1" applyBorder="1"/>
    <xf numFmtId="0" fontId="25" fillId="0" borderId="14" xfId="0" applyFont="1" applyBorder="1"/>
    <xf numFmtId="0" fontId="25" fillId="0" borderId="15" xfId="0" applyFont="1" applyBorder="1"/>
    <xf numFmtId="0" fontId="25" fillId="0" borderId="16" xfId="0" applyFont="1" applyBorder="1"/>
    <xf numFmtId="0" fontId="7" fillId="3" borderId="3" xfId="0" applyFont="1" applyFill="1" applyBorder="1"/>
    <xf numFmtId="49" fontId="6" fillId="3" borderId="3" xfId="0" applyNumberFormat="1" applyFont="1" applyFill="1" applyBorder="1"/>
    <xf numFmtId="0" fontId="6" fillId="3" borderId="3" xfId="0" applyFont="1" applyFill="1" applyBorder="1"/>
    <xf numFmtId="49" fontId="6" fillId="3" borderId="0" xfId="0" applyNumberFormat="1" applyFont="1" applyFill="1"/>
    <xf numFmtId="3" fontId="6" fillId="3" borderId="3" xfId="0" applyNumberFormat="1" applyFont="1" applyFill="1" applyBorder="1" applyAlignment="1">
      <alignment horizontal="right"/>
    </xf>
    <xf numFmtId="0" fontId="6" fillId="3" borderId="3" xfId="0" applyFont="1" applyFill="1" applyBorder="1" applyAlignment="1">
      <alignment horizontal="left"/>
    </xf>
    <xf numFmtId="0" fontId="27" fillId="5" borderId="0" xfId="0" applyFont="1" applyFill="1"/>
    <xf numFmtId="0" fontId="8" fillId="0" borderId="20" xfId="0" applyFont="1" applyBorder="1" applyAlignment="1">
      <alignment horizontal="center" vertical="center" wrapText="1"/>
    </xf>
    <xf numFmtId="0" fontId="28" fillId="2" borderId="0" xfId="0" applyFont="1" applyFill="1" applyAlignment="1">
      <alignment wrapText="1"/>
    </xf>
    <xf numFmtId="0" fontId="14" fillId="0" borderId="0" xfId="0" applyFont="1" applyAlignment="1">
      <alignment vertical="top" wrapText="1"/>
    </xf>
    <xf numFmtId="2" fontId="14" fillId="0" borderId="0" xfId="0" applyNumberFormat="1" applyFont="1" applyAlignment="1">
      <alignment vertical="top" wrapText="1"/>
    </xf>
    <xf numFmtId="0" fontId="26" fillId="0" borderId="18" xfId="0" applyFont="1" applyBorder="1"/>
    <xf numFmtId="3" fontId="6" fillId="3" borderId="0" xfId="0" applyNumberFormat="1" applyFont="1" applyFill="1" applyAlignment="1">
      <alignment horizontal="right"/>
    </xf>
    <xf numFmtId="1" fontId="6" fillId="3" borderId="0" xfId="0" applyNumberFormat="1" applyFont="1" applyFill="1"/>
    <xf numFmtId="1" fontId="6" fillId="3" borderId="0" xfId="4" applyNumberFormat="1" applyFont="1" applyFill="1"/>
    <xf numFmtId="0" fontId="6" fillId="3" borderId="0" xfId="0" applyFont="1" applyFill="1" applyAlignment="1">
      <alignment horizontal="right"/>
    </xf>
    <xf numFmtId="0" fontId="6" fillId="3" borderId="0" xfId="0" applyFont="1" applyFill="1" applyAlignment="1">
      <alignment horizontal="left" indent="1"/>
    </xf>
    <xf numFmtId="9" fontId="30" fillId="3" borderId="0" xfId="0" applyNumberFormat="1" applyFont="1" applyFill="1"/>
    <xf numFmtId="1" fontId="30" fillId="3" borderId="0" xfId="0" applyNumberFormat="1" applyFont="1" applyFill="1"/>
    <xf numFmtId="49" fontId="30" fillId="3" borderId="0" xfId="0" applyNumberFormat="1" applyFont="1" applyFill="1"/>
    <xf numFmtId="0" fontId="14" fillId="0" borderId="6" xfId="0" applyFont="1" applyBorder="1" applyAlignment="1">
      <alignment horizontal="center" vertical="top"/>
    </xf>
    <xf numFmtId="4" fontId="14" fillId="0" borderId="5" xfId="0" applyNumberFormat="1" applyFont="1" applyBorder="1" applyAlignment="1">
      <alignment vertical="top" wrapText="1"/>
    </xf>
    <xf numFmtId="0" fontId="14" fillId="0" borderId="5" xfId="0" applyFont="1" applyBorder="1" applyAlignment="1">
      <alignment vertical="top" wrapText="1"/>
    </xf>
    <xf numFmtId="3" fontId="14" fillId="0" borderId="5" xfId="0" applyNumberFormat="1" applyFont="1" applyBorder="1" applyAlignment="1">
      <alignment vertical="top" wrapText="1"/>
    </xf>
    <xf numFmtId="3" fontId="14" fillId="0" borderId="0" xfId="0" applyNumberFormat="1" applyFont="1" applyAlignment="1">
      <alignment vertical="top" wrapText="1"/>
    </xf>
    <xf numFmtId="3" fontId="11" fillId="2" borderId="1" xfId="0" applyNumberFormat="1" applyFont="1" applyFill="1" applyBorder="1"/>
    <xf numFmtId="0" fontId="30" fillId="3" borderId="0" xfId="0" applyFont="1" applyFill="1" applyAlignment="1">
      <alignment horizontal="left"/>
    </xf>
    <xf numFmtId="0" fontId="26" fillId="0" borderId="0" xfId="0" applyFont="1"/>
    <xf numFmtId="0" fontId="22" fillId="3" borderId="0" xfId="0" applyFont="1" applyFill="1" applyAlignment="1">
      <alignment horizontal="right" vertical="center"/>
    </xf>
    <xf numFmtId="14" fontId="22" fillId="3" borderId="0" xfId="0" applyNumberFormat="1" applyFont="1" applyFill="1" applyAlignment="1">
      <alignment horizontal="left" vertical="center"/>
    </xf>
    <xf numFmtId="0" fontId="25" fillId="0" borderId="0" xfId="0" applyFont="1" applyAlignment="1">
      <alignment horizontal="center"/>
    </xf>
    <xf numFmtId="0" fontId="25" fillId="5" borderId="0" xfId="0" applyFont="1" applyFill="1"/>
    <xf numFmtId="0" fontId="14" fillId="0" borderId="0" xfId="0" applyFont="1" applyAlignment="1">
      <alignment vertical="top"/>
    </xf>
    <xf numFmtId="0" fontId="14" fillId="0" borderId="21" xfId="0" applyFont="1" applyBorder="1" applyAlignment="1">
      <alignment vertical="top"/>
    </xf>
    <xf numFmtId="3" fontId="14" fillId="0" borderId="0" xfId="0" applyNumberFormat="1" applyFont="1" applyAlignment="1">
      <alignment vertical="top"/>
    </xf>
    <xf numFmtId="3" fontId="14" fillId="0" borderId="21" xfId="0" applyNumberFormat="1" applyFont="1" applyBorder="1" applyAlignment="1">
      <alignment vertical="top"/>
    </xf>
    <xf numFmtId="4" fontId="14" fillId="0" borderId="0" xfId="0" applyNumberFormat="1" applyFont="1" applyAlignment="1">
      <alignment vertical="top"/>
    </xf>
    <xf numFmtId="4" fontId="14" fillId="0" borderId="21" xfId="0" applyNumberFormat="1" applyFont="1" applyBorder="1" applyAlignment="1">
      <alignment vertical="top"/>
    </xf>
    <xf numFmtId="0" fontId="14" fillId="0" borderId="0" xfId="0" applyFont="1" applyAlignment="1">
      <alignment horizontal="left" vertical="top"/>
    </xf>
    <xf numFmtId="0" fontId="8" fillId="0" borderId="0" xfId="0" applyFont="1"/>
    <xf numFmtId="165" fontId="5" fillId="0" borderId="0" xfId="0" applyNumberFormat="1" applyFont="1"/>
    <xf numFmtId="3" fontId="11" fillId="3" borderId="1" xfId="0" applyNumberFormat="1" applyFont="1" applyFill="1" applyBorder="1" applyAlignment="1">
      <alignment vertical="center"/>
    </xf>
    <xf numFmtId="0" fontId="8" fillId="0" borderId="24" xfId="0" applyFont="1" applyBorder="1" applyAlignment="1">
      <alignment horizontal="center" vertical="center" wrapText="1"/>
    </xf>
    <xf numFmtId="0" fontId="14" fillId="0" borderId="25" xfId="0" applyFont="1" applyBorder="1" applyAlignment="1">
      <alignment vertical="top" wrapText="1"/>
    </xf>
    <xf numFmtId="0" fontId="14" fillId="0" borderId="26" xfId="0" applyFont="1" applyBorder="1" applyAlignment="1">
      <alignment vertical="top" wrapText="1"/>
    </xf>
    <xf numFmtId="0" fontId="8" fillId="0" borderId="23" xfId="0" applyFont="1" applyBorder="1" applyAlignment="1">
      <alignment horizontal="center" vertical="center" wrapText="1"/>
    </xf>
    <xf numFmtId="0" fontId="14" fillId="2" borderId="0" xfId="0" applyFont="1" applyFill="1"/>
    <xf numFmtId="166" fontId="14" fillId="0" borderId="0" xfId="0" applyNumberFormat="1" applyFont="1" applyAlignment="1">
      <alignment vertical="top" wrapText="1"/>
    </xf>
    <xf numFmtId="166" fontId="14" fillId="0" borderId="5" xfId="0" applyNumberFormat="1" applyFont="1" applyBorder="1" applyAlignment="1">
      <alignment vertical="top" wrapText="1"/>
    </xf>
    <xf numFmtId="0" fontId="11" fillId="2" borderId="1" xfId="0" applyFont="1" applyFill="1" applyBorder="1" applyAlignment="1">
      <alignment horizontal="left"/>
    </xf>
    <xf numFmtId="0" fontId="11" fillId="2" borderId="1" xfId="0" applyFont="1" applyFill="1" applyBorder="1"/>
    <xf numFmtId="3" fontId="11" fillId="3" borderId="1" xfId="0" applyNumberFormat="1" applyFont="1" applyFill="1" applyBorder="1" applyAlignment="1">
      <alignment horizontal="right"/>
    </xf>
    <xf numFmtId="3" fontId="11" fillId="3" borderId="1" xfId="0" applyNumberFormat="1" applyFont="1" applyFill="1" applyBorder="1" applyAlignment="1">
      <alignment horizontal="left"/>
    </xf>
    <xf numFmtId="3" fontId="11" fillId="2" borderId="1" xfId="0" applyNumberFormat="1" applyFont="1" applyFill="1" applyBorder="1" applyAlignment="1">
      <alignment horizontal="left"/>
    </xf>
    <xf numFmtId="0" fontId="18" fillId="7" borderId="0" xfId="0" applyFont="1" applyFill="1" applyAlignment="1">
      <alignment horizontal="left" vertical="center"/>
    </xf>
    <xf numFmtId="0" fontId="18" fillId="7" borderId="0" xfId="0" applyFont="1" applyFill="1" applyAlignment="1">
      <alignment horizontal="right" vertical="center"/>
    </xf>
    <xf numFmtId="0" fontId="17" fillId="7" borderId="0" xfId="0" applyFont="1" applyFill="1" applyAlignment="1">
      <alignment horizontal="center"/>
    </xf>
    <xf numFmtId="0" fontId="18" fillId="9" borderId="3" xfId="0" applyFont="1" applyFill="1" applyBorder="1" applyAlignment="1">
      <alignment horizontal="center" vertical="center" wrapText="1"/>
    </xf>
    <xf numFmtId="49" fontId="6" fillId="3" borderId="21" xfId="0" applyNumberFormat="1" applyFont="1" applyFill="1" applyBorder="1"/>
    <xf numFmtId="0" fontId="6" fillId="3" borderId="4" xfId="0" applyFont="1" applyFill="1" applyBorder="1"/>
    <xf numFmtId="0" fontId="6" fillId="3" borderId="21" xfId="0" applyFont="1" applyFill="1" applyBorder="1"/>
    <xf numFmtId="3" fontId="6" fillId="3" borderId="0" xfId="0" applyNumberFormat="1" applyFont="1" applyFill="1" applyAlignment="1">
      <alignment horizontal="right" indent="1"/>
    </xf>
    <xf numFmtId="3" fontId="6" fillId="3" borderId="22" xfId="0" applyNumberFormat="1" applyFont="1" applyFill="1" applyBorder="1" applyAlignment="1">
      <alignment horizontal="right" indent="1"/>
    </xf>
    <xf numFmtId="3" fontId="6" fillId="3" borderId="21" xfId="0" applyNumberFormat="1" applyFont="1" applyFill="1" applyBorder="1" applyAlignment="1">
      <alignment horizontal="right" indent="1"/>
    </xf>
    <xf numFmtId="3" fontId="6" fillId="3" borderId="3" xfId="0" applyNumberFormat="1" applyFont="1" applyFill="1" applyBorder="1" applyAlignment="1">
      <alignment horizontal="right" indent="1"/>
    </xf>
    <xf numFmtId="3" fontId="6" fillId="3" borderId="4" xfId="0" applyNumberFormat="1" applyFont="1" applyFill="1" applyBorder="1" applyAlignment="1">
      <alignment horizontal="right" indent="1"/>
    </xf>
    <xf numFmtId="3" fontId="7" fillId="3" borderId="0" xfId="0" applyNumberFormat="1" applyFont="1" applyFill="1" applyAlignment="1">
      <alignment horizontal="right" indent="1"/>
    </xf>
    <xf numFmtId="3" fontId="7" fillId="3" borderId="21" xfId="0" applyNumberFormat="1" applyFont="1" applyFill="1" applyBorder="1" applyAlignment="1">
      <alignment horizontal="right" indent="1"/>
    </xf>
    <xf numFmtId="3" fontId="6" fillId="3" borderId="27" xfId="0" applyNumberFormat="1" applyFont="1" applyFill="1" applyBorder="1" applyAlignment="1">
      <alignment horizontal="right" indent="1"/>
    </xf>
    <xf numFmtId="0" fontId="22" fillId="3" borderId="0" xfId="0" applyFont="1" applyFill="1" applyAlignment="1">
      <alignment horizontal="right" indent="1"/>
    </xf>
    <xf numFmtId="3" fontId="22" fillId="3" borderId="0" xfId="0" applyNumberFormat="1" applyFont="1" applyFill="1" applyAlignment="1">
      <alignment horizontal="right" indent="1"/>
    </xf>
    <xf numFmtId="0" fontId="22" fillId="3" borderId="4" xfId="0" applyFont="1" applyFill="1" applyBorder="1"/>
    <xf numFmtId="0" fontId="22" fillId="3" borderId="27" xfId="0" applyFont="1" applyFill="1" applyBorder="1" applyAlignment="1">
      <alignment horizontal="center"/>
    </xf>
    <xf numFmtId="0" fontId="22" fillId="3" borderId="3" xfId="0" applyFont="1" applyFill="1" applyBorder="1" applyAlignment="1">
      <alignment horizontal="center"/>
    </xf>
    <xf numFmtId="0" fontId="6" fillId="10" borderId="0" xfId="0" applyFont="1" applyFill="1"/>
    <xf numFmtId="0" fontId="17" fillId="10" borderId="0" xfId="0" applyFont="1" applyFill="1"/>
    <xf numFmtId="0" fontId="33" fillId="10" borderId="0" xfId="0" applyFont="1" applyFill="1"/>
    <xf numFmtId="0" fontId="6" fillId="10" borderId="0" xfId="0" applyFont="1" applyFill="1" applyAlignment="1">
      <alignment vertical="top"/>
    </xf>
    <xf numFmtId="0" fontId="20" fillId="10" borderId="0" xfId="2" applyFont="1" applyFill="1" applyAlignment="1">
      <alignment vertical="top"/>
    </xf>
    <xf numFmtId="49" fontId="6" fillId="10" borderId="0" xfId="0" applyNumberFormat="1" applyFont="1" applyFill="1" applyAlignment="1">
      <alignment horizontal="left"/>
    </xf>
    <xf numFmtId="49" fontId="6" fillId="10" borderId="0" xfId="0" applyNumberFormat="1" applyFont="1" applyFill="1" applyAlignment="1">
      <alignment wrapText="1"/>
    </xf>
    <xf numFmtId="1" fontId="6" fillId="10" borderId="0" xfId="0" applyNumberFormat="1" applyFont="1" applyFill="1" applyAlignment="1">
      <alignment horizontal="right" wrapText="1"/>
    </xf>
    <xf numFmtId="49" fontId="6" fillId="10" borderId="0" xfId="0" applyNumberFormat="1" applyFont="1" applyFill="1" applyProtection="1">
      <protection locked="0"/>
    </xf>
    <xf numFmtId="0" fontId="5" fillId="10" borderId="0" xfId="0" applyFont="1" applyFill="1"/>
    <xf numFmtId="0" fontId="0" fillId="10" borderId="0" xfId="0" applyFill="1"/>
    <xf numFmtId="0" fontId="14" fillId="10" borderId="0" xfId="0" applyFont="1" applyFill="1"/>
    <xf numFmtId="167" fontId="30" fillId="3" borderId="0" xfId="0" applyNumberFormat="1" applyFont="1" applyFill="1"/>
    <xf numFmtId="167" fontId="30" fillId="3" borderId="0" xfId="4" applyNumberFormat="1" applyFont="1" applyFill="1" applyAlignment="1">
      <alignment horizontal="right"/>
    </xf>
    <xf numFmtId="168" fontId="30" fillId="3" borderId="0" xfId="0" applyNumberFormat="1" applyFont="1" applyFill="1"/>
    <xf numFmtId="0" fontId="14" fillId="0" borderId="0" xfId="0" applyFont="1"/>
    <xf numFmtId="164" fontId="6" fillId="3" borderId="0" xfId="0" applyNumberFormat="1" applyFont="1" applyFill="1"/>
    <xf numFmtId="0" fontId="5" fillId="3" borderId="0" xfId="0" applyFont="1" applyFill="1"/>
    <xf numFmtId="0" fontId="18" fillId="8" borderId="4" xfId="0" applyFont="1" applyFill="1" applyBorder="1" applyAlignment="1">
      <alignment horizontal="center" vertical="center"/>
    </xf>
    <xf numFmtId="0" fontId="18" fillId="8" borderId="29" xfId="0" applyFont="1" applyFill="1" applyBorder="1" applyAlignment="1">
      <alignment horizontal="center" vertical="center"/>
    </xf>
    <xf numFmtId="0" fontId="6" fillId="3" borderId="0" xfId="0" applyFont="1" applyFill="1" applyAlignment="1">
      <alignment horizontal="center" vertical="center" wrapText="1"/>
    </xf>
    <xf numFmtId="0" fontId="18" fillId="6" borderId="0" xfId="0" applyFont="1" applyFill="1" applyAlignment="1">
      <alignment horizontal="left" vertical="center"/>
    </xf>
    <xf numFmtId="0" fontId="18" fillId="6" borderId="0" xfId="0" applyFont="1" applyFill="1" applyAlignment="1">
      <alignment horizontal="center" vertical="center"/>
    </xf>
    <xf numFmtId="0" fontId="9" fillId="3" borderId="0" xfId="0" applyFont="1" applyFill="1" applyAlignment="1">
      <alignment horizontal="right" wrapText="1"/>
    </xf>
    <xf numFmtId="0" fontId="6" fillId="3" borderId="3" xfId="0" applyFont="1" applyFill="1" applyBorder="1" applyAlignment="1">
      <alignment horizontal="left" wrapText="1" indent="4"/>
    </xf>
    <xf numFmtId="0" fontId="18" fillId="8" borderId="27" xfId="0" applyFont="1" applyFill="1" applyBorder="1" applyAlignment="1">
      <alignment horizontal="center" vertical="center"/>
    </xf>
    <xf numFmtId="0" fontId="5" fillId="0" borderId="0" xfId="0" applyFont="1" applyAlignment="1">
      <alignment vertical="top"/>
    </xf>
    <xf numFmtId="0" fontId="5" fillId="0" borderId="25" xfId="0" applyFont="1" applyBorder="1" applyAlignment="1">
      <alignment vertical="top" wrapText="1"/>
    </xf>
    <xf numFmtId="0" fontId="14" fillId="0" borderId="0" xfId="0" quotePrefix="1" applyFont="1" applyAlignment="1">
      <alignment vertical="top" wrapText="1"/>
    </xf>
    <xf numFmtId="0" fontId="14" fillId="0" borderId="0" xfId="0" quotePrefix="1" applyFont="1" applyAlignment="1">
      <alignment horizontal="right" vertical="top" wrapText="1"/>
    </xf>
    <xf numFmtId="0" fontId="18" fillId="7" borderId="29" xfId="0" applyFont="1" applyFill="1" applyBorder="1" applyAlignment="1">
      <alignment horizontal="center" vertical="center"/>
    </xf>
    <xf numFmtId="0" fontId="31" fillId="7" borderId="29" xfId="0" applyFont="1" applyFill="1" applyBorder="1" applyAlignment="1">
      <alignment horizontal="center" vertical="center"/>
    </xf>
    <xf numFmtId="0" fontId="18" fillId="7" borderId="29" xfId="0" applyFont="1" applyFill="1" applyBorder="1" applyAlignment="1">
      <alignment horizontal="center" vertical="center" wrapText="1"/>
    </xf>
    <xf numFmtId="0" fontId="31" fillId="7" borderId="29" xfId="0" applyFont="1" applyFill="1" applyBorder="1" applyAlignment="1">
      <alignment horizontal="center" vertical="center" wrapText="1"/>
    </xf>
    <xf numFmtId="0" fontId="18" fillId="6" borderId="29" xfId="0" applyFont="1" applyFill="1" applyBorder="1" applyAlignment="1">
      <alignment horizontal="center" vertical="center" wrapText="1"/>
    </xf>
    <xf numFmtId="3" fontId="11" fillId="2" borderId="30" xfId="0" applyNumberFormat="1" applyFont="1" applyFill="1" applyBorder="1" applyAlignment="1">
      <alignment wrapText="1"/>
    </xf>
    <xf numFmtId="0" fontId="11" fillId="2" borderId="31" xfId="0" applyFont="1" applyFill="1" applyBorder="1" applyAlignment="1">
      <alignment horizontal="left"/>
    </xf>
    <xf numFmtId="0" fontId="11" fillId="2" borderId="31" xfId="0" applyFont="1" applyFill="1" applyBorder="1"/>
    <xf numFmtId="3" fontId="11" fillId="2" borderId="31" xfId="0" applyNumberFormat="1" applyFont="1" applyFill="1" applyBorder="1"/>
    <xf numFmtId="3" fontId="11" fillId="3" borderId="31" xfId="0" applyNumberFormat="1" applyFont="1" applyFill="1" applyBorder="1" applyAlignment="1">
      <alignment horizontal="left"/>
    </xf>
    <xf numFmtId="3" fontId="11" fillId="3" borderId="31" xfId="0" applyNumberFormat="1" applyFont="1" applyFill="1" applyBorder="1" applyAlignment="1">
      <alignment horizontal="right"/>
    </xf>
    <xf numFmtId="3" fontId="11" fillId="3" borderId="31" xfId="0" applyNumberFormat="1" applyFont="1" applyFill="1" applyBorder="1" applyAlignment="1">
      <alignment vertical="center"/>
    </xf>
    <xf numFmtId="3" fontId="11" fillId="2" borderId="32" xfId="0" applyNumberFormat="1" applyFont="1" applyFill="1" applyBorder="1" applyAlignment="1">
      <alignment wrapText="1"/>
    </xf>
    <xf numFmtId="0" fontId="11" fillId="2" borderId="33" xfId="0" applyFont="1" applyFill="1" applyBorder="1" applyAlignment="1">
      <alignment horizontal="left"/>
    </xf>
    <xf numFmtId="0" fontId="11" fillId="2" borderId="22" xfId="0" applyFont="1" applyFill="1" applyBorder="1" applyAlignment="1">
      <alignment horizontal="left"/>
    </xf>
    <xf numFmtId="9" fontId="6" fillId="3" borderId="0" xfId="4" applyFont="1" applyFill="1"/>
    <xf numFmtId="3" fontId="6" fillId="3" borderId="28" xfId="0" applyNumberFormat="1" applyFont="1" applyFill="1" applyBorder="1" applyAlignment="1">
      <alignment horizontal="right" indent="1"/>
    </xf>
    <xf numFmtId="3" fontId="7" fillId="3" borderId="28" xfId="0" applyNumberFormat="1" applyFont="1" applyFill="1" applyBorder="1" applyAlignment="1">
      <alignment horizontal="right" indent="1"/>
    </xf>
    <xf numFmtId="49" fontId="6" fillId="2" borderId="3" xfId="0" applyNumberFormat="1" applyFont="1" applyFill="1" applyBorder="1" applyAlignment="1">
      <alignment horizontal="left" wrapText="1" indent="1"/>
    </xf>
    <xf numFmtId="49" fontId="6" fillId="2" borderId="2" xfId="0" applyNumberFormat="1" applyFont="1" applyFill="1" applyBorder="1" applyAlignment="1">
      <alignment horizontal="left" wrapText="1" indent="1"/>
    </xf>
    <xf numFmtId="14" fontId="6" fillId="2" borderId="2" xfId="0" applyNumberFormat="1" applyFont="1" applyFill="1" applyBorder="1" applyAlignment="1">
      <alignment horizontal="left" wrapText="1" indent="1"/>
    </xf>
    <xf numFmtId="0" fontId="6" fillId="2" borderId="2" xfId="0" applyFont="1" applyFill="1" applyBorder="1" applyAlignment="1">
      <alignment horizontal="left" wrapText="1" indent="1"/>
    </xf>
    <xf numFmtId="3" fontId="6" fillId="3" borderId="3" xfId="0" applyNumberFormat="1" applyFont="1" applyFill="1" applyBorder="1" applyAlignment="1">
      <alignment horizontal="left"/>
    </xf>
    <xf numFmtId="49" fontId="6" fillId="2" borderId="2" xfId="0" applyNumberFormat="1" applyFont="1" applyFill="1" applyBorder="1" applyAlignment="1" applyProtection="1">
      <alignment wrapText="1"/>
      <protection locked="0"/>
    </xf>
    <xf numFmtId="169" fontId="6" fillId="2" borderId="3" xfId="0" applyNumberFormat="1" applyFont="1" applyFill="1" applyBorder="1" applyAlignment="1">
      <alignment horizontal="right" wrapText="1" indent="2"/>
    </xf>
    <xf numFmtId="169" fontId="6" fillId="3" borderId="2" xfId="0" applyNumberFormat="1" applyFont="1" applyFill="1" applyBorder="1" applyAlignment="1">
      <alignment horizontal="right" indent="2"/>
    </xf>
    <xf numFmtId="9" fontId="6" fillId="2" borderId="3" xfId="4" applyFont="1" applyFill="1" applyBorder="1" applyAlignment="1">
      <alignment horizontal="right" wrapText="1" indent="2"/>
    </xf>
    <xf numFmtId="170" fontId="6" fillId="2" borderId="3" xfId="0" applyNumberFormat="1" applyFont="1" applyFill="1" applyBorder="1" applyAlignment="1">
      <alignment horizontal="right" wrapText="1" indent="2"/>
    </xf>
    <xf numFmtId="0" fontId="11" fillId="3" borderId="0" xfId="0" applyFont="1" applyFill="1" applyAlignment="1">
      <alignment horizontal="right" indent="2"/>
    </xf>
    <xf numFmtId="0" fontId="7" fillId="3" borderId="0" xfId="0" applyFont="1" applyFill="1" applyAlignment="1">
      <alignment horizontal="right" vertical="center" indent="2"/>
    </xf>
    <xf numFmtId="0" fontId="14" fillId="3" borderId="0" xfId="0" applyFont="1" applyFill="1"/>
    <xf numFmtId="0" fontId="8" fillId="0" borderId="34" xfId="0" applyFont="1" applyBorder="1" applyAlignment="1">
      <alignment horizontal="center" vertical="center" wrapText="1"/>
    </xf>
    <xf numFmtId="0" fontId="8" fillId="0" borderId="34" xfId="0" applyFont="1" applyBorder="1" applyAlignment="1">
      <alignment horizontal="center" vertical="center"/>
    </xf>
    <xf numFmtId="0" fontId="8" fillId="0" borderId="34" xfId="0" applyFont="1" applyBorder="1" applyAlignment="1">
      <alignment horizontal="left" vertical="center"/>
    </xf>
    <xf numFmtId="0" fontId="14" fillId="11" borderId="5" xfId="0" applyFont="1" applyFill="1" applyBorder="1" applyAlignment="1">
      <alignment vertical="top" wrapText="1"/>
    </xf>
    <xf numFmtId="165" fontId="14" fillId="11" borderId="5" xfId="0" applyNumberFormat="1" applyFont="1" applyFill="1" applyBorder="1" applyAlignment="1">
      <alignment vertical="top" wrapText="1"/>
    </xf>
    <xf numFmtId="165" fontId="14" fillId="0" borderId="5" xfId="0" applyNumberFormat="1" applyFont="1" applyBorder="1" applyAlignment="1">
      <alignment vertical="top" wrapText="1"/>
    </xf>
    <xf numFmtId="14" fontId="6" fillId="3" borderId="0" xfId="0" applyNumberFormat="1" applyFont="1" applyFill="1"/>
    <xf numFmtId="9" fontId="6" fillId="3" borderId="0" xfId="0" applyNumberFormat="1" applyFont="1" applyFill="1"/>
    <xf numFmtId="170" fontId="6" fillId="3" borderId="0" xfId="0" applyNumberFormat="1" applyFont="1" applyFill="1"/>
    <xf numFmtId="0" fontId="7" fillId="0" borderId="0" xfId="0" applyFont="1"/>
    <xf numFmtId="0" fontId="0" fillId="3" borderId="0" xfId="0" applyFill="1"/>
    <xf numFmtId="0" fontId="6" fillId="2" borderId="3" xfId="0" applyFont="1" applyFill="1" applyBorder="1" applyAlignment="1">
      <alignment horizontal="left"/>
    </xf>
    <xf numFmtId="14" fontId="6" fillId="2" borderId="3" xfId="0" applyNumberFormat="1" applyFont="1" applyFill="1" applyBorder="1" applyAlignment="1">
      <alignment horizontal="left"/>
    </xf>
    <xf numFmtId="0" fontId="0" fillId="3" borderId="3" xfId="0" applyFill="1" applyBorder="1"/>
    <xf numFmtId="14" fontId="6" fillId="12" borderId="35" xfId="0" applyNumberFormat="1" applyFont="1" applyFill="1" applyBorder="1" applyAlignment="1">
      <alignment horizontal="left"/>
    </xf>
    <xf numFmtId="0" fontId="6" fillId="12" borderId="36" xfId="0" applyFont="1" applyFill="1" applyBorder="1" applyAlignment="1">
      <alignment horizontal="left"/>
    </xf>
    <xf numFmtId="3" fontId="6" fillId="12" borderId="36" xfId="0" applyNumberFormat="1" applyFont="1" applyFill="1" applyBorder="1" applyAlignment="1">
      <alignment horizontal="left"/>
    </xf>
    <xf numFmtId="170" fontId="6" fillId="12" borderId="36" xfId="0" applyNumberFormat="1" applyFont="1" applyFill="1" applyBorder="1" applyAlignment="1">
      <alignment horizontal="left"/>
    </xf>
    <xf numFmtId="9" fontId="6" fillId="12" borderId="36" xfId="0" applyNumberFormat="1" applyFont="1" applyFill="1" applyBorder="1" applyAlignment="1">
      <alignment horizontal="left"/>
    </xf>
    <xf numFmtId="14" fontId="6" fillId="12" borderId="36" xfId="0" applyNumberFormat="1" applyFont="1" applyFill="1" applyBorder="1" applyAlignment="1">
      <alignment horizontal="left"/>
    </xf>
    <xf numFmtId="49" fontId="6" fillId="12" borderId="36" xfId="0" applyNumberFormat="1" applyFont="1" applyFill="1" applyBorder="1" applyAlignment="1">
      <alignment horizontal="left"/>
    </xf>
    <xf numFmtId="171" fontId="6" fillId="12" borderId="36" xfId="0" applyNumberFormat="1" applyFont="1" applyFill="1" applyBorder="1" applyAlignment="1">
      <alignment horizontal="left"/>
    </xf>
    <xf numFmtId="171" fontId="6" fillId="12" borderId="37" xfId="0" applyNumberFormat="1" applyFont="1" applyFill="1" applyBorder="1" applyAlignment="1">
      <alignment horizontal="left"/>
    </xf>
    <xf numFmtId="4" fontId="14" fillId="0" borderId="0" xfId="0" applyNumberFormat="1" applyFont="1" applyAlignment="1">
      <alignment vertical="top" wrapText="1"/>
    </xf>
    <xf numFmtId="171" fontId="14" fillId="0" borderId="0" xfId="0" applyNumberFormat="1" applyFont="1" applyAlignment="1">
      <alignment vertical="top" wrapText="1"/>
    </xf>
    <xf numFmtId="49" fontId="6" fillId="3" borderId="0" xfId="0" applyNumberFormat="1" applyFont="1" applyFill="1" applyAlignment="1">
      <alignment vertical="top" wrapText="1"/>
    </xf>
    <xf numFmtId="0" fontId="17" fillId="10" borderId="0" xfId="0" applyFont="1" applyFill="1" applyAlignment="1">
      <alignment vertical="top"/>
    </xf>
    <xf numFmtId="0" fontId="38" fillId="10" borderId="0" xfId="0" applyFont="1" applyFill="1"/>
    <xf numFmtId="0" fontId="31" fillId="3" borderId="0" xfId="0" applyFont="1" applyFill="1"/>
    <xf numFmtId="0" fontId="6" fillId="0" borderId="38" xfId="0" applyFont="1" applyBorder="1"/>
    <xf numFmtId="0" fontId="6" fillId="0" borderId="39" xfId="0" applyFont="1" applyBorder="1"/>
    <xf numFmtId="0" fontId="18" fillId="8" borderId="1" xfId="0" applyFont="1" applyFill="1" applyBorder="1" applyAlignment="1">
      <alignment horizontal="center" vertical="center"/>
    </xf>
    <xf numFmtId="0" fontId="18" fillId="7" borderId="1" xfId="0" applyFont="1" applyFill="1" applyBorder="1" applyAlignment="1">
      <alignment horizontal="center" vertical="center"/>
    </xf>
    <xf numFmtId="0" fontId="6" fillId="0" borderId="40" xfId="0" applyFont="1" applyBorder="1"/>
    <xf numFmtId="3" fontId="6" fillId="0" borderId="39" xfId="0" applyNumberFormat="1" applyFont="1" applyBorder="1"/>
    <xf numFmtId="3" fontId="6" fillId="0" borderId="38" xfId="0" applyNumberFormat="1" applyFont="1" applyBorder="1"/>
    <xf numFmtId="3" fontId="6" fillId="0" borderId="40" xfId="0" applyNumberFormat="1" applyFont="1" applyBorder="1"/>
    <xf numFmtId="0" fontId="6" fillId="0" borderId="39" xfId="0" applyFont="1" applyBorder="1" applyAlignment="1">
      <alignment horizontal="left"/>
    </xf>
    <xf numFmtId="0" fontId="6" fillId="0" borderId="40" xfId="0" applyFont="1" applyBorder="1" applyAlignment="1">
      <alignment horizontal="left"/>
    </xf>
    <xf numFmtId="0" fontId="14" fillId="0" borderId="5" xfId="0" quotePrefix="1" applyFont="1" applyBorder="1" applyAlignment="1">
      <alignment vertical="top" wrapText="1"/>
    </xf>
    <xf numFmtId="166" fontId="14" fillId="0" borderId="5" xfId="0" quotePrefix="1" applyNumberFormat="1" applyFont="1" applyBorder="1" applyAlignment="1">
      <alignment vertical="top" wrapText="1"/>
    </xf>
    <xf numFmtId="4" fontId="14" fillId="0" borderId="5" xfId="0" quotePrefix="1" applyNumberFormat="1" applyFont="1" applyBorder="1" applyAlignment="1">
      <alignment vertical="top" wrapText="1"/>
    </xf>
    <xf numFmtId="3" fontId="14" fillId="0" borderId="5" xfId="0" quotePrefix="1" applyNumberFormat="1" applyFont="1" applyBorder="1" applyAlignment="1">
      <alignment horizontal="right" vertical="top" wrapText="1"/>
    </xf>
    <xf numFmtId="3" fontId="14" fillId="0" borderId="5" xfId="0" applyNumberFormat="1" applyFont="1" applyBorder="1" applyAlignment="1">
      <alignment horizontal="right" vertical="top" wrapText="1"/>
    </xf>
    <xf numFmtId="166" fontId="5" fillId="0" borderId="0" xfId="0" applyNumberFormat="1" applyFont="1" applyAlignment="1">
      <alignment vertical="top"/>
    </xf>
    <xf numFmtId="0" fontId="3" fillId="3" borderId="0" xfId="2" applyFill="1"/>
    <xf numFmtId="0" fontId="17" fillId="10" borderId="0" xfId="0" applyFont="1" applyFill="1" applyAlignment="1">
      <alignment horizontal="left" vertical="top"/>
    </xf>
    <xf numFmtId="14" fontId="17" fillId="10" borderId="0" xfId="0" applyNumberFormat="1" applyFont="1" applyFill="1" applyAlignment="1">
      <alignment horizontal="left" vertical="top"/>
    </xf>
    <xf numFmtId="49" fontId="6" fillId="3" borderId="0" xfId="0" applyNumberFormat="1" applyFont="1" applyFill="1" applyAlignment="1">
      <alignment horizontal="left" vertical="top" wrapText="1"/>
    </xf>
    <xf numFmtId="0" fontId="6" fillId="3" borderId="0" xfId="0" applyFont="1" applyFill="1" applyAlignment="1">
      <alignment horizontal="left" vertical="top" wrapText="1"/>
    </xf>
    <xf numFmtId="0" fontId="17" fillId="10" borderId="0" xfId="0" applyFont="1" applyFill="1" applyAlignment="1">
      <alignment horizontal="left"/>
    </xf>
    <xf numFmtId="0" fontId="17" fillId="10" borderId="0" xfId="0" applyFont="1" applyFill="1" applyAlignment="1">
      <alignment horizontal="left" vertical="top" wrapText="1"/>
    </xf>
    <xf numFmtId="0" fontId="7" fillId="3" borderId="28" xfId="0" applyFont="1" applyFill="1" applyBorder="1" applyAlignment="1">
      <alignment horizontal="center" wrapText="1"/>
    </xf>
    <xf numFmtId="0" fontId="7" fillId="3" borderId="0" xfId="0" applyFont="1" applyFill="1" applyAlignment="1">
      <alignment horizontal="center" wrapText="1"/>
    </xf>
  </cellXfs>
  <cellStyles count="5">
    <cellStyle name="Hyperlänk" xfId="2" builtinId="8"/>
    <cellStyle name="Normal" xfId="0" builtinId="0"/>
    <cellStyle name="Procent" xfId="4" builtinId="5"/>
    <cellStyle name="Rubrik" xfId="1" builtinId="15"/>
    <cellStyle name="Tusental 2" xfId="3" xr:uid="{C81E16E4-74BE-48C7-9BFC-88F443BD95C6}"/>
  </cellStyles>
  <dxfs count="125">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border diagonalUp="0" diagonalDown="0">
        <right style="thin">
          <color indexed="64"/>
        </right>
        <vertical/>
      </border>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horizontal="general" vertical="top" textRotation="0" wrapText="1" indent="0" justifyLastLine="0" shrinkToFit="0" readingOrder="0"/>
      <border diagonalUp="0" diagonalDown="0">
        <left style="thin">
          <color theme="6"/>
        </left>
        <right style="double">
          <color indexed="64"/>
        </right>
        <top style="thin">
          <color theme="6"/>
        </top>
        <bottom style="thin">
          <color theme="6"/>
        </bottom>
        <vertical/>
      </border>
    </dxf>
    <dxf>
      <font>
        <b val="0"/>
        <i val="0"/>
        <strike val="0"/>
        <condense val="0"/>
        <extend val="0"/>
        <outline val="0"/>
        <shadow val="0"/>
        <u val="none"/>
        <vertAlign val="baseline"/>
        <sz val="10"/>
        <color auto="1"/>
        <name val="Tenorite"/>
        <scheme val="none"/>
      </font>
      <alignment horizontal="general" vertical="top" textRotation="0" wrapText="1" indent="0" justifyLastLine="0" shrinkToFit="0" readingOrder="0"/>
      <border diagonalUp="0" diagonalDown="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horizontal="general" vertical="top" textRotation="0" wrapText="1" indent="0" justifyLastLine="0" shrinkToFit="0" readingOrder="0"/>
      <border diagonalUp="0" diagonalDown="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horizontal="general" vertical="top" textRotation="0" wrapText="1" indent="0" justifyLastLine="0" shrinkToFit="0" readingOrder="0"/>
      <border diagonalUp="0" diagonalDown="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numFmt numFmtId="4" formatCode="#,##0.00"/>
      <alignment horizontal="general" vertical="top" textRotation="0" wrapText="1" indent="0" justifyLastLine="0" shrinkToFit="0" readingOrder="0"/>
      <border diagonalUp="0" diagonalDown="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numFmt numFmtId="166" formatCode="#,##0.0000"/>
      <fill>
        <patternFill patternType="none">
          <fgColor theme="6" tint="0.79998168889431442"/>
          <bgColor auto="1"/>
        </patternFill>
      </fill>
      <alignment horizontal="general" vertical="top" textRotation="0" wrapText="1" indent="0" justifyLastLine="0" shrinkToFit="0" readingOrder="0"/>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numFmt numFmtId="166" formatCode="#,##0.0000"/>
      <fill>
        <patternFill patternType="none">
          <fgColor theme="6" tint="0.79998168889431442"/>
          <bgColor auto="1"/>
        </patternFill>
      </fill>
      <alignment horizontal="general" vertical="top" textRotation="0" wrapText="1" indent="0" justifyLastLine="0" shrinkToFit="0" readingOrder="0"/>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horizontal="general" vertical="top" textRotation="0" wrapText="1" indent="0" justifyLastLine="0" shrinkToFit="0" readingOrder="0"/>
      <border diagonalUp="0" diagonalDown="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numFmt numFmtId="3" formatCode="#,##0"/>
      <alignment horizontal="general" vertical="top" textRotation="0" wrapText="1" indent="0" justifyLastLine="0" shrinkToFit="0" readingOrder="0"/>
      <border diagonalUp="0" diagonalDown="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horizontal="general" vertical="top" textRotation="0" wrapText="1" indent="0" justifyLastLine="0" shrinkToFit="0" readingOrder="0"/>
      <border diagonalUp="0" diagonalDown="0">
        <left style="thin">
          <color theme="6"/>
        </left>
        <right style="thin">
          <color theme="6"/>
        </right>
        <top style="thin">
          <color theme="6"/>
        </top>
        <bottom style="thin">
          <color theme="6"/>
        </bottom>
        <vertical/>
        <horizontal/>
      </border>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horizontal="general" vertical="top" textRotation="0" wrapText="1" indent="0" justifyLastLine="0" shrinkToFit="0" readingOrder="0"/>
      <border diagonalUp="0" diagonalDown="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horizontal="center" vertical="top" textRotation="0" wrapText="0" indent="0" justifyLastLine="0" shrinkToFit="0" readingOrder="0"/>
      <border diagonalUp="0" diagonalDown="0" outline="0">
        <left/>
        <right style="thin">
          <color theme="6"/>
        </right>
        <top style="thin">
          <color theme="6"/>
        </top>
        <bottom style="thin">
          <color theme="6"/>
        </bottom>
      </border>
    </dxf>
    <dxf>
      <border outline="0">
        <top style="thin">
          <color theme="6"/>
        </top>
      </border>
    </dxf>
    <dxf>
      <border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0"/>
        <color auto="1"/>
        <name val="Tenorite"/>
        <scheme val="none"/>
      </font>
      <fill>
        <patternFill patternType="none">
          <fgColor theme="6" tint="0.79998168889431442"/>
          <bgColor auto="1"/>
        </patternFill>
      </fill>
      <alignment vertical="top" textRotation="0" indent="0" justifyLastLine="0" shrinkToFit="0" readingOrder="0"/>
    </dxf>
    <dxf>
      <border outline="0">
        <bottom style="medium">
          <color theme="6"/>
        </bottom>
      </border>
    </dxf>
    <dxf>
      <font>
        <b/>
        <i val="0"/>
        <strike val="0"/>
        <condense val="0"/>
        <extend val="0"/>
        <outline val="0"/>
        <shadow val="0"/>
        <u val="none"/>
        <vertAlign val="baseline"/>
        <sz val="10"/>
        <color theme="1"/>
        <name val="Tenorite"/>
        <scheme val="none"/>
      </font>
      <fill>
        <patternFill patternType="none">
          <bgColor auto="1"/>
        </patternFill>
      </fill>
      <alignment horizontal="center" vertical="center" textRotation="0" wrapText="1" indent="0" justifyLastLine="0" shrinkToFit="0" readingOrder="0"/>
      <border diagonalUp="0" diagonalDown="0" outline="0">
        <left style="thin">
          <color theme="6"/>
        </left>
        <right style="thin">
          <color theme="6"/>
        </right>
        <top/>
        <bottom/>
      </border>
    </dxf>
    <dxf>
      <font>
        <color rgb="FF00B050"/>
      </font>
    </dxf>
    <dxf>
      <font>
        <color rgb="FFFF0000"/>
      </font>
    </dxf>
    <dxf>
      <font>
        <b val="0"/>
        <i val="0"/>
        <strike val="0"/>
        <condense val="0"/>
        <extend val="0"/>
        <outline val="0"/>
        <shadow val="0"/>
        <u val="none"/>
        <vertAlign val="baseline"/>
        <sz val="11"/>
        <color auto="1"/>
        <name val="Tenorite"/>
        <scheme val="none"/>
      </font>
      <fill>
        <patternFill patternType="solid">
          <fgColor indexed="64"/>
          <bgColor theme="0"/>
        </patternFill>
      </fill>
      <alignment horizontal="general" vertical="bottom"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alignment horizontal="left" vertical="bottom" textRotation="0" wrapText="0" indent="0" justifyLastLine="0" shrinkToFit="0" readingOrder="0"/>
      <border diagonalUp="0" diagonalDown="0" outline="0">
        <left/>
        <right style="double">
          <color indexed="64"/>
        </right>
        <top style="thin">
          <color indexed="64"/>
        </top>
        <bottom/>
      </border>
    </dxf>
    <dxf>
      <font>
        <b val="0"/>
        <i val="0"/>
        <strike val="0"/>
        <condense val="0"/>
        <extend val="0"/>
        <outline val="0"/>
        <shadow val="0"/>
        <u val="none"/>
        <vertAlign val="baseline"/>
        <sz val="11"/>
        <color auto="1"/>
        <name val="Tenorite"/>
        <scheme val="none"/>
      </font>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border diagonalUp="0" diagonalDown="0" outline="0">
        <left/>
        <right style="double">
          <color indexed="64"/>
        </right>
        <top style="thin">
          <color indexed="64"/>
        </top>
        <bottom/>
      </border>
    </dxf>
    <dxf>
      <font>
        <strike val="0"/>
        <outline val="0"/>
        <shadow val="0"/>
        <u val="none"/>
        <vertAlign val="baseline"/>
        <sz val="11"/>
        <color auto="1"/>
        <name val="Tenorite"/>
        <scheme val="none"/>
      </font>
    </dxf>
    <dxf>
      <border outline="0">
        <top style="thin">
          <color rgb="FF000000"/>
        </top>
      </border>
    </dxf>
    <dxf>
      <border diagonalUp="0" diagonalDown="0">
        <left/>
        <right/>
        <top/>
        <bottom style="thin">
          <color rgb="FF000000"/>
        </bottom>
      </border>
    </dxf>
    <dxf>
      <font>
        <strike val="0"/>
        <outline val="0"/>
        <shadow val="0"/>
        <u val="none"/>
        <vertAlign val="baseline"/>
        <sz val="11"/>
        <color auto="1"/>
        <name val="Tenorite"/>
        <scheme val="none"/>
      </font>
    </dxf>
    <dxf>
      <border outline="0">
        <bottom style="thin">
          <color rgb="FF000000"/>
        </bottom>
      </border>
    </dxf>
    <dxf>
      <font>
        <b/>
        <i val="0"/>
        <strike val="0"/>
        <condense val="0"/>
        <extend val="0"/>
        <outline val="0"/>
        <shadow val="0"/>
        <u val="none"/>
        <vertAlign val="baseline"/>
        <sz val="11"/>
        <color theme="0"/>
        <name val="Tenorite"/>
        <scheme val="none"/>
      </font>
      <fill>
        <patternFill patternType="solid">
          <fgColor indexed="64"/>
          <bgColor rgb="FF76368C"/>
        </patternFill>
      </fill>
      <alignment horizontal="center" vertical="center" textRotation="0" wrapText="1" indent="0" justifyLastLine="0" shrinkToFit="0" readingOrder="0"/>
    </dxf>
    <dxf>
      <font>
        <b/>
        <i val="0"/>
        <color rgb="FFFF0000"/>
      </font>
    </dxf>
    <dxf>
      <font>
        <b/>
        <i val="0"/>
        <color rgb="FFFF0000"/>
      </font>
    </dxf>
    <dxf>
      <font>
        <b val="0"/>
        <i val="0"/>
        <strike val="0"/>
        <condense val="0"/>
        <extend val="0"/>
        <outline val="0"/>
        <shadow val="0"/>
        <u val="none"/>
        <vertAlign val="baseline"/>
        <sz val="11"/>
        <color auto="1"/>
        <name val="Tenorite"/>
        <scheme val="none"/>
      </font>
      <fill>
        <patternFill patternType="solid">
          <fgColor indexed="64"/>
          <bgColor theme="0"/>
        </patternFill>
      </fill>
      <alignment horizontal="general" vertical="bottom"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general" vertical="center" textRotation="0" wrapText="0" indent="0" justifyLastLine="0" shrinkToFit="0" readingOrder="0"/>
      <border diagonalUp="0" diagonalDown="0" outline="0">
        <left style="thin">
          <color indexed="64"/>
        </left>
        <right style="double">
          <color indexed="64"/>
        </right>
        <top style="thin">
          <color indexed="64"/>
        </top>
        <bottom style="thin">
          <color indexed="64"/>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Tenorite"/>
        <scheme val="none"/>
      </font>
      <numFmt numFmtId="3" formatCode="#,##0"/>
      <fill>
        <patternFill patternType="solid">
          <fgColor indexed="64"/>
          <bgColor theme="0"/>
        </patternFill>
      </fill>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outline="0">
        <left/>
        <right style="double">
          <color indexed="64"/>
        </right>
        <top style="thin">
          <color indexed="64"/>
        </top>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rgb="FFF5F3EE"/>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rgb="FFF5F3EE"/>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rgb="FFF5F3EE"/>
        </patternFill>
      </fill>
      <alignment horizontal="left" vertical="bottom"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rgb="FFF5F3EE"/>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Tenorite"/>
        <scheme val="none"/>
      </font>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outline="0">
        <left style="thin">
          <color indexed="64"/>
        </left>
        <right style="double">
          <color indexed="64"/>
        </right>
        <top style="thin">
          <color indexed="64"/>
        </top>
        <bottom/>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enorite"/>
        <scheme val="none"/>
      </font>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outline="0">
        <left style="double">
          <color indexed="64"/>
        </left>
        <right style="thin">
          <color indexed="64"/>
        </right>
        <top style="thin">
          <color indexed="64"/>
        </top>
        <bottom/>
      </border>
    </dxf>
    <dxf>
      <font>
        <b val="0"/>
        <i val="0"/>
        <strike val="0"/>
        <condense val="0"/>
        <extend val="0"/>
        <outline val="0"/>
        <shadow val="0"/>
        <u val="none"/>
        <vertAlign val="baseline"/>
        <sz val="11"/>
        <color auto="1"/>
        <name val="Tenorite"/>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Tenorite"/>
        <scheme val="none"/>
      </font>
      <fill>
        <patternFill patternType="solid">
          <fgColor indexed="64"/>
          <bgColor theme="0"/>
        </patternFill>
      </fill>
      <alignment horizontal="left" vertical="bottom" textRotation="0" wrapText="0" indent="0" justifyLastLine="0" shrinkToFit="0" readingOrder="0"/>
      <border diagonalUp="0" diagonalDown="0" outline="0">
        <left/>
        <right style="double">
          <color indexed="64"/>
        </right>
        <top style="thin">
          <color indexed="64"/>
        </top>
        <bottom/>
      </border>
    </dxf>
    <dxf>
      <font>
        <b val="0"/>
        <i val="0"/>
        <strike val="0"/>
        <condense val="0"/>
        <extend val="0"/>
        <outline val="0"/>
        <shadow val="0"/>
        <u val="none"/>
        <vertAlign val="baseline"/>
        <sz val="11"/>
        <color auto="1"/>
        <name val="Tenorite"/>
        <scheme val="none"/>
      </font>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Tenorite"/>
        <scheme val="none"/>
      </font>
    </dxf>
    <dxf>
      <border outline="0">
        <top style="thin">
          <color indexed="64"/>
        </top>
      </border>
    </dxf>
    <dxf>
      <border diagonalUp="0" diagonalDown="0">
        <left/>
        <right/>
        <top/>
        <bottom style="thin">
          <color indexed="64"/>
        </bottom>
      </border>
    </dxf>
    <dxf>
      <font>
        <strike val="0"/>
        <outline val="0"/>
        <shadow val="0"/>
        <u val="none"/>
        <vertAlign val="baseline"/>
        <sz val="11"/>
        <color auto="1"/>
        <name val="Tenorite"/>
        <scheme val="none"/>
      </font>
    </dxf>
    <dxf>
      <border outline="0">
        <bottom style="thin">
          <color indexed="64"/>
        </bottom>
      </border>
    </dxf>
    <dxf>
      <font>
        <b/>
        <i val="0"/>
        <strike val="0"/>
        <condense val="0"/>
        <extend val="0"/>
        <outline val="0"/>
        <shadow val="0"/>
        <u val="none"/>
        <vertAlign val="baseline"/>
        <sz val="11"/>
        <color theme="0"/>
        <name val="Tenorite"/>
        <scheme val="none"/>
      </font>
      <fill>
        <patternFill patternType="solid">
          <fgColor indexed="64"/>
          <bgColor rgb="FF76368C"/>
        </patternFill>
      </fill>
      <alignment horizontal="center" vertical="center" textRotation="0" wrapText="1" indent="0" justifyLastLine="0" shrinkToFit="0" readingOrder="0"/>
    </dxf>
    <dxf>
      <font>
        <b/>
        <i val="0"/>
        <color rgb="FFFF0000"/>
      </font>
    </dxf>
    <dxf>
      <font>
        <b/>
        <i val="0"/>
        <color rgb="FFFF0000"/>
      </font>
    </dxf>
    <dxf>
      <border>
        <top style="thin">
          <color theme="1" tint="0.499984740745262"/>
        </top>
        <bottom style="thin">
          <color theme="1" tint="0.499984740745262"/>
        </bottom>
      </border>
    </dxf>
    <dxf>
      <border>
        <top style="thin">
          <color theme="1" tint="0.499984740745262"/>
        </top>
        <bottom style="thin">
          <color theme="1" tint="0.499984740745262"/>
        </bottom>
      </border>
    </dxf>
    <dxf>
      <font>
        <b/>
        <color theme="1" tint="0.499984740745262"/>
      </font>
    </dxf>
    <dxf>
      <font>
        <b/>
        <color theme="1"/>
      </font>
    </dxf>
    <dxf>
      <font>
        <b/>
        <color theme="1" tint="0.499984740745262"/>
      </font>
    </dxf>
    <dxf>
      <font>
        <b/>
        <color theme="1"/>
      </font>
    </dxf>
    <dxf>
      <fill>
        <patternFill patternType="solid">
          <fgColor theme="0" tint="-0.14999847407452621"/>
          <bgColor theme="0" tint="-0.14999847407452621"/>
        </patternFill>
      </fill>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solid">
          <fgColor theme="0" tint="-0.14999847407452621"/>
          <bgColor theme="0" tint="-0.14999847407452621"/>
        </patternFill>
      </fill>
      <border>
        <top style="thin">
          <color theme="0" tint="-0.34998626667073579"/>
        </top>
        <bottom style="thin">
          <color theme="0" tint="-0.34998626667073579"/>
        </bottom>
      </border>
    </dxf>
    <dxf>
      <font>
        <b/>
        <color theme="1"/>
      </font>
      <fill>
        <patternFill patternType="solid">
          <fgColor theme="0"/>
          <bgColor theme="0"/>
        </patternFill>
      </fill>
      <border>
        <top style="thin">
          <color theme="1" tint="0.499984740745262"/>
        </top>
        <bottom style="thin">
          <color theme="1" tint="0.499984740745262"/>
        </bottom>
      </border>
    </dxf>
    <dxf>
      <font>
        <b/>
        <color theme="1"/>
      </font>
      <border>
        <top style="thin">
          <color theme="1" tint="0.499984740745262"/>
        </top>
        <bottom style="thin">
          <color theme="1" tint="0.499984740745262"/>
        </bottom>
      </border>
    </dxf>
    <dxf>
      <font>
        <color theme="1"/>
      </font>
      <border>
        <horizontal style="thin">
          <color theme="0" tint="-0.14999847407452621"/>
        </horizontal>
      </border>
    </dxf>
    <dxf>
      <fill>
        <patternFill patternType="solid">
          <fgColor rgb="FFF5F3EE"/>
          <bgColor rgb="FFF5F3EE"/>
        </patternFill>
      </fill>
    </dxf>
    <dxf>
      <fill>
        <patternFill patternType="solid">
          <fgColor rgb="FFF5F3EE"/>
          <bgColor rgb="FFF5F3EE"/>
        </patternFill>
      </fill>
    </dxf>
    <dxf>
      <font>
        <b/>
        <color theme="1"/>
      </font>
    </dxf>
    <dxf>
      <font>
        <b/>
        <color theme="1"/>
      </font>
      <fill>
        <patternFill patternType="solid">
          <fgColor theme="7" tint="0.79995117038483843"/>
          <bgColor rgb="FFF5F3EE"/>
        </patternFill>
      </fill>
    </dxf>
    <dxf>
      <font>
        <b/>
        <color theme="1"/>
      </font>
    </dxf>
    <dxf>
      <font>
        <b/>
        <color theme="1"/>
      </font>
      <fill>
        <patternFill patternType="solid">
          <fgColor rgb="FFF5F3EE"/>
          <bgColor rgb="FFF5F3EE"/>
        </patternFill>
      </fill>
    </dxf>
    <dxf>
      <font>
        <b/>
        <color theme="1"/>
      </font>
      <border>
        <left style="medium">
          <color theme="7" tint="0.59999389629810485"/>
        </left>
        <right style="medium">
          <color theme="7" tint="0.59999389629810485"/>
        </right>
        <top style="medium">
          <color theme="7" tint="0.59999389629810485"/>
        </top>
        <bottom style="medium">
          <color theme="7" tint="0.59999389629810485"/>
        </bottom>
      </border>
    </dxf>
    <dxf>
      <border>
        <left style="thin">
          <color theme="7" tint="0.39997558519241921"/>
        </left>
        <right style="thin">
          <color theme="7" tint="0.39997558519241921"/>
        </right>
      </border>
    </dxf>
    <dxf>
      <border>
        <top style="thin">
          <color theme="7" tint="0.39997558519241921"/>
        </top>
        <bottom style="thin">
          <color theme="7" tint="0.39997558519241921"/>
        </bottom>
        <horizontal style="thin">
          <color theme="7" tint="0.39997558519241921"/>
        </horizontal>
      </border>
    </dxf>
    <dxf>
      <font>
        <b/>
        <color theme="1"/>
      </font>
      <border>
        <top style="thin">
          <color rgb="FF5F1D7B"/>
        </top>
        <bottom style="thick">
          <color rgb="FF5F1D7B"/>
        </bottom>
      </border>
    </dxf>
    <dxf>
      <font>
        <b/>
        <color theme="0"/>
      </font>
      <fill>
        <patternFill patternType="solid">
          <fgColor rgb="FF5F1D7B"/>
          <bgColor rgb="FF5F1D7B"/>
        </patternFill>
      </fill>
      <border>
        <top style="medium">
          <color rgb="FF5F1D7B"/>
        </top>
      </border>
    </dxf>
    <dxf>
      <font>
        <color theme="1"/>
      </font>
    </dxf>
  </dxfs>
  <tableStyles count="2" defaultTableStyle="TableStyleMedium2" defaultPivotStyle="PivotStyleLight16">
    <tableStyle name="PivotStyleMedium12 RM" table="0" count="12" xr9:uid="{A94D3EFD-88CE-4663-9A46-ECBECC3075ED}">
      <tableStyleElement type="wholeTable" dxfId="124"/>
      <tableStyleElement type="headerRow" dxfId="123"/>
      <tableStyleElement type="totalRow" dxfId="122"/>
      <tableStyleElement type="firstRowStripe" dxfId="121"/>
      <tableStyleElement type="firstColumnStripe" dxfId="120"/>
      <tableStyleElement type="firstSubtotalColumn" dxfId="119"/>
      <tableStyleElement type="firstSubtotalRow" dxfId="118"/>
      <tableStyleElement type="secondSubtotalRow" dxfId="117"/>
      <tableStyleElement type="firstRowSubheading" dxfId="116"/>
      <tableStyleElement type="secondRowSubheading" dxfId="115"/>
      <tableStyleElement type="pageFieldLabels" dxfId="114"/>
      <tableStyleElement type="pageFieldValues" dxfId="113"/>
    </tableStyle>
    <tableStyle name="STHLMpivot" table="0" count="11" xr9:uid="{37CC07C3-BD38-40C7-9FD5-AAB133DAE831}">
      <tableStyleElement type="wholeTable" dxfId="112"/>
      <tableStyleElement type="headerRow" dxfId="111"/>
      <tableStyleElement type="totalRow" dxfId="110"/>
      <tableStyleElement type="firstRowStripe" dxfId="109"/>
      <tableStyleElement type="firstColumnStripe" dxfId="108"/>
      <tableStyleElement type="firstSubtotalRow" dxfId="107"/>
      <tableStyleElement type="secondSubtotalRow" dxfId="106"/>
      <tableStyleElement type="firstRowSubheading" dxfId="105"/>
      <tableStyleElement type="secondRowSubheading" dxfId="104"/>
      <tableStyleElement type="pageFieldLabels" dxfId="103"/>
      <tableStyleElement type="pageFieldValues" dxfId="102"/>
    </tableStyle>
  </tableStyles>
  <colors>
    <mruColors>
      <color rgb="FFF5F3EE"/>
      <color rgb="FFA3C9EC"/>
      <color rgb="FF76368C"/>
      <color rgb="FF007FC8"/>
      <color rgb="FFF9BF9C"/>
      <color rgb="FFE9500E"/>
      <color rgb="FFC5B4D9"/>
      <color rgb="FFE5006C"/>
      <color rgb="FF009991"/>
      <color rgb="FF888B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cap="none" spc="20" baseline="0">
                <a:solidFill>
                  <a:srgbClr val="595959"/>
                </a:solidFill>
                <a:latin typeface="Tenorite" panose="00000500000000000000" pitchFamily="2" charset="0"/>
                <a:ea typeface="+mn-ea"/>
                <a:cs typeface="+mn-cs"/>
              </a:defRPr>
            </a:pPr>
            <a:r>
              <a:rPr lang="en-US" sz="1100"/>
              <a:t>Fördelning klimatpåverkan A1-4: Slut</a:t>
            </a:r>
          </a:p>
        </c:rich>
      </c:tx>
      <c:overlay val="0"/>
      <c:spPr>
        <a:noFill/>
        <a:ln>
          <a:noFill/>
        </a:ln>
        <a:effectLst/>
      </c:spPr>
      <c:txPr>
        <a:bodyPr rot="0" spcFirstLastPara="1" vertOverflow="ellipsis" vert="horz" wrap="square" anchor="ctr" anchorCtr="1"/>
        <a:lstStyle/>
        <a:p>
          <a:pPr>
            <a:defRPr sz="1100" b="0" i="0" u="none" strike="noStrike" kern="1200" cap="none" spc="20" baseline="0">
              <a:solidFill>
                <a:srgbClr val="595959"/>
              </a:solidFill>
              <a:latin typeface="Tenorite" panose="00000500000000000000" pitchFamily="2" charset="0"/>
              <a:ea typeface="+mn-ea"/>
              <a:cs typeface="+mn-cs"/>
            </a:defRPr>
          </a:pPr>
          <a:endParaRPr lang="sv-SE"/>
        </a:p>
      </c:txPr>
    </c:title>
    <c:autoTitleDeleted val="0"/>
    <c:plotArea>
      <c:layout/>
      <c:pieChart>
        <c:varyColors val="1"/>
        <c:ser>
          <c:idx val="0"/>
          <c:order val="0"/>
          <c:tx>
            <c:strRef>
              <c:f>Sammanställning!$I$9</c:f>
              <c:strCache>
                <c:ptCount val="1"/>
                <c:pt idx="0">
                  <c:v>Slut</c:v>
                </c:pt>
              </c:strCache>
            </c:strRef>
          </c:tx>
          <c:dPt>
            <c:idx val="0"/>
            <c:bubble3D val="0"/>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extLst>
              <c:ext xmlns:c16="http://schemas.microsoft.com/office/drawing/2014/chart" uri="{C3380CC4-5D6E-409C-BE32-E72D297353CC}">
                <c16:uniqueId val="{00000001-15EF-472F-93FB-5EEB05FFAF9B}"/>
              </c:ext>
            </c:extLst>
          </c:dPt>
          <c:dPt>
            <c:idx val="1"/>
            <c:bubble3D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extLst>
              <c:ext xmlns:c16="http://schemas.microsoft.com/office/drawing/2014/chart" uri="{C3380CC4-5D6E-409C-BE32-E72D297353CC}">
                <c16:uniqueId val="{00000003-15EF-472F-93FB-5EEB05FFAF9B}"/>
              </c:ext>
            </c:extLst>
          </c:dPt>
          <c:dPt>
            <c:idx val="2"/>
            <c:bubble3D val="0"/>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extLst>
              <c:ext xmlns:c16="http://schemas.microsoft.com/office/drawing/2014/chart" uri="{C3380CC4-5D6E-409C-BE32-E72D297353CC}">
                <c16:uniqueId val="{00000005-15EF-472F-93FB-5EEB05FFAF9B}"/>
              </c:ext>
            </c:extLst>
          </c:dPt>
          <c:dPt>
            <c:idx val="3"/>
            <c:bubble3D val="0"/>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extLst>
              <c:ext xmlns:c16="http://schemas.microsoft.com/office/drawing/2014/chart" uri="{C3380CC4-5D6E-409C-BE32-E72D297353CC}">
                <c16:uniqueId val="{00000007-15EF-472F-93FB-5EEB05FFAF9B}"/>
              </c:ext>
            </c:extLst>
          </c:dPt>
          <c:dPt>
            <c:idx val="4"/>
            <c:bubble3D val="0"/>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extLst>
              <c:ext xmlns:c16="http://schemas.microsoft.com/office/drawing/2014/chart" uri="{C3380CC4-5D6E-409C-BE32-E72D297353CC}">
                <c16:uniqueId val="{00000009-15EF-472F-93FB-5EEB05FFAF9B}"/>
              </c:ext>
            </c:extLst>
          </c:dPt>
          <c:dPt>
            <c:idx val="5"/>
            <c:bubble3D val="0"/>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extLst>
              <c:ext xmlns:c16="http://schemas.microsoft.com/office/drawing/2014/chart" uri="{C3380CC4-5D6E-409C-BE32-E72D297353CC}">
                <c16:uniqueId val="{0000000B-E17A-4D02-9EE8-F1A9E23096F2}"/>
              </c:ext>
            </c:extLst>
          </c:dPt>
          <c:dPt>
            <c:idx val="6"/>
            <c:bubble3D val="0"/>
            <c:spPr>
              <a:gradFill rotWithShape="1">
                <a:gsLst>
                  <a:gs pos="0">
                    <a:schemeClr val="accent1">
                      <a:lumMod val="60000"/>
                      <a:lumMod val="110000"/>
                      <a:satMod val="105000"/>
                      <a:tint val="67000"/>
                    </a:schemeClr>
                  </a:gs>
                  <a:gs pos="50000">
                    <a:schemeClr val="accent1">
                      <a:lumMod val="60000"/>
                      <a:lumMod val="105000"/>
                      <a:satMod val="103000"/>
                      <a:tint val="73000"/>
                    </a:schemeClr>
                  </a:gs>
                  <a:gs pos="100000">
                    <a:schemeClr val="accent1">
                      <a:lumMod val="60000"/>
                      <a:lumMod val="105000"/>
                      <a:satMod val="109000"/>
                      <a:tint val="81000"/>
                    </a:schemeClr>
                  </a:gs>
                </a:gsLst>
                <a:lin ang="5400000" scaled="0"/>
              </a:gradFill>
              <a:ln w="9525" cap="flat" cmpd="sng" algn="ctr">
                <a:solidFill>
                  <a:schemeClr val="accent1">
                    <a:lumMod val="60000"/>
                    <a:shade val="95000"/>
                  </a:schemeClr>
                </a:solidFill>
                <a:round/>
              </a:ln>
              <a:effectLst/>
            </c:spPr>
            <c:extLst>
              <c:ext xmlns:c16="http://schemas.microsoft.com/office/drawing/2014/chart" uri="{C3380CC4-5D6E-409C-BE32-E72D297353CC}">
                <c16:uniqueId val="{0000000D-E17A-4D02-9EE8-F1A9E23096F2}"/>
              </c:ext>
            </c:extLst>
          </c:dPt>
          <c:dPt>
            <c:idx val="7"/>
            <c:bubble3D val="0"/>
            <c:spPr>
              <a:gradFill rotWithShape="1">
                <a:gsLst>
                  <a:gs pos="0">
                    <a:schemeClr val="accent2">
                      <a:lumMod val="60000"/>
                      <a:lumMod val="110000"/>
                      <a:satMod val="105000"/>
                      <a:tint val="67000"/>
                    </a:schemeClr>
                  </a:gs>
                  <a:gs pos="50000">
                    <a:schemeClr val="accent2">
                      <a:lumMod val="60000"/>
                      <a:lumMod val="105000"/>
                      <a:satMod val="103000"/>
                      <a:tint val="73000"/>
                    </a:schemeClr>
                  </a:gs>
                  <a:gs pos="100000">
                    <a:schemeClr val="accent2">
                      <a:lumMod val="60000"/>
                      <a:lumMod val="105000"/>
                      <a:satMod val="109000"/>
                      <a:tint val="81000"/>
                    </a:schemeClr>
                  </a:gs>
                </a:gsLst>
                <a:lin ang="5400000" scaled="0"/>
              </a:gradFill>
              <a:ln w="9525" cap="flat" cmpd="sng" algn="ctr">
                <a:solidFill>
                  <a:schemeClr val="accent2">
                    <a:lumMod val="60000"/>
                    <a:shade val="95000"/>
                  </a:schemeClr>
                </a:solidFill>
                <a:round/>
              </a:ln>
              <a:effectLst/>
            </c:spPr>
            <c:extLst>
              <c:ext xmlns:c16="http://schemas.microsoft.com/office/drawing/2014/chart" uri="{C3380CC4-5D6E-409C-BE32-E72D297353CC}">
                <c16:uniqueId val="{0000000F-4EF9-4526-A279-39EDC867A1E8}"/>
              </c:ext>
            </c:extLst>
          </c:dPt>
          <c:dPt>
            <c:idx val="8"/>
            <c:bubble3D val="0"/>
            <c:spPr>
              <a:gradFill rotWithShape="1">
                <a:gsLst>
                  <a:gs pos="0">
                    <a:schemeClr val="accent3">
                      <a:lumMod val="60000"/>
                      <a:lumMod val="110000"/>
                      <a:satMod val="105000"/>
                      <a:tint val="67000"/>
                    </a:schemeClr>
                  </a:gs>
                  <a:gs pos="50000">
                    <a:schemeClr val="accent3">
                      <a:lumMod val="60000"/>
                      <a:lumMod val="105000"/>
                      <a:satMod val="103000"/>
                      <a:tint val="73000"/>
                    </a:schemeClr>
                  </a:gs>
                  <a:gs pos="100000">
                    <a:schemeClr val="accent3">
                      <a:lumMod val="60000"/>
                      <a:lumMod val="105000"/>
                      <a:satMod val="109000"/>
                      <a:tint val="81000"/>
                    </a:schemeClr>
                  </a:gs>
                </a:gsLst>
                <a:lin ang="5400000" scaled="0"/>
              </a:gradFill>
              <a:ln w="9525" cap="flat" cmpd="sng" algn="ctr">
                <a:solidFill>
                  <a:schemeClr val="accent3">
                    <a:lumMod val="60000"/>
                    <a:shade val="95000"/>
                  </a:schemeClr>
                </a:solidFill>
                <a:round/>
              </a:ln>
              <a:effectLst/>
            </c:spPr>
            <c:extLst>
              <c:ext xmlns:c16="http://schemas.microsoft.com/office/drawing/2014/chart" uri="{C3380CC4-5D6E-409C-BE32-E72D297353CC}">
                <c16:uniqueId val="{00000011-7546-4CAF-A98C-9501D15A4353}"/>
              </c:ext>
            </c:extLst>
          </c:dPt>
          <c:dPt>
            <c:idx val="9"/>
            <c:bubble3D val="0"/>
            <c:spPr>
              <a:gradFill rotWithShape="1">
                <a:gsLst>
                  <a:gs pos="0">
                    <a:schemeClr val="accent4">
                      <a:lumMod val="60000"/>
                      <a:lumMod val="110000"/>
                      <a:satMod val="105000"/>
                      <a:tint val="67000"/>
                    </a:schemeClr>
                  </a:gs>
                  <a:gs pos="50000">
                    <a:schemeClr val="accent4">
                      <a:lumMod val="60000"/>
                      <a:lumMod val="105000"/>
                      <a:satMod val="103000"/>
                      <a:tint val="73000"/>
                    </a:schemeClr>
                  </a:gs>
                  <a:gs pos="100000">
                    <a:schemeClr val="accent4">
                      <a:lumMod val="60000"/>
                      <a:lumMod val="105000"/>
                      <a:satMod val="109000"/>
                      <a:tint val="81000"/>
                    </a:schemeClr>
                  </a:gs>
                </a:gsLst>
                <a:lin ang="5400000" scaled="0"/>
              </a:gradFill>
              <a:ln w="9525" cap="flat" cmpd="sng" algn="ctr">
                <a:solidFill>
                  <a:schemeClr val="accent4">
                    <a:lumMod val="60000"/>
                    <a:shade val="95000"/>
                  </a:schemeClr>
                </a:solidFill>
                <a:round/>
              </a:ln>
              <a:effectLst/>
            </c:spPr>
            <c:extLst>
              <c:ext xmlns:c16="http://schemas.microsoft.com/office/drawing/2014/chart" uri="{C3380CC4-5D6E-409C-BE32-E72D297353CC}">
                <c16:uniqueId val="{00000013-7546-4CAF-A98C-9501D15A4353}"/>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595959"/>
                    </a:solidFill>
                    <a:latin typeface="Tenorite" panose="00000500000000000000" pitchFamily="2" charset="0"/>
                    <a:ea typeface="+mn-ea"/>
                    <a:cs typeface="+mn-cs"/>
                  </a:defRPr>
                </a:pPr>
                <a:endParaRPr lang="sv-SE"/>
              </a:p>
            </c:txPr>
            <c:dLblPos val="bestFit"/>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Sammanställning!$D$10:$D$19</c:f>
              <c:strCache>
                <c:ptCount val="10"/>
                <c:pt idx="0">
                  <c:v>Asfalt</c:v>
                </c:pt>
                <c:pt idx="1">
                  <c:v>Betong</c:v>
                </c:pt>
                <c:pt idx="2">
                  <c:v>Metall</c:v>
                </c:pt>
                <c:pt idx="3">
                  <c:v>Plast</c:v>
                </c:pt>
                <c:pt idx="4">
                  <c:v>Anläggningssten</c:v>
                </c:pt>
                <c:pt idx="5">
                  <c:v>Schakt</c:v>
                </c:pt>
                <c:pt idx="6">
                  <c:v>Fyll</c:v>
                </c:pt>
                <c:pt idx="7">
                  <c:v>Teknisk massa</c:v>
                </c:pt>
                <c:pt idx="8">
                  <c:v>Övrigt</c:v>
                </c:pt>
                <c:pt idx="9">
                  <c:v>Transport A4</c:v>
                </c:pt>
              </c:strCache>
            </c:strRef>
          </c:cat>
          <c:val>
            <c:numRef>
              <c:f>Sammanställning!$I$10:$I$19</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A-15EF-472F-93FB-5EEB05FFAF9B}"/>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00">
          <a:solidFill>
            <a:srgbClr val="595959"/>
          </a:solidFill>
          <a:latin typeface="Tenorite" panose="00000500000000000000" pitchFamily="2" charset="0"/>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cap="none" spc="20" baseline="0">
                <a:solidFill>
                  <a:srgbClr val="595959"/>
                </a:solidFill>
                <a:latin typeface="Tenorite" panose="00000500000000000000" pitchFamily="2" charset="0"/>
                <a:ea typeface="+mn-ea"/>
                <a:cs typeface="+mn-cs"/>
              </a:defRPr>
            </a:pPr>
            <a:r>
              <a:rPr lang="en-US" sz="1100"/>
              <a:t>Fördelning materialvikt A1-3: Slut</a:t>
            </a:r>
          </a:p>
        </c:rich>
      </c:tx>
      <c:overlay val="0"/>
      <c:spPr>
        <a:noFill/>
        <a:ln>
          <a:noFill/>
        </a:ln>
        <a:effectLst/>
      </c:spPr>
      <c:txPr>
        <a:bodyPr rot="0" spcFirstLastPara="1" vertOverflow="ellipsis" vert="horz" wrap="square" anchor="ctr" anchorCtr="1"/>
        <a:lstStyle/>
        <a:p>
          <a:pPr>
            <a:defRPr sz="1100" b="0" i="0" u="none" strike="noStrike" kern="1200" cap="none" spc="20" baseline="0">
              <a:solidFill>
                <a:srgbClr val="595959"/>
              </a:solidFill>
              <a:latin typeface="Tenorite" panose="00000500000000000000" pitchFamily="2" charset="0"/>
              <a:ea typeface="+mn-ea"/>
              <a:cs typeface="+mn-cs"/>
            </a:defRPr>
          </a:pPr>
          <a:endParaRPr lang="sv-SE"/>
        </a:p>
      </c:txPr>
    </c:title>
    <c:autoTitleDeleted val="0"/>
    <c:plotArea>
      <c:layout/>
      <c:pieChart>
        <c:varyColors val="1"/>
        <c:ser>
          <c:idx val="0"/>
          <c:order val="0"/>
          <c:tx>
            <c:strRef>
              <c:f>Sammanställning!$G$9</c:f>
              <c:strCache>
                <c:ptCount val="1"/>
                <c:pt idx="0">
                  <c:v>Slut</c:v>
                </c:pt>
              </c:strCache>
            </c:strRef>
          </c:tx>
          <c:dPt>
            <c:idx val="0"/>
            <c:bubble3D val="0"/>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extLst>
              <c:ext xmlns:c16="http://schemas.microsoft.com/office/drawing/2014/chart" uri="{C3380CC4-5D6E-409C-BE32-E72D297353CC}">
                <c16:uniqueId val="{00000001-0B40-4FD0-8EE0-829DC63F9364}"/>
              </c:ext>
            </c:extLst>
          </c:dPt>
          <c:dPt>
            <c:idx val="1"/>
            <c:bubble3D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extLst>
              <c:ext xmlns:c16="http://schemas.microsoft.com/office/drawing/2014/chart" uri="{C3380CC4-5D6E-409C-BE32-E72D297353CC}">
                <c16:uniqueId val="{00000003-0B40-4FD0-8EE0-829DC63F9364}"/>
              </c:ext>
            </c:extLst>
          </c:dPt>
          <c:dPt>
            <c:idx val="2"/>
            <c:bubble3D val="0"/>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extLst>
              <c:ext xmlns:c16="http://schemas.microsoft.com/office/drawing/2014/chart" uri="{C3380CC4-5D6E-409C-BE32-E72D297353CC}">
                <c16:uniqueId val="{00000005-0B40-4FD0-8EE0-829DC63F9364}"/>
              </c:ext>
            </c:extLst>
          </c:dPt>
          <c:dPt>
            <c:idx val="3"/>
            <c:bubble3D val="0"/>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extLst>
              <c:ext xmlns:c16="http://schemas.microsoft.com/office/drawing/2014/chart" uri="{C3380CC4-5D6E-409C-BE32-E72D297353CC}">
                <c16:uniqueId val="{00000007-0B40-4FD0-8EE0-829DC63F9364}"/>
              </c:ext>
            </c:extLst>
          </c:dPt>
          <c:dPt>
            <c:idx val="4"/>
            <c:bubble3D val="0"/>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extLst>
              <c:ext xmlns:c16="http://schemas.microsoft.com/office/drawing/2014/chart" uri="{C3380CC4-5D6E-409C-BE32-E72D297353CC}">
                <c16:uniqueId val="{00000009-0B40-4FD0-8EE0-829DC63F9364}"/>
              </c:ext>
            </c:extLst>
          </c:dPt>
          <c:dPt>
            <c:idx val="5"/>
            <c:bubble3D val="0"/>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extLst>
              <c:ext xmlns:c16="http://schemas.microsoft.com/office/drawing/2014/chart" uri="{C3380CC4-5D6E-409C-BE32-E72D297353CC}">
                <c16:uniqueId val="{0000000B-0B40-4FD0-8EE0-829DC63F9364}"/>
              </c:ext>
            </c:extLst>
          </c:dPt>
          <c:dPt>
            <c:idx val="6"/>
            <c:bubble3D val="0"/>
            <c:spPr>
              <a:gradFill rotWithShape="1">
                <a:gsLst>
                  <a:gs pos="0">
                    <a:schemeClr val="accent1">
                      <a:lumMod val="60000"/>
                      <a:lumMod val="110000"/>
                      <a:satMod val="105000"/>
                      <a:tint val="67000"/>
                    </a:schemeClr>
                  </a:gs>
                  <a:gs pos="50000">
                    <a:schemeClr val="accent1">
                      <a:lumMod val="60000"/>
                      <a:lumMod val="105000"/>
                      <a:satMod val="103000"/>
                      <a:tint val="73000"/>
                    </a:schemeClr>
                  </a:gs>
                  <a:gs pos="100000">
                    <a:schemeClr val="accent1">
                      <a:lumMod val="60000"/>
                      <a:lumMod val="105000"/>
                      <a:satMod val="109000"/>
                      <a:tint val="81000"/>
                    </a:schemeClr>
                  </a:gs>
                </a:gsLst>
                <a:lin ang="5400000" scaled="0"/>
              </a:gradFill>
              <a:ln w="9525" cap="flat" cmpd="sng" algn="ctr">
                <a:solidFill>
                  <a:schemeClr val="accent1">
                    <a:lumMod val="60000"/>
                    <a:shade val="95000"/>
                  </a:schemeClr>
                </a:solidFill>
                <a:round/>
              </a:ln>
              <a:effectLst/>
            </c:spPr>
            <c:extLst>
              <c:ext xmlns:c16="http://schemas.microsoft.com/office/drawing/2014/chart" uri="{C3380CC4-5D6E-409C-BE32-E72D297353CC}">
                <c16:uniqueId val="{0000000D-0B40-4FD0-8EE0-829DC63F9364}"/>
              </c:ext>
            </c:extLst>
          </c:dPt>
          <c:dPt>
            <c:idx val="7"/>
            <c:bubble3D val="0"/>
            <c:spPr>
              <a:gradFill rotWithShape="1">
                <a:gsLst>
                  <a:gs pos="0">
                    <a:schemeClr val="accent2">
                      <a:lumMod val="60000"/>
                      <a:lumMod val="110000"/>
                      <a:satMod val="105000"/>
                      <a:tint val="67000"/>
                    </a:schemeClr>
                  </a:gs>
                  <a:gs pos="50000">
                    <a:schemeClr val="accent2">
                      <a:lumMod val="60000"/>
                      <a:lumMod val="105000"/>
                      <a:satMod val="103000"/>
                      <a:tint val="73000"/>
                    </a:schemeClr>
                  </a:gs>
                  <a:gs pos="100000">
                    <a:schemeClr val="accent2">
                      <a:lumMod val="60000"/>
                      <a:lumMod val="105000"/>
                      <a:satMod val="109000"/>
                      <a:tint val="81000"/>
                    </a:schemeClr>
                  </a:gs>
                </a:gsLst>
                <a:lin ang="5400000" scaled="0"/>
              </a:gradFill>
              <a:ln w="9525" cap="flat" cmpd="sng" algn="ctr">
                <a:solidFill>
                  <a:schemeClr val="accent2">
                    <a:lumMod val="60000"/>
                    <a:shade val="95000"/>
                  </a:schemeClr>
                </a:solidFill>
                <a:round/>
              </a:ln>
              <a:effectLst/>
            </c:spPr>
            <c:extLst>
              <c:ext xmlns:c16="http://schemas.microsoft.com/office/drawing/2014/chart" uri="{C3380CC4-5D6E-409C-BE32-E72D297353CC}">
                <c16:uniqueId val="{0000000F-FE49-43CE-A3A3-99BFB511E1D6}"/>
              </c:ext>
            </c:extLst>
          </c:dPt>
          <c:dPt>
            <c:idx val="8"/>
            <c:bubble3D val="0"/>
            <c:spPr>
              <a:gradFill rotWithShape="1">
                <a:gsLst>
                  <a:gs pos="0">
                    <a:schemeClr val="accent3">
                      <a:lumMod val="60000"/>
                      <a:lumMod val="110000"/>
                      <a:satMod val="105000"/>
                      <a:tint val="67000"/>
                    </a:schemeClr>
                  </a:gs>
                  <a:gs pos="50000">
                    <a:schemeClr val="accent3">
                      <a:lumMod val="60000"/>
                      <a:lumMod val="105000"/>
                      <a:satMod val="103000"/>
                      <a:tint val="73000"/>
                    </a:schemeClr>
                  </a:gs>
                  <a:gs pos="100000">
                    <a:schemeClr val="accent3">
                      <a:lumMod val="60000"/>
                      <a:lumMod val="105000"/>
                      <a:satMod val="109000"/>
                      <a:tint val="81000"/>
                    </a:schemeClr>
                  </a:gs>
                </a:gsLst>
                <a:lin ang="5400000" scaled="0"/>
              </a:gradFill>
              <a:ln w="9525" cap="flat" cmpd="sng" algn="ctr">
                <a:solidFill>
                  <a:schemeClr val="accent3">
                    <a:lumMod val="60000"/>
                    <a:shade val="95000"/>
                  </a:schemeClr>
                </a:solidFill>
                <a:round/>
              </a:ln>
              <a:effectLst/>
            </c:spPr>
            <c:extLst>
              <c:ext xmlns:c16="http://schemas.microsoft.com/office/drawing/2014/chart" uri="{C3380CC4-5D6E-409C-BE32-E72D297353CC}">
                <c16:uniqueId val="{00000011-FE49-43CE-A3A3-99BFB511E1D6}"/>
              </c:ext>
            </c:extLst>
          </c:dPt>
          <c:dLbls>
            <c:spPr>
              <a:noFill/>
              <a:ln>
                <a:noFill/>
              </a:ln>
              <a:effectLst/>
            </c:spPr>
            <c:txPr>
              <a:bodyPr rot="0" spcFirstLastPara="1" vertOverflow="ellipsis" vert="horz" wrap="square" anchor="ctr" anchorCtr="1"/>
              <a:lstStyle/>
              <a:p>
                <a:pPr>
                  <a:defRPr sz="1000" b="0" i="0" u="none" strike="noStrike" kern="1200" baseline="0">
                    <a:solidFill>
                      <a:srgbClr val="595959"/>
                    </a:solidFill>
                    <a:latin typeface="Tenorite" panose="00000500000000000000" pitchFamily="2" charset="0"/>
                    <a:ea typeface="+mn-ea"/>
                    <a:cs typeface="+mn-cs"/>
                  </a:defRPr>
                </a:pPr>
                <a:endParaRPr lang="sv-SE"/>
              </a:p>
            </c:txPr>
            <c:dLblPos val="bestFit"/>
            <c:showLegendKey val="1"/>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Sammanställning!$D$10:$D$18</c:f>
              <c:strCache>
                <c:ptCount val="9"/>
                <c:pt idx="0">
                  <c:v>Asfalt</c:v>
                </c:pt>
                <c:pt idx="1">
                  <c:v>Betong</c:v>
                </c:pt>
                <c:pt idx="2">
                  <c:v>Metall</c:v>
                </c:pt>
                <c:pt idx="3">
                  <c:v>Plast</c:v>
                </c:pt>
                <c:pt idx="4">
                  <c:v>Anläggningssten</c:v>
                </c:pt>
                <c:pt idx="5">
                  <c:v>Schakt</c:v>
                </c:pt>
                <c:pt idx="6">
                  <c:v>Fyll</c:v>
                </c:pt>
                <c:pt idx="7">
                  <c:v>Teknisk massa</c:v>
                </c:pt>
                <c:pt idx="8">
                  <c:v>Övrigt</c:v>
                </c:pt>
              </c:strCache>
            </c:strRef>
          </c:cat>
          <c:val>
            <c:numRef>
              <c:f>Sammanställning!$G$10:$G$18</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0018-4705-92A3-51E5FF0EDF16}"/>
            </c:ext>
          </c:extLst>
        </c:ser>
        <c:dLbls>
          <c:dLblPos val="ctr"/>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solidFill>
            <a:srgbClr val="595959"/>
          </a:solidFill>
          <a:latin typeface="Tenorite" panose="00000500000000000000" pitchFamily="2" charset="0"/>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Sammanställning!$J$26</c:f>
              <c:strCache>
                <c:ptCount val="1"/>
                <c:pt idx="0">
                  <c:v>kg CO2e/m2</c:v>
                </c:pt>
              </c:strCache>
            </c:strRef>
          </c:tx>
          <c:spPr>
            <a:gradFill flip="none" rotWithShape="1">
              <a:gsLst>
                <a:gs pos="0">
                  <a:srgbClr val="76368C"/>
                </a:gs>
                <a:gs pos="100000">
                  <a:srgbClr val="C5B4D9"/>
                </a:gs>
              </a:gsLst>
              <a:path path="circle">
                <a:fillToRect l="50000" t="-80000" r="50000" b="180000"/>
              </a:path>
              <a:tileRect/>
            </a:gradFill>
            <a:ln w="9525" cap="flat" cmpd="sng" algn="ctr">
              <a:noFill/>
              <a:round/>
            </a:ln>
            <a:effectLst/>
          </c:spPr>
          <c:invertIfNegative val="0"/>
          <c:dPt>
            <c:idx val="1"/>
            <c:invertIfNegative val="0"/>
            <c:bubble3D val="0"/>
            <c:spPr>
              <a:gradFill flip="none" rotWithShape="1">
                <a:gsLst>
                  <a:gs pos="0">
                    <a:srgbClr val="007FC8"/>
                  </a:gs>
                  <a:gs pos="100000">
                    <a:srgbClr val="A3C9EC"/>
                  </a:gs>
                </a:gsLst>
                <a:path path="circle">
                  <a:fillToRect l="50000" t="-80000" r="50000" b="180000"/>
                </a:path>
                <a:tileRect/>
              </a:gradFill>
              <a:ln w="9525" cap="flat" cmpd="sng" algn="ctr">
                <a:noFill/>
                <a:round/>
              </a:ln>
              <a:effectLst/>
            </c:spPr>
            <c:extLst>
              <c:ext xmlns:c16="http://schemas.microsoft.com/office/drawing/2014/chart" uri="{C3380CC4-5D6E-409C-BE32-E72D297353CC}">
                <c16:uniqueId val="{00000000-1846-492A-A598-2CA8BA3259C3}"/>
              </c:ext>
            </c:extLst>
          </c:dPt>
          <c:cat>
            <c:strRef>
              <c:f>Sammanställning!$K$25:$L$25</c:f>
              <c:strCache>
                <c:ptCount val="2"/>
                <c:pt idx="0">
                  <c:v>Startkalkyl</c:v>
                </c:pt>
                <c:pt idx="1">
                  <c:v>Slutkalkyl</c:v>
                </c:pt>
              </c:strCache>
            </c:strRef>
          </c:cat>
          <c:val>
            <c:numRef>
              <c:f>Sammanställning!$K$26:$L$26</c:f>
              <c:numCache>
                <c:formatCode>#,##0</c:formatCode>
                <c:ptCount val="2"/>
                <c:pt idx="0">
                  <c:v>0</c:v>
                </c:pt>
                <c:pt idx="1">
                  <c:v>0</c:v>
                </c:pt>
              </c:numCache>
            </c:numRef>
          </c:val>
          <c:extLst>
            <c:ext xmlns:c16="http://schemas.microsoft.com/office/drawing/2014/chart" uri="{C3380CC4-5D6E-409C-BE32-E72D297353CC}">
              <c16:uniqueId val="{00000000-C2D5-4F5C-8A76-E47AB8998E05}"/>
            </c:ext>
          </c:extLst>
        </c:ser>
        <c:ser>
          <c:idx val="1"/>
          <c:order val="1"/>
          <c:tx>
            <c:strRef>
              <c:f>Sammanställning!$J$27</c:f>
              <c:strCache>
                <c:ptCount val="1"/>
                <c:pt idx="0">
                  <c:v>Minskning</c:v>
                </c:pt>
              </c:strCache>
            </c:strRef>
          </c:tx>
          <c:spPr>
            <a:pattFill prst="dkUpDiag">
              <a:fgClr>
                <a:srgbClr val="007FC8"/>
              </a:fgClr>
              <a:bgClr>
                <a:schemeClr val="bg1"/>
              </a:bgClr>
            </a:pattFill>
            <a:ln w="9525" cap="flat" cmpd="sng" algn="ctr">
              <a:noFill/>
              <a:prstDash val="dash"/>
              <a:round/>
            </a:ln>
            <a:effectLst/>
          </c:spPr>
          <c:invertIfNegative val="0"/>
          <c:cat>
            <c:strRef>
              <c:f>Sammanställning!$K$25:$L$25</c:f>
              <c:strCache>
                <c:ptCount val="2"/>
                <c:pt idx="0">
                  <c:v>Startkalkyl</c:v>
                </c:pt>
                <c:pt idx="1">
                  <c:v>Slutkalkyl</c:v>
                </c:pt>
              </c:strCache>
            </c:strRef>
          </c:cat>
          <c:val>
            <c:numRef>
              <c:f>Sammanställning!$K$27:$L$27</c:f>
              <c:numCache>
                <c:formatCode>#,##0</c:formatCode>
                <c:ptCount val="2"/>
                <c:pt idx="1">
                  <c:v>0</c:v>
                </c:pt>
              </c:numCache>
            </c:numRef>
          </c:val>
          <c:extLst>
            <c:ext xmlns:c16="http://schemas.microsoft.com/office/drawing/2014/chart" uri="{C3380CC4-5D6E-409C-BE32-E72D297353CC}">
              <c16:uniqueId val="{00000001-C2D5-4F5C-8A76-E47AB8998E05}"/>
            </c:ext>
          </c:extLst>
        </c:ser>
        <c:dLbls>
          <c:showLegendKey val="0"/>
          <c:showVal val="0"/>
          <c:showCatName val="0"/>
          <c:showSerName val="0"/>
          <c:showPercent val="0"/>
          <c:showBubbleSize val="0"/>
        </c:dLbls>
        <c:gapWidth val="150"/>
        <c:overlap val="100"/>
        <c:axId val="997151088"/>
        <c:axId val="1089826608"/>
      </c:barChart>
      <c:lineChart>
        <c:grouping val="standard"/>
        <c:varyColors val="0"/>
        <c:ser>
          <c:idx val="2"/>
          <c:order val="2"/>
          <c:tx>
            <c:strRef>
              <c:f>Sammanställning!$J$28</c:f>
              <c:strCache>
                <c:ptCount val="1"/>
                <c:pt idx="0">
                  <c:v>Mål</c:v>
                </c:pt>
              </c:strCache>
            </c:strRef>
          </c:tx>
          <c:spPr>
            <a:ln w="50800" cap="rnd">
              <a:solidFill>
                <a:srgbClr val="E5006C"/>
              </a:solidFill>
              <a:prstDash val="sysDash"/>
              <a:round/>
            </a:ln>
            <a:effectLst/>
          </c:spPr>
          <c:marker>
            <c:symbol val="none"/>
          </c:marker>
          <c:cat>
            <c:strRef>
              <c:f>Sammanställning!$K$25:$L$25</c:f>
              <c:strCache>
                <c:ptCount val="2"/>
                <c:pt idx="0">
                  <c:v>Startkalkyl</c:v>
                </c:pt>
                <c:pt idx="1">
                  <c:v>Slutkalkyl</c:v>
                </c:pt>
              </c:strCache>
            </c:strRef>
          </c:cat>
          <c:val>
            <c:numRef>
              <c:f>Sammanställning!$K$28:$L$28</c:f>
              <c:numCache>
                <c:formatCode>0</c:formatCode>
                <c:ptCount val="2"/>
                <c:pt idx="0">
                  <c:v>0</c:v>
                </c:pt>
                <c:pt idx="1">
                  <c:v>0</c:v>
                </c:pt>
              </c:numCache>
            </c:numRef>
          </c:val>
          <c:smooth val="0"/>
          <c:extLst>
            <c:ext xmlns:c16="http://schemas.microsoft.com/office/drawing/2014/chart" uri="{C3380CC4-5D6E-409C-BE32-E72D297353CC}">
              <c16:uniqueId val="{00000002-C2D5-4F5C-8A76-E47AB8998E05}"/>
            </c:ext>
          </c:extLst>
        </c:ser>
        <c:dLbls>
          <c:showLegendKey val="0"/>
          <c:showVal val="0"/>
          <c:showCatName val="0"/>
          <c:showSerName val="0"/>
          <c:showPercent val="0"/>
          <c:showBubbleSize val="0"/>
        </c:dLbls>
        <c:marker val="1"/>
        <c:smooth val="0"/>
        <c:axId val="997151088"/>
        <c:axId val="1089826608"/>
      </c:lineChart>
      <c:catAx>
        <c:axId val="997151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Tenorite" panose="00000500000000000000" pitchFamily="2" charset="0"/>
                <a:ea typeface="+mn-ea"/>
                <a:cs typeface="+mn-cs"/>
              </a:defRPr>
            </a:pPr>
            <a:endParaRPr lang="sv-SE"/>
          </a:p>
        </c:txPr>
        <c:crossAx val="1089826608"/>
        <c:crosses val="autoZero"/>
        <c:auto val="1"/>
        <c:lblAlgn val="ctr"/>
        <c:lblOffset val="100"/>
        <c:noMultiLvlLbl val="0"/>
      </c:catAx>
      <c:valAx>
        <c:axId val="108982660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none" baseline="0">
                    <a:solidFill>
                      <a:schemeClr val="tx1">
                        <a:lumMod val="50000"/>
                        <a:lumOff val="50000"/>
                      </a:schemeClr>
                    </a:solidFill>
                    <a:latin typeface="Tenorite" panose="00000500000000000000" pitchFamily="2" charset="0"/>
                    <a:ea typeface="+mn-ea"/>
                    <a:cs typeface="+mn-cs"/>
                  </a:defRPr>
                </a:pPr>
                <a:r>
                  <a:rPr lang="en-US" cap="none" baseline="0"/>
                  <a:t>Kg CO</a:t>
                </a:r>
                <a:r>
                  <a:rPr lang="en-US" cap="none" baseline="-25000"/>
                  <a:t>2</a:t>
                </a:r>
                <a:r>
                  <a:rPr lang="en-US" cap="none" baseline="0"/>
                  <a:t>e/m</a:t>
                </a:r>
                <a:r>
                  <a:rPr lang="en-US" cap="none" baseline="30000"/>
                  <a:t>2</a:t>
                </a:r>
                <a:r>
                  <a:rPr lang="en-US" cap="none" baseline="0"/>
                  <a:t> A1-4</a:t>
                </a:r>
                <a:endParaRPr lang="en-US" cap="none" baseline="30000"/>
              </a:p>
            </c:rich>
          </c:tx>
          <c:overlay val="0"/>
          <c:spPr>
            <a:noFill/>
            <a:ln>
              <a:noFill/>
            </a:ln>
            <a:effectLst/>
          </c:spPr>
          <c:txPr>
            <a:bodyPr rot="-5400000" spcFirstLastPara="1" vertOverflow="ellipsis" vert="horz" wrap="square" anchor="ctr" anchorCtr="1"/>
            <a:lstStyle/>
            <a:p>
              <a:pPr>
                <a:defRPr sz="900" b="0" i="0" u="none" strike="noStrike" kern="1200" cap="none" baseline="0">
                  <a:solidFill>
                    <a:schemeClr val="tx1">
                      <a:lumMod val="50000"/>
                      <a:lumOff val="50000"/>
                    </a:schemeClr>
                  </a:solidFill>
                  <a:latin typeface="Tenorite" panose="00000500000000000000" pitchFamily="2" charset="0"/>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Tenorite" panose="00000500000000000000" pitchFamily="2" charset="0"/>
                <a:ea typeface="+mn-ea"/>
                <a:cs typeface="+mn-cs"/>
              </a:defRPr>
            </a:pPr>
            <a:endParaRPr lang="sv-SE"/>
          </a:p>
        </c:txPr>
        <c:crossAx val="997151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Tenorite" panose="00000500000000000000" pitchFamily="2" charset="0"/>
              <a:ea typeface="+mn-ea"/>
              <a:cs typeface="+mn-cs"/>
            </a:defRPr>
          </a:pPr>
          <a:endParaRPr lang="sv-S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Tenorite" panose="00000500000000000000" pitchFamily="2" charset="0"/>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cap="none" spc="20" baseline="0">
                <a:solidFill>
                  <a:srgbClr val="595959"/>
                </a:solidFill>
                <a:latin typeface="Tenorite" panose="00000500000000000000" pitchFamily="2" charset="0"/>
                <a:ea typeface="+mn-ea"/>
                <a:cs typeface="+mn-cs"/>
              </a:defRPr>
            </a:pPr>
            <a:r>
              <a:rPr lang="en-US" sz="1100"/>
              <a:t>Fördelning klimatpåverkan A1-4: Start</a:t>
            </a:r>
          </a:p>
        </c:rich>
      </c:tx>
      <c:overlay val="0"/>
      <c:spPr>
        <a:noFill/>
        <a:ln>
          <a:noFill/>
        </a:ln>
        <a:effectLst/>
      </c:spPr>
      <c:txPr>
        <a:bodyPr rot="0" spcFirstLastPara="1" vertOverflow="ellipsis" vert="horz" wrap="square" anchor="ctr" anchorCtr="1"/>
        <a:lstStyle/>
        <a:p>
          <a:pPr>
            <a:defRPr sz="1100" b="0" i="0" u="none" strike="noStrike" kern="1200" cap="none" spc="20" baseline="0">
              <a:solidFill>
                <a:srgbClr val="595959"/>
              </a:solidFill>
              <a:latin typeface="Tenorite" panose="00000500000000000000" pitchFamily="2" charset="0"/>
              <a:ea typeface="+mn-ea"/>
              <a:cs typeface="+mn-cs"/>
            </a:defRPr>
          </a:pPr>
          <a:endParaRPr lang="sv-SE"/>
        </a:p>
      </c:txPr>
    </c:title>
    <c:autoTitleDeleted val="0"/>
    <c:plotArea>
      <c:layout/>
      <c:pieChart>
        <c:varyColors val="1"/>
        <c:ser>
          <c:idx val="0"/>
          <c:order val="0"/>
          <c:tx>
            <c:strRef>
              <c:f>Sammanställning!$H$9</c:f>
              <c:strCache>
                <c:ptCount val="1"/>
                <c:pt idx="0">
                  <c:v>Start</c:v>
                </c:pt>
              </c:strCache>
            </c:strRef>
          </c:tx>
          <c:dPt>
            <c:idx val="0"/>
            <c:bubble3D val="0"/>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extLst>
              <c:ext xmlns:c16="http://schemas.microsoft.com/office/drawing/2014/chart" uri="{C3380CC4-5D6E-409C-BE32-E72D297353CC}">
                <c16:uniqueId val="{00000001-3837-4BA9-A83C-3334CAAE84C3}"/>
              </c:ext>
            </c:extLst>
          </c:dPt>
          <c:dPt>
            <c:idx val="1"/>
            <c:bubble3D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extLst>
              <c:ext xmlns:c16="http://schemas.microsoft.com/office/drawing/2014/chart" uri="{C3380CC4-5D6E-409C-BE32-E72D297353CC}">
                <c16:uniqueId val="{00000003-3837-4BA9-A83C-3334CAAE84C3}"/>
              </c:ext>
            </c:extLst>
          </c:dPt>
          <c:dPt>
            <c:idx val="2"/>
            <c:bubble3D val="0"/>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extLst>
              <c:ext xmlns:c16="http://schemas.microsoft.com/office/drawing/2014/chart" uri="{C3380CC4-5D6E-409C-BE32-E72D297353CC}">
                <c16:uniqueId val="{00000005-3837-4BA9-A83C-3334CAAE84C3}"/>
              </c:ext>
            </c:extLst>
          </c:dPt>
          <c:dPt>
            <c:idx val="3"/>
            <c:bubble3D val="0"/>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extLst>
              <c:ext xmlns:c16="http://schemas.microsoft.com/office/drawing/2014/chart" uri="{C3380CC4-5D6E-409C-BE32-E72D297353CC}">
                <c16:uniqueId val="{00000007-3837-4BA9-A83C-3334CAAE84C3}"/>
              </c:ext>
            </c:extLst>
          </c:dPt>
          <c:dPt>
            <c:idx val="4"/>
            <c:bubble3D val="0"/>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extLst>
              <c:ext xmlns:c16="http://schemas.microsoft.com/office/drawing/2014/chart" uri="{C3380CC4-5D6E-409C-BE32-E72D297353CC}">
                <c16:uniqueId val="{00000009-3837-4BA9-A83C-3334CAAE84C3}"/>
              </c:ext>
            </c:extLst>
          </c:dPt>
          <c:dPt>
            <c:idx val="5"/>
            <c:bubble3D val="0"/>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extLst>
              <c:ext xmlns:c16="http://schemas.microsoft.com/office/drawing/2014/chart" uri="{C3380CC4-5D6E-409C-BE32-E72D297353CC}">
                <c16:uniqueId val="{0000000B-3837-4BA9-A83C-3334CAAE84C3}"/>
              </c:ext>
            </c:extLst>
          </c:dPt>
          <c:dPt>
            <c:idx val="6"/>
            <c:bubble3D val="0"/>
            <c:spPr>
              <a:gradFill rotWithShape="1">
                <a:gsLst>
                  <a:gs pos="0">
                    <a:schemeClr val="accent1">
                      <a:lumMod val="60000"/>
                      <a:lumMod val="110000"/>
                      <a:satMod val="105000"/>
                      <a:tint val="67000"/>
                    </a:schemeClr>
                  </a:gs>
                  <a:gs pos="50000">
                    <a:schemeClr val="accent1">
                      <a:lumMod val="60000"/>
                      <a:lumMod val="105000"/>
                      <a:satMod val="103000"/>
                      <a:tint val="73000"/>
                    </a:schemeClr>
                  </a:gs>
                  <a:gs pos="100000">
                    <a:schemeClr val="accent1">
                      <a:lumMod val="60000"/>
                      <a:lumMod val="105000"/>
                      <a:satMod val="109000"/>
                      <a:tint val="81000"/>
                    </a:schemeClr>
                  </a:gs>
                </a:gsLst>
                <a:lin ang="5400000" scaled="0"/>
              </a:gradFill>
              <a:ln w="9525" cap="flat" cmpd="sng" algn="ctr">
                <a:solidFill>
                  <a:schemeClr val="accent1">
                    <a:lumMod val="60000"/>
                    <a:shade val="95000"/>
                  </a:schemeClr>
                </a:solidFill>
                <a:round/>
              </a:ln>
              <a:effectLst/>
            </c:spPr>
            <c:extLst>
              <c:ext xmlns:c16="http://schemas.microsoft.com/office/drawing/2014/chart" uri="{C3380CC4-5D6E-409C-BE32-E72D297353CC}">
                <c16:uniqueId val="{0000000D-3837-4BA9-A83C-3334CAAE84C3}"/>
              </c:ext>
            </c:extLst>
          </c:dPt>
          <c:dPt>
            <c:idx val="7"/>
            <c:bubble3D val="0"/>
            <c:spPr>
              <a:gradFill rotWithShape="1">
                <a:gsLst>
                  <a:gs pos="0">
                    <a:schemeClr val="accent2">
                      <a:lumMod val="60000"/>
                      <a:lumMod val="110000"/>
                      <a:satMod val="105000"/>
                      <a:tint val="67000"/>
                    </a:schemeClr>
                  </a:gs>
                  <a:gs pos="50000">
                    <a:schemeClr val="accent2">
                      <a:lumMod val="60000"/>
                      <a:lumMod val="105000"/>
                      <a:satMod val="103000"/>
                      <a:tint val="73000"/>
                    </a:schemeClr>
                  </a:gs>
                  <a:gs pos="100000">
                    <a:schemeClr val="accent2">
                      <a:lumMod val="60000"/>
                      <a:lumMod val="105000"/>
                      <a:satMod val="109000"/>
                      <a:tint val="81000"/>
                    </a:schemeClr>
                  </a:gs>
                </a:gsLst>
                <a:lin ang="5400000" scaled="0"/>
              </a:gradFill>
              <a:ln w="9525" cap="flat" cmpd="sng" algn="ctr">
                <a:solidFill>
                  <a:schemeClr val="accent2">
                    <a:lumMod val="60000"/>
                    <a:shade val="95000"/>
                  </a:schemeClr>
                </a:solidFill>
                <a:round/>
              </a:ln>
              <a:effectLst/>
            </c:spPr>
            <c:extLst>
              <c:ext xmlns:c16="http://schemas.microsoft.com/office/drawing/2014/chart" uri="{C3380CC4-5D6E-409C-BE32-E72D297353CC}">
                <c16:uniqueId val="{0000000F-3837-4BA9-A83C-3334CAAE84C3}"/>
              </c:ext>
            </c:extLst>
          </c:dPt>
          <c:dPt>
            <c:idx val="8"/>
            <c:bubble3D val="0"/>
            <c:spPr>
              <a:gradFill rotWithShape="1">
                <a:gsLst>
                  <a:gs pos="0">
                    <a:schemeClr val="accent3">
                      <a:lumMod val="60000"/>
                      <a:lumMod val="110000"/>
                      <a:satMod val="105000"/>
                      <a:tint val="67000"/>
                    </a:schemeClr>
                  </a:gs>
                  <a:gs pos="50000">
                    <a:schemeClr val="accent3">
                      <a:lumMod val="60000"/>
                      <a:lumMod val="105000"/>
                      <a:satMod val="103000"/>
                      <a:tint val="73000"/>
                    </a:schemeClr>
                  </a:gs>
                  <a:gs pos="100000">
                    <a:schemeClr val="accent3">
                      <a:lumMod val="60000"/>
                      <a:lumMod val="105000"/>
                      <a:satMod val="109000"/>
                      <a:tint val="81000"/>
                    </a:schemeClr>
                  </a:gs>
                </a:gsLst>
                <a:lin ang="5400000" scaled="0"/>
              </a:gradFill>
              <a:ln w="9525" cap="flat" cmpd="sng" algn="ctr">
                <a:solidFill>
                  <a:schemeClr val="accent3">
                    <a:lumMod val="60000"/>
                    <a:shade val="95000"/>
                  </a:schemeClr>
                </a:solidFill>
                <a:round/>
              </a:ln>
              <a:effectLst/>
            </c:spPr>
            <c:extLst>
              <c:ext xmlns:c16="http://schemas.microsoft.com/office/drawing/2014/chart" uri="{C3380CC4-5D6E-409C-BE32-E72D297353CC}">
                <c16:uniqueId val="{00000011-3837-4BA9-A83C-3334CAAE84C3}"/>
              </c:ext>
            </c:extLst>
          </c:dPt>
          <c:dPt>
            <c:idx val="9"/>
            <c:bubble3D val="0"/>
            <c:spPr>
              <a:gradFill rotWithShape="1">
                <a:gsLst>
                  <a:gs pos="0">
                    <a:schemeClr val="accent4">
                      <a:lumMod val="60000"/>
                      <a:lumMod val="110000"/>
                      <a:satMod val="105000"/>
                      <a:tint val="67000"/>
                    </a:schemeClr>
                  </a:gs>
                  <a:gs pos="50000">
                    <a:schemeClr val="accent4">
                      <a:lumMod val="60000"/>
                      <a:lumMod val="105000"/>
                      <a:satMod val="103000"/>
                      <a:tint val="73000"/>
                    </a:schemeClr>
                  </a:gs>
                  <a:gs pos="100000">
                    <a:schemeClr val="accent4">
                      <a:lumMod val="60000"/>
                      <a:lumMod val="105000"/>
                      <a:satMod val="109000"/>
                      <a:tint val="81000"/>
                    </a:schemeClr>
                  </a:gs>
                </a:gsLst>
                <a:lin ang="5400000" scaled="0"/>
              </a:gradFill>
              <a:ln w="9525" cap="flat" cmpd="sng" algn="ctr">
                <a:solidFill>
                  <a:schemeClr val="accent4">
                    <a:lumMod val="60000"/>
                    <a:shade val="95000"/>
                  </a:schemeClr>
                </a:solidFill>
                <a:round/>
              </a:ln>
              <a:effectLst/>
            </c:spPr>
            <c:extLst>
              <c:ext xmlns:c16="http://schemas.microsoft.com/office/drawing/2014/chart" uri="{C3380CC4-5D6E-409C-BE32-E72D297353CC}">
                <c16:uniqueId val="{00000013-3837-4BA9-A83C-3334CAAE84C3}"/>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595959"/>
                    </a:solidFill>
                    <a:latin typeface="Tenorite" panose="00000500000000000000" pitchFamily="2" charset="0"/>
                    <a:ea typeface="+mn-ea"/>
                    <a:cs typeface="+mn-cs"/>
                  </a:defRPr>
                </a:pPr>
                <a:endParaRPr lang="sv-SE"/>
              </a:p>
            </c:txPr>
            <c:dLblPos val="bestFit"/>
            <c:showLegendKey val="0"/>
            <c:showVal val="0"/>
            <c:showCatName val="1"/>
            <c:showSerName val="0"/>
            <c:showPercent val="1"/>
            <c:showBubbleSize val="0"/>
            <c:showLeaderLines val="0"/>
            <c:extLst>
              <c:ext xmlns:c15="http://schemas.microsoft.com/office/drawing/2012/chart" uri="{CE6537A1-D6FC-4f65-9D91-7224C49458BB}"/>
            </c:extLst>
          </c:dLbls>
          <c:cat>
            <c:strRef>
              <c:f>Sammanställning!$D$10:$D$19</c:f>
              <c:strCache>
                <c:ptCount val="10"/>
                <c:pt idx="0">
                  <c:v>Asfalt</c:v>
                </c:pt>
                <c:pt idx="1">
                  <c:v>Betong</c:v>
                </c:pt>
                <c:pt idx="2">
                  <c:v>Metall</c:v>
                </c:pt>
                <c:pt idx="3">
                  <c:v>Plast</c:v>
                </c:pt>
                <c:pt idx="4">
                  <c:v>Anläggningssten</c:v>
                </c:pt>
                <c:pt idx="5">
                  <c:v>Schakt</c:v>
                </c:pt>
                <c:pt idx="6">
                  <c:v>Fyll</c:v>
                </c:pt>
                <c:pt idx="7">
                  <c:v>Teknisk massa</c:v>
                </c:pt>
                <c:pt idx="8">
                  <c:v>Övrigt</c:v>
                </c:pt>
                <c:pt idx="9">
                  <c:v>Transport A4</c:v>
                </c:pt>
              </c:strCache>
            </c:strRef>
          </c:cat>
          <c:val>
            <c:numRef>
              <c:f>Sammanställning!$H$10:$H$19</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3837-4BA9-A83C-3334CAAE84C3}"/>
            </c:ext>
          </c:extLst>
        </c:ser>
        <c:dLbls>
          <c:dLblPos val="bestFit"/>
          <c:showLegendKey val="0"/>
          <c:showVal val="1"/>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00">
          <a:solidFill>
            <a:srgbClr val="595959"/>
          </a:solidFill>
          <a:latin typeface="Tenorite" panose="00000500000000000000" pitchFamily="2" charset="0"/>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cap="none" spc="20" baseline="0">
                <a:solidFill>
                  <a:srgbClr val="595959"/>
                </a:solidFill>
                <a:latin typeface="Tenorite" panose="00000500000000000000" pitchFamily="2" charset="0"/>
                <a:ea typeface="+mn-ea"/>
                <a:cs typeface="+mn-cs"/>
              </a:defRPr>
            </a:pPr>
            <a:r>
              <a:rPr lang="en-US" sz="1100"/>
              <a:t>Fördelning materialvikt A1-3: Start</a:t>
            </a:r>
          </a:p>
        </c:rich>
      </c:tx>
      <c:overlay val="0"/>
      <c:spPr>
        <a:noFill/>
        <a:ln>
          <a:noFill/>
        </a:ln>
        <a:effectLst/>
      </c:spPr>
      <c:txPr>
        <a:bodyPr rot="0" spcFirstLastPara="1" vertOverflow="ellipsis" vert="horz" wrap="square" anchor="ctr" anchorCtr="1"/>
        <a:lstStyle/>
        <a:p>
          <a:pPr>
            <a:defRPr sz="1100" b="0" i="0" u="none" strike="noStrike" kern="1200" cap="none" spc="20" baseline="0">
              <a:solidFill>
                <a:srgbClr val="595959"/>
              </a:solidFill>
              <a:latin typeface="Tenorite" panose="00000500000000000000" pitchFamily="2" charset="0"/>
              <a:ea typeface="+mn-ea"/>
              <a:cs typeface="+mn-cs"/>
            </a:defRPr>
          </a:pPr>
          <a:endParaRPr lang="sv-SE"/>
        </a:p>
      </c:txPr>
    </c:title>
    <c:autoTitleDeleted val="0"/>
    <c:plotArea>
      <c:layout/>
      <c:pieChart>
        <c:varyColors val="1"/>
        <c:ser>
          <c:idx val="0"/>
          <c:order val="0"/>
          <c:tx>
            <c:strRef>
              <c:f>Sammanställning!$F$9</c:f>
              <c:strCache>
                <c:ptCount val="1"/>
                <c:pt idx="0">
                  <c:v>Start</c:v>
                </c:pt>
              </c:strCache>
            </c:strRef>
          </c:tx>
          <c:dPt>
            <c:idx val="0"/>
            <c:bubble3D val="0"/>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extLst>
              <c:ext xmlns:c16="http://schemas.microsoft.com/office/drawing/2014/chart" uri="{C3380CC4-5D6E-409C-BE32-E72D297353CC}">
                <c16:uniqueId val="{00000001-0578-440A-8328-67063BE67D32}"/>
              </c:ext>
            </c:extLst>
          </c:dPt>
          <c:dPt>
            <c:idx val="1"/>
            <c:bubble3D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extLst>
              <c:ext xmlns:c16="http://schemas.microsoft.com/office/drawing/2014/chart" uri="{C3380CC4-5D6E-409C-BE32-E72D297353CC}">
                <c16:uniqueId val="{00000003-0578-440A-8328-67063BE67D32}"/>
              </c:ext>
            </c:extLst>
          </c:dPt>
          <c:dPt>
            <c:idx val="2"/>
            <c:bubble3D val="0"/>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extLst>
              <c:ext xmlns:c16="http://schemas.microsoft.com/office/drawing/2014/chart" uri="{C3380CC4-5D6E-409C-BE32-E72D297353CC}">
                <c16:uniqueId val="{00000005-0578-440A-8328-67063BE67D32}"/>
              </c:ext>
            </c:extLst>
          </c:dPt>
          <c:dPt>
            <c:idx val="3"/>
            <c:bubble3D val="0"/>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extLst>
              <c:ext xmlns:c16="http://schemas.microsoft.com/office/drawing/2014/chart" uri="{C3380CC4-5D6E-409C-BE32-E72D297353CC}">
                <c16:uniqueId val="{00000007-0578-440A-8328-67063BE67D32}"/>
              </c:ext>
            </c:extLst>
          </c:dPt>
          <c:dPt>
            <c:idx val="4"/>
            <c:bubble3D val="0"/>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extLst>
              <c:ext xmlns:c16="http://schemas.microsoft.com/office/drawing/2014/chart" uri="{C3380CC4-5D6E-409C-BE32-E72D297353CC}">
                <c16:uniqueId val="{00000009-0578-440A-8328-67063BE67D32}"/>
              </c:ext>
            </c:extLst>
          </c:dPt>
          <c:dPt>
            <c:idx val="5"/>
            <c:bubble3D val="0"/>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extLst>
              <c:ext xmlns:c16="http://schemas.microsoft.com/office/drawing/2014/chart" uri="{C3380CC4-5D6E-409C-BE32-E72D297353CC}">
                <c16:uniqueId val="{0000000B-0578-440A-8328-67063BE67D32}"/>
              </c:ext>
            </c:extLst>
          </c:dPt>
          <c:dPt>
            <c:idx val="6"/>
            <c:bubble3D val="0"/>
            <c:spPr>
              <a:gradFill rotWithShape="1">
                <a:gsLst>
                  <a:gs pos="0">
                    <a:schemeClr val="accent1">
                      <a:lumMod val="60000"/>
                      <a:lumMod val="110000"/>
                      <a:satMod val="105000"/>
                      <a:tint val="67000"/>
                    </a:schemeClr>
                  </a:gs>
                  <a:gs pos="50000">
                    <a:schemeClr val="accent1">
                      <a:lumMod val="60000"/>
                      <a:lumMod val="105000"/>
                      <a:satMod val="103000"/>
                      <a:tint val="73000"/>
                    </a:schemeClr>
                  </a:gs>
                  <a:gs pos="100000">
                    <a:schemeClr val="accent1">
                      <a:lumMod val="60000"/>
                      <a:lumMod val="105000"/>
                      <a:satMod val="109000"/>
                      <a:tint val="81000"/>
                    </a:schemeClr>
                  </a:gs>
                </a:gsLst>
                <a:lin ang="5400000" scaled="0"/>
              </a:gradFill>
              <a:ln w="9525" cap="flat" cmpd="sng" algn="ctr">
                <a:solidFill>
                  <a:schemeClr val="accent1">
                    <a:lumMod val="60000"/>
                    <a:shade val="95000"/>
                  </a:schemeClr>
                </a:solidFill>
                <a:round/>
              </a:ln>
              <a:effectLst/>
            </c:spPr>
            <c:extLst>
              <c:ext xmlns:c16="http://schemas.microsoft.com/office/drawing/2014/chart" uri="{C3380CC4-5D6E-409C-BE32-E72D297353CC}">
                <c16:uniqueId val="{0000000D-0578-440A-8328-67063BE67D32}"/>
              </c:ext>
            </c:extLst>
          </c:dPt>
          <c:dPt>
            <c:idx val="7"/>
            <c:bubble3D val="0"/>
            <c:spPr>
              <a:gradFill rotWithShape="1">
                <a:gsLst>
                  <a:gs pos="0">
                    <a:schemeClr val="accent2">
                      <a:lumMod val="60000"/>
                      <a:lumMod val="110000"/>
                      <a:satMod val="105000"/>
                      <a:tint val="67000"/>
                    </a:schemeClr>
                  </a:gs>
                  <a:gs pos="50000">
                    <a:schemeClr val="accent2">
                      <a:lumMod val="60000"/>
                      <a:lumMod val="105000"/>
                      <a:satMod val="103000"/>
                      <a:tint val="73000"/>
                    </a:schemeClr>
                  </a:gs>
                  <a:gs pos="100000">
                    <a:schemeClr val="accent2">
                      <a:lumMod val="60000"/>
                      <a:lumMod val="105000"/>
                      <a:satMod val="109000"/>
                      <a:tint val="81000"/>
                    </a:schemeClr>
                  </a:gs>
                </a:gsLst>
                <a:lin ang="5400000" scaled="0"/>
              </a:gradFill>
              <a:ln w="9525" cap="flat" cmpd="sng" algn="ctr">
                <a:solidFill>
                  <a:schemeClr val="accent2">
                    <a:lumMod val="60000"/>
                    <a:shade val="95000"/>
                  </a:schemeClr>
                </a:solidFill>
                <a:round/>
              </a:ln>
              <a:effectLst/>
            </c:spPr>
            <c:extLst>
              <c:ext xmlns:c16="http://schemas.microsoft.com/office/drawing/2014/chart" uri="{C3380CC4-5D6E-409C-BE32-E72D297353CC}">
                <c16:uniqueId val="{0000000F-0578-440A-8328-67063BE67D32}"/>
              </c:ext>
            </c:extLst>
          </c:dPt>
          <c:dPt>
            <c:idx val="8"/>
            <c:bubble3D val="0"/>
            <c:spPr>
              <a:gradFill rotWithShape="1">
                <a:gsLst>
                  <a:gs pos="0">
                    <a:schemeClr val="accent3">
                      <a:lumMod val="60000"/>
                      <a:lumMod val="110000"/>
                      <a:satMod val="105000"/>
                      <a:tint val="67000"/>
                    </a:schemeClr>
                  </a:gs>
                  <a:gs pos="50000">
                    <a:schemeClr val="accent3">
                      <a:lumMod val="60000"/>
                      <a:lumMod val="105000"/>
                      <a:satMod val="103000"/>
                      <a:tint val="73000"/>
                    </a:schemeClr>
                  </a:gs>
                  <a:gs pos="100000">
                    <a:schemeClr val="accent3">
                      <a:lumMod val="60000"/>
                      <a:lumMod val="105000"/>
                      <a:satMod val="109000"/>
                      <a:tint val="81000"/>
                    </a:schemeClr>
                  </a:gs>
                </a:gsLst>
                <a:lin ang="5400000" scaled="0"/>
              </a:gradFill>
              <a:ln w="9525" cap="flat" cmpd="sng" algn="ctr">
                <a:solidFill>
                  <a:schemeClr val="accent3">
                    <a:lumMod val="60000"/>
                    <a:shade val="95000"/>
                  </a:schemeClr>
                </a:solidFill>
                <a:round/>
              </a:ln>
              <a:effectLst/>
            </c:spPr>
            <c:extLst>
              <c:ext xmlns:c16="http://schemas.microsoft.com/office/drawing/2014/chart" uri="{C3380CC4-5D6E-409C-BE32-E72D297353CC}">
                <c16:uniqueId val="{00000011-0578-440A-8328-67063BE67D32}"/>
              </c:ext>
            </c:extLst>
          </c:dPt>
          <c:dLbls>
            <c:spPr>
              <a:noFill/>
              <a:ln>
                <a:noFill/>
              </a:ln>
              <a:effectLst/>
            </c:spPr>
            <c:txPr>
              <a:bodyPr rot="0" spcFirstLastPara="1" vertOverflow="ellipsis" vert="horz" wrap="square" anchor="ctr" anchorCtr="1"/>
              <a:lstStyle/>
              <a:p>
                <a:pPr>
                  <a:defRPr sz="1000" b="0" i="0" u="none" strike="noStrike" kern="1200" baseline="0">
                    <a:solidFill>
                      <a:srgbClr val="595959"/>
                    </a:solidFill>
                    <a:latin typeface="Tenorite" panose="00000500000000000000" pitchFamily="2" charset="0"/>
                    <a:ea typeface="+mn-ea"/>
                    <a:cs typeface="+mn-cs"/>
                  </a:defRPr>
                </a:pPr>
                <a:endParaRPr lang="sv-SE"/>
              </a:p>
            </c:txPr>
            <c:dLblPos val="bestFit"/>
            <c:showLegendKey val="0"/>
            <c:showVal val="0"/>
            <c:showCatName val="1"/>
            <c:showSerName val="0"/>
            <c:showPercent val="1"/>
            <c:showBubbleSize val="0"/>
            <c:separator>
</c:separator>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Sammanställning!$D$10:$D$18</c:f>
              <c:strCache>
                <c:ptCount val="9"/>
                <c:pt idx="0">
                  <c:v>Asfalt</c:v>
                </c:pt>
                <c:pt idx="1">
                  <c:v>Betong</c:v>
                </c:pt>
                <c:pt idx="2">
                  <c:v>Metall</c:v>
                </c:pt>
                <c:pt idx="3">
                  <c:v>Plast</c:v>
                </c:pt>
                <c:pt idx="4">
                  <c:v>Anläggningssten</c:v>
                </c:pt>
                <c:pt idx="5">
                  <c:v>Schakt</c:v>
                </c:pt>
                <c:pt idx="6">
                  <c:v>Fyll</c:v>
                </c:pt>
                <c:pt idx="7">
                  <c:v>Teknisk massa</c:v>
                </c:pt>
                <c:pt idx="8">
                  <c:v>Övrigt</c:v>
                </c:pt>
              </c:strCache>
            </c:strRef>
          </c:cat>
          <c:val>
            <c:numRef>
              <c:f>Sammanställning!$F$10:$F$18</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2-0578-440A-8328-67063BE67D32}"/>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solidFill>
            <a:srgbClr val="595959"/>
          </a:solidFill>
          <a:latin typeface="Tenorite" panose="00000500000000000000" pitchFamily="2" charset="0"/>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cap="none" spc="50" normalizeH="0" baseline="0">
                <a:solidFill>
                  <a:schemeClr val="tx1">
                    <a:lumMod val="65000"/>
                    <a:lumOff val="35000"/>
                  </a:schemeClr>
                </a:solidFill>
                <a:latin typeface="Tenorite" panose="00000500000000000000" pitchFamily="2" charset="0"/>
                <a:ea typeface="+mj-ea"/>
                <a:cs typeface="+mj-cs"/>
              </a:defRPr>
            </a:pPr>
            <a:r>
              <a:rPr lang="en-US" sz="1100"/>
              <a:t>Ton material A1-3</a:t>
            </a:r>
          </a:p>
        </c:rich>
      </c:tx>
      <c:overlay val="0"/>
      <c:spPr>
        <a:noFill/>
        <a:ln>
          <a:noFill/>
        </a:ln>
        <a:effectLst/>
      </c:spPr>
      <c:txPr>
        <a:bodyPr rot="0" spcFirstLastPara="1" vertOverflow="ellipsis" vert="horz" wrap="square" anchor="ctr" anchorCtr="1"/>
        <a:lstStyle/>
        <a:p>
          <a:pPr>
            <a:defRPr sz="1100" b="0" i="0" u="none" strike="noStrike" kern="1200" cap="none" spc="50" normalizeH="0" baseline="0">
              <a:solidFill>
                <a:schemeClr val="tx1">
                  <a:lumMod val="65000"/>
                  <a:lumOff val="35000"/>
                </a:schemeClr>
              </a:solidFill>
              <a:latin typeface="Tenorite" panose="00000500000000000000" pitchFamily="2" charset="0"/>
              <a:ea typeface="+mj-ea"/>
              <a:cs typeface="+mj-cs"/>
            </a:defRPr>
          </a:pPr>
          <a:endParaRPr lang="sv-SE"/>
        </a:p>
      </c:txPr>
    </c:title>
    <c:autoTitleDeleted val="0"/>
    <c:plotArea>
      <c:layout/>
      <c:barChart>
        <c:barDir val="col"/>
        <c:grouping val="clustered"/>
        <c:varyColors val="0"/>
        <c:ser>
          <c:idx val="0"/>
          <c:order val="0"/>
          <c:tx>
            <c:strRef>
              <c:f>Sammanställning!$F$9</c:f>
              <c:strCache>
                <c:ptCount val="1"/>
                <c:pt idx="0">
                  <c:v>Start</c:v>
                </c:pt>
              </c:strCache>
            </c:strRef>
          </c:tx>
          <c:spPr>
            <a:gradFill flip="none" rotWithShape="1">
              <a:gsLst>
                <a:gs pos="0">
                  <a:srgbClr val="76368C"/>
                </a:gs>
                <a:gs pos="100000">
                  <a:srgbClr val="C5B4D9"/>
                </a:gs>
              </a:gsLst>
              <a:path path="circle">
                <a:fillToRect l="50000" t="-80000" r="50000" b="180000"/>
              </a:path>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enorite" panose="00000500000000000000" pitchFamily="2" charset="0"/>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Sammanställning!$D$10:$D$18</c:f>
              <c:strCache>
                <c:ptCount val="9"/>
                <c:pt idx="0">
                  <c:v>Asfalt</c:v>
                </c:pt>
                <c:pt idx="1">
                  <c:v>Betong</c:v>
                </c:pt>
                <c:pt idx="2">
                  <c:v>Metall</c:v>
                </c:pt>
                <c:pt idx="3">
                  <c:v>Plast</c:v>
                </c:pt>
                <c:pt idx="4">
                  <c:v>Anläggningssten</c:v>
                </c:pt>
                <c:pt idx="5">
                  <c:v>Schakt</c:v>
                </c:pt>
                <c:pt idx="6">
                  <c:v>Fyll</c:v>
                </c:pt>
                <c:pt idx="7">
                  <c:v>Teknisk massa</c:v>
                </c:pt>
                <c:pt idx="8">
                  <c:v>Övrigt</c:v>
                </c:pt>
              </c:strCache>
            </c:strRef>
          </c:cat>
          <c:val>
            <c:numRef>
              <c:f>Sammanställning!$F$10:$F$18</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8F35-4635-9374-07C214ABC501}"/>
            </c:ext>
          </c:extLst>
        </c:ser>
        <c:ser>
          <c:idx val="1"/>
          <c:order val="1"/>
          <c:tx>
            <c:strRef>
              <c:f>Sammanställning!$G$9</c:f>
              <c:strCache>
                <c:ptCount val="1"/>
                <c:pt idx="0">
                  <c:v>Slut</c:v>
                </c:pt>
              </c:strCache>
            </c:strRef>
          </c:tx>
          <c:spPr>
            <a:gradFill flip="none" rotWithShape="1">
              <a:gsLst>
                <a:gs pos="0">
                  <a:srgbClr val="007FC8"/>
                </a:gs>
                <a:gs pos="100000">
                  <a:srgbClr val="A3C9EC"/>
                </a:gs>
              </a:gsLst>
              <a:path path="circle">
                <a:fillToRect l="50000" t="-80000" r="50000" b="180000"/>
              </a:path>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enorite" panose="00000500000000000000" pitchFamily="2" charset="0"/>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Sammanställning!$D$10:$D$18</c:f>
              <c:strCache>
                <c:ptCount val="9"/>
                <c:pt idx="0">
                  <c:v>Asfalt</c:v>
                </c:pt>
                <c:pt idx="1">
                  <c:v>Betong</c:v>
                </c:pt>
                <c:pt idx="2">
                  <c:v>Metall</c:v>
                </c:pt>
                <c:pt idx="3">
                  <c:v>Plast</c:v>
                </c:pt>
                <c:pt idx="4">
                  <c:v>Anläggningssten</c:v>
                </c:pt>
                <c:pt idx="5">
                  <c:v>Schakt</c:v>
                </c:pt>
                <c:pt idx="6">
                  <c:v>Fyll</c:v>
                </c:pt>
                <c:pt idx="7">
                  <c:v>Teknisk massa</c:v>
                </c:pt>
                <c:pt idx="8">
                  <c:v>Övrigt</c:v>
                </c:pt>
              </c:strCache>
            </c:strRef>
          </c:cat>
          <c:val>
            <c:numRef>
              <c:f>Sammanställning!$G$10:$G$18</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5-8F35-4635-9374-07C214ABC501}"/>
            </c:ext>
          </c:extLst>
        </c:ser>
        <c:dLbls>
          <c:dLblPos val="inEnd"/>
          <c:showLegendKey val="0"/>
          <c:showVal val="1"/>
          <c:showCatName val="0"/>
          <c:showSerName val="0"/>
          <c:showPercent val="0"/>
          <c:showBubbleSize val="0"/>
        </c:dLbls>
        <c:gapWidth val="80"/>
        <c:axId val="771541104"/>
        <c:axId val="771542544"/>
      </c:barChart>
      <c:catAx>
        <c:axId val="771541104"/>
        <c:scaling>
          <c:orientation val="minMax"/>
        </c:scaling>
        <c:delete val="0"/>
        <c:axPos val="b"/>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Tenorite" panose="00000500000000000000" pitchFamily="2" charset="0"/>
                <a:ea typeface="+mn-ea"/>
                <a:cs typeface="+mn-cs"/>
              </a:defRPr>
            </a:pPr>
            <a:endParaRPr lang="sv-SE"/>
          </a:p>
        </c:txPr>
        <c:crossAx val="771542544"/>
        <c:crosses val="autoZero"/>
        <c:auto val="1"/>
        <c:lblAlgn val="ctr"/>
        <c:lblOffset val="100"/>
        <c:noMultiLvlLbl val="0"/>
      </c:catAx>
      <c:valAx>
        <c:axId val="771542544"/>
        <c:scaling>
          <c:orientation val="minMax"/>
        </c:scaling>
        <c:delete val="0"/>
        <c:axPos val="l"/>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lumMod val="65000"/>
                    <a:lumOff val="35000"/>
                  </a:schemeClr>
                </a:solidFill>
                <a:latin typeface="Tenorite" panose="00000500000000000000" pitchFamily="2" charset="0"/>
                <a:ea typeface="+mn-ea"/>
                <a:cs typeface="+mn-cs"/>
              </a:defRPr>
            </a:pPr>
            <a:endParaRPr lang="sv-SE"/>
          </a:p>
        </c:txPr>
        <c:crossAx val="771541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enorite" panose="00000500000000000000" pitchFamily="2" charset="0"/>
              <a:ea typeface="+mn-ea"/>
              <a:cs typeface="+mn-cs"/>
            </a:defRPr>
          </a:pPr>
          <a:endParaRPr lang="sv-S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tx1">
          <a:lumMod val="15000"/>
          <a:lumOff val="85000"/>
        </a:schemeClr>
      </a:solidFill>
      <a:round/>
    </a:ln>
    <a:effectLst/>
  </c:spPr>
  <c:txPr>
    <a:bodyPr/>
    <a:lstStyle/>
    <a:p>
      <a:pPr>
        <a:defRPr>
          <a:latin typeface="Tenorite" panose="00000500000000000000" pitchFamily="2" charset="0"/>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cap="none" spc="50" normalizeH="0" baseline="0">
                <a:solidFill>
                  <a:schemeClr val="tx1">
                    <a:lumMod val="65000"/>
                    <a:lumOff val="35000"/>
                  </a:schemeClr>
                </a:solidFill>
                <a:latin typeface="Tenorite" panose="00000500000000000000" pitchFamily="2" charset="0"/>
                <a:ea typeface="+mj-ea"/>
                <a:cs typeface="+mj-cs"/>
              </a:defRPr>
            </a:pPr>
            <a:r>
              <a:rPr lang="en-US" sz="1100"/>
              <a:t>Ton CO</a:t>
            </a:r>
            <a:r>
              <a:rPr lang="en-US" sz="1100" baseline="-25000"/>
              <a:t>2</a:t>
            </a:r>
            <a:r>
              <a:rPr lang="en-US" sz="1100"/>
              <a:t>e A1-4</a:t>
            </a:r>
          </a:p>
        </c:rich>
      </c:tx>
      <c:overlay val="0"/>
      <c:spPr>
        <a:noFill/>
        <a:ln>
          <a:noFill/>
        </a:ln>
        <a:effectLst/>
      </c:spPr>
      <c:txPr>
        <a:bodyPr rot="0" spcFirstLastPara="1" vertOverflow="ellipsis" vert="horz" wrap="square" anchor="ctr" anchorCtr="1"/>
        <a:lstStyle/>
        <a:p>
          <a:pPr>
            <a:defRPr sz="1100" b="0" i="0" u="none" strike="noStrike" kern="1200" cap="none" spc="50" normalizeH="0" baseline="0">
              <a:solidFill>
                <a:schemeClr val="tx1">
                  <a:lumMod val="65000"/>
                  <a:lumOff val="35000"/>
                </a:schemeClr>
              </a:solidFill>
              <a:latin typeface="Tenorite" panose="00000500000000000000" pitchFamily="2" charset="0"/>
              <a:ea typeface="+mj-ea"/>
              <a:cs typeface="+mj-cs"/>
            </a:defRPr>
          </a:pPr>
          <a:endParaRPr lang="sv-SE"/>
        </a:p>
      </c:txPr>
    </c:title>
    <c:autoTitleDeleted val="0"/>
    <c:plotArea>
      <c:layout/>
      <c:barChart>
        <c:barDir val="col"/>
        <c:grouping val="clustered"/>
        <c:varyColors val="0"/>
        <c:ser>
          <c:idx val="0"/>
          <c:order val="0"/>
          <c:tx>
            <c:strRef>
              <c:f>Sammanställning!$H$9</c:f>
              <c:strCache>
                <c:ptCount val="1"/>
                <c:pt idx="0">
                  <c:v>Start</c:v>
                </c:pt>
              </c:strCache>
            </c:strRef>
          </c:tx>
          <c:spPr>
            <a:gradFill flip="none" rotWithShape="1">
              <a:gsLst>
                <a:gs pos="0">
                  <a:srgbClr val="76368C"/>
                </a:gs>
                <a:gs pos="100000">
                  <a:srgbClr val="C5B4D9"/>
                </a:gs>
              </a:gsLst>
              <a:path path="circle">
                <a:fillToRect l="50000" t="-80000" r="50000" b="180000"/>
              </a:path>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enorite" panose="00000500000000000000" pitchFamily="2" charset="0"/>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Sammanställning!$D$10:$D$19</c:f>
              <c:strCache>
                <c:ptCount val="10"/>
                <c:pt idx="0">
                  <c:v>Asfalt</c:v>
                </c:pt>
                <c:pt idx="1">
                  <c:v>Betong</c:v>
                </c:pt>
                <c:pt idx="2">
                  <c:v>Metall</c:v>
                </c:pt>
                <c:pt idx="3">
                  <c:v>Plast</c:v>
                </c:pt>
                <c:pt idx="4">
                  <c:v>Anläggningssten</c:v>
                </c:pt>
                <c:pt idx="5">
                  <c:v>Schakt</c:v>
                </c:pt>
                <c:pt idx="6">
                  <c:v>Fyll</c:v>
                </c:pt>
                <c:pt idx="7">
                  <c:v>Teknisk massa</c:v>
                </c:pt>
                <c:pt idx="8">
                  <c:v>Övrigt</c:v>
                </c:pt>
                <c:pt idx="9">
                  <c:v>Transport A4</c:v>
                </c:pt>
              </c:strCache>
            </c:strRef>
          </c:cat>
          <c:val>
            <c:numRef>
              <c:f>Sammanställning!$H$10:$H$19</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62D-4FEA-88B0-08AE909FB2A6}"/>
            </c:ext>
          </c:extLst>
        </c:ser>
        <c:ser>
          <c:idx val="1"/>
          <c:order val="1"/>
          <c:tx>
            <c:strRef>
              <c:f>Sammanställning!$I$9</c:f>
              <c:strCache>
                <c:ptCount val="1"/>
                <c:pt idx="0">
                  <c:v>Slut</c:v>
                </c:pt>
              </c:strCache>
            </c:strRef>
          </c:tx>
          <c:spPr>
            <a:gradFill flip="none" rotWithShape="1">
              <a:gsLst>
                <a:gs pos="0">
                  <a:srgbClr val="007FC8"/>
                </a:gs>
                <a:gs pos="100000">
                  <a:srgbClr val="A3C9EC"/>
                </a:gs>
              </a:gsLst>
              <a:path path="circle">
                <a:fillToRect l="50000" t="-80000" r="50000" b="180000"/>
              </a:path>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enorite" panose="00000500000000000000" pitchFamily="2" charset="0"/>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Sammanställning!$D$10:$D$19</c:f>
              <c:strCache>
                <c:ptCount val="10"/>
                <c:pt idx="0">
                  <c:v>Asfalt</c:v>
                </c:pt>
                <c:pt idx="1">
                  <c:v>Betong</c:v>
                </c:pt>
                <c:pt idx="2">
                  <c:v>Metall</c:v>
                </c:pt>
                <c:pt idx="3">
                  <c:v>Plast</c:v>
                </c:pt>
                <c:pt idx="4">
                  <c:v>Anläggningssten</c:v>
                </c:pt>
                <c:pt idx="5">
                  <c:v>Schakt</c:v>
                </c:pt>
                <c:pt idx="6">
                  <c:v>Fyll</c:v>
                </c:pt>
                <c:pt idx="7">
                  <c:v>Teknisk massa</c:v>
                </c:pt>
                <c:pt idx="8">
                  <c:v>Övrigt</c:v>
                </c:pt>
                <c:pt idx="9">
                  <c:v>Transport A4</c:v>
                </c:pt>
              </c:strCache>
            </c:strRef>
          </c:cat>
          <c:val>
            <c:numRef>
              <c:f>Sammanställning!$I$10:$I$19</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9-062D-4FEA-88B0-08AE909FB2A6}"/>
            </c:ext>
          </c:extLst>
        </c:ser>
        <c:dLbls>
          <c:dLblPos val="inEnd"/>
          <c:showLegendKey val="0"/>
          <c:showVal val="1"/>
          <c:showCatName val="0"/>
          <c:showSerName val="0"/>
          <c:showPercent val="0"/>
          <c:showBubbleSize val="0"/>
        </c:dLbls>
        <c:gapWidth val="80"/>
        <c:axId val="771541104"/>
        <c:axId val="771542544"/>
      </c:barChart>
      <c:catAx>
        <c:axId val="771541104"/>
        <c:scaling>
          <c:orientation val="minMax"/>
        </c:scaling>
        <c:delete val="0"/>
        <c:axPos val="b"/>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Tenorite" panose="00000500000000000000" pitchFamily="2" charset="0"/>
                <a:ea typeface="+mn-ea"/>
                <a:cs typeface="+mn-cs"/>
              </a:defRPr>
            </a:pPr>
            <a:endParaRPr lang="sv-SE"/>
          </a:p>
        </c:txPr>
        <c:crossAx val="771542544"/>
        <c:crosses val="autoZero"/>
        <c:auto val="1"/>
        <c:lblAlgn val="ctr"/>
        <c:lblOffset val="100"/>
        <c:noMultiLvlLbl val="0"/>
      </c:catAx>
      <c:valAx>
        <c:axId val="771542544"/>
        <c:scaling>
          <c:orientation val="minMax"/>
        </c:scaling>
        <c:delete val="0"/>
        <c:axPos val="l"/>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lumMod val="65000"/>
                    <a:lumOff val="35000"/>
                  </a:schemeClr>
                </a:solidFill>
                <a:latin typeface="Tenorite" panose="00000500000000000000" pitchFamily="2" charset="0"/>
                <a:ea typeface="+mn-ea"/>
                <a:cs typeface="+mn-cs"/>
              </a:defRPr>
            </a:pPr>
            <a:endParaRPr lang="sv-SE"/>
          </a:p>
        </c:txPr>
        <c:crossAx val="771541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enorite" panose="00000500000000000000" pitchFamily="2" charset="0"/>
              <a:ea typeface="+mn-ea"/>
              <a:cs typeface="+mn-cs"/>
            </a:defRPr>
          </a:pPr>
          <a:endParaRPr lang="sv-S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tx1">
          <a:lumMod val="15000"/>
          <a:lumOff val="85000"/>
        </a:schemeClr>
      </a:solidFill>
      <a:round/>
    </a:ln>
    <a:effectLst/>
  </c:spPr>
  <c:txPr>
    <a:bodyPr/>
    <a:lstStyle/>
    <a:p>
      <a:pPr>
        <a:defRPr>
          <a:latin typeface="Tenorite" panose="00000500000000000000" pitchFamily="2" charset="0"/>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cap="none" spc="20" baseline="0">
                <a:solidFill>
                  <a:schemeClr val="tx1">
                    <a:lumMod val="50000"/>
                    <a:lumOff val="50000"/>
                  </a:schemeClr>
                </a:solidFill>
                <a:latin typeface="Tenorite" panose="00000500000000000000" pitchFamily="2" charset="0"/>
                <a:ea typeface="+mn-ea"/>
                <a:cs typeface="+mn-cs"/>
              </a:defRPr>
            </a:pPr>
            <a:r>
              <a:rPr lang="sv-SE" sz="1050"/>
              <a:t>Ton CO</a:t>
            </a:r>
            <a:r>
              <a:rPr lang="sv-SE" sz="1050" baseline="-25000"/>
              <a:t>2</a:t>
            </a:r>
            <a:r>
              <a:rPr lang="sv-SE" sz="1050"/>
              <a:t>e Transport A4</a:t>
            </a:r>
          </a:p>
        </c:rich>
      </c:tx>
      <c:overlay val="0"/>
      <c:spPr>
        <a:noFill/>
        <a:ln>
          <a:noFill/>
        </a:ln>
        <a:effectLst/>
      </c:spPr>
      <c:txPr>
        <a:bodyPr rot="0" spcFirstLastPara="1" vertOverflow="ellipsis" vert="horz" wrap="square" anchor="ctr" anchorCtr="1"/>
        <a:lstStyle/>
        <a:p>
          <a:pPr>
            <a:defRPr sz="1050" b="0" i="0" u="none" strike="noStrike" kern="1200" cap="none" spc="20" baseline="0">
              <a:solidFill>
                <a:schemeClr val="tx1">
                  <a:lumMod val="50000"/>
                  <a:lumOff val="50000"/>
                </a:schemeClr>
              </a:solidFill>
              <a:latin typeface="Tenorite" panose="00000500000000000000" pitchFamily="2" charset="0"/>
              <a:ea typeface="+mn-ea"/>
              <a:cs typeface="+mn-cs"/>
            </a:defRPr>
          </a:pPr>
          <a:endParaRPr lang="sv-SE"/>
        </a:p>
      </c:txPr>
    </c:title>
    <c:autoTitleDeleted val="0"/>
    <c:plotArea>
      <c:layout/>
      <c:barChart>
        <c:barDir val="col"/>
        <c:grouping val="clustered"/>
        <c:varyColors val="0"/>
        <c:ser>
          <c:idx val="0"/>
          <c:order val="0"/>
          <c:tx>
            <c:strRef>
              <c:f>Sammanställning!$K$73</c:f>
              <c:strCache>
                <c:ptCount val="1"/>
                <c:pt idx="0">
                  <c:v>20% HVO</c:v>
                </c:pt>
              </c:strCache>
            </c:strRef>
          </c:tx>
          <c:spPr>
            <a:gradFill rotWithShape="1">
              <a:gsLst>
                <a:gs pos="0">
                  <a:srgbClr val="E9500E"/>
                </a:gs>
                <a:gs pos="100000">
                  <a:srgbClr val="F9BF9C"/>
                </a:gs>
              </a:gsLst>
              <a:path path="circle">
                <a:fillToRect l="50000" t="-80000" r="50000" b="180000"/>
              </a:path>
            </a:gradFill>
            <a:ln w="9525" cap="flat" cmpd="sng" algn="ctr">
              <a:no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50000"/>
                        <a:lumOff val="50000"/>
                      </a:schemeClr>
                    </a:solidFill>
                    <a:latin typeface="Tenorite" panose="00000500000000000000" pitchFamily="2" charset="0"/>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Sammanställning!$J$74:$J$75</c:f>
              <c:strCache>
                <c:ptCount val="2"/>
                <c:pt idx="0">
                  <c:v>Start</c:v>
                </c:pt>
                <c:pt idx="1">
                  <c:v>Slut</c:v>
                </c:pt>
              </c:strCache>
            </c:strRef>
          </c:cat>
          <c:val>
            <c:numRef>
              <c:f>Sammanställning!$K$74:$K$75</c:f>
              <c:numCache>
                <c:formatCode>#,##0</c:formatCode>
                <c:ptCount val="2"/>
                <c:pt idx="0">
                  <c:v>0</c:v>
                </c:pt>
                <c:pt idx="1">
                  <c:v>0</c:v>
                </c:pt>
              </c:numCache>
            </c:numRef>
          </c:val>
          <c:extLst>
            <c:ext xmlns:c16="http://schemas.microsoft.com/office/drawing/2014/chart" uri="{C3380CC4-5D6E-409C-BE32-E72D297353CC}">
              <c16:uniqueId val="{00000002-5FB9-445C-BED4-11C734C0B21A}"/>
            </c:ext>
          </c:extLst>
        </c:ser>
        <c:ser>
          <c:idx val="1"/>
          <c:order val="1"/>
          <c:tx>
            <c:strRef>
              <c:f>Sammanställning!$L$73</c:f>
              <c:strCache>
                <c:ptCount val="1"/>
                <c:pt idx="0">
                  <c:v>100% HVO</c:v>
                </c:pt>
              </c:strCache>
            </c:strRef>
          </c:tx>
          <c:spPr>
            <a:gradFill rotWithShape="1">
              <a:gsLst>
                <a:gs pos="0">
                  <a:srgbClr val="007FC8"/>
                </a:gs>
                <a:gs pos="100000">
                  <a:srgbClr val="A3C9EC"/>
                </a:gs>
              </a:gsLst>
              <a:path path="circle">
                <a:fillToRect l="50000" t="-80000" r="50000" b="180000"/>
              </a:path>
            </a:gradFill>
            <a:ln w="9525" cap="flat" cmpd="sng" algn="ctr">
              <a:no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50000"/>
                        <a:lumOff val="50000"/>
                      </a:schemeClr>
                    </a:solidFill>
                    <a:latin typeface="Tenorite" panose="00000500000000000000" pitchFamily="2" charset="0"/>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Sammanställning!$J$74:$J$75</c:f>
              <c:strCache>
                <c:ptCount val="2"/>
                <c:pt idx="0">
                  <c:v>Start</c:v>
                </c:pt>
                <c:pt idx="1">
                  <c:v>Slut</c:v>
                </c:pt>
              </c:strCache>
            </c:strRef>
          </c:cat>
          <c:val>
            <c:numRef>
              <c:f>Sammanställning!$L$74:$L$75</c:f>
              <c:numCache>
                <c:formatCode>#,##0</c:formatCode>
                <c:ptCount val="2"/>
                <c:pt idx="0">
                  <c:v>0</c:v>
                </c:pt>
                <c:pt idx="1">
                  <c:v>0</c:v>
                </c:pt>
              </c:numCache>
            </c:numRef>
          </c:val>
          <c:extLst>
            <c:ext xmlns:c16="http://schemas.microsoft.com/office/drawing/2014/chart" uri="{C3380CC4-5D6E-409C-BE32-E72D297353CC}">
              <c16:uniqueId val="{00000003-5FB9-445C-BED4-11C734C0B21A}"/>
            </c:ext>
          </c:extLst>
        </c:ser>
        <c:dLbls>
          <c:showLegendKey val="0"/>
          <c:showVal val="0"/>
          <c:showCatName val="0"/>
          <c:showSerName val="0"/>
          <c:showPercent val="0"/>
          <c:showBubbleSize val="0"/>
        </c:dLbls>
        <c:gapWidth val="150"/>
        <c:axId val="997151088"/>
        <c:axId val="1089826608"/>
      </c:barChart>
      <c:catAx>
        <c:axId val="997151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Tenorite" panose="00000500000000000000" pitchFamily="2" charset="0"/>
                <a:ea typeface="+mn-ea"/>
                <a:cs typeface="+mn-cs"/>
              </a:defRPr>
            </a:pPr>
            <a:endParaRPr lang="sv-SE"/>
          </a:p>
        </c:txPr>
        <c:crossAx val="1089826608"/>
        <c:crosses val="autoZero"/>
        <c:auto val="1"/>
        <c:lblAlgn val="ctr"/>
        <c:lblOffset val="100"/>
        <c:noMultiLvlLbl val="0"/>
      </c:catAx>
      <c:valAx>
        <c:axId val="108982660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none" baseline="0">
                    <a:solidFill>
                      <a:schemeClr val="tx1">
                        <a:lumMod val="50000"/>
                        <a:lumOff val="50000"/>
                      </a:schemeClr>
                    </a:solidFill>
                    <a:latin typeface="Tenorite" panose="00000500000000000000" pitchFamily="2" charset="0"/>
                    <a:ea typeface="+mn-ea"/>
                    <a:cs typeface="+mn-cs"/>
                  </a:defRPr>
                </a:pPr>
                <a:r>
                  <a:rPr lang="en-US" cap="none" baseline="0"/>
                  <a:t>Ton CO</a:t>
                </a:r>
                <a:r>
                  <a:rPr lang="en-US" cap="none" baseline="-25000"/>
                  <a:t>2</a:t>
                </a:r>
                <a:r>
                  <a:rPr lang="en-US" cap="none" baseline="0"/>
                  <a:t>e A4</a:t>
                </a:r>
                <a:endParaRPr lang="en-US" cap="none" baseline="30000"/>
              </a:p>
            </c:rich>
          </c:tx>
          <c:overlay val="0"/>
          <c:spPr>
            <a:noFill/>
            <a:ln>
              <a:noFill/>
            </a:ln>
            <a:effectLst/>
          </c:spPr>
          <c:txPr>
            <a:bodyPr rot="-5400000" spcFirstLastPara="1" vertOverflow="ellipsis" vert="horz" wrap="square" anchor="ctr" anchorCtr="1"/>
            <a:lstStyle/>
            <a:p>
              <a:pPr>
                <a:defRPr sz="900" b="0" i="0" u="none" strike="noStrike" kern="1200" cap="none" baseline="0">
                  <a:solidFill>
                    <a:schemeClr val="tx1">
                      <a:lumMod val="50000"/>
                      <a:lumOff val="50000"/>
                    </a:schemeClr>
                  </a:solidFill>
                  <a:latin typeface="Tenorite" panose="00000500000000000000" pitchFamily="2" charset="0"/>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Tenorite" panose="00000500000000000000" pitchFamily="2" charset="0"/>
                <a:ea typeface="+mn-ea"/>
                <a:cs typeface="+mn-cs"/>
              </a:defRPr>
            </a:pPr>
            <a:endParaRPr lang="sv-SE"/>
          </a:p>
        </c:txPr>
        <c:crossAx val="997151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Tenorite" panose="00000500000000000000" pitchFamily="2" charset="0"/>
              <a:ea typeface="+mn-ea"/>
              <a:cs typeface="+mn-cs"/>
            </a:defRPr>
          </a:pPr>
          <a:endParaRPr lang="sv-S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Tenorite" panose="00000500000000000000" pitchFamily="2"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image" Target="../media/image1.jpeg"/><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 Id="rId9" Type="http://schemas.openxmlformats.org/officeDocument/2006/relationships/chart" Target="../charts/chart8.xml"/></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7800</xdr:colOff>
      <xdr:row>1</xdr:row>
      <xdr:rowOff>138386</xdr:rowOff>
    </xdr:from>
    <xdr:to>
      <xdr:col>2</xdr:col>
      <xdr:colOff>0</xdr:colOff>
      <xdr:row>2</xdr:row>
      <xdr:rowOff>0</xdr:rowOff>
    </xdr:to>
    <xdr:pic>
      <xdr:nvPicPr>
        <xdr:cNvPr id="2" name="Bildobjekt 1957105289">
          <a:extLst>
            <a:ext uri="{FF2B5EF4-FFF2-40B4-BE49-F238E27FC236}">
              <a16:creationId xmlns:a16="http://schemas.microsoft.com/office/drawing/2014/main" id="{C8DAD97B-4A55-4088-8FC1-5F1D94E01D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00" y="386036"/>
          <a:ext cx="1440000" cy="433114"/>
        </a:xfrm>
        <a:prstGeom prst="rect">
          <a:avLst/>
        </a:prstGeom>
      </xdr:spPr>
    </xdr:pic>
    <xdr:clientData/>
  </xdr:twoCellAnchor>
  <xdr:oneCellAnchor>
    <xdr:from>
      <xdr:col>2</xdr:col>
      <xdr:colOff>0</xdr:colOff>
      <xdr:row>10</xdr:row>
      <xdr:rowOff>0</xdr:rowOff>
    </xdr:from>
    <xdr:ext cx="7315201" cy="3714750"/>
    <xdr:pic>
      <xdr:nvPicPr>
        <xdr:cNvPr id="3" name="Bildobjekt 3" descr="Bildkälla: https://www.boverket.se/sv/klimatdeklaration/gor-sa-har/omfattning 2025-10-20">
          <a:extLst>
            <a:ext uri="{FF2B5EF4-FFF2-40B4-BE49-F238E27FC236}">
              <a16:creationId xmlns:a16="http://schemas.microsoft.com/office/drawing/2014/main" id="{3DEE79EA-6AF5-4529-8828-988249B556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28800" y="2800350"/>
          <a:ext cx="7315201" cy="3714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absolute">
    <xdr:from>
      <xdr:col>1</xdr:col>
      <xdr:colOff>7800</xdr:colOff>
      <xdr:row>1</xdr:row>
      <xdr:rowOff>140719</xdr:rowOff>
    </xdr:from>
    <xdr:to>
      <xdr:col>2</xdr:col>
      <xdr:colOff>0</xdr:colOff>
      <xdr:row>2</xdr:row>
      <xdr:rowOff>0</xdr:rowOff>
    </xdr:to>
    <xdr:pic>
      <xdr:nvPicPr>
        <xdr:cNvPr id="2" name="Bildobjekt 1957105289">
          <a:extLst>
            <a:ext uri="{FF2B5EF4-FFF2-40B4-BE49-F238E27FC236}">
              <a16:creationId xmlns:a16="http://schemas.microsoft.com/office/drawing/2014/main" id="{0EA12409-2D16-4590-9961-80D7185A21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800" y="388369"/>
          <a:ext cx="1440000" cy="4307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7800</xdr:colOff>
      <xdr:row>1</xdr:row>
      <xdr:rowOff>138386</xdr:rowOff>
    </xdr:from>
    <xdr:to>
      <xdr:col>2</xdr:col>
      <xdr:colOff>0</xdr:colOff>
      <xdr:row>2</xdr:row>
      <xdr:rowOff>0</xdr:rowOff>
    </xdr:to>
    <xdr:pic>
      <xdr:nvPicPr>
        <xdr:cNvPr id="3" name="Bildobjekt 1957105289">
          <a:extLst>
            <a:ext uri="{FF2B5EF4-FFF2-40B4-BE49-F238E27FC236}">
              <a16:creationId xmlns:a16="http://schemas.microsoft.com/office/drawing/2014/main" id="{CBD889E8-7C57-4150-8B04-2E94D139E6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800" y="386036"/>
          <a:ext cx="1440000" cy="4331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7800</xdr:colOff>
      <xdr:row>1</xdr:row>
      <xdr:rowOff>138386</xdr:rowOff>
    </xdr:from>
    <xdr:to>
      <xdr:col>2</xdr:col>
      <xdr:colOff>0</xdr:colOff>
      <xdr:row>2</xdr:row>
      <xdr:rowOff>0</xdr:rowOff>
    </xdr:to>
    <xdr:pic>
      <xdr:nvPicPr>
        <xdr:cNvPr id="2" name="Bildobjekt 1957105289">
          <a:extLst>
            <a:ext uri="{FF2B5EF4-FFF2-40B4-BE49-F238E27FC236}">
              <a16:creationId xmlns:a16="http://schemas.microsoft.com/office/drawing/2014/main" id="{B41ADBDD-5C61-4E22-B628-8461C9D040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800" y="386036"/>
          <a:ext cx="1440000" cy="4331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46350</xdr:colOff>
      <xdr:row>58</xdr:row>
      <xdr:rowOff>0</xdr:rowOff>
    </xdr:from>
    <xdr:to>
      <xdr:col>14</xdr:col>
      <xdr:colOff>0</xdr:colOff>
      <xdr:row>69</xdr:row>
      <xdr:rowOff>155850</xdr:rowOff>
    </xdr:to>
    <xdr:graphicFrame macro="">
      <xdr:nvGraphicFramePr>
        <xdr:cNvPr id="6" name="Chart 5">
          <a:extLst>
            <a:ext uri="{FF2B5EF4-FFF2-40B4-BE49-F238E27FC236}">
              <a16:creationId xmlns:a16="http://schemas.microsoft.com/office/drawing/2014/main" id="{F6EC77C4-F587-9D32-366A-B0BD85542D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46350</xdr:colOff>
      <xdr:row>46</xdr:row>
      <xdr:rowOff>0</xdr:rowOff>
    </xdr:from>
    <xdr:to>
      <xdr:col>14</xdr:col>
      <xdr:colOff>0</xdr:colOff>
      <xdr:row>57</xdr:row>
      <xdr:rowOff>155850</xdr:rowOff>
    </xdr:to>
    <xdr:graphicFrame macro="">
      <xdr:nvGraphicFramePr>
        <xdr:cNvPr id="18" name="Chart 17">
          <a:extLst>
            <a:ext uri="{FF2B5EF4-FFF2-40B4-BE49-F238E27FC236}">
              <a16:creationId xmlns:a16="http://schemas.microsoft.com/office/drawing/2014/main" id="{04BE865E-621B-CB54-0E2D-E41AC32086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xdr:col>
      <xdr:colOff>7800</xdr:colOff>
      <xdr:row>1</xdr:row>
      <xdr:rowOff>138386</xdr:rowOff>
    </xdr:from>
    <xdr:to>
      <xdr:col>2</xdr:col>
      <xdr:colOff>0</xdr:colOff>
      <xdr:row>2</xdr:row>
      <xdr:rowOff>0</xdr:rowOff>
    </xdr:to>
    <xdr:pic>
      <xdr:nvPicPr>
        <xdr:cNvPr id="23" name="Bildobjekt 1957105289">
          <a:extLst>
            <a:ext uri="{FF2B5EF4-FFF2-40B4-BE49-F238E27FC236}">
              <a16:creationId xmlns:a16="http://schemas.microsoft.com/office/drawing/2014/main" id="{AAB69DD1-0AFA-4C6D-9F33-42700B8C68E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8800" y="386036"/>
          <a:ext cx="1440000" cy="433114"/>
        </a:xfrm>
        <a:prstGeom prst="rect">
          <a:avLst/>
        </a:prstGeom>
      </xdr:spPr>
    </xdr:pic>
    <xdr:clientData/>
  </xdr:twoCellAnchor>
  <xdr:twoCellAnchor>
    <xdr:from>
      <xdr:col>8</xdr:col>
      <xdr:colOff>46350</xdr:colOff>
      <xdr:row>22</xdr:row>
      <xdr:rowOff>0</xdr:rowOff>
    </xdr:from>
    <xdr:to>
      <xdr:col>14</xdr:col>
      <xdr:colOff>0</xdr:colOff>
      <xdr:row>33</xdr:row>
      <xdr:rowOff>155850</xdr:rowOff>
    </xdr:to>
    <xdr:graphicFrame macro="">
      <xdr:nvGraphicFramePr>
        <xdr:cNvPr id="8" name="Chart 7">
          <a:extLst>
            <a:ext uri="{FF2B5EF4-FFF2-40B4-BE49-F238E27FC236}">
              <a16:creationId xmlns:a16="http://schemas.microsoft.com/office/drawing/2014/main" id="{670CB07C-A8C1-4867-8285-6C05699D27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58</xdr:row>
      <xdr:rowOff>0</xdr:rowOff>
    </xdr:from>
    <xdr:to>
      <xdr:col>7</xdr:col>
      <xdr:colOff>801375</xdr:colOff>
      <xdr:row>69</xdr:row>
      <xdr:rowOff>155850</xdr:rowOff>
    </xdr:to>
    <xdr:graphicFrame macro="">
      <xdr:nvGraphicFramePr>
        <xdr:cNvPr id="7" name="Chart 6">
          <a:extLst>
            <a:ext uri="{FF2B5EF4-FFF2-40B4-BE49-F238E27FC236}">
              <a16:creationId xmlns:a16="http://schemas.microsoft.com/office/drawing/2014/main" id="{12DDC401-42B1-4255-B653-89C3763B24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46</xdr:row>
      <xdr:rowOff>0</xdr:rowOff>
    </xdr:from>
    <xdr:to>
      <xdr:col>7</xdr:col>
      <xdr:colOff>801375</xdr:colOff>
      <xdr:row>57</xdr:row>
      <xdr:rowOff>155850</xdr:rowOff>
    </xdr:to>
    <xdr:graphicFrame macro="">
      <xdr:nvGraphicFramePr>
        <xdr:cNvPr id="9" name="Chart 8">
          <a:extLst>
            <a:ext uri="{FF2B5EF4-FFF2-40B4-BE49-F238E27FC236}">
              <a16:creationId xmlns:a16="http://schemas.microsoft.com/office/drawing/2014/main" id="{3E7A0614-C9AD-445A-83B9-F23A108C0A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0</xdr:colOff>
      <xdr:row>34</xdr:row>
      <xdr:rowOff>0</xdr:rowOff>
    </xdr:from>
    <xdr:to>
      <xdr:col>7</xdr:col>
      <xdr:colOff>801375</xdr:colOff>
      <xdr:row>45</xdr:row>
      <xdr:rowOff>155850</xdr:rowOff>
    </xdr:to>
    <xdr:graphicFrame macro="">
      <xdr:nvGraphicFramePr>
        <xdr:cNvPr id="10" name="Chart 9">
          <a:extLst>
            <a:ext uri="{FF2B5EF4-FFF2-40B4-BE49-F238E27FC236}">
              <a16:creationId xmlns:a16="http://schemas.microsoft.com/office/drawing/2014/main" id="{F831E8F8-04A2-4E3B-8002-DC49A51274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46350</xdr:colOff>
      <xdr:row>34</xdr:row>
      <xdr:rowOff>0</xdr:rowOff>
    </xdr:from>
    <xdr:to>
      <xdr:col>14</xdr:col>
      <xdr:colOff>0</xdr:colOff>
      <xdr:row>45</xdr:row>
      <xdr:rowOff>155850</xdr:rowOff>
    </xdr:to>
    <xdr:graphicFrame macro="">
      <xdr:nvGraphicFramePr>
        <xdr:cNvPr id="12" name="Chart 11">
          <a:extLst>
            <a:ext uri="{FF2B5EF4-FFF2-40B4-BE49-F238E27FC236}">
              <a16:creationId xmlns:a16="http://schemas.microsoft.com/office/drawing/2014/main" id="{0AC4AE48-3DEC-4865-9152-B4A19BB70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46350</xdr:colOff>
      <xdr:row>70</xdr:row>
      <xdr:rowOff>0</xdr:rowOff>
    </xdr:from>
    <xdr:to>
      <xdr:col>14</xdr:col>
      <xdr:colOff>0</xdr:colOff>
      <xdr:row>81</xdr:row>
      <xdr:rowOff>155850</xdr:rowOff>
    </xdr:to>
    <xdr:graphicFrame macro="">
      <xdr:nvGraphicFramePr>
        <xdr:cNvPr id="2" name="Chart 1">
          <a:extLst>
            <a:ext uri="{FF2B5EF4-FFF2-40B4-BE49-F238E27FC236}">
              <a16:creationId xmlns:a16="http://schemas.microsoft.com/office/drawing/2014/main" id="{0A31353A-390A-4C64-B64A-4441AD8AA9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absolute">
    <xdr:from>
      <xdr:col>1</xdr:col>
      <xdr:colOff>7800</xdr:colOff>
      <xdr:row>1</xdr:row>
      <xdr:rowOff>138386</xdr:rowOff>
    </xdr:from>
    <xdr:to>
      <xdr:col>2</xdr:col>
      <xdr:colOff>0</xdr:colOff>
      <xdr:row>2</xdr:row>
      <xdr:rowOff>0</xdr:rowOff>
    </xdr:to>
    <xdr:pic>
      <xdr:nvPicPr>
        <xdr:cNvPr id="3" name="Bildobjekt 1957105289">
          <a:extLst>
            <a:ext uri="{FF2B5EF4-FFF2-40B4-BE49-F238E27FC236}">
              <a16:creationId xmlns:a16="http://schemas.microsoft.com/office/drawing/2014/main" id="{FD85D3FE-221D-4D7B-ADBE-5871D6B420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800" y="386036"/>
          <a:ext cx="1440000" cy="4331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1</xdr:col>
      <xdr:colOff>7800</xdr:colOff>
      <xdr:row>1</xdr:row>
      <xdr:rowOff>138386</xdr:rowOff>
    </xdr:from>
    <xdr:to>
      <xdr:col>2</xdr:col>
      <xdr:colOff>0</xdr:colOff>
      <xdr:row>2</xdr:row>
      <xdr:rowOff>0</xdr:rowOff>
    </xdr:to>
    <xdr:pic>
      <xdr:nvPicPr>
        <xdr:cNvPr id="2" name="Bildobjekt 1957105289">
          <a:extLst>
            <a:ext uri="{FF2B5EF4-FFF2-40B4-BE49-F238E27FC236}">
              <a16:creationId xmlns:a16="http://schemas.microsoft.com/office/drawing/2014/main" id="{1BC3974B-9095-40BD-885D-B9BAF22ABC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800" y="386036"/>
          <a:ext cx="1440000" cy="43311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B0EA1EE-8A35-40EE-A7E3-B9700C270C9A}" name="KalkylStart" displayName="KalkylStart" ref="B5:R255" headerRowDxfId="99" dataDxfId="97" headerRowBorderDxfId="98" tableBorderDxfId="96" totalsRowBorderDxfId="95">
  <autoFilter ref="B5:R255" xr:uid="{5B0EA1EE-8A35-40EE-A7E3-B9700C270C9A}"/>
  <tableColumns count="17">
    <tableColumn id="14" xr3:uid="{C07DCABD-6908-4C21-ACCB-1B3A640188CD}" name="#" totalsRowLabel="Total" dataDxfId="94"/>
    <tableColumn id="1" xr3:uid="{6C75A1CD-2617-4A1C-B8A4-288297628F74}" name="Teknikområde" dataDxfId="93" totalsRowDxfId="92"/>
    <tableColumn id="2" xr3:uid="{AFE9CD8F-2468-4969-818A-E377F6B3E1CB}" name="AMA-kod" dataDxfId="91" totalsRowDxfId="90"/>
    <tableColumn id="3" xr3:uid="{BBF4E0A5-6C91-47DC-9C36-C03F025BE94A}" name="Material / produkt / AMA-beskrivning " dataDxfId="89" totalsRowDxfId="88"/>
    <tableColumn id="4" xr3:uid="{4A56A13D-DC52-466E-8C98-5EF7460447F2}" name="Mängd" dataDxfId="87" totalsRowDxfId="86"/>
    <tableColumn id="5" xr3:uid="{5157961C-57EA-493D-97CF-42D5B6393B78}" name="Enhet" dataDxfId="85" totalsRowDxfId="84"/>
    <tableColumn id="6" xr3:uid="{1682411A-A079-4770-A330-FCFDBB65668E}" name="Klimatmaterial" dataDxfId="83" totalsRowDxfId="82"/>
    <tableColumn id="15" xr3:uid="{8F068106-7495-4E39-9D05-865443C0189B}" name="Materialtyp" dataDxfId="81" totalsRowDxfId="80">
      <calculatedColumnFormula>IFERROR(VLOOKUP(KalkylStart[[#This Row],[Klimatmaterial]],Materialtabell[[#All],[Materialnamn]:[Materialtyp]],2,0),"")</calculatedColumnFormula>
    </tableColumn>
    <tableColumn id="7" xr3:uid="{B5C3D2B8-18BF-49F7-9327-DC6BDFBC0788}" name="Omräknings-faktor" dataDxfId="79" totalsRowDxfId="78">
      <calculatedColumnFormula>IFERROR(IF(G6="kg",1,IF(G6="ton",1000,IF(G6=RIGHT(VLOOKUP(H6,Materialtabell[[#All],[Materialnamn]:[Enhet]],4,0),LEN(VLOOKUP(H6,Materialtabell[[#All],[Materialnamn]:[Enhet]],4,0))-3),VLOOKUP(H6,Materialtabell[[#All],[Materialnamn]:[Enhet]],3,0),"Enhetsfel"))),"")</calculatedColumnFormula>
    </tableColumn>
    <tableColumn id="8" xr3:uid="{1509FD48-56FB-4B50-969C-449CD1DCAEAF}" name="Faktorenhet" dataDxfId="77" totalsRowDxfId="76">
      <calculatedColumnFormula>IFERROR(IF(G6="kg","kg/kg",IF(G6="ton","kg/ton",IF(RIGHT(VLOOKUP(H6,Materialtabell[[#All],[Materialnamn]:[Enhet]],4,0),LEN(VLOOKUP(H6,Materialtabell[[#All],[Materialnamn]:[Enhet]],4,0))-3)=G6,VLOOKUP(H6,Materialtabell[[#All],[Materialnamn]:[Enhet]],4,0),"kg/ton/"&amp;RIGHT(VLOOKUP(H6,Materialtabell[[#All],[Materialnamn]:[Enhet]],4,0),LEN(VLOOKUP(H6,Materialtabell[[#All],[Materialnamn]:[Enhet]],4,0))-3)))),"")</calculatedColumnFormula>
    </tableColumn>
    <tableColumn id="16" xr3:uid="{A9816827-8436-447F-BE18-2612D4004C26}" name="Materialvikt" totalsRowFunction="sum" dataDxfId="75" totalsRowDxfId="74">
      <calculatedColumnFormula>IFERROR(KalkylStart[[#This Row],[Mängd]]*KalkylStart[[#This Row],[Omräknings-faktor]],"")</calculatedColumnFormula>
    </tableColumn>
    <tableColumn id="17" xr3:uid="{6521B5E1-C456-4AB7-AE26-ABB4EEF00574}" name="2019_x000a_kg CO2e" dataDxfId="73" totalsRowDxfId="72">
      <calculatedColumnFormula>IFERROR(F6*J6*VLOOKUP(H6,Materialtabell[[#All],[Materialnamn]:[Emissionsfaktor 2019
kg CO2e/kg]],5,0),"")</calculatedColumnFormula>
    </tableColumn>
    <tableColumn id="9" xr3:uid="{F73B3FC0-C1C2-460E-BC92-C6B98E07DCC8}" name="A1-3_x000a_kg CO2e" totalsRowFunction="sum" dataDxfId="71" totalsRowDxfId="70">
      <calculatedColumnFormula>IFERROR(F6*J6*VLOOKUP(H6,Materialtabell[[#All],[Materialnamn]:[Emissionsfaktor 2025
kg CO2e/kg]],6,0),"")</calculatedColumnFormula>
    </tableColumn>
    <tableColumn id="10" xr3:uid="{3471962F-8F67-4F63-AD55-FD61B2863174}" name="Avstånd_x000a_km" totalsRowFunction="sum" dataDxfId="69" totalsRowDxfId="68">
      <calculatedColumnFormula>IFERROR(VLOOKUP(H6,Materialtabell[[#All],[Materialnamn]:[Kommentar A4]],24,0),"")</calculatedColumnFormula>
    </tableColumn>
    <tableColumn id="11" xr3:uid="{CADD041F-4FCA-4657-8F6B-B8F5608DB688}" name="20% HVO_x000a_kg CO2e" totalsRowFunction="sum" dataDxfId="67" totalsRowDxfId="66">
      <calculatedColumnFormula>IFERROR(($F6*$J6*$O6*VLOOKUP($H6,Materialtabell[[#All],[Materialnamn]:[Bränsle 
MJ/ton, km]],25,0)*Materiallista!$AF$5)/1000,"")</calculatedColumnFormula>
    </tableColumn>
    <tableColumn id="12" xr3:uid="{4BC69F5F-DA44-45AB-9FC5-851041BAFDC8}" name="100% HVO_x000a_kg CO2e" totalsRowFunction="sum" dataDxfId="65" totalsRowDxfId="64">
      <calculatedColumnFormula>IFERROR(($F6*$J6*$O6*VLOOKUP($H6,Materialtabell[[#All],[Materialnamn]:[Bränsle 
MJ/ton, km]],25,0)*Materiallista!$AF$6)/1000,"")</calculatedColumnFormula>
    </tableColumn>
    <tableColumn id="13" xr3:uid="{5774DD76-7240-4CEF-88B2-6D0BA5F56A14}" name="Kommentar" dataDxfId="63" totalsRowDxfId="62"/>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56C520-BB39-41E1-946A-FE0BE2FE76A2}" name="KalkylSlut" displayName="KalkylSlut" ref="B5:R255" headerRowDxfId="59" dataDxfId="57" headerRowBorderDxfId="58" tableBorderDxfId="56" totalsRowBorderDxfId="55">
  <autoFilter ref="B5:R255" xr:uid="{5B0EA1EE-8A35-40EE-A7E3-B9700C270C9A}"/>
  <tableColumns count="17">
    <tableColumn id="14" xr3:uid="{7AE477C1-1C6D-4899-B4F5-D0F3C143EF94}" name="#" totalsRowLabel="Total" dataDxfId="54" totalsRowDxfId="53"/>
    <tableColumn id="1" xr3:uid="{D0F3042C-FD89-4765-BFFC-DF48BFC029EA}" name="Teknikområde" dataDxfId="52" totalsRowDxfId="51"/>
    <tableColumn id="2" xr3:uid="{CE2E5F8B-D0D4-4461-B5D6-E895E9CF94C7}" name="AMA-kod" dataDxfId="50"/>
    <tableColumn id="3" xr3:uid="{D5DF1026-8ACF-45BC-ADC0-19A36C59F535}" name="Material / produkt / AMA-beskrivning " dataDxfId="49"/>
    <tableColumn id="4" xr3:uid="{EB3D74B9-C4AD-412A-8D41-49F8E4CCB52B}" name="Mängd" dataDxfId="48"/>
    <tableColumn id="5" xr3:uid="{C4C9AD72-65C4-4E48-B44A-8774909B9D6F}" name="Enhet" dataDxfId="47"/>
    <tableColumn id="6" xr3:uid="{3E7B8453-917B-483B-95C5-340C215D40D8}" name="Klimatmaterial" dataDxfId="46"/>
    <tableColumn id="15" xr3:uid="{02460456-9EA1-4604-9482-B90EE622F0C8}" name="Materialtyp" dataDxfId="45">
      <calculatedColumnFormula>IFERROR(VLOOKUP(KalkylSlut[[#This Row],[Klimatmaterial]],Materialtabell[[#All],[Materialnamn]:[Materialtyp]],2,0),"")</calculatedColumnFormula>
    </tableColumn>
    <tableColumn id="7" xr3:uid="{A0B3EAFE-BFAB-406E-B1A8-4ACACC1E48C5}" name="Omräknings-faktor" dataDxfId="44">
      <calculatedColumnFormula>IFERROR(IF(G6="kg",1,IF(G6="ton",1000,IF(G6=RIGHT(VLOOKUP(H6,Materialtabell[[#All],[Materialnamn]:[Enhet]],4,0),LEN(VLOOKUP(H6,Materialtabell[[#All],[Materialnamn]:[Enhet]],4,0))-3),VLOOKUP(H6,Materialtabell[[#All],[Materialnamn]:[Enhet]],3,0),"Enhetsfel"))),"")</calculatedColumnFormula>
    </tableColumn>
    <tableColumn id="8" xr3:uid="{B8A6AA0D-765D-4AE7-B4B6-EF2CEDEF5CC7}" name="Faktorenhet" dataDxfId="43">
      <calculatedColumnFormula>IFERROR(IF(G6="kg","kg/kg",IF(G6="ton","kg/ton",IF(RIGHT(VLOOKUP(H6,Materialtabell[[#All],[Materialnamn]:[Enhet]],4,0),LEN(VLOOKUP(H6,Materialtabell[[#All],[Materialnamn]:[Enhet]],4,0))-3)=G6,VLOOKUP(H6,Materialtabell[[#All],[Materialnamn]:[Enhet]],4,0),"kg/ton/"&amp;RIGHT(VLOOKUP(H6,Materialtabell[[#All],[Materialnamn]:[Enhet]],4,0),LEN(VLOOKUP(H6,Materialtabell[[#All],[Materialnamn]:[Enhet]],4,0))-3)))),"")</calculatedColumnFormula>
    </tableColumn>
    <tableColumn id="16" xr3:uid="{47547375-F3D9-40B9-9844-BF8D3D74A988}" name="Materialvikt" totalsRowFunction="sum" dataDxfId="42">
      <calculatedColumnFormula>IFERROR(KalkylSlut[[#This Row],[Mängd]]*KalkylSlut[[#This Row],[Omräknings-faktor]],"")</calculatedColumnFormula>
    </tableColumn>
    <tableColumn id="18" xr3:uid="{E31E8CD2-70A6-431B-BAB5-6B8FED8A4A23}" name="2019_x000a_kg CO2e" dataDxfId="41">
      <calculatedColumnFormula>IFERROR(F6*J6*VLOOKUP(H6,Materialtabell[[#All],[Materialnamn]:[Emissionsfaktor 2019
kg CO2e/kg]],5,0),"")</calculatedColumnFormula>
    </tableColumn>
    <tableColumn id="9" xr3:uid="{7DF0628A-8EA8-4F6A-94F6-D5884EEF2FA1}" name="A1-3_x000a_kg CO2e" totalsRowFunction="sum" dataDxfId="40">
      <calculatedColumnFormula>IFERROR(F6*J6*VLOOKUP(H6,Materialtabell[[#All],[Materialnamn]:[Emissionsfaktor 2025
kg CO2e/kg]],6,0),"")</calculatedColumnFormula>
    </tableColumn>
    <tableColumn id="10" xr3:uid="{B110994B-EA98-4D16-B655-8F6885DDA2CD}" name="Avstånd_x000a_km" totalsRowFunction="sum" dataDxfId="39">
      <calculatedColumnFormula>IFERROR(VLOOKUP(H6,Materialtabell[[#All],[Materialnamn]:[Kommentar A4]],24,0),"")</calculatedColumnFormula>
    </tableColumn>
    <tableColumn id="11" xr3:uid="{EC45BE47-0995-48AB-B57C-E3070930F13C}" name="20% HVO_x000a_kg CO2e" totalsRowFunction="sum" dataDxfId="38">
      <calculatedColumnFormula>IFERROR(($F6*$J6*$O6*VLOOKUP($H6,Materialtabell[[#All],[Materialnamn]:[Bränsle 
MJ/ton, km]],25,0)*Materiallista!$AF$5)/1000,"")</calculatedColumnFormula>
    </tableColumn>
    <tableColumn id="12" xr3:uid="{2C1AE8CC-682D-4BFE-B6E9-69D6158EE8E0}" name="100% HVO_x000a_kg CO2e" totalsRowFunction="sum" dataDxfId="37">
      <calculatedColumnFormula>IFERROR(($F6*$J6*$O6*VLOOKUP($H6,Materialtabell[[#All],[Materialnamn]:[Bränsle 
MJ/ton, km]],25,0)*Materiallista!$AF$6)/1000,"")</calculatedColumnFormula>
    </tableColumn>
    <tableColumn id="13" xr3:uid="{E46BDA6F-1108-4D4A-A2F7-B3C9DDB022E4}" name="Kommentar" dataDxfId="36" totalsRowDxfId="35"/>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2E7E41-FCCB-4756-B4B9-407DAE2877EA}" name="Materialtabell" displayName="Materialtabell" ref="B4:AC104" totalsRowShown="0" headerRowDxfId="32" dataDxfId="30" headerRowBorderDxfId="31" tableBorderDxfId="29" totalsRowBorderDxfId="28">
  <autoFilter ref="B4:AC104" xr:uid="{232E7E41-FCCB-4756-B4B9-407DAE2877EA}"/>
  <tableColumns count="28">
    <tableColumn id="1" xr3:uid="{CD1A0DA8-3F50-4DA0-AE00-B01DA2FD5E8F}" name="#" dataDxfId="27"/>
    <tableColumn id="3" xr3:uid="{4AF5362B-5292-4C91-9394-543B595C815A}" name="Materialnamn" dataDxfId="26"/>
    <tableColumn id="2" xr3:uid="{EF66197E-ABC5-4ACA-9FBA-F58C427EC16D}" name="Materialtyp" dataDxfId="25"/>
    <tableColumn id="12" xr3:uid="{079EB852-B864-48E1-BBB6-0C149175459C}" name="Omräknings-faktor" dataDxfId="24"/>
    <tableColumn id="6" xr3:uid="{CE6A0CC0-810F-4401-909A-F0636923F8FD}" name="Enhet" dataDxfId="23"/>
    <tableColumn id="4" xr3:uid="{D51B7339-1913-4FF5-A09C-FEBFB90A616E}" name="Emissionsfaktor 2019_x000a_kg CO2e/kg" dataDxfId="22"/>
    <tableColumn id="5" xr3:uid="{AD26840D-AD91-4B60-BD23-BEE7A4398572}" name="Emissionsfaktor 2025_x000a_kg CO2e/kg" dataDxfId="21"/>
    <tableColumn id="13" xr3:uid="{60933BEB-605C-4FD6-9BD2-0D7561ACA81A}" name="Produktnamn/ID 2019" dataDxfId="20"/>
    <tableColumn id="7" xr3:uid="{01C38596-6F75-401C-A5BC-C3765BAF45CE}" name="Källa 2019" dataDxfId="19"/>
    <tableColumn id="8" xr3:uid="{C66B0B97-62AF-4AB6-A0DB-FC72BE037215}" name="Produktnamn/ID 2025" dataDxfId="18"/>
    <tableColumn id="11" xr3:uid="{930D0D95-D97F-4883-B2BA-F4222E2F3CDC}" name="Källa 2025" dataDxfId="17"/>
    <tableColumn id="10" xr3:uid="{A8A1A0DE-EF63-4EBA-B011-6E66A9F29418}" name="Notering" dataDxfId="16"/>
    <tableColumn id="14" xr3:uid="{A056ABA0-6CAC-44C7-AE27-4E803C3530EC}" name="Transporttyp leg 1" dataDxfId="15"/>
    <tableColumn id="15" xr3:uid="{08C33FB0-E9AC-4F3A-B3F4-30092DE6721E}" name="Transporttyp leg 2" dataDxfId="14"/>
    <tableColumn id="16" xr3:uid="{E396841F-58A9-45CF-838A-C7C60EF377CB}" name="Transporttyp leg 3" dataDxfId="13"/>
    <tableColumn id="17" xr3:uid="{92918DF5-6102-46DA-A744-BD3C9432EAB1}" name="Transporttyp leg 4" dataDxfId="12"/>
    <tableColumn id="18" xr3:uid="{CAE20AC2-2BAD-4090-9CAB-B177AF00D28A}" name="Sträcka leg 1, km" dataDxfId="11"/>
    <tableColumn id="19" xr3:uid="{10C68C78-C666-4481-9BAD-DBA6C3167632}" name="Sträcka leg 2, km" dataDxfId="10"/>
    <tableColumn id="20" xr3:uid="{5A1D98ED-B650-4D4C-87D4-BF26C6EC9EED}" name="Sträcka leg 3, km" dataDxfId="9"/>
    <tableColumn id="21" xr3:uid="{45852493-B719-4158-99C1-22D027FA542F}" name="Sträcka leg 4, km" dataDxfId="8"/>
    <tableColumn id="22" xr3:uid="{E7ECAB29-839F-4A2F-8023-7D5302D7C509}" name="Bränsle leg 1 MJ/tonkm" dataDxfId="7"/>
    <tableColumn id="23" xr3:uid="{33CE56F9-56B3-437F-92A8-6C9ADABEE51C}" name="Bränsle leg 2 MJ/tonkm" dataDxfId="6"/>
    <tableColumn id="24" xr3:uid="{1C1C2793-2EF1-45D2-B769-BF522DBECF07}" name="Bränsle leg 3 MJ/tonkm" dataDxfId="5"/>
    <tableColumn id="25" xr3:uid="{6FC4B27B-BE84-42E8-B29E-7E1B5BA0AC10}" name="Bränsle leg 4 MJ/tonkm" dataDxfId="4"/>
    <tableColumn id="26" xr3:uid="{2510E0D9-0322-459F-B2E7-47E3050510FE}" name="Transport _x000a_km" dataDxfId="3">
      <calculatedColumnFormula>SUM(R5:U5)</calculatedColumnFormula>
    </tableColumn>
    <tableColumn id="27" xr3:uid="{3EDF2E7E-834F-4BF6-8025-6AD4061867F3}" name="Bränsle _x000a_MJ/ton, km" dataDxfId="2">
      <calculatedColumnFormula>IFERROR(((R5*V5)+(S5*W5)+(T5*X5)+(U5*Y5))/Materialtabell[[#This Row],[Transport 
km]],0)</calculatedColumnFormula>
    </tableColumn>
    <tableColumn id="28" xr3:uid="{9C700D14-C82D-4EC3-8037-52AB64F4A12E}" name="Källa A4" dataDxfId="1"/>
    <tableColumn id="29" xr3:uid="{7691B2D0-8DE0-4744-B0A5-1971715FB582}" name="Kommentar A4" dataDxfId="0"/>
  </tableColumns>
  <tableStyleInfo name="TableStyleLight18"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unktion.miljoenheten.expl@stockholm.se" TargetMode="External"/><Relationship Id="rId2" Type="http://schemas.openxmlformats.org/officeDocument/2006/relationships/hyperlink" Target="https://www.boverket.se/sv/byggande/hallbart-byggande-och-forvaltning/livscykelanalys/introduktion-till-livscykelanalys-lca/" TargetMode="External"/><Relationship Id="rId1" Type="http://schemas.openxmlformats.org/officeDocument/2006/relationships/hyperlink" Target="https://hs30.se/fokuspunkter/klimatberakningar/"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DE518-5C0F-4DF7-9184-4BEB0C49A300}">
  <sheetPr codeName="Sheet2">
    <pageSetUpPr fitToPage="1"/>
  </sheetPr>
  <dimension ref="A1:P87"/>
  <sheetViews>
    <sheetView zoomScaleNormal="100" workbookViewId="0">
      <selection activeCell="D56" sqref="D56"/>
    </sheetView>
  </sheetViews>
  <sheetFormatPr defaultColWidth="0" defaultRowHeight="15" customHeight="1" zeroHeight="1" x14ac:dyDescent="0.25"/>
  <cols>
    <col min="1" max="1" width="5.7109375" style="1" customWidth="1"/>
    <col min="2" max="2" width="21.7109375" style="1" customWidth="1"/>
    <col min="3" max="14" width="9.140625" style="1" customWidth="1"/>
    <col min="15" max="15" width="21.7109375" style="1" customWidth="1"/>
    <col min="16" max="16" width="5.7109375" style="1" customWidth="1"/>
    <col min="17" max="16384" width="9.140625" style="1" hidden="1"/>
  </cols>
  <sheetData>
    <row r="1" spans="1:16" ht="20.100000000000001" customHeight="1" x14ac:dyDescent="0.25">
      <c r="A1" s="3"/>
      <c r="B1" s="3"/>
      <c r="C1" s="4"/>
      <c r="D1" s="4"/>
      <c r="E1" s="3"/>
      <c r="F1" s="3"/>
      <c r="G1" s="3"/>
      <c r="H1" s="20"/>
      <c r="I1" s="20"/>
      <c r="J1" s="20"/>
      <c r="K1" s="20"/>
      <c r="L1" s="20"/>
      <c r="M1" s="20"/>
      <c r="N1" s="20"/>
      <c r="O1" s="20"/>
      <c r="P1" s="3"/>
    </row>
    <row r="2" spans="1:16" ht="45" customHeight="1" x14ac:dyDescent="0.5">
      <c r="A2" s="21"/>
      <c r="B2" s="5"/>
      <c r="C2" s="37" t="s">
        <v>363</v>
      </c>
      <c r="D2" s="21"/>
      <c r="E2" s="5"/>
      <c r="F2" s="5"/>
      <c r="G2" s="5"/>
      <c r="H2" s="21"/>
      <c r="I2" s="21"/>
      <c r="J2" s="21"/>
      <c r="K2" s="21"/>
      <c r="L2" s="21"/>
      <c r="M2" s="21"/>
      <c r="N2" s="21"/>
      <c r="O2" s="21"/>
    </row>
    <row r="3" spans="1:16" ht="20.100000000000001" customHeight="1" x14ac:dyDescent="0.25">
      <c r="A3" s="3"/>
      <c r="B3" s="3"/>
      <c r="C3" s="4"/>
      <c r="D3" s="4"/>
      <c r="E3" s="3"/>
      <c r="F3" s="3"/>
      <c r="G3" s="3"/>
      <c r="H3" s="34"/>
      <c r="I3" s="34"/>
      <c r="J3" s="34"/>
      <c r="K3" s="34"/>
      <c r="L3" s="34"/>
      <c r="M3" s="34"/>
      <c r="N3" s="34"/>
      <c r="O3" s="34"/>
      <c r="P3" s="3"/>
    </row>
    <row r="4" spans="1:16" ht="20.100000000000001" customHeight="1" x14ac:dyDescent="0.25">
      <c r="A4" s="3"/>
      <c r="B4" s="3"/>
      <c r="C4" s="4"/>
      <c r="D4" s="4"/>
      <c r="E4" s="3"/>
      <c r="F4" s="3"/>
      <c r="G4" s="3"/>
      <c r="H4" s="3"/>
      <c r="I4" s="3"/>
      <c r="J4" s="3"/>
      <c r="K4" s="3"/>
      <c r="L4" s="3"/>
      <c r="M4" s="3"/>
      <c r="N4" s="3"/>
      <c r="O4" s="3"/>
      <c r="P4" s="3"/>
    </row>
    <row r="5" spans="1:16" ht="20.100000000000001" customHeight="1" x14ac:dyDescent="0.25">
      <c r="A5" s="3"/>
      <c r="B5" s="3"/>
      <c r="C5" s="236" t="s">
        <v>433</v>
      </c>
      <c r="D5" s="236"/>
      <c r="E5" s="236"/>
      <c r="F5" s="236"/>
      <c r="G5" s="236"/>
      <c r="H5" s="236"/>
      <c r="I5" s="236"/>
      <c r="J5" s="236"/>
      <c r="K5" s="236"/>
      <c r="L5" s="236"/>
      <c r="M5" s="236"/>
      <c r="N5" s="236"/>
      <c r="O5" s="3"/>
      <c r="P5" s="3"/>
    </row>
    <row r="6" spans="1:16" ht="20.100000000000001" customHeight="1" x14ac:dyDescent="0.25">
      <c r="A6" s="3"/>
      <c r="B6" s="3"/>
      <c r="C6" s="236"/>
      <c r="D6" s="236"/>
      <c r="E6" s="236"/>
      <c r="F6" s="236"/>
      <c r="G6" s="236"/>
      <c r="H6" s="236"/>
      <c r="I6" s="236"/>
      <c r="J6" s="236"/>
      <c r="K6" s="236"/>
      <c r="L6" s="236"/>
      <c r="M6" s="236"/>
      <c r="N6" s="236"/>
      <c r="O6" s="3"/>
      <c r="P6" s="3"/>
    </row>
    <row r="7" spans="1:16" ht="20.100000000000001" customHeight="1" x14ac:dyDescent="0.25">
      <c r="A7" s="3"/>
      <c r="B7" s="3"/>
      <c r="C7" s="236"/>
      <c r="D7" s="236"/>
      <c r="E7" s="236"/>
      <c r="F7" s="236"/>
      <c r="G7" s="236"/>
      <c r="H7" s="236"/>
      <c r="I7" s="236"/>
      <c r="J7" s="236"/>
      <c r="K7" s="236"/>
      <c r="L7" s="236"/>
      <c r="M7" s="236"/>
      <c r="N7" s="236"/>
      <c r="O7" s="3"/>
      <c r="P7" s="3"/>
    </row>
    <row r="8" spans="1:16" ht="20.100000000000001" customHeight="1" x14ac:dyDescent="0.25">
      <c r="A8" s="3"/>
      <c r="B8" s="3"/>
      <c r="C8" s="236"/>
      <c r="D8" s="236"/>
      <c r="E8" s="236"/>
      <c r="F8" s="236"/>
      <c r="G8" s="236"/>
      <c r="H8" s="236"/>
      <c r="I8" s="236"/>
      <c r="J8" s="236"/>
      <c r="K8" s="236"/>
      <c r="L8" s="236"/>
      <c r="M8" s="236"/>
      <c r="N8" s="236"/>
      <c r="O8" s="3"/>
      <c r="P8" s="3"/>
    </row>
    <row r="9" spans="1:16" ht="20.100000000000001" customHeight="1" x14ac:dyDescent="0.25">
      <c r="A9" s="3"/>
      <c r="B9" s="3"/>
      <c r="C9" s="236"/>
      <c r="D9" s="236"/>
      <c r="E9" s="236"/>
      <c r="F9" s="236"/>
      <c r="G9" s="236"/>
      <c r="H9" s="236"/>
      <c r="I9" s="236"/>
      <c r="J9" s="236"/>
      <c r="K9" s="236"/>
      <c r="L9" s="236"/>
      <c r="M9" s="236"/>
      <c r="N9" s="236"/>
      <c r="O9" s="3"/>
      <c r="P9" s="3"/>
    </row>
    <row r="10" spans="1:16" ht="20.100000000000001" customHeight="1" x14ac:dyDescent="0.25">
      <c r="A10" s="3"/>
      <c r="B10" s="3"/>
      <c r="C10" s="236"/>
      <c r="D10" s="236"/>
      <c r="E10" s="236"/>
      <c r="F10" s="236"/>
      <c r="G10" s="236"/>
      <c r="H10" s="236"/>
      <c r="I10" s="236"/>
      <c r="J10" s="236"/>
      <c r="K10" s="236"/>
      <c r="L10" s="236"/>
      <c r="M10" s="236"/>
      <c r="N10" s="236"/>
      <c r="O10" s="3"/>
      <c r="P10" s="3"/>
    </row>
    <row r="11" spans="1:16" ht="20.100000000000001" customHeight="1" x14ac:dyDescent="0.25">
      <c r="A11" s="3"/>
      <c r="B11" s="3"/>
      <c r="C11" s="213"/>
      <c r="D11" s="213"/>
      <c r="E11" s="213"/>
      <c r="F11" s="213"/>
      <c r="G11" s="213"/>
      <c r="H11" s="213"/>
      <c r="I11" s="213"/>
      <c r="J11" s="213"/>
      <c r="K11" s="213"/>
      <c r="L11" s="213"/>
      <c r="M11" s="213"/>
      <c r="N11" s="213"/>
      <c r="O11" s="3"/>
      <c r="P11" s="3"/>
    </row>
    <row r="12" spans="1:16" ht="20.100000000000001" customHeight="1" x14ac:dyDescent="0.25">
      <c r="A12" s="3"/>
      <c r="B12" s="3"/>
      <c r="C12" s="213"/>
      <c r="D12" s="213"/>
      <c r="E12" s="213"/>
      <c r="F12" s="213"/>
      <c r="G12" s="213"/>
      <c r="H12" s="213"/>
      <c r="I12" s="213"/>
      <c r="J12" s="213"/>
      <c r="K12" s="213"/>
      <c r="L12" s="213"/>
      <c r="M12" s="213"/>
      <c r="N12" s="213"/>
      <c r="O12" s="3"/>
      <c r="P12" s="3"/>
    </row>
    <row r="13" spans="1:16" ht="20.100000000000001" customHeight="1" x14ac:dyDescent="0.25">
      <c r="A13" s="3"/>
      <c r="B13" s="3"/>
      <c r="C13" s="213"/>
      <c r="D13" s="213"/>
      <c r="E13" s="213"/>
      <c r="F13" s="213"/>
      <c r="G13" s="213"/>
      <c r="H13" s="213"/>
      <c r="I13" s="213"/>
      <c r="J13" s="213"/>
      <c r="K13" s="213"/>
      <c r="L13" s="213"/>
      <c r="M13" s="213"/>
      <c r="N13" s="213"/>
      <c r="O13" s="3"/>
      <c r="P13" s="3"/>
    </row>
    <row r="14" spans="1:16" ht="20.100000000000001" customHeight="1" x14ac:dyDescent="0.25">
      <c r="A14" s="3"/>
      <c r="B14" s="3"/>
      <c r="C14" s="213"/>
      <c r="D14" s="213"/>
      <c r="E14" s="213"/>
      <c r="F14" s="213"/>
      <c r="G14" s="213"/>
      <c r="H14" s="213"/>
      <c r="I14" s="213"/>
      <c r="J14" s="213"/>
      <c r="K14" s="213"/>
      <c r="L14" s="213"/>
      <c r="M14" s="213"/>
      <c r="N14" s="213"/>
      <c r="O14" s="3"/>
      <c r="P14" s="3"/>
    </row>
    <row r="15" spans="1:16" ht="20.100000000000001" customHeight="1" x14ac:dyDescent="0.25">
      <c r="A15" s="3"/>
      <c r="B15" s="3"/>
      <c r="C15" s="213"/>
      <c r="D15" s="213"/>
      <c r="E15" s="213"/>
      <c r="F15" s="213"/>
      <c r="G15" s="213"/>
      <c r="H15" s="213"/>
      <c r="I15" s="213"/>
      <c r="J15" s="213"/>
      <c r="K15" s="213"/>
      <c r="L15" s="213"/>
      <c r="M15" s="213"/>
      <c r="N15" s="213"/>
      <c r="O15" s="3"/>
      <c r="P15" s="3"/>
    </row>
    <row r="16" spans="1:16" ht="20.100000000000001" customHeight="1" x14ac:dyDescent="0.25">
      <c r="A16" s="3"/>
      <c r="B16" s="3"/>
      <c r="C16" s="213"/>
      <c r="D16" s="213"/>
      <c r="E16" s="213"/>
      <c r="F16" s="213"/>
      <c r="G16" s="213"/>
      <c r="H16" s="213"/>
      <c r="I16" s="213"/>
      <c r="J16" s="213"/>
      <c r="K16" s="213"/>
      <c r="L16" s="213"/>
      <c r="M16" s="213"/>
      <c r="N16" s="213"/>
      <c r="O16" s="3"/>
      <c r="P16" s="3"/>
    </row>
    <row r="17" spans="1:16" ht="20.100000000000001" customHeight="1" x14ac:dyDescent="0.25">
      <c r="A17" s="3"/>
      <c r="B17" s="3"/>
      <c r="C17" s="213"/>
      <c r="D17" s="213"/>
      <c r="E17" s="213"/>
      <c r="F17" s="213"/>
      <c r="G17" s="213"/>
      <c r="H17" s="213"/>
      <c r="I17" s="213"/>
      <c r="J17" s="213"/>
      <c r="K17" s="213"/>
      <c r="L17" s="213"/>
      <c r="M17" s="213"/>
      <c r="N17" s="213"/>
      <c r="O17" s="3"/>
      <c r="P17" s="3"/>
    </row>
    <row r="18" spans="1:16" ht="20.100000000000001" customHeight="1" x14ac:dyDescent="0.25">
      <c r="A18" s="3"/>
      <c r="B18" s="3"/>
      <c r="C18" s="213"/>
      <c r="D18" s="213"/>
      <c r="E18" s="213"/>
      <c r="F18" s="213"/>
      <c r="G18" s="213"/>
      <c r="H18" s="213"/>
      <c r="I18" s="213"/>
      <c r="J18" s="213"/>
      <c r="K18" s="213"/>
      <c r="L18" s="213"/>
      <c r="M18" s="213"/>
      <c r="N18" s="213"/>
      <c r="O18" s="3"/>
      <c r="P18" s="3"/>
    </row>
    <row r="19" spans="1:16" ht="20.100000000000001" customHeight="1" x14ac:dyDescent="0.25">
      <c r="A19" s="3"/>
      <c r="B19" s="3"/>
      <c r="C19" s="34"/>
      <c r="D19" s="34"/>
      <c r="E19" s="34"/>
      <c r="F19" s="34"/>
      <c r="G19" s="34"/>
      <c r="H19" s="34"/>
      <c r="I19" s="34"/>
      <c r="J19" s="34"/>
      <c r="K19" s="34"/>
      <c r="L19" s="34"/>
      <c r="M19" s="34"/>
      <c r="N19" s="34"/>
      <c r="O19" s="3"/>
      <c r="P19" s="3"/>
    </row>
    <row r="20" spans="1:16" ht="20.100000000000001" customHeight="1" x14ac:dyDescent="0.25">
      <c r="A20" s="3"/>
      <c r="B20" s="3"/>
      <c r="C20" s="3"/>
      <c r="D20" s="34"/>
      <c r="E20" s="34"/>
      <c r="F20" s="34"/>
      <c r="G20" s="34"/>
      <c r="H20" s="34"/>
      <c r="I20" s="34"/>
      <c r="J20" s="34"/>
      <c r="K20" s="34"/>
      <c r="L20" s="34"/>
      <c r="M20" s="34"/>
      <c r="N20" s="34"/>
      <c r="O20" s="3"/>
      <c r="P20" s="3"/>
    </row>
    <row r="21" spans="1:16" ht="20.100000000000001" customHeight="1" x14ac:dyDescent="0.25">
      <c r="A21" s="3"/>
      <c r="B21" s="3"/>
      <c r="C21" s="34"/>
      <c r="D21" s="34"/>
      <c r="E21" s="34"/>
      <c r="F21" s="34"/>
      <c r="G21" s="34"/>
      <c r="H21" s="34"/>
      <c r="I21" s="34"/>
      <c r="J21" s="34"/>
      <c r="K21" s="34"/>
      <c r="L21" s="34"/>
      <c r="M21" s="34"/>
      <c r="N21" s="34"/>
      <c r="O21" s="3"/>
      <c r="P21" s="3"/>
    </row>
    <row r="22" spans="1:16" ht="20.100000000000001" customHeight="1" x14ac:dyDescent="0.25">
      <c r="A22" s="3"/>
      <c r="B22" s="3"/>
      <c r="C22" s="34"/>
      <c r="D22" s="34"/>
      <c r="E22" s="34"/>
      <c r="F22" s="34"/>
      <c r="G22" s="34"/>
      <c r="H22" s="34"/>
      <c r="I22" s="34"/>
      <c r="J22" s="34"/>
      <c r="K22" s="34"/>
      <c r="L22" s="34"/>
      <c r="M22" s="34"/>
      <c r="N22" s="34"/>
      <c r="O22" s="3"/>
      <c r="P22" s="3"/>
    </row>
    <row r="23" spans="1:16" ht="20.100000000000001" customHeight="1" x14ac:dyDescent="0.25">
      <c r="A23" s="3"/>
      <c r="B23" s="3"/>
      <c r="C23" s="34"/>
      <c r="D23" s="34"/>
      <c r="E23" s="34"/>
      <c r="F23" s="34"/>
      <c r="G23" s="34"/>
      <c r="H23" s="34"/>
      <c r="I23" s="34"/>
      <c r="J23" s="34"/>
      <c r="K23" s="34"/>
      <c r="L23" s="34"/>
      <c r="M23" s="34"/>
      <c r="N23" s="34"/>
      <c r="O23" s="3"/>
      <c r="P23" s="3"/>
    </row>
    <row r="24" spans="1:16" ht="20.100000000000001" customHeight="1" x14ac:dyDescent="0.25">
      <c r="A24" s="3"/>
      <c r="B24" s="3"/>
      <c r="C24" s="34"/>
      <c r="D24" s="34"/>
      <c r="E24" s="34"/>
      <c r="F24" s="34"/>
      <c r="G24" s="34"/>
      <c r="H24" s="34"/>
      <c r="I24" s="34"/>
      <c r="J24" s="34"/>
      <c r="K24" s="34"/>
      <c r="L24" s="34"/>
      <c r="M24" s="34"/>
      <c r="N24" s="34"/>
      <c r="O24" s="3"/>
      <c r="P24" s="3"/>
    </row>
    <row r="25" spans="1:16" ht="20.100000000000001" customHeight="1" x14ac:dyDescent="0.25">
      <c r="A25" s="3"/>
      <c r="B25" s="3"/>
      <c r="C25" s="34"/>
      <c r="D25" s="34"/>
      <c r="E25" s="34"/>
      <c r="F25" s="34"/>
      <c r="G25" s="34"/>
      <c r="H25" s="34"/>
      <c r="I25" s="34"/>
      <c r="J25" s="34"/>
      <c r="K25" s="34"/>
      <c r="L25" s="34"/>
      <c r="M25" s="34"/>
      <c r="N25" s="34"/>
      <c r="O25" s="3"/>
      <c r="P25" s="3"/>
    </row>
    <row r="26" spans="1:16" ht="20.100000000000001" customHeight="1" x14ac:dyDescent="0.25">
      <c r="A26" s="3"/>
      <c r="B26" s="3"/>
      <c r="C26" s="34"/>
      <c r="D26" s="34"/>
      <c r="E26" s="34"/>
      <c r="F26" s="34"/>
      <c r="G26" s="34"/>
      <c r="H26" s="34"/>
      <c r="I26" s="34"/>
      <c r="J26" s="34"/>
      <c r="K26" s="34"/>
      <c r="L26" s="34"/>
      <c r="M26" s="34"/>
      <c r="N26" s="34"/>
      <c r="O26" s="3"/>
      <c r="P26" s="3"/>
    </row>
    <row r="27" spans="1:16" ht="20.100000000000001" customHeight="1" x14ac:dyDescent="0.25">
      <c r="A27" s="3"/>
      <c r="B27" s="3"/>
      <c r="C27" s="237" t="s">
        <v>434</v>
      </c>
      <c r="D27" s="237"/>
      <c r="E27" s="237"/>
      <c r="F27" s="237"/>
      <c r="G27" s="237"/>
      <c r="H27" s="237"/>
      <c r="I27" s="237"/>
      <c r="J27" s="237"/>
      <c r="K27" s="237"/>
      <c r="L27" s="237"/>
      <c r="M27" s="237"/>
      <c r="N27" s="237"/>
      <c r="O27" s="34"/>
      <c r="P27" s="3"/>
    </row>
    <row r="28" spans="1:16" ht="20.100000000000001" customHeight="1" x14ac:dyDescent="0.25">
      <c r="A28" s="3"/>
      <c r="B28" s="3"/>
      <c r="C28" s="237"/>
      <c r="D28" s="237"/>
      <c r="E28" s="237"/>
      <c r="F28" s="237"/>
      <c r="G28" s="237"/>
      <c r="H28" s="237"/>
      <c r="I28" s="237"/>
      <c r="J28" s="237"/>
      <c r="K28" s="237"/>
      <c r="L28" s="237"/>
      <c r="M28" s="237"/>
      <c r="N28" s="237"/>
      <c r="O28" s="35"/>
      <c r="P28" s="3"/>
    </row>
    <row r="29" spans="1:16" ht="20.100000000000001" customHeight="1" x14ac:dyDescent="0.25">
      <c r="A29" s="3"/>
      <c r="B29" s="3"/>
      <c r="C29" s="237"/>
      <c r="D29" s="237"/>
      <c r="E29" s="237"/>
      <c r="F29" s="237"/>
      <c r="G29" s="237"/>
      <c r="H29" s="237"/>
      <c r="I29" s="237"/>
      <c r="J29" s="237"/>
      <c r="K29" s="237"/>
      <c r="L29" s="237"/>
      <c r="M29" s="237"/>
      <c r="N29" s="237"/>
      <c r="O29" s="35"/>
      <c r="P29" s="3"/>
    </row>
    <row r="30" spans="1:16" ht="20.100000000000001" customHeight="1" x14ac:dyDescent="0.25">
      <c r="A30" s="3"/>
      <c r="B30" s="3"/>
      <c r="C30" s="237"/>
      <c r="D30" s="237"/>
      <c r="E30" s="237"/>
      <c r="F30" s="237"/>
      <c r="G30" s="237"/>
      <c r="H30" s="237"/>
      <c r="I30" s="237"/>
      <c r="J30" s="237"/>
      <c r="K30" s="237"/>
      <c r="L30" s="237"/>
      <c r="M30" s="237"/>
      <c r="N30" s="237"/>
      <c r="O30" s="35"/>
      <c r="P30" s="3"/>
    </row>
    <row r="31" spans="1:16" ht="20.100000000000001" customHeight="1" x14ac:dyDescent="0.25">
      <c r="A31" s="3"/>
      <c r="B31" s="3"/>
      <c r="C31" s="237"/>
      <c r="D31" s="237"/>
      <c r="E31" s="237"/>
      <c r="F31" s="237"/>
      <c r="G31" s="237"/>
      <c r="H31" s="237"/>
      <c r="I31" s="237"/>
      <c r="J31" s="237"/>
      <c r="K31" s="237"/>
      <c r="L31" s="237"/>
      <c r="M31" s="237"/>
      <c r="N31" s="237"/>
      <c r="O31" s="35"/>
      <c r="P31" s="3"/>
    </row>
    <row r="32" spans="1:16" ht="20.100000000000001" customHeight="1" x14ac:dyDescent="0.25">
      <c r="A32" s="3"/>
      <c r="B32" s="3"/>
      <c r="C32" s="237"/>
      <c r="D32" s="237"/>
      <c r="E32" s="237"/>
      <c r="F32" s="237"/>
      <c r="G32" s="237"/>
      <c r="H32" s="237"/>
      <c r="I32" s="237"/>
      <c r="J32" s="237"/>
      <c r="K32" s="237"/>
      <c r="L32" s="237"/>
      <c r="M32" s="237"/>
      <c r="N32" s="237"/>
      <c r="O32" s="35"/>
      <c r="P32" s="3"/>
    </row>
    <row r="33" spans="1:16" ht="20.100000000000001" customHeight="1" x14ac:dyDescent="0.25">
      <c r="A33" s="3"/>
      <c r="B33" s="3"/>
      <c r="C33" s="237"/>
      <c r="D33" s="237"/>
      <c r="E33" s="237"/>
      <c r="F33" s="237"/>
      <c r="G33" s="237"/>
      <c r="H33" s="237"/>
      <c r="I33" s="237"/>
      <c r="J33" s="237"/>
      <c r="K33" s="237"/>
      <c r="L33" s="237"/>
      <c r="M33" s="237"/>
      <c r="N33" s="237"/>
      <c r="O33" s="35"/>
      <c r="P33" s="3"/>
    </row>
    <row r="34" spans="1:16" ht="20.100000000000001" customHeight="1" x14ac:dyDescent="0.25">
      <c r="A34" s="3"/>
      <c r="B34" s="3"/>
      <c r="C34" s="237"/>
      <c r="D34" s="237"/>
      <c r="E34" s="237"/>
      <c r="F34" s="237"/>
      <c r="G34" s="237"/>
      <c r="H34" s="237"/>
      <c r="I34" s="237"/>
      <c r="J34" s="237"/>
      <c r="K34" s="237"/>
      <c r="L34" s="237"/>
      <c r="M34" s="237"/>
      <c r="N34" s="237"/>
      <c r="O34" s="35"/>
      <c r="P34" s="3"/>
    </row>
    <row r="35" spans="1:16" ht="20.100000000000001" customHeight="1" x14ac:dyDescent="0.25">
      <c r="A35" s="3"/>
      <c r="B35" s="3"/>
      <c r="C35" s="237"/>
      <c r="D35" s="237"/>
      <c r="E35" s="237"/>
      <c r="F35" s="237"/>
      <c r="G35" s="237"/>
      <c r="H35" s="237"/>
      <c r="I35" s="237"/>
      <c r="J35" s="237"/>
      <c r="K35" s="237"/>
      <c r="L35" s="237"/>
      <c r="M35" s="237"/>
      <c r="N35" s="237"/>
      <c r="O35" s="35"/>
      <c r="P35" s="3"/>
    </row>
    <row r="36" spans="1:16" ht="20.100000000000001" customHeight="1" x14ac:dyDescent="0.25">
      <c r="A36" s="3"/>
      <c r="B36" s="3"/>
      <c r="C36" s="237"/>
      <c r="D36" s="237"/>
      <c r="E36" s="237"/>
      <c r="F36" s="237"/>
      <c r="G36" s="237"/>
      <c r="H36" s="237"/>
      <c r="I36" s="237"/>
      <c r="J36" s="237"/>
      <c r="K36" s="237"/>
      <c r="L36" s="237"/>
      <c r="M36" s="237"/>
      <c r="N36" s="237"/>
      <c r="O36" s="35"/>
      <c r="P36" s="3"/>
    </row>
    <row r="37" spans="1:16" ht="20.100000000000001" customHeight="1" x14ac:dyDescent="0.25">
      <c r="A37" s="3"/>
      <c r="B37" s="3"/>
      <c r="C37" s="237"/>
      <c r="D37" s="237"/>
      <c r="E37" s="237"/>
      <c r="F37" s="237"/>
      <c r="G37" s="237"/>
      <c r="H37" s="237"/>
      <c r="I37" s="237"/>
      <c r="J37" s="237"/>
      <c r="K37" s="237"/>
      <c r="L37" s="237"/>
      <c r="M37" s="237"/>
      <c r="N37" s="237"/>
      <c r="O37" s="35"/>
      <c r="P37" s="3"/>
    </row>
    <row r="38" spans="1:16" ht="20.100000000000001" customHeight="1" x14ac:dyDescent="0.25">
      <c r="A38" s="3"/>
      <c r="B38" s="3"/>
      <c r="C38" s="237"/>
      <c r="D38" s="237"/>
      <c r="E38" s="237"/>
      <c r="F38" s="237"/>
      <c r="G38" s="237"/>
      <c r="H38" s="237"/>
      <c r="I38" s="237"/>
      <c r="J38" s="237"/>
      <c r="K38" s="237"/>
      <c r="L38" s="237"/>
      <c r="M38" s="237"/>
      <c r="N38" s="237"/>
      <c r="O38" s="35"/>
      <c r="P38" s="3"/>
    </row>
    <row r="39" spans="1:16" ht="20.100000000000001" customHeight="1" x14ac:dyDescent="0.25">
      <c r="A39" s="3"/>
      <c r="B39" s="3"/>
      <c r="C39" s="237"/>
      <c r="D39" s="237"/>
      <c r="E39" s="237"/>
      <c r="F39" s="237"/>
      <c r="G39" s="237"/>
      <c r="H39" s="237"/>
      <c r="I39" s="237"/>
      <c r="J39" s="237"/>
      <c r="K39" s="237"/>
      <c r="L39" s="237"/>
      <c r="M39" s="237"/>
      <c r="N39" s="237"/>
      <c r="O39" s="3"/>
      <c r="P39" s="3"/>
    </row>
    <row r="40" spans="1:16" ht="20.100000000000001" customHeight="1" x14ac:dyDescent="0.25">
      <c r="A40" s="3"/>
      <c r="B40" s="3"/>
      <c r="C40" s="237"/>
      <c r="D40" s="237"/>
      <c r="E40" s="237"/>
      <c r="F40" s="237"/>
      <c r="G40" s="237"/>
      <c r="H40" s="237"/>
      <c r="I40" s="237"/>
      <c r="J40" s="237"/>
      <c r="K40" s="237"/>
      <c r="L40" s="237"/>
      <c r="M40" s="237"/>
      <c r="N40" s="237"/>
      <c r="O40" s="3"/>
      <c r="P40" s="3"/>
    </row>
    <row r="41" spans="1:16" ht="20.100000000000001" customHeight="1" x14ac:dyDescent="0.25">
      <c r="A41" s="3"/>
      <c r="B41" s="3"/>
      <c r="C41" s="237"/>
      <c r="D41" s="237"/>
      <c r="E41" s="237"/>
      <c r="F41" s="237"/>
      <c r="G41" s="237"/>
      <c r="H41" s="237"/>
      <c r="I41" s="237"/>
      <c r="J41" s="237"/>
      <c r="K41" s="237"/>
      <c r="L41" s="237"/>
      <c r="M41" s="237"/>
      <c r="N41" s="237"/>
      <c r="O41" s="3"/>
      <c r="P41" s="3"/>
    </row>
    <row r="42" spans="1:16" ht="20.100000000000001" customHeight="1" x14ac:dyDescent="0.25">
      <c r="A42" s="3"/>
      <c r="B42" s="3"/>
      <c r="C42" s="237"/>
      <c r="D42" s="237"/>
      <c r="E42" s="237"/>
      <c r="F42" s="237"/>
      <c r="G42" s="237"/>
      <c r="H42" s="237"/>
      <c r="I42" s="237"/>
      <c r="J42" s="237"/>
      <c r="K42" s="237"/>
      <c r="L42" s="237"/>
      <c r="M42" s="237"/>
      <c r="N42" s="237"/>
      <c r="O42" s="3"/>
      <c r="P42" s="3"/>
    </row>
    <row r="43" spans="1:16" ht="20.100000000000001" customHeight="1" x14ac:dyDescent="0.25">
      <c r="A43" s="3"/>
      <c r="B43" s="3"/>
      <c r="C43" s="237"/>
      <c r="D43" s="237"/>
      <c r="E43" s="237"/>
      <c r="F43" s="237"/>
      <c r="G43" s="237"/>
      <c r="H43" s="237"/>
      <c r="I43" s="237"/>
      <c r="J43" s="237"/>
      <c r="K43" s="237"/>
      <c r="L43" s="237"/>
      <c r="M43" s="237"/>
      <c r="N43" s="237"/>
      <c r="O43" s="3"/>
      <c r="P43" s="3"/>
    </row>
    <row r="44" spans="1:16" ht="20.100000000000001" customHeight="1" x14ac:dyDescent="0.25">
      <c r="A44" s="3"/>
      <c r="B44" s="3"/>
      <c r="C44" s="237"/>
      <c r="D44" s="237"/>
      <c r="E44" s="237"/>
      <c r="F44" s="237"/>
      <c r="G44" s="237"/>
      <c r="H44" s="237"/>
      <c r="I44" s="237"/>
      <c r="J44" s="237"/>
      <c r="K44" s="237"/>
      <c r="L44" s="237"/>
      <c r="M44" s="237"/>
      <c r="N44" s="237"/>
      <c r="O44" s="3"/>
      <c r="P44" s="3"/>
    </row>
    <row r="45" spans="1:16" ht="20.100000000000001" customHeight="1" x14ac:dyDescent="0.25">
      <c r="A45" s="3"/>
      <c r="B45" s="3"/>
      <c r="C45" s="237"/>
      <c r="D45" s="237"/>
      <c r="E45" s="237"/>
      <c r="F45" s="237"/>
      <c r="G45" s="237"/>
      <c r="H45" s="237"/>
      <c r="I45" s="237"/>
      <c r="J45" s="237"/>
      <c r="K45" s="237"/>
      <c r="L45" s="237"/>
      <c r="M45" s="237"/>
      <c r="N45" s="237"/>
      <c r="O45" s="3"/>
      <c r="P45" s="3"/>
    </row>
    <row r="46" spans="1:16" ht="20.100000000000001" customHeight="1" x14ac:dyDescent="0.25">
      <c r="A46" s="3"/>
      <c r="B46" s="3"/>
      <c r="C46" s="237"/>
      <c r="D46" s="237"/>
      <c r="E46" s="237"/>
      <c r="F46" s="237"/>
      <c r="G46" s="237"/>
      <c r="H46" s="237"/>
      <c r="I46" s="237"/>
      <c r="J46" s="237"/>
      <c r="K46" s="237"/>
      <c r="L46" s="237"/>
      <c r="M46" s="237"/>
      <c r="N46" s="237"/>
      <c r="O46" s="3"/>
      <c r="P46" s="3"/>
    </row>
    <row r="47" spans="1:16" ht="20.100000000000001" customHeight="1" x14ac:dyDescent="0.25">
      <c r="A47" s="3"/>
      <c r="B47" s="3"/>
      <c r="C47" s="237"/>
      <c r="D47" s="237"/>
      <c r="E47" s="237"/>
      <c r="F47" s="237"/>
      <c r="G47" s="237"/>
      <c r="H47" s="237"/>
      <c r="I47" s="237"/>
      <c r="J47" s="237"/>
      <c r="K47" s="237"/>
      <c r="L47" s="237"/>
      <c r="M47" s="237"/>
      <c r="N47" s="237"/>
      <c r="O47" s="3"/>
      <c r="P47" s="3"/>
    </row>
    <row r="48" spans="1:16" ht="20.100000000000001" customHeight="1" x14ac:dyDescent="0.25">
      <c r="A48" s="3"/>
      <c r="B48" s="3"/>
      <c r="C48" s="237"/>
      <c r="D48" s="237"/>
      <c r="E48" s="237"/>
      <c r="F48" s="237"/>
      <c r="G48" s="237"/>
      <c r="H48" s="237"/>
      <c r="I48" s="237"/>
      <c r="J48" s="237"/>
      <c r="K48" s="237"/>
      <c r="L48" s="237"/>
      <c r="M48" s="237"/>
      <c r="N48" s="237"/>
      <c r="O48" s="3"/>
      <c r="P48" s="3"/>
    </row>
    <row r="49" spans="1:16" ht="20.100000000000001" customHeight="1" x14ac:dyDescent="0.25">
      <c r="A49" s="3"/>
      <c r="B49" s="3"/>
      <c r="C49" s="237"/>
      <c r="D49" s="237"/>
      <c r="E49" s="237"/>
      <c r="F49" s="237"/>
      <c r="G49" s="237"/>
      <c r="H49" s="237"/>
      <c r="I49" s="237"/>
      <c r="J49" s="237"/>
      <c r="K49" s="237"/>
      <c r="L49" s="237"/>
      <c r="M49" s="237"/>
      <c r="N49" s="237"/>
      <c r="O49" s="3"/>
      <c r="P49" s="3"/>
    </row>
    <row r="50" spans="1:16" ht="20.100000000000001" customHeight="1" x14ac:dyDescent="0.25">
      <c r="A50" s="3"/>
      <c r="B50" s="3"/>
      <c r="C50" s="237"/>
      <c r="D50" s="237"/>
      <c r="E50" s="237"/>
      <c r="F50" s="237"/>
      <c r="G50" s="237"/>
      <c r="H50" s="237"/>
      <c r="I50" s="237"/>
      <c r="J50" s="237"/>
      <c r="K50" s="237"/>
      <c r="L50" s="237"/>
      <c r="M50" s="237"/>
      <c r="N50" s="237"/>
      <c r="O50" s="3"/>
      <c r="P50" s="3"/>
    </row>
    <row r="51" spans="1:16" ht="20.100000000000001" customHeight="1" x14ac:dyDescent="0.25">
      <c r="A51" s="3"/>
      <c r="B51" s="3"/>
      <c r="C51" s="237"/>
      <c r="D51" s="237"/>
      <c r="E51" s="237"/>
      <c r="F51" s="237"/>
      <c r="G51" s="237"/>
      <c r="H51" s="237"/>
      <c r="I51" s="237"/>
      <c r="J51" s="237"/>
      <c r="K51" s="237"/>
      <c r="L51" s="237"/>
      <c r="M51" s="237"/>
      <c r="N51" s="237"/>
      <c r="O51" s="3"/>
      <c r="P51" s="3"/>
    </row>
    <row r="52" spans="1:16" ht="20.100000000000001" customHeight="1" x14ac:dyDescent="0.25">
      <c r="A52" s="3"/>
      <c r="B52" s="3"/>
      <c r="C52" s="237"/>
      <c r="D52" s="237"/>
      <c r="E52" s="237"/>
      <c r="F52" s="237"/>
      <c r="G52" s="237"/>
      <c r="H52" s="237"/>
      <c r="I52" s="237"/>
      <c r="J52" s="237"/>
      <c r="K52" s="237"/>
      <c r="L52" s="237"/>
      <c r="M52" s="237"/>
      <c r="N52" s="237"/>
      <c r="O52" s="3"/>
      <c r="P52" s="3"/>
    </row>
    <row r="53" spans="1:16" ht="20.100000000000001" customHeight="1" x14ac:dyDescent="0.25">
      <c r="A53" s="3"/>
      <c r="B53" s="3"/>
      <c r="C53" s="237"/>
      <c r="D53" s="237"/>
      <c r="E53" s="237"/>
      <c r="F53" s="237"/>
      <c r="G53" s="237"/>
      <c r="H53" s="237"/>
      <c r="I53" s="237"/>
      <c r="J53" s="237"/>
      <c r="K53" s="237"/>
      <c r="L53" s="237"/>
      <c r="M53" s="237"/>
      <c r="N53" s="237"/>
      <c r="O53" s="3"/>
      <c r="P53" s="3"/>
    </row>
    <row r="54" spans="1:16" ht="20.100000000000001" customHeight="1" x14ac:dyDescent="0.25">
      <c r="A54" s="3"/>
      <c r="B54" s="3"/>
      <c r="C54" s="237"/>
      <c r="D54" s="237"/>
      <c r="E54" s="237"/>
      <c r="F54" s="237"/>
      <c r="G54" s="237"/>
      <c r="H54" s="237"/>
      <c r="I54" s="237"/>
      <c r="J54" s="237"/>
      <c r="K54" s="237"/>
      <c r="L54" s="237"/>
      <c r="M54" s="237"/>
      <c r="N54" s="237"/>
      <c r="O54" s="3"/>
      <c r="P54" s="3"/>
    </row>
    <row r="55" spans="1:16" ht="20.100000000000001" customHeight="1" x14ac:dyDescent="0.25">
      <c r="A55" s="3"/>
      <c r="B55" s="3"/>
      <c r="C55" s="3" t="s">
        <v>362</v>
      </c>
      <c r="D55" s="34"/>
      <c r="E55" s="34"/>
      <c r="F55" s="34"/>
      <c r="G55" s="34"/>
      <c r="H55" s="3"/>
      <c r="I55" s="34"/>
      <c r="J55" s="34"/>
      <c r="K55" s="34"/>
      <c r="L55" s="35"/>
      <c r="M55" s="34"/>
      <c r="N55" s="34"/>
      <c r="O55" s="3"/>
      <c r="P55" s="3"/>
    </row>
    <row r="56" spans="1:16" ht="20.100000000000001" customHeight="1" x14ac:dyDescent="0.25">
      <c r="A56" s="3"/>
      <c r="B56" s="3"/>
      <c r="C56" s="3"/>
      <c r="D56" s="233" t="s">
        <v>445</v>
      </c>
      <c r="E56" s="34"/>
      <c r="F56" s="34"/>
      <c r="G56" s="34"/>
      <c r="H56" s="3"/>
      <c r="I56" s="3"/>
      <c r="J56" s="3"/>
      <c r="K56" s="3"/>
      <c r="L56" s="35"/>
      <c r="M56" s="34"/>
      <c r="N56" s="34"/>
      <c r="O56" s="3"/>
      <c r="P56" s="3"/>
    </row>
    <row r="57" spans="1:16" ht="20.100000000000001" customHeight="1" x14ac:dyDescent="0.25">
      <c r="A57" s="3"/>
      <c r="B57" s="3"/>
      <c r="C57" s="3"/>
      <c r="D57" s="3"/>
      <c r="E57" s="3"/>
      <c r="F57" s="3"/>
      <c r="G57" s="3"/>
      <c r="H57" s="3"/>
      <c r="I57" s="3"/>
      <c r="J57" s="3"/>
      <c r="K57" s="3"/>
      <c r="L57" s="35"/>
      <c r="M57" s="3"/>
      <c r="N57" s="34"/>
      <c r="O57" s="3"/>
      <c r="P57" s="3"/>
    </row>
    <row r="58" spans="1:16" ht="20.100000000000001" customHeight="1" x14ac:dyDescent="0.25">
      <c r="A58" s="3"/>
      <c r="B58" s="3"/>
      <c r="C58" s="35" t="s">
        <v>361</v>
      </c>
      <c r="D58" s="34"/>
      <c r="E58" s="3"/>
      <c r="F58" s="3"/>
      <c r="G58" s="3"/>
      <c r="H58" s="3"/>
      <c r="I58" s="3"/>
      <c r="J58" s="3"/>
      <c r="K58" s="3"/>
      <c r="L58" s="3"/>
      <c r="M58" s="3"/>
      <c r="N58" s="34"/>
      <c r="O58" s="3"/>
      <c r="P58" s="3"/>
    </row>
    <row r="59" spans="1:16" ht="20.100000000000001" customHeight="1" x14ac:dyDescent="0.25">
      <c r="A59" s="3"/>
      <c r="B59" s="3"/>
      <c r="C59" s="35"/>
      <c r="D59" s="36" t="s">
        <v>42</v>
      </c>
      <c r="E59" s="3"/>
      <c r="F59" s="3"/>
      <c r="G59" s="3"/>
      <c r="H59" s="3"/>
      <c r="I59" s="3"/>
      <c r="J59" s="3"/>
      <c r="K59" s="3"/>
      <c r="L59" s="3"/>
      <c r="M59" s="3"/>
      <c r="N59" s="3"/>
      <c r="O59" s="3"/>
      <c r="P59" s="3"/>
    </row>
    <row r="60" spans="1:16" ht="20.100000000000001" customHeight="1" x14ac:dyDescent="0.25">
      <c r="A60" s="3"/>
      <c r="B60" s="3"/>
      <c r="C60" s="35"/>
      <c r="D60" s="36" t="s">
        <v>43</v>
      </c>
      <c r="E60" s="3"/>
      <c r="F60" s="3"/>
      <c r="G60" s="3"/>
      <c r="H60" s="3"/>
      <c r="I60" s="3"/>
      <c r="J60" s="3"/>
      <c r="K60" s="3"/>
      <c r="L60" s="3"/>
      <c r="M60" s="3"/>
      <c r="N60" s="3"/>
      <c r="O60" s="3"/>
      <c r="P60" s="3"/>
    </row>
    <row r="61" spans="1:16" ht="20.100000000000001" customHeight="1" x14ac:dyDescent="0.25">
      <c r="A61" s="3"/>
      <c r="B61" s="3"/>
      <c r="C61" s="3"/>
      <c r="D61" s="3"/>
      <c r="E61" s="3"/>
      <c r="F61" s="3"/>
      <c r="G61" s="3"/>
      <c r="H61" s="3"/>
      <c r="I61" s="3"/>
      <c r="J61" s="3"/>
      <c r="K61" s="3"/>
      <c r="L61" s="3"/>
      <c r="M61" s="3"/>
      <c r="N61" s="3"/>
      <c r="O61" s="3"/>
      <c r="P61" s="3"/>
    </row>
    <row r="62" spans="1:16" ht="20.100000000000001" customHeight="1" x14ac:dyDescent="0.25">
      <c r="A62" s="3"/>
      <c r="B62" s="3"/>
      <c r="C62" s="35"/>
      <c r="D62" s="36"/>
      <c r="E62" s="3"/>
      <c r="F62" s="3"/>
      <c r="G62" s="3"/>
      <c r="H62" s="3"/>
      <c r="I62" s="3"/>
      <c r="J62" s="3"/>
      <c r="K62" s="3"/>
      <c r="L62" s="3"/>
      <c r="M62" s="3"/>
      <c r="N62" s="3"/>
      <c r="O62" s="3"/>
      <c r="P62" s="3"/>
    </row>
    <row r="63" spans="1:16" ht="20.100000000000001" customHeight="1" x14ac:dyDescent="0.25">
      <c r="A63" s="127"/>
      <c r="B63" s="127"/>
      <c r="C63" s="130"/>
      <c r="D63" s="131"/>
      <c r="E63" s="127"/>
      <c r="F63" s="127"/>
      <c r="G63" s="127"/>
      <c r="H63" s="127"/>
      <c r="I63" s="127"/>
      <c r="J63" s="127"/>
      <c r="K63" s="127"/>
      <c r="L63" s="127"/>
      <c r="M63" s="127"/>
      <c r="N63" s="127"/>
      <c r="O63" s="127"/>
      <c r="P63" s="127"/>
    </row>
    <row r="64" spans="1:16" ht="20.100000000000001" customHeight="1" x14ac:dyDescent="0.3">
      <c r="A64" s="127"/>
      <c r="B64" s="128"/>
      <c r="C64" s="215" t="s">
        <v>46</v>
      </c>
      <c r="D64" s="128"/>
      <c r="E64" s="128"/>
      <c r="F64" s="128"/>
      <c r="G64" s="128"/>
      <c r="H64" s="128"/>
      <c r="I64" s="128"/>
      <c r="J64" s="129"/>
      <c r="K64" s="128"/>
      <c r="L64" s="128"/>
      <c r="M64" s="128"/>
      <c r="N64" s="128"/>
      <c r="O64" s="128"/>
      <c r="P64" s="127"/>
    </row>
    <row r="65" spans="1:16" ht="20.100000000000001" customHeight="1" x14ac:dyDescent="0.25">
      <c r="A65" s="127"/>
      <c r="B65" s="128"/>
      <c r="C65" s="214" t="s">
        <v>120</v>
      </c>
      <c r="D65" s="235">
        <v>45987</v>
      </c>
      <c r="E65" s="235"/>
      <c r="F65" s="234" t="s">
        <v>179</v>
      </c>
      <c r="G65" s="234"/>
      <c r="H65" s="234"/>
      <c r="I65" s="234"/>
      <c r="J65" s="234"/>
      <c r="K65" s="234"/>
      <c r="L65" s="234"/>
      <c r="M65" s="234"/>
      <c r="N65" s="234"/>
      <c r="O65" s="128"/>
      <c r="P65" s="127"/>
    </row>
    <row r="66" spans="1:16" ht="20.100000000000001" customHeight="1" x14ac:dyDescent="0.25">
      <c r="A66" s="127"/>
      <c r="B66" s="128"/>
      <c r="C66" s="214" t="s">
        <v>49</v>
      </c>
      <c r="D66" s="235">
        <v>46002</v>
      </c>
      <c r="E66" s="235"/>
      <c r="F66" s="234" t="s">
        <v>178</v>
      </c>
      <c r="G66" s="234"/>
      <c r="H66" s="234"/>
      <c r="I66" s="234"/>
      <c r="J66" s="234"/>
      <c r="K66" s="234"/>
      <c r="L66" s="234"/>
      <c r="M66" s="234"/>
      <c r="N66" s="234"/>
      <c r="O66" s="128"/>
      <c r="P66" s="127"/>
    </row>
    <row r="67" spans="1:16" ht="20.100000000000001" customHeight="1" x14ac:dyDescent="0.25">
      <c r="A67" s="127"/>
      <c r="B67" s="128"/>
      <c r="C67" s="214" t="s">
        <v>164</v>
      </c>
      <c r="D67" s="235">
        <v>46008</v>
      </c>
      <c r="E67" s="235"/>
      <c r="F67" s="234" t="s">
        <v>177</v>
      </c>
      <c r="G67" s="234"/>
      <c r="H67" s="234"/>
      <c r="I67" s="234"/>
      <c r="J67" s="234"/>
      <c r="K67" s="234"/>
      <c r="L67" s="234"/>
      <c r="M67" s="234"/>
      <c r="N67" s="234"/>
      <c r="O67" s="129"/>
      <c r="P67" s="127"/>
    </row>
    <row r="68" spans="1:16" ht="20.100000000000001" customHeight="1" x14ac:dyDescent="0.25">
      <c r="A68" s="127"/>
      <c r="B68" s="128"/>
      <c r="C68" s="214" t="s">
        <v>176</v>
      </c>
      <c r="D68" s="235">
        <v>46071</v>
      </c>
      <c r="E68" s="234"/>
      <c r="F68" s="234" t="s">
        <v>177</v>
      </c>
      <c r="G68" s="234"/>
      <c r="H68" s="234"/>
      <c r="I68" s="234"/>
      <c r="J68" s="234"/>
      <c r="K68" s="234"/>
      <c r="L68" s="234"/>
      <c r="M68" s="234"/>
      <c r="N68" s="234"/>
      <c r="O68" s="128"/>
      <c r="P68" s="127"/>
    </row>
    <row r="69" spans="1:16" ht="39.950000000000003" customHeight="1" x14ac:dyDescent="0.25">
      <c r="A69" s="127"/>
      <c r="B69" s="128"/>
      <c r="C69" s="214" t="s">
        <v>423</v>
      </c>
      <c r="D69" s="235">
        <v>46184</v>
      </c>
      <c r="E69" s="234"/>
      <c r="F69" s="239" t="s">
        <v>424</v>
      </c>
      <c r="G69" s="239"/>
      <c r="H69" s="239"/>
      <c r="I69" s="239"/>
      <c r="J69" s="239"/>
      <c r="K69" s="239"/>
      <c r="L69" s="239"/>
      <c r="M69" s="239"/>
      <c r="N69" s="239"/>
      <c r="O69" s="128"/>
      <c r="P69" s="127"/>
    </row>
    <row r="70" spans="1:16" ht="20.100000000000001" customHeight="1" x14ac:dyDescent="0.25">
      <c r="A70" s="127"/>
      <c r="B70" s="128"/>
      <c r="C70" s="214" t="s">
        <v>47</v>
      </c>
      <c r="D70" s="234" t="s">
        <v>344</v>
      </c>
      <c r="E70" s="234"/>
      <c r="F70" s="234"/>
      <c r="G70" s="234"/>
      <c r="H70" s="234"/>
      <c r="I70" s="234"/>
      <c r="J70" s="234"/>
      <c r="K70" s="234"/>
      <c r="L70" s="234"/>
      <c r="M70" s="234"/>
      <c r="N70" s="234"/>
      <c r="O70" s="128"/>
      <c r="P70" s="127"/>
    </row>
    <row r="71" spans="1:16" ht="20.100000000000001" customHeight="1" x14ac:dyDescent="0.25">
      <c r="A71" s="127"/>
      <c r="B71" s="128"/>
      <c r="C71" s="214" t="s">
        <v>47</v>
      </c>
      <c r="D71" s="234" t="s">
        <v>48</v>
      </c>
      <c r="E71" s="234"/>
      <c r="F71" s="234"/>
      <c r="G71" s="234"/>
      <c r="H71" s="234"/>
      <c r="I71" s="234"/>
      <c r="J71" s="234"/>
      <c r="K71" s="234"/>
      <c r="L71" s="234"/>
      <c r="M71" s="234"/>
      <c r="N71" s="234"/>
      <c r="O71" s="128"/>
      <c r="P71" s="127"/>
    </row>
    <row r="72" spans="1:16" ht="20.100000000000001" customHeight="1" x14ac:dyDescent="0.25">
      <c r="A72" s="127"/>
      <c r="B72" s="128"/>
      <c r="C72" s="128"/>
      <c r="D72" s="238"/>
      <c r="E72" s="238"/>
      <c r="F72" s="238"/>
      <c r="G72" s="238"/>
      <c r="H72" s="238"/>
      <c r="I72" s="238"/>
      <c r="J72" s="238"/>
      <c r="K72" s="238"/>
      <c r="L72" s="238"/>
      <c r="M72" s="238"/>
      <c r="N72" s="238"/>
      <c r="O72" s="128"/>
      <c r="P72" s="127"/>
    </row>
    <row r="73" spans="1:16" ht="20.100000000000001" customHeight="1" x14ac:dyDescent="0.25">
      <c r="A73" s="127"/>
      <c r="B73" s="128"/>
      <c r="C73" s="128"/>
      <c r="D73" s="238"/>
      <c r="E73" s="238"/>
      <c r="F73" s="238"/>
      <c r="G73" s="238"/>
      <c r="H73" s="238"/>
      <c r="I73" s="238"/>
      <c r="J73" s="238"/>
      <c r="K73" s="238"/>
      <c r="L73" s="238"/>
      <c r="M73" s="238"/>
      <c r="N73" s="238"/>
      <c r="O73" s="128"/>
      <c r="P73" s="127"/>
    </row>
    <row r="74" spans="1:16" ht="20.100000000000001" customHeight="1" x14ac:dyDescent="0.25">
      <c r="A74" s="127"/>
      <c r="B74" s="128"/>
      <c r="C74" s="128"/>
      <c r="D74" s="128"/>
      <c r="E74" s="128"/>
      <c r="F74" s="128"/>
      <c r="G74" s="128"/>
      <c r="H74" s="128"/>
      <c r="I74" s="128"/>
      <c r="J74" s="128"/>
      <c r="K74" s="128"/>
      <c r="L74" s="128"/>
      <c r="M74" s="128"/>
      <c r="N74" s="128"/>
      <c r="O74" s="128"/>
      <c r="P74" s="127"/>
    </row>
    <row r="75" spans="1:16" ht="15" customHeight="1" x14ac:dyDescent="0.25"/>
    <row r="76" spans="1:16" ht="15" customHeight="1" x14ac:dyDescent="0.25"/>
    <row r="77" spans="1:16" ht="15" customHeight="1" x14ac:dyDescent="0.25"/>
    <row r="78" spans="1:16" ht="15" customHeight="1" x14ac:dyDescent="0.25"/>
    <row r="79" spans="1:16" ht="15" customHeight="1" x14ac:dyDescent="0.25"/>
    <row r="80" spans="1:16" ht="15" customHeight="1" x14ac:dyDescent="0.25"/>
    <row r="81" ht="15" customHeight="1" x14ac:dyDescent="0.25"/>
    <row r="87" ht="15" customHeight="1" x14ac:dyDescent="0.25"/>
  </sheetData>
  <sheetProtection algorithmName="SHA-512" hashValue="AEKmNtG2ThZ+OvY1r/aNaoybLtZmWmAAtbjEL8mnZFqlZKXjU7o5f6936JtFnUkPmtC59BMwFD+mdeFGLdXzkA==" saltValue="mXifiO0C/gSNg+szT4lGZw==" spinCount="100000" sheet="1" objects="1" scenarios="1"/>
  <mergeCells count="20">
    <mergeCell ref="C5:N10"/>
    <mergeCell ref="C27:N54"/>
    <mergeCell ref="D72:E72"/>
    <mergeCell ref="D73:E73"/>
    <mergeCell ref="F65:N65"/>
    <mergeCell ref="F66:N66"/>
    <mergeCell ref="F67:N67"/>
    <mergeCell ref="F68:N68"/>
    <mergeCell ref="F69:N69"/>
    <mergeCell ref="F70:N70"/>
    <mergeCell ref="F71:N71"/>
    <mergeCell ref="F72:N72"/>
    <mergeCell ref="F73:N73"/>
    <mergeCell ref="D71:E71"/>
    <mergeCell ref="D65:E65"/>
    <mergeCell ref="D70:E70"/>
    <mergeCell ref="D69:E69"/>
    <mergeCell ref="D66:E66"/>
    <mergeCell ref="D67:E67"/>
    <mergeCell ref="D68:E68"/>
  </mergeCells>
  <hyperlinks>
    <hyperlink ref="D60" r:id="rId1" xr:uid="{10964642-0275-453C-A34B-64FAB88D0B41}"/>
    <hyperlink ref="D59" r:id="rId2" xr:uid="{1AF706B0-AC76-405D-B678-D3AE5C329E23}"/>
    <hyperlink ref="D56" r:id="rId3" xr:uid="{25341DF7-BB1D-4B1C-A0D1-CCBEBC0FD998}"/>
  </hyperlinks>
  <pageMargins left="0.7" right="0.7" top="0.75" bottom="0.75" header="0.3" footer="0.3"/>
  <pageSetup paperSize="9" scale="57" orientation="portrait" r:id="rId4"/>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4267-FCBB-42B2-A26F-30EFBD4EB5D7}">
  <sheetPr codeName="Sheet1">
    <pageSetUpPr fitToPage="1"/>
  </sheetPr>
  <dimension ref="A1:L36"/>
  <sheetViews>
    <sheetView showRowColHeaders="0" tabSelected="1" zoomScaleNormal="100" workbookViewId="0">
      <selection activeCell="D7" sqref="D7"/>
    </sheetView>
  </sheetViews>
  <sheetFormatPr defaultColWidth="0" defaultRowHeight="20.100000000000001" customHeight="1" zeroHeight="1" x14ac:dyDescent="0.25"/>
  <cols>
    <col min="1" max="1" width="5.7109375" style="1" customWidth="1"/>
    <col min="2" max="2" width="21.7109375" style="1" customWidth="1"/>
    <col min="3" max="3" width="35.7109375" style="1" customWidth="1"/>
    <col min="4" max="4" width="40.7109375" style="1" customWidth="1"/>
    <col min="5" max="5" width="21.7109375" style="1" customWidth="1"/>
    <col min="6" max="6" width="5.7109375" style="1" customWidth="1"/>
    <col min="7" max="7" width="33.28515625" style="1" customWidth="1"/>
    <col min="8" max="8" width="21" style="1" hidden="1" customWidth="1"/>
    <col min="9" max="9" width="9.5703125" style="1" hidden="1" customWidth="1"/>
    <col min="10" max="10" width="9.140625" style="1" hidden="1" customWidth="1"/>
    <col min="11" max="12" width="21" style="1" hidden="1" customWidth="1"/>
    <col min="13" max="16384" width="9.140625" style="1" hidden="1"/>
  </cols>
  <sheetData>
    <row r="1" spans="1:7" ht="20.100000000000001" customHeight="1" x14ac:dyDescent="0.25">
      <c r="A1" s="3"/>
      <c r="B1" s="3"/>
      <c r="C1" s="4"/>
      <c r="D1" s="4"/>
      <c r="E1" s="3"/>
      <c r="F1" s="3"/>
      <c r="G1" s="3"/>
    </row>
    <row r="2" spans="1:7" ht="45" customHeight="1" x14ac:dyDescent="0.5">
      <c r="A2" s="21"/>
      <c r="B2" s="5"/>
      <c r="C2" s="37" t="s">
        <v>348</v>
      </c>
      <c r="D2" s="21"/>
      <c r="E2" s="5"/>
      <c r="F2" s="21"/>
      <c r="G2" s="21"/>
    </row>
    <row r="3" spans="1:7" ht="20.100000000000001" customHeight="1" x14ac:dyDescent="0.25">
      <c r="A3" s="3"/>
      <c r="B3" s="3"/>
      <c r="C3" s="6"/>
      <c r="D3" s="7"/>
      <c r="E3" s="3"/>
      <c r="F3" s="3"/>
      <c r="G3" s="3"/>
    </row>
    <row r="4" spans="1:7" ht="20.100000000000001" customHeight="1" x14ac:dyDescent="0.25">
      <c r="A4" s="3"/>
      <c r="B4" s="3"/>
      <c r="C4" s="8"/>
      <c r="D4" s="2"/>
      <c r="E4" s="3"/>
      <c r="F4" s="3"/>
      <c r="G4" s="3"/>
    </row>
    <row r="5" spans="1:7" ht="20.100000000000001" customHeight="1" x14ac:dyDescent="0.3">
      <c r="A5" s="3"/>
      <c r="B5" s="3"/>
      <c r="C5" s="72" t="s">
        <v>251</v>
      </c>
      <c r="D5" s="8"/>
      <c r="E5" s="3"/>
      <c r="F5" s="3"/>
      <c r="G5" s="3"/>
    </row>
    <row r="6" spans="1:7" ht="20.100000000000001" customHeight="1" x14ac:dyDescent="0.25">
      <c r="A6" s="3"/>
      <c r="B6" s="3"/>
      <c r="C6" s="9"/>
      <c r="D6" s="10"/>
      <c r="E6" s="3"/>
      <c r="F6" s="3"/>
      <c r="G6" s="3"/>
    </row>
    <row r="7" spans="1:7" ht="20.100000000000001" customHeight="1" x14ac:dyDescent="0.25">
      <c r="A7" s="3"/>
      <c r="B7" s="3"/>
      <c r="C7" s="11" t="s">
        <v>156</v>
      </c>
      <c r="D7" s="175"/>
      <c r="E7" s="3"/>
      <c r="F7" s="3"/>
      <c r="G7" s="3"/>
    </row>
    <row r="8" spans="1:7" ht="20.100000000000001" customHeight="1" x14ac:dyDescent="0.25">
      <c r="A8" s="3"/>
      <c r="B8" s="3"/>
      <c r="C8" s="11" t="s">
        <v>180</v>
      </c>
      <c r="D8" s="176"/>
      <c r="E8" s="3"/>
      <c r="F8" s="3"/>
      <c r="G8" s="3"/>
    </row>
    <row r="9" spans="1:7" ht="20.100000000000001" customHeight="1" x14ac:dyDescent="0.25">
      <c r="A9" s="3"/>
      <c r="B9" s="3"/>
      <c r="C9" s="11" t="s">
        <v>157</v>
      </c>
      <c r="D9" s="176"/>
      <c r="E9" s="3"/>
      <c r="F9" s="3"/>
      <c r="G9" s="3"/>
    </row>
    <row r="10" spans="1:7" ht="20.100000000000001" customHeight="1" x14ac:dyDescent="0.25">
      <c r="A10" s="3"/>
      <c r="B10" s="3"/>
      <c r="C10" s="11" t="s">
        <v>57</v>
      </c>
      <c r="D10" s="176"/>
      <c r="E10" s="3"/>
      <c r="F10" s="3"/>
      <c r="G10" s="3"/>
    </row>
    <row r="11" spans="1:7" ht="20.100000000000001" customHeight="1" x14ac:dyDescent="0.25">
      <c r="A11" s="3"/>
      <c r="B11" s="3"/>
      <c r="C11" s="30" t="s">
        <v>108</v>
      </c>
      <c r="D11" s="69"/>
      <c r="E11" s="3"/>
      <c r="F11" s="3"/>
      <c r="G11" s="3"/>
    </row>
    <row r="12" spans="1:7" ht="20.100000000000001" customHeight="1" x14ac:dyDescent="0.25">
      <c r="A12" s="3"/>
      <c r="B12" s="3"/>
      <c r="C12" s="13" t="s">
        <v>102</v>
      </c>
      <c r="D12" s="181"/>
      <c r="E12" s="3"/>
      <c r="F12" s="3"/>
      <c r="G12" s="3"/>
    </row>
    <row r="13" spans="1:7" ht="20.100000000000001" customHeight="1" x14ac:dyDescent="0.25">
      <c r="A13" s="3"/>
      <c r="B13" s="3"/>
      <c r="C13" s="13" t="s">
        <v>103</v>
      </c>
      <c r="D13" s="181"/>
      <c r="E13" s="3"/>
      <c r="F13" s="3"/>
      <c r="G13" s="3"/>
    </row>
    <row r="14" spans="1:7" ht="20.100000000000001" customHeight="1" x14ac:dyDescent="0.25">
      <c r="A14" s="3"/>
      <c r="B14" s="3"/>
      <c r="C14" s="13" t="s">
        <v>104</v>
      </c>
      <c r="D14" s="181"/>
      <c r="E14" s="3"/>
      <c r="F14" s="3"/>
      <c r="G14" s="3"/>
    </row>
    <row r="15" spans="1:7" ht="20.100000000000001" customHeight="1" x14ac:dyDescent="0.25">
      <c r="A15" s="3"/>
      <c r="B15" s="3"/>
      <c r="C15" s="13" t="s">
        <v>163</v>
      </c>
      <c r="D15" s="181"/>
      <c r="E15" s="3"/>
      <c r="F15" s="3"/>
      <c r="G15" s="3"/>
    </row>
    <row r="16" spans="1:7" ht="20.100000000000001" customHeight="1" x14ac:dyDescent="0.25">
      <c r="A16" s="3"/>
      <c r="B16" s="3"/>
      <c r="C16" s="151" t="s">
        <v>160</v>
      </c>
      <c r="D16" s="182">
        <f>SUM(D12:D15)</f>
        <v>0</v>
      </c>
      <c r="E16" s="3"/>
      <c r="F16" s="3"/>
      <c r="G16" s="3"/>
    </row>
    <row r="17" spans="1:7" ht="20.100000000000001" customHeight="1" x14ac:dyDescent="0.25">
      <c r="A17" s="3"/>
      <c r="B17" s="3"/>
      <c r="C17" s="11" t="s">
        <v>9</v>
      </c>
      <c r="D17" s="184"/>
      <c r="E17" s="3"/>
      <c r="F17" s="3"/>
      <c r="G17" s="3"/>
    </row>
    <row r="18" spans="1:7" ht="20.100000000000001" customHeight="1" x14ac:dyDescent="0.25">
      <c r="A18" s="3"/>
      <c r="B18" s="3"/>
      <c r="C18" s="11" t="s">
        <v>128</v>
      </c>
      <c r="D18" s="183">
        <v>0.25</v>
      </c>
      <c r="E18" s="3"/>
      <c r="F18" s="3"/>
      <c r="G18" s="3"/>
    </row>
    <row r="19" spans="1:7" ht="20.100000000000001" customHeight="1" x14ac:dyDescent="0.25">
      <c r="A19" s="3"/>
      <c r="B19" s="3"/>
      <c r="C19" s="11" t="s">
        <v>155</v>
      </c>
      <c r="D19" s="177"/>
      <c r="E19" s="3"/>
      <c r="F19" s="3"/>
      <c r="G19" s="3"/>
    </row>
    <row r="20" spans="1:7" ht="20.100000000000001" customHeight="1" x14ac:dyDescent="0.25">
      <c r="A20" s="3"/>
      <c r="B20" s="3"/>
      <c r="C20" s="11" t="s">
        <v>10</v>
      </c>
      <c r="D20" s="178"/>
      <c r="E20" s="3"/>
      <c r="F20" s="3"/>
      <c r="G20" s="3"/>
    </row>
    <row r="21" spans="1:7" ht="20.100000000000001" customHeight="1" x14ac:dyDescent="0.25">
      <c r="A21" s="3"/>
      <c r="B21" s="3"/>
      <c r="C21" s="11" t="s">
        <v>127</v>
      </c>
      <c r="D21" s="178"/>
      <c r="E21" s="3"/>
      <c r="F21" s="3"/>
      <c r="G21" s="3"/>
    </row>
    <row r="22" spans="1:7" ht="79.5" customHeight="1" x14ac:dyDescent="0.25">
      <c r="A22" s="3"/>
      <c r="B22" s="3"/>
      <c r="C22" s="25" t="s">
        <v>45</v>
      </c>
      <c r="D22" s="180"/>
      <c r="E22" s="3"/>
      <c r="F22" s="3"/>
      <c r="G22" s="3"/>
    </row>
    <row r="23" spans="1:7" ht="20.100000000000001" customHeight="1" x14ac:dyDescent="0.25">
      <c r="A23" s="3"/>
      <c r="B23" s="3"/>
      <c r="C23" s="3"/>
      <c r="D23" s="12"/>
      <c r="E23" s="3"/>
      <c r="F23" s="3"/>
      <c r="G23" s="3"/>
    </row>
    <row r="24" spans="1:7" ht="20.100000000000001" customHeight="1" x14ac:dyDescent="0.25">
      <c r="A24" s="3"/>
      <c r="B24" s="3"/>
      <c r="C24" s="3"/>
      <c r="D24" s="12"/>
      <c r="E24" s="3"/>
      <c r="F24" s="3"/>
      <c r="G24" s="3"/>
    </row>
    <row r="25" spans="1:7" ht="20.100000000000001" customHeight="1" x14ac:dyDescent="0.25">
      <c r="A25" s="3"/>
      <c r="B25" s="3"/>
      <c r="C25" s="3"/>
      <c r="D25" s="12"/>
      <c r="E25" s="3"/>
      <c r="F25" s="3"/>
      <c r="G25" s="3"/>
    </row>
    <row r="26" spans="1:7" ht="20.100000000000001" customHeight="1" x14ac:dyDescent="0.25">
      <c r="A26" s="134"/>
      <c r="B26" s="134"/>
      <c r="C26" s="134"/>
      <c r="D26" s="134"/>
      <c r="E26" s="134"/>
      <c r="F26" s="134"/>
      <c r="G26" s="134"/>
    </row>
    <row r="27" spans="1:7" ht="20.100000000000001" customHeight="1" x14ac:dyDescent="0.25">
      <c r="A27" s="134"/>
      <c r="B27" s="127"/>
      <c r="C27" s="132"/>
      <c r="D27" s="133"/>
      <c r="E27" s="134"/>
      <c r="F27" s="134"/>
      <c r="G27" s="134"/>
    </row>
    <row r="28" spans="1:7" ht="20.100000000000001" customHeight="1" x14ac:dyDescent="0.25">
      <c r="A28" s="134"/>
      <c r="B28" s="127"/>
      <c r="C28" s="132"/>
      <c r="D28" s="133"/>
      <c r="E28" s="134"/>
      <c r="F28" s="134"/>
      <c r="G28" s="134"/>
    </row>
    <row r="29" spans="1:7" ht="20.100000000000001" customHeight="1" x14ac:dyDescent="0.25">
      <c r="A29" s="134"/>
      <c r="B29" s="127"/>
      <c r="C29" s="127"/>
      <c r="D29" s="127"/>
      <c r="E29" s="127"/>
      <c r="F29" s="134"/>
      <c r="G29" s="134"/>
    </row>
    <row r="30" spans="1:7" ht="20.100000000000001" customHeight="1" x14ac:dyDescent="0.25">
      <c r="A30" s="134"/>
      <c r="B30" s="127"/>
      <c r="C30" s="127"/>
      <c r="D30" s="127"/>
      <c r="E30" s="127"/>
      <c r="F30" s="134"/>
      <c r="G30" s="134"/>
    </row>
    <row r="33" s="1" customFormat="1" ht="20.100000000000001" hidden="1" customHeight="1" x14ac:dyDescent="0.25"/>
    <row r="34" s="1" customFormat="1" ht="20.100000000000001" hidden="1" customHeight="1" x14ac:dyDescent="0.25"/>
    <row r="35" s="1" customFormat="1" ht="20.100000000000001" hidden="1" customHeight="1" x14ac:dyDescent="0.25"/>
    <row r="36" s="1" customFormat="1" ht="20.100000000000001" hidden="1" customHeight="1" x14ac:dyDescent="0.25"/>
  </sheetData>
  <sheetProtection algorithmName="SHA-512" hashValue="Owga9UXWE603DJI0KP4gM2ZlBHiKN3rXlkXRzjY4dnytmrwJdiHpWKkyskC2Bt4I3RiGJ0kNOpLJrQEJjAaX/g==" saltValue="KbH1LDE+1s5zPJOeiij8KQ==" spinCount="100000" sheet="1" objects="1" scenarios="1"/>
  <protectedRanges>
    <protectedRange sqref="D7:D10 D12:D15 D17:D22" name="EdFörsättsblad"/>
  </protectedRanges>
  <dataValidations count="2">
    <dataValidation type="list" allowBlank="1" showInputMessage="1" showErrorMessage="1" sqref="D9" xr:uid="{93AD139A-BE6A-48A7-A01B-8FE580FB432F}">
      <formula1>Skeden</formula1>
    </dataValidation>
    <dataValidation type="list" allowBlank="1" showInputMessage="1" showErrorMessage="1" sqref="D10" xr:uid="{6A7DAFE3-B7D2-4BA1-BC21-AC5CC238F8EC}">
      <formula1>Projektskede</formula1>
    </dataValidation>
  </dataValidations>
  <pageMargins left="0.70866141732283472" right="0.70866141732283472" top="0.74803149606299213" bottom="0.74803149606299213" header="0.31496062992125984" footer="0.31496062992125984"/>
  <pageSetup paperSize="9" scale="71"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29997-056D-4CF3-ABFE-341599CF208A}">
  <sheetPr codeName="Sheet3">
    <pageSetUpPr autoPageBreaks="0" fitToPage="1"/>
  </sheetPr>
  <dimension ref="A1:T265"/>
  <sheetViews>
    <sheetView showRowColHeaders="0" zoomScaleNormal="100" zoomScaleSheetLayoutView="100" zoomScalePageLayoutView="40" workbookViewId="0">
      <pane ySplit="5" topLeftCell="A6" activePane="bottomLeft" state="frozen"/>
      <selection pane="bottomLeft" activeCell="C6" sqref="C6"/>
    </sheetView>
  </sheetViews>
  <sheetFormatPr defaultColWidth="0" defaultRowHeight="15" zeroHeight="1" x14ac:dyDescent="0.25"/>
  <cols>
    <col min="1" max="1" width="5.7109375" style="1" customWidth="1"/>
    <col min="2" max="2" width="21.7109375" style="1" customWidth="1"/>
    <col min="3" max="3" width="16.85546875" style="15" customWidth="1"/>
    <col min="4" max="4" width="12.7109375" style="1" customWidth="1"/>
    <col min="5" max="5" width="50.7109375" style="1" customWidth="1"/>
    <col min="6" max="7" width="12.7109375" style="1" customWidth="1"/>
    <col min="8" max="8" width="50.7109375" style="1" customWidth="1"/>
    <col min="9" max="9" width="12.7109375" style="1" hidden="1" customWidth="1"/>
    <col min="10" max="10" width="12.7109375" style="1" customWidth="1"/>
    <col min="11" max="11" width="14.42578125" style="1" customWidth="1"/>
    <col min="12" max="13" width="14.42578125" style="1" hidden="1" customWidth="1"/>
    <col min="14" max="17" width="12.7109375" style="1" customWidth="1"/>
    <col min="18" max="18" width="50.7109375" style="14" customWidth="1"/>
    <col min="19" max="19" width="21.7109375" style="1" customWidth="1"/>
    <col min="20" max="20" width="5.7109375" style="1" customWidth="1"/>
    <col min="21" max="16384" width="8.7109375" style="1" hidden="1"/>
  </cols>
  <sheetData>
    <row r="1" spans="1:20" ht="20.100000000000001" customHeight="1" x14ac:dyDescent="0.25">
      <c r="A1" s="3"/>
      <c r="B1" s="23"/>
      <c r="C1" s="23"/>
      <c r="D1" s="23"/>
      <c r="E1" s="23"/>
      <c r="F1" s="23"/>
      <c r="G1" s="23"/>
      <c r="H1" s="23"/>
      <c r="I1" s="23"/>
      <c r="J1" s="23"/>
      <c r="K1" s="23"/>
      <c r="L1" s="23"/>
      <c r="M1" s="23"/>
      <c r="N1" s="23"/>
      <c r="O1" s="23"/>
      <c r="P1" s="23"/>
      <c r="Q1" s="23"/>
      <c r="R1" s="23"/>
      <c r="S1" s="23"/>
      <c r="T1" s="3"/>
    </row>
    <row r="2" spans="1:20" s="19" customFormat="1" ht="45" customHeight="1" x14ac:dyDescent="0.5">
      <c r="A2" s="26"/>
      <c r="B2" s="26"/>
      <c r="C2" s="38" t="s">
        <v>349</v>
      </c>
      <c r="D2" s="26"/>
      <c r="E2" s="26"/>
      <c r="F2" s="26"/>
      <c r="G2" s="26"/>
      <c r="H2" s="26"/>
      <c r="I2" s="26"/>
      <c r="J2" s="26"/>
      <c r="K2" s="26"/>
      <c r="L2" s="26"/>
      <c r="M2" s="26"/>
      <c r="N2" s="26"/>
      <c r="O2" s="26"/>
      <c r="P2" s="26"/>
      <c r="Q2" s="26"/>
      <c r="R2" s="27"/>
      <c r="S2" s="26"/>
    </row>
    <row r="3" spans="1:20" ht="20.100000000000001" customHeight="1" x14ac:dyDescent="0.25">
      <c r="A3" s="3"/>
      <c r="B3" s="23"/>
      <c r="C3" s="23"/>
      <c r="D3" s="3"/>
      <c r="E3" s="23"/>
      <c r="F3" s="23"/>
      <c r="G3" s="23"/>
      <c r="H3" s="23"/>
      <c r="I3" s="23"/>
      <c r="J3" s="23"/>
      <c r="K3" s="23"/>
      <c r="L3" s="23"/>
      <c r="M3" s="23"/>
      <c r="N3" s="23"/>
      <c r="O3" s="3"/>
      <c r="P3" s="3"/>
      <c r="Q3" s="3"/>
      <c r="R3" s="23"/>
      <c r="S3" s="3"/>
      <c r="T3" s="3"/>
    </row>
    <row r="4" spans="1:20" ht="45" customHeight="1" x14ac:dyDescent="0.25">
      <c r="A4" s="3"/>
      <c r="B4" s="3"/>
      <c r="C4" s="147" t="s">
        <v>121</v>
      </c>
      <c r="D4" s="3"/>
      <c r="E4" s="3"/>
      <c r="F4" s="3"/>
      <c r="G4" s="3"/>
      <c r="H4" s="107"/>
      <c r="I4" s="107"/>
      <c r="J4" s="108" t="s">
        <v>40</v>
      </c>
      <c r="K4" s="109"/>
      <c r="L4" s="109"/>
      <c r="M4" s="109"/>
      <c r="N4" s="109"/>
      <c r="O4" s="148"/>
      <c r="P4" s="149" t="s">
        <v>181</v>
      </c>
      <c r="Q4" s="149"/>
      <c r="R4" s="150"/>
      <c r="S4" s="3"/>
      <c r="T4" s="3"/>
    </row>
    <row r="5" spans="1:20" ht="45" customHeight="1" x14ac:dyDescent="0.25">
      <c r="A5" s="3"/>
      <c r="B5" s="186" t="s">
        <v>13</v>
      </c>
      <c r="C5" s="145" t="s">
        <v>165</v>
      </c>
      <c r="D5" s="146" t="s">
        <v>256</v>
      </c>
      <c r="E5" s="146" t="s">
        <v>370</v>
      </c>
      <c r="F5" s="146" t="s">
        <v>257</v>
      </c>
      <c r="G5" s="146" t="s">
        <v>0</v>
      </c>
      <c r="H5" s="157" t="s">
        <v>339</v>
      </c>
      <c r="I5" s="158" t="s">
        <v>14</v>
      </c>
      <c r="J5" s="159" t="s">
        <v>375</v>
      </c>
      <c r="K5" s="159" t="s">
        <v>333</v>
      </c>
      <c r="L5" s="160" t="s">
        <v>340</v>
      </c>
      <c r="M5" s="160" t="s">
        <v>342</v>
      </c>
      <c r="N5" s="159" t="s">
        <v>336</v>
      </c>
      <c r="O5" s="161" t="s">
        <v>161</v>
      </c>
      <c r="P5" s="161" t="s">
        <v>337</v>
      </c>
      <c r="Q5" s="161" t="s">
        <v>338</v>
      </c>
      <c r="R5" s="110" t="s">
        <v>37</v>
      </c>
      <c r="S5" s="3"/>
      <c r="T5" s="3"/>
    </row>
    <row r="6" spans="1:20" x14ac:dyDescent="0.25">
      <c r="A6" s="3"/>
      <c r="B6" s="185">
        <v>1</v>
      </c>
      <c r="C6" s="170"/>
      <c r="D6" s="103"/>
      <c r="E6" s="103"/>
      <c r="F6" s="78"/>
      <c r="G6" s="103"/>
      <c r="H6" s="106"/>
      <c r="I6" s="105" t="str">
        <f>IFERROR(VLOOKUP(KalkylStart[[#This Row],[Klimatmaterial]],Materialtabell[[#All],[Materialnamn]:[Materialtyp]],2,0),"")</f>
        <v/>
      </c>
      <c r="J6" s="104" t="str">
        <f>IFERROR(IF(G6="kg",1,IF(G6="ton",1000,IF(G6=RIGHT(VLOOKUP(H6,Materialtabell[[#All],[Materialnamn]:[Enhet]],4,0),LEN(VLOOKUP(H6,Materialtabell[[#All],[Materialnamn]:[Enhet]],4,0))-3),VLOOKUP(H6,Materialtabell[[#All],[Materialnamn]:[Enhet]],3,0),"Enhetsfel"))),"")</f>
        <v/>
      </c>
      <c r="K6" s="105" t="str">
        <f>IFERROR(IF(G6="kg","kg/kg",IF(G6="ton","kg/ton",IF(RIGHT(VLOOKUP(H6,Materialtabell[[#All],[Materialnamn]:[Enhet]],4,0),LEN(VLOOKUP(H6,Materialtabell[[#All],[Materialnamn]:[Enhet]],4,0))-3)=G6,VLOOKUP(H6,Materialtabell[[#All],[Materialnamn]:[Enhet]],4,0),"kg/ton/"&amp;RIGHT(VLOOKUP(H6,Materialtabell[[#All],[Materialnamn]:[Enhet]],4,0),LEN(VLOOKUP(H6,Materialtabell[[#All],[Materialnamn]:[Enhet]],4,0))-3)))),"")</f>
        <v/>
      </c>
      <c r="L6" s="104" t="str">
        <f>IFERROR(KalkylStart[[#This Row],[Mängd]]*KalkylStart[[#This Row],[Omräknings-faktor]],"")</f>
        <v/>
      </c>
      <c r="M6" s="104" t="str">
        <f>IFERROR(F6*J6*VLOOKUP(H6,Materialtabell[[#All],[Materialnamn]:[Emissionsfaktor 2019
kg CO2e/kg]],5,0),"")</f>
        <v/>
      </c>
      <c r="N6" s="104" t="str">
        <f>IFERROR(F6*J6*VLOOKUP(H6,Materialtabell[[#All],[Materialnamn]:[Emissionsfaktor 2025
kg CO2e/kg]],6,0),"")</f>
        <v/>
      </c>
      <c r="O6" s="78" t="str">
        <f>IFERROR(VLOOKUP(H6,Materialtabell[[#All],[Materialnamn]:[Kommentar A4]],24,0),"")</f>
        <v/>
      </c>
      <c r="P6" s="94" t="str">
        <f>IFERROR(($F6*$J6*$O6*VLOOKUP($H6,Materialtabell[[#All],[Materialnamn]:[Bränsle 
MJ/ton, km]],25,0)*Materiallista!$AF$5)/1000,"")</f>
        <v/>
      </c>
      <c r="Q6" s="94" t="str">
        <f>IFERROR(($F6*$J6*$O6*VLOOKUP($H6,Materialtabell[[#All],[Materialnamn]:[Bränsle 
MJ/ton, km]],25,0)*Materiallista!$AF$6)/1000,"")</f>
        <v/>
      </c>
      <c r="R6" s="162"/>
      <c r="S6" s="3"/>
      <c r="T6" s="3"/>
    </row>
    <row r="7" spans="1:20" x14ac:dyDescent="0.25">
      <c r="A7" s="3"/>
      <c r="B7" s="185">
        <v>2</v>
      </c>
      <c r="C7" s="170"/>
      <c r="D7" s="103"/>
      <c r="E7" s="103"/>
      <c r="F7" s="78"/>
      <c r="G7" s="103"/>
      <c r="H7" s="106"/>
      <c r="I7" s="105" t="str">
        <f>IFERROR(VLOOKUP(KalkylStart[[#This Row],[Klimatmaterial]],Materialtabell[[#All],[Materialnamn]:[Materialtyp]],2,0),"")</f>
        <v/>
      </c>
      <c r="J7" s="104" t="str">
        <f>IFERROR(IF(G7="kg",1,IF(G7="ton",1000,IF(G7=RIGHT(VLOOKUP(H7,Materialtabell[[#All],[Materialnamn]:[Enhet]],4,0),LEN(VLOOKUP(H7,Materialtabell[[#All],[Materialnamn]:[Enhet]],4,0))-3),VLOOKUP(H7,Materialtabell[[#All],[Materialnamn]:[Enhet]],3,0),"Enhetsfel"))),"")</f>
        <v/>
      </c>
      <c r="K7" s="105" t="str">
        <f>IFERROR(IF(G7="kg","kg/kg",IF(G7="ton","kg/ton",IF(RIGHT(VLOOKUP(H7,Materialtabell[[#All],[Materialnamn]:[Enhet]],4,0),LEN(VLOOKUP(H7,Materialtabell[[#All],[Materialnamn]:[Enhet]],4,0))-3)=G7,VLOOKUP(H7,Materialtabell[[#All],[Materialnamn]:[Enhet]],4,0),"kg/ton/"&amp;RIGHT(VLOOKUP(H7,Materialtabell[[#All],[Materialnamn]:[Enhet]],4,0),LEN(VLOOKUP(H7,Materialtabell[[#All],[Materialnamn]:[Enhet]],4,0))-3)))),"")</f>
        <v/>
      </c>
      <c r="L7" s="104" t="str">
        <f>IFERROR(KalkylStart[[#This Row],[Mängd]]*KalkylStart[[#This Row],[Omräknings-faktor]],"")</f>
        <v/>
      </c>
      <c r="M7" s="104" t="str">
        <f>IFERROR(F7*J7*VLOOKUP(H7,Materialtabell[[#All],[Materialnamn]:[Emissionsfaktor 2019
kg CO2e/kg]],5,0),"")</f>
        <v/>
      </c>
      <c r="N7" s="104" t="str">
        <f>IFERROR(F7*J7*VLOOKUP(H7,Materialtabell[[#All],[Materialnamn]:[Emissionsfaktor 2025
kg CO2e/kg]],6,0),"")</f>
        <v/>
      </c>
      <c r="O7" s="78" t="str">
        <f>IFERROR(VLOOKUP(H7,Materialtabell[[#All],[Materialnamn]:[Kommentar A4]],24,0),"")</f>
        <v/>
      </c>
      <c r="P7" s="94" t="str">
        <f>IFERROR(($F7*$J7*$O7*VLOOKUP($H7,Materialtabell[[#All],[Materialnamn]:[Bränsle 
MJ/ton, km]],25,0)*Materiallista!$AF$5)/1000,"")</f>
        <v/>
      </c>
      <c r="Q7" s="94" t="str">
        <f>IFERROR(($F7*$J7*$O7*VLOOKUP($H7,Materialtabell[[#All],[Materialnamn]:[Bränsle 
MJ/ton, km]],25,0)*Materiallista!$AF$6)/1000,"")</f>
        <v/>
      </c>
      <c r="R7" s="162"/>
      <c r="S7" s="3"/>
      <c r="T7" s="3"/>
    </row>
    <row r="8" spans="1:20" x14ac:dyDescent="0.25">
      <c r="A8" s="3"/>
      <c r="B8" s="185">
        <v>3</v>
      </c>
      <c r="C8" s="170"/>
      <c r="D8" s="103"/>
      <c r="E8" s="103"/>
      <c r="F8" s="78"/>
      <c r="G8" s="103"/>
      <c r="H8" s="106"/>
      <c r="I8" s="105" t="str">
        <f>IFERROR(VLOOKUP(KalkylStart[[#This Row],[Klimatmaterial]],Materialtabell[[#All],[Materialnamn]:[Materialtyp]],2,0),"")</f>
        <v/>
      </c>
      <c r="J8" s="104" t="str">
        <f>IFERROR(IF(G8="kg",1,IF(G8="ton",1000,IF(G8=RIGHT(VLOOKUP(H8,Materialtabell[[#All],[Materialnamn]:[Enhet]],4,0),LEN(VLOOKUP(H8,Materialtabell[[#All],[Materialnamn]:[Enhet]],4,0))-3),VLOOKUP(H8,Materialtabell[[#All],[Materialnamn]:[Enhet]],3,0),"Enhetsfel"))),"")</f>
        <v/>
      </c>
      <c r="K8" s="105" t="str">
        <f>IFERROR(IF(G8="kg","kg/kg",IF(G8="ton","kg/ton",IF(RIGHT(VLOOKUP(H8,Materialtabell[[#All],[Materialnamn]:[Enhet]],4,0),LEN(VLOOKUP(H8,Materialtabell[[#All],[Materialnamn]:[Enhet]],4,0))-3)=G8,VLOOKUP(H8,Materialtabell[[#All],[Materialnamn]:[Enhet]],4,0),"kg/ton/"&amp;RIGHT(VLOOKUP(H8,Materialtabell[[#All],[Materialnamn]:[Enhet]],4,0),LEN(VLOOKUP(H8,Materialtabell[[#All],[Materialnamn]:[Enhet]],4,0))-3)))),"")</f>
        <v/>
      </c>
      <c r="L8" s="104" t="str">
        <f>IFERROR(KalkylStart[[#This Row],[Mängd]]*KalkylStart[[#This Row],[Omräknings-faktor]],"")</f>
        <v/>
      </c>
      <c r="M8" s="104" t="str">
        <f>IFERROR(F8*J8*VLOOKUP(H8,Materialtabell[[#All],[Materialnamn]:[Emissionsfaktor 2019
kg CO2e/kg]],5,0),"")</f>
        <v/>
      </c>
      <c r="N8" s="104" t="str">
        <f>IFERROR(F8*J8*VLOOKUP(H8,Materialtabell[[#All],[Materialnamn]:[Emissionsfaktor 2025
kg CO2e/kg]],6,0),"")</f>
        <v/>
      </c>
      <c r="O8" s="78" t="str">
        <f>IFERROR(VLOOKUP(H8,Materialtabell[[#All],[Materialnamn]:[Kommentar A4]],24,0),"")</f>
        <v/>
      </c>
      <c r="P8" s="94" t="str">
        <f>IFERROR(($F8*$J8*$O8*VLOOKUP($H8,Materialtabell[[#All],[Materialnamn]:[Bränsle 
MJ/ton, km]],25,0)*Materiallista!$AF$5)/1000,"")</f>
        <v/>
      </c>
      <c r="Q8" s="94" t="str">
        <f>IFERROR(($F8*$J8*$O8*VLOOKUP($H8,Materialtabell[[#All],[Materialnamn]:[Bränsle 
MJ/ton, km]],25,0)*Materiallista!$AF$6)/1000,"")</f>
        <v/>
      </c>
      <c r="R8" s="162"/>
      <c r="S8" s="3"/>
      <c r="T8" s="3"/>
    </row>
    <row r="9" spans="1:20" x14ac:dyDescent="0.25">
      <c r="A9" s="3"/>
      <c r="B9" s="185">
        <v>4</v>
      </c>
      <c r="C9" s="170"/>
      <c r="D9" s="103"/>
      <c r="E9" s="103"/>
      <c r="F9" s="78"/>
      <c r="G9" s="103"/>
      <c r="H9" s="106"/>
      <c r="I9" s="105" t="str">
        <f>IFERROR(VLOOKUP(KalkylStart[[#This Row],[Klimatmaterial]],Materialtabell[[#All],[Materialnamn]:[Materialtyp]],2,0),"")</f>
        <v/>
      </c>
      <c r="J9" s="104" t="str">
        <f>IFERROR(IF(G9="kg",1,IF(G9="ton",1000,IF(G9=RIGHT(VLOOKUP(H9,Materialtabell[[#All],[Materialnamn]:[Enhet]],4,0),LEN(VLOOKUP(H9,Materialtabell[[#All],[Materialnamn]:[Enhet]],4,0))-3),VLOOKUP(H9,Materialtabell[[#All],[Materialnamn]:[Enhet]],3,0),"Enhetsfel"))),"")</f>
        <v/>
      </c>
      <c r="K9" s="105" t="str">
        <f>IFERROR(IF(G9="kg","kg/kg",IF(G9="ton","kg/ton",IF(RIGHT(VLOOKUP(H9,Materialtabell[[#All],[Materialnamn]:[Enhet]],4,0),LEN(VLOOKUP(H9,Materialtabell[[#All],[Materialnamn]:[Enhet]],4,0))-3)=G9,VLOOKUP(H9,Materialtabell[[#All],[Materialnamn]:[Enhet]],4,0),"kg/ton/"&amp;RIGHT(VLOOKUP(H9,Materialtabell[[#All],[Materialnamn]:[Enhet]],4,0),LEN(VLOOKUP(H9,Materialtabell[[#All],[Materialnamn]:[Enhet]],4,0))-3)))),"")</f>
        <v/>
      </c>
      <c r="L9" s="104" t="str">
        <f>IFERROR(KalkylStart[[#This Row],[Mängd]]*KalkylStart[[#This Row],[Omräknings-faktor]],"")</f>
        <v/>
      </c>
      <c r="M9" s="104" t="str">
        <f>IFERROR(F9*J9*VLOOKUP(H9,Materialtabell[[#All],[Materialnamn]:[Emissionsfaktor 2019
kg CO2e/kg]],5,0),"")</f>
        <v/>
      </c>
      <c r="N9" s="104" t="str">
        <f>IFERROR(F9*J9*VLOOKUP(H9,Materialtabell[[#All],[Materialnamn]:[Emissionsfaktor 2025
kg CO2e/kg]],6,0),"")</f>
        <v/>
      </c>
      <c r="O9" s="78" t="str">
        <f>IFERROR(VLOOKUP(H9,Materialtabell[[#All],[Materialnamn]:[Kommentar A4]],24,0),"")</f>
        <v/>
      </c>
      <c r="P9" s="94" t="str">
        <f>IFERROR(($F9*$J9*$O9*VLOOKUP($H9,Materialtabell[[#All],[Materialnamn]:[Bränsle 
MJ/ton, km]],25,0)*Materiallista!$AF$5)/1000,"")</f>
        <v/>
      </c>
      <c r="Q9" s="94" t="str">
        <f>IFERROR(($F9*$J9*$O9*VLOOKUP($H9,Materialtabell[[#All],[Materialnamn]:[Bränsle 
MJ/ton, km]],25,0)*Materiallista!$AF$6)/1000,"")</f>
        <v/>
      </c>
      <c r="R9" s="162"/>
      <c r="S9" s="3"/>
      <c r="T9" s="3"/>
    </row>
    <row r="10" spans="1:20" x14ac:dyDescent="0.25">
      <c r="A10" s="3"/>
      <c r="B10" s="185">
        <v>5</v>
      </c>
      <c r="C10" s="170"/>
      <c r="D10" s="103"/>
      <c r="E10" s="103"/>
      <c r="F10" s="78"/>
      <c r="G10" s="103"/>
      <c r="H10" s="106"/>
      <c r="I10" s="105" t="str">
        <f>IFERROR(VLOOKUP(KalkylStart[[#This Row],[Klimatmaterial]],Materialtabell[[#All],[Materialnamn]:[Materialtyp]],2,0),"")</f>
        <v/>
      </c>
      <c r="J10" s="104" t="str">
        <f>IFERROR(IF(G10="kg",1,IF(G10="ton",1000,IF(G10=RIGHT(VLOOKUP(H10,Materialtabell[[#All],[Materialnamn]:[Enhet]],4,0),LEN(VLOOKUP(H10,Materialtabell[[#All],[Materialnamn]:[Enhet]],4,0))-3),VLOOKUP(H10,Materialtabell[[#All],[Materialnamn]:[Enhet]],3,0),"Enhetsfel"))),"")</f>
        <v/>
      </c>
      <c r="K10" s="105" t="str">
        <f>IFERROR(IF(G10="kg","kg/kg",IF(G10="ton","kg/ton",IF(RIGHT(VLOOKUP(H10,Materialtabell[[#All],[Materialnamn]:[Enhet]],4,0),LEN(VLOOKUP(H10,Materialtabell[[#All],[Materialnamn]:[Enhet]],4,0))-3)=G10,VLOOKUP(H10,Materialtabell[[#All],[Materialnamn]:[Enhet]],4,0),"kg/ton/"&amp;RIGHT(VLOOKUP(H10,Materialtabell[[#All],[Materialnamn]:[Enhet]],4,0),LEN(VLOOKUP(H10,Materialtabell[[#All],[Materialnamn]:[Enhet]],4,0))-3)))),"")</f>
        <v/>
      </c>
      <c r="L10" s="104" t="str">
        <f>IFERROR(KalkylStart[[#This Row],[Mängd]]*KalkylStart[[#This Row],[Omräknings-faktor]],"")</f>
        <v/>
      </c>
      <c r="M10" s="104" t="str">
        <f>IFERROR(F10*J10*VLOOKUP(H10,Materialtabell[[#All],[Materialnamn]:[Emissionsfaktor 2019
kg CO2e/kg]],5,0),"")</f>
        <v/>
      </c>
      <c r="N10" s="104" t="str">
        <f>IFERROR(F10*J10*VLOOKUP(H10,Materialtabell[[#All],[Materialnamn]:[Emissionsfaktor 2025
kg CO2e/kg]],6,0),"")</f>
        <v/>
      </c>
      <c r="O10" s="78" t="str">
        <f>IFERROR(VLOOKUP(H10,Materialtabell[[#All],[Materialnamn]:[Kommentar A4]],24,0),"")</f>
        <v/>
      </c>
      <c r="P10" s="94" t="str">
        <f>IFERROR(($F10*$J10*$O10*VLOOKUP($H10,Materialtabell[[#All],[Materialnamn]:[Bränsle 
MJ/ton, km]],25,0)*Materiallista!$AF$5)/1000,"")</f>
        <v/>
      </c>
      <c r="Q10" s="94" t="str">
        <f>IFERROR(($F10*$J10*$O10*VLOOKUP($H10,Materialtabell[[#All],[Materialnamn]:[Bränsle 
MJ/ton, km]],25,0)*Materiallista!$AF$6)/1000,"")</f>
        <v/>
      </c>
      <c r="R10" s="162"/>
      <c r="S10" s="3"/>
      <c r="T10" s="3"/>
    </row>
    <row r="11" spans="1:20" x14ac:dyDescent="0.25">
      <c r="A11" s="3"/>
      <c r="B11" s="185">
        <v>6</v>
      </c>
      <c r="C11" s="170"/>
      <c r="D11" s="103"/>
      <c r="E11" s="103"/>
      <c r="F11" s="78"/>
      <c r="G11" s="103"/>
      <c r="H11" s="106"/>
      <c r="I11" s="105" t="str">
        <f>IFERROR(VLOOKUP(KalkylStart[[#This Row],[Klimatmaterial]],Materialtabell[[#All],[Materialnamn]:[Materialtyp]],2,0),"")</f>
        <v/>
      </c>
      <c r="J11" s="104" t="str">
        <f>IFERROR(IF(G11="kg",1,IF(G11="ton",1000,IF(G11=RIGHT(VLOOKUP(H11,Materialtabell[[#All],[Materialnamn]:[Enhet]],4,0),LEN(VLOOKUP(H11,Materialtabell[[#All],[Materialnamn]:[Enhet]],4,0))-3),VLOOKUP(H11,Materialtabell[[#All],[Materialnamn]:[Enhet]],3,0),"Enhetsfel"))),"")</f>
        <v/>
      </c>
      <c r="K11" s="105" t="str">
        <f>IFERROR(IF(G11="kg","kg/kg",IF(G11="ton","kg/ton",IF(RIGHT(VLOOKUP(H11,Materialtabell[[#All],[Materialnamn]:[Enhet]],4,0),LEN(VLOOKUP(H11,Materialtabell[[#All],[Materialnamn]:[Enhet]],4,0))-3)=G11,VLOOKUP(H11,Materialtabell[[#All],[Materialnamn]:[Enhet]],4,0),"kg/ton/"&amp;RIGHT(VLOOKUP(H11,Materialtabell[[#All],[Materialnamn]:[Enhet]],4,0),LEN(VLOOKUP(H11,Materialtabell[[#All],[Materialnamn]:[Enhet]],4,0))-3)))),"")</f>
        <v/>
      </c>
      <c r="L11" s="104" t="str">
        <f>IFERROR(KalkylStart[[#This Row],[Mängd]]*KalkylStart[[#This Row],[Omräknings-faktor]],"")</f>
        <v/>
      </c>
      <c r="M11" s="104" t="str">
        <f>IFERROR(F11*J11*VLOOKUP(H11,Materialtabell[[#All],[Materialnamn]:[Emissionsfaktor 2019
kg CO2e/kg]],5,0),"")</f>
        <v/>
      </c>
      <c r="N11" s="104" t="str">
        <f>IFERROR(F11*J11*VLOOKUP(H11,Materialtabell[[#All],[Materialnamn]:[Emissionsfaktor 2025
kg CO2e/kg]],6,0),"")</f>
        <v/>
      </c>
      <c r="O11" s="78" t="str">
        <f>IFERROR(VLOOKUP(H11,Materialtabell[[#All],[Materialnamn]:[Kommentar A4]],24,0),"")</f>
        <v/>
      </c>
      <c r="P11" s="94" t="str">
        <f>IFERROR(($F11*$J11*$O11*VLOOKUP($H11,Materialtabell[[#All],[Materialnamn]:[Bränsle 
MJ/ton, km]],25,0)*Materiallista!$AF$5)/1000,"")</f>
        <v/>
      </c>
      <c r="Q11" s="94" t="str">
        <f>IFERROR(($F11*$J11*$O11*VLOOKUP($H11,Materialtabell[[#All],[Materialnamn]:[Bränsle 
MJ/ton, km]],25,0)*Materiallista!$AF$6)/1000,"")</f>
        <v/>
      </c>
      <c r="R11" s="162"/>
      <c r="S11" s="3"/>
      <c r="T11" s="3"/>
    </row>
    <row r="12" spans="1:20" x14ac:dyDescent="0.25">
      <c r="A12" s="3"/>
      <c r="B12" s="185">
        <v>7</v>
      </c>
      <c r="C12" s="170"/>
      <c r="D12" s="103"/>
      <c r="E12" s="103"/>
      <c r="F12" s="78"/>
      <c r="G12" s="103"/>
      <c r="H12" s="106"/>
      <c r="I12" s="105" t="str">
        <f>IFERROR(VLOOKUP(KalkylStart[[#This Row],[Klimatmaterial]],Materialtabell[[#All],[Materialnamn]:[Materialtyp]],2,0),"")</f>
        <v/>
      </c>
      <c r="J12" s="104" t="str">
        <f>IFERROR(IF(G12="kg",1,IF(G12="ton",1000,IF(G12=RIGHT(VLOOKUP(H12,Materialtabell[[#All],[Materialnamn]:[Enhet]],4,0),LEN(VLOOKUP(H12,Materialtabell[[#All],[Materialnamn]:[Enhet]],4,0))-3),VLOOKUP(H12,Materialtabell[[#All],[Materialnamn]:[Enhet]],3,0),"Enhetsfel"))),"")</f>
        <v/>
      </c>
      <c r="K12" s="105" t="str">
        <f>IFERROR(IF(G12="kg","kg/kg",IF(G12="ton","kg/ton",IF(RIGHT(VLOOKUP(H12,Materialtabell[[#All],[Materialnamn]:[Enhet]],4,0),LEN(VLOOKUP(H12,Materialtabell[[#All],[Materialnamn]:[Enhet]],4,0))-3)=G12,VLOOKUP(H12,Materialtabell[[#All],[Materialnamn]:[Enhet]],4,0),"kg/ton/"&amp;RIGHT(VLOOKUP(H12,Materialtabell[[#All],[Materialnamn]:[Enhet]],4,0),LEN(VLOOKUP(H12,Materialtabell[[#All],[Materialnamn]:[Enhet]],4,0))-3)))),"")</f>
        <v/>
      </c>
      <c r="L12" s="104" t="str">
        <f>IFERROR(KalkylStart[[#This Row],[Mängd]]*KalkylStart[[#This Row],[Omräknings-faktor]],"")</f>
        <v/>
      </c>
      <c r="M12" s="104" t="str">
        <f>IFERROR(F12*J12*VLOOKUP(H12,Materialtabell[[#All],[Materialnamn]:[Emissionsfaktor 2019
kg CO2e/kg]],5,0),"")</f>
        <v/>
      </c>
      <c r="N12" s="104" t="str">
        <f>IFERROR(F12*J12*VLOOKUP(H12,Materialtabell[[#All],[Materialnamn]:[Emissionsfaktor 2025
kg CO2e/kg]],6,0),"")</f>
        <v/>
      </c>
      <c r="O12" s="78" t="str">
        <f>IFERROR(VLOOKUP(H12,Materialtabell[[#All],[Materialnamn]:[Kommentar A4]],24,0),"")</f>
        <v/>
      </c>
      <c r="P12" s="94" t="str">
        <f>IFERROR(($F12*$J12*$O12*VLOOKUP($H12,Materialtabell[[#All],[Materialnamn]:[Bränsle 
MJ/ton, km]],25,0)*Materiallista!$AF$5)/1000,"")</f>
        <v/>
      </c>
      <c r="Q12" s="94" t="str">
        <f>IFERROR(($F12*$J12*$O12*VLOOKUP($H12,Materialtabell[[#All],[Materialnamn]:[Bränsle 
MJ/ton, km]],25,0)*Materiallista!$AF$6)/1000,"")</f>
        <v/>
      </c>
      <c r="R12" s="162"/>
      <c r="S12" s="3"/>
      <c r="T12" s="3"/>
    </row>
    <row r="13" spans="1:20" x14ac:dyDescent="0.25">
      <c r="A13" s="3"/>
      <c r="B13" s="185">
        <v>8</v>
      </c>
      <c r="C13" s="170"/>
      <c r="D13" s="103"/>
      <c r="E13" s="103"/>
      <c r="F13" s="78"/>
      <c r="G13" s="103"/>
      <c r="H13" s="106"/>
      <c r="I13" s="105" t="str">
        <f>IFERROR(VLOOKUP(KalkylStart[[#This Row],[Klimatmaterial]],Materialtabell[[#All],[Materialnamn]:[Materialtyp]],2,0),"")</f>
        <v/>
      </c>
      <c r="J13" s="104" t="str">
        <f>IFERROR(IF(G13="kg",1,IF(G13="ton",1000,IF(G13=RIGHT(VLOOKUP(H13,Materialtabell[[#All],[Materialnamn]:[Enhet]],4,0),LEN(VLOOKUP(H13,Materialtabell[[#All],[Materialnamn]:[Enhet]],4,0))-3),VLOOKUP(H13,Materialtabell[[#All],[Materialnamn]:[Enhet]],3,0),"Enhetsfel"))),"")</f>
        <v/>
      </c>
      <c r="K13" s="105" t="str">
        <f>IFERROR(IF(G13="kg","kg/kg",IF(G13="ton","kg/ton",IF(RIGHT(VLOOKUP(H13,Materialtabell[[#All],[Materialnamn]:[Enhet]],4,0),LEN(VLOOKUP(H13,Materialtabell[[#All],[Materialnamn]:[Enhet]],4,0))-3)=G13,VLOOKUP(H13,Materialtabell[[#All],[Materialnamn]:[Enhet]],4,0),"kg/ton/"&amp;RIGHT(VLOOKUP(H13,Materialtabell[[#All],[Materialnamn]:[Enhet]],4,0),LEN(VLOOKUP(H13,Materialtabell[[#All],[Materialnamn]:[Enhet]],4,0))-3)))),"")</f>
        <v/>
      </c>
      <c r="L13" s="104" t="str">
        <f>IFERROR(KalkylStart[[#This Row],[Mängd]]*KalkylStart[[#This Row],[Omräknings-faktor]],"")</f>
        <v/>
      </c>
      <c r="M13" s="104" t="str">
        <f>IFERROR(F13*J13*VLOOKUP(H13,Materialtabell[[#All],[Materialnamn]:[Emissionsfaktor 2019
kg CO2e/kg]],5,0),"")</f>
        <v/>
      </c>
      <c r="N13" s="104" t="str">
        <f>IFERROR(F13*J13*VLOOKUP(H13,Materialtabell[[#All],[Materialnamn]:[Emissionsfaktor 2025
kg CO2e/kg]],6,0),"")</f>
        <v/>
      </c>
      <c r="O13" s="78" t="str">
        <f>IFERROR(VLOOKUP(H13,Materialtabell[[#All],[Materialnamn]:[Kommentar A4]],24,0),"")</f>
        <v/>
      </c>
      <c r="P13" s="94" t="str">
        <f>IFERROR(($F13*$J13*$O13*VLOOKUP($H13,Materialtabell[[#All],[Materialnamn]:[Bränsle 
MJ/ton, km]],25,0)*Materiallista!$AF$5)/1000,"")</f>
        <v/>
      </c>
      <c r="Q13" s="94" t="str">
        <f>IFERROR(($F13*$J13*$O13*VLOOKUP($H13,Materialtabell[[#All],[Materialnamn]:[Bränsle 
MJ/ton, km]],25,0)*Materiallista!$AF$6)/1000,"")</f>
        <v/>
      </c>
      <c r="R13" s="162"/>
      <c r="S13" s="3"/>
      <c r="T13" s="3"/>
    </row>
    <row r="14" spans="1:20" x14ac:dyDescent="0.25">
      <c r="A14" s="3"/>
      <c r="B14" s="185">
        <v>9</v>
      </c>
      <c r="C14" s="170"/>
      <c r="D14" s="103"/>
      <c r="E14" s="103"/>
      <c r="F14" s="78"/>
      <c r="G14" s="103"/>
      <c r="H14" s="106"/>
      <c r="I14" s="105" t="str">
        <f>IFERROR(VLOOKUP(KalkylStart[[#This Row],[Klimatmaterial]],Materialtabell[[#All],[Materialnamn]:[Materialtyp]],2,0),"")</f>
        <v/>
      </c>
      <c r="J14" s="104" t="str">
        <f>IFERROR(IF(G14="kg",1,IF(G14="ton",1000,IF(G14=RIGHT(VLOOKUP(H14,Materialtabell[[#All],[Materialnamn]:[Enhet]],4,0),LEN(VLOOKUP(H14,Materialtabell[[#All],[Materialnamn]:[Enhet]],4,0))-3),VLOOKUP(H14,Materialtabell[[#All],[Materialnamn]:[Enhet]],3,0),"Enhetsfel"))),"")</f>
        <v/>
      </c>
      <c r="K14" s="105" t="str">
        <f>IFERROR(IF(G14="kg","kg/kg",IF(G14="ton","kg/ton",IF(RIGHT(VLOOKUP(H14,Materialtabell[[#All],[Materialnamn]:[Enhet]],4,0),LEN(VLOOKUP(H14,Materialtabell[[#All],[Materialnamn]:[Enhet]],4,0))-3)=G14,VLOOKUP(H14,Materialtabell[[#All],[Materialnamn]:[Enhet]],4,0),"kg/ton/"&amp;RIGHT(VLOOKUP(H14,Materialtabell[[#All],[Materialnamn]:[Enhet]],4,0),LEN(VLOOKUP(H14,Materialtabell[[#All],[Materialnamn]:[Enhet]],4,0))-3)))),"")</f>
        <v/>
      </c>
      <c r="L14" s="104" t="str">
        <f>IFERROR(KalkylStart[[#This Row],[Mängd]]*KalkylStart[[#This Row],[Omräknings-faktor]],"")</f>
        <v/>
      </c>
      <c r="M14" s="104" t="str">
        <f>IFERROR(F14*J14*VLOOKUP(H14,Materialtabell[[#All],[Materialnamn]:[Emissionsfaktor 2019
kg CO2e/kg]],5,0),"")</f>
        <v/>
      </c>
      <c r="N14" s="104" t="str">
        <f>IFERROR(F14*J14*VLOOKUP(H14,Materialtabell[[#All],[Materialnamn]:[Emissionsfaktor 2025
kg CO2e/kg]],6,0),"")</f>
        <v/>
      </c>
      <c r="O14" s="78" t="str">
        <f>IFERROR(VLOOKUP(H14,Materialtabell[[#All],[Materialnamn]:[Kommentar A4]],24,0),"")</f>
        <v/>
      </c>
      <c r="P14" s="94" t="str">
        <f>IFERROR(($F14*$J14*$O14*VLOOKUP($H14,Materialtabell[[#All],[Materialnamn]:[Bränsle 
MJ/ton, km]],25,0)*Materiallista!$AF$5)/1000,"")</f>
        <v/>
      </c>
      <c r="Q14" s="94" t="str">
        <f>IFERROR(($F14*$J14*$O14*VLOOKUP($H14,Materialtabell[[#All],[Materialnamn]:[Bränsle 
MJ/ton, km]],25,0)*Materiallista!$AF$6)/1000,"")</f>
        <v/>
      </c>
      <c r="R14" s="162"/>
      <c r="S14" s="3"/>
      <c r="T14" s="3"/>
    </row>
    <row r="15" spans="1:20" x14ac:dyDescent="0.25">
      <c r="A15" s="3"/>
      <c r="B15" s="185">
        <v>10</v>
      </c>
      <c r="C15" s="170"/>
      <c r="D15" s="103"/>
      <c r="E15" s="103"/>
      <c r="F15" s="78"/>
      <c r="G15" s="103"/>
      <c r="H15" s="106"/>
      <c r="I15" s="105" t="str">
        <f>IFERROR(VLOOKUP(KalkylStart[[#This Row],[Klimatmaterial]],Materialtabell[[#All],[Materialnamn]:[Materialtyp]],2,0),"")</f>
        <v/>
      </c>
      <c r="J15" s="104" t="str">
        <f>IFERROR(IF(G15="kg",1,IF(G15="ton",1000,IF(G15=RIGHT(VLOOKUP(H15,Materialtabell[[#All],[Materialnamn]:[Enhet]],4,0),LEN(VLOOKUP(H15,Materialtabell[[#All],[Materialnamn]:[Enhet]],4,0))-3),VLOOKUP(H15,Materialtabell[[#All],[Materialnamn]:[Enhet]],3,0),"Enhetsfel"))),"")</f>
        <v/>
      </c>
      <c r="K15" s="105" t="str">
        <f>IFERROR(IF(G15="kg","kg/kg",IF(G15="ton","kg/ton",IF(RIGHT(VLOOKUP(H15,Materialtabell[[#All],[Materialnamn]:[Enhet]],4,0),LEN(VLOOKUP(H15,Materialtabell[[#All],[Materialnamn]:[Enhet]],4,0))-3)=G15,VLOOKUP(H15,Materialtabell[[#All],[Materialnamn]:[Enhet]],4,0),"kg/ton/"&amp;RIGHT(VLOOKUP(H15,Materialtabell[[#All],[Materialnamn]:[Enhet]],4,0),LEN(VLOOKUP(H15,Materialtabell[[#All],[Materialnamn]:[Enhet]],4,0))-3)))),"")</f>
        <v/>
      </c>
      <c r="L15" s="104" t="str">
        <f>IFERROR(KalkylStart[[#This Row],[Mängd]]*KalkylStart[[#This Row],[Omräknings-faktor]],"")</f>
        <v/>
      </c>
      <c r="M15" s="104" t="str">
        <f>IFERROR(F15*J15*VLOOKUP(H15,Materialtabell[[#All],[Materialnamn]:[Emissionsfaktor 2019
kg CO2e/kg]],5,0),"")</f>
        <v/>
      </c>
      <c r="N15" s="104" t="str">
        <f>IFERROR(F15*J15*VLOOKUP(H15,Materialtabell[[#All],[Materialnamn]:[Emissionsfaktor 2025
kg CO2e/kg]],6,0),"")</f>
        <v/>
      </c>
      <c r="O15" s="78" t="str">
        <f>IFERROR(VLOOKUP(H15,Materialtabell[[#All],[Materialnamn]:[Kommentar A4]],24,0),"")</f>
        <v/>
      </c>
      <c r="P15" s="94" t="str">
        <f>IFERROR(($F15*$J15*$O15*VLOOKUP($H15,Materialtabell[[#All],[Materialnamn]:[Bränsle 
MJ/ton, km]],25,0)*Materiallista!$AF$5)/1000,"")</f>
        <v/>
      </c>
      <c r="Q15" s="94" t="str">
        <f>IFERROR(($F15*$J15*$O15*VLOOKUP($H15,Materialtabell[[#All],[Materialnamn]:[Bränsle 
MJ/ton, km]],25,0)*Materiallista!$AF$6)/1000,"")</f>
        <v/>
      </c>
      <c r="R15" s="162"/>
      <c r="S15" s="3"/>
      <c r="T15" s="3"/>
    </row>
    <row r="16" spans="1:20" x14ac:dyDescent="0.25">
      <c r="A16" s="3"/>
      <c r="B16" s="185">
        <v>11</v>
      </c>
      <c r="C16" s="170"/>
      <c r="D16" s="103"/>
      <c r="E16" s="103"/>
      <c r="F16" s="78"/>
      <c r="G16" s="103"/>
      <c r="H16" s="106"/>
      <c r="I16" s="105" t="str">
        <f>IFERROR(VLOOKUP(KalkylStart[[#This Row],[Klimatmaterial]],Materialtabell[[#All],[Materialnamn]:[Materialtyp]],2,0),"")</f>
        <v/>
      </c>
      <c r="J16" s="104" t="str">
        <f>IFERROR(IF(G16="kg",1,IF(G16="ton",1000,IF(G16=RIGHT(VLOOKUP(H16,Materialtabell[[#All],[Materialnamn]:[Enhet]],4,0),LEN(VLOOKUP(H16,Materialtabell[[#All],[Materialnamn]:[Enhet]],4,0))-3),VLOOKUP(H16,Materialtabell[[#All],[Materialnamn]:[Enhet]],3,0),"Enhetsfel"))),"")</f>
        <v/>
      </c>
      <c r="K16" s="105" t="str">
        <f>IFERROR(IF(G16="kg","kg/kg",IF(G16="ton","kg/ton",IF(RIGHT(VLOOKUP(H16,Materialtabell[[#All],[Materialnamn]:[Enhet]],4,0),LEN(VLOOKUP(H16,Materialtabell[[#All],[Materialnamn]:[Enhet]],4,0))-3)=G16,VLOOKUP(H16,Materialtabell[[#All],[Materialnamn]:[Enhet]],4,0),"kg/ton/"&amp;RIGHT(VLOOKUP(H16,Materialtabell[[#All],[Materialnamn]:[Enhet]],4,0),LEN(VLOOKUP(H16,Materialtabell[[#All],[Materialnamn]:[Enhet]],4,0))-3)))),"")</f>
        <v/>
      </c>
      <c r="L16" s="104" t="str">
        <f>IFERROR(KalkylStart[[#This Row],[Mängd]]*KalkylStart[[#This Row],[Omräknings-faktor]],"")</f>
        <v/>
      </c>
      <c r="M16" s="104" t="str">
        <f>IFERROR(F16*J16*VLOOKUP(H16,Materialtabell[[#All],[Materialnamn]:[Emissionsfaktor 2019
kg CO2e/kg]],5,0),"")</f>
        <v/>
      </c>
      <c r="N16" s="104" t="str">
        <f>IFERROR(F16*J16*VLOOKUP(H16,Materialtabell[[#All],[Materialnamn]:[Emissionsfaktor 2025
kg CO2e/kg]],6,0),"")</f>
        <v/>
      </c>
      <c r="O16" s="78" t="str">
        <f>IFERROR(VLOOKUP(H16,Materialtabell[[#All],[Materialnamn]:[Kommentar A4]],24,0),"")</f>
        <v/>
      </c>
      <c r="P16" s="94" t="str">
        <f>IFERROR(($F16*$J16*$O16*VLOOKUP($H16,Materialtabell[[#All],[Materialnamn]:[Bränsle 
MJ/ton, km]],25,0)*Materiallista!$AF$5)/1000,"")</f>
        <v/>
      </c>
      <c r="Q16" s="94" t="str">
        <f>IFERROR(($F16*$J16*$O16*VLOOKUP($H16,Materialtabell[[#All],[Materialnamn]:[Bränsle 
MJ/ton, km]],25,0)*Materiallista!$AF$6)/1000,"")</f>
        <v/>
      </c>
      <c r="R16" s="162"/>
      <c r="S16" s="3"/>
      <c r="T16" s="3"/>
    </row>
    <row r="17" spans="1:20" x14ac:dyDescent="0.25">
      <c r="A17" s="3"/>
      <c r="B17" s="185">
        <v>12</v>
      </c>
      <c r="C17" s="170"/>
      <c r="D17" s="103"/>
      <c r="E17" s="103"/>
      <c r="F17" s="78"/>
      <c r="G17" s="103"/>
      <c r="H17" s="106"/>
      <c r="I17" s="105" t="str">
        <f>IFERROR(VLOOKUP(KalkylStart[[#This Row],[Klimatmaterial]],Materialtabell[[#All],[Materialnamn]:[Materialtyp]],2,0),"")</f>
        <v/>
      </c>
      <c r="J17" s="104" t="str">
        <f>IFERROR(IF(G17="kg",1,IF(G17="ton",1000,IF(G17=RIGHT(VLOOKUP(H17,Materialtabell[[#All],[Materialnamn]:[Enhet]],4,0),LEN(VLOOKUP(H17,Materialtabell[[#All],[Materialnamn]:[Enhet]],4,0))-3),VLOOKUP(H17,Materialtabell[[#All],[Materialnamn]:[Enhet]],3,0),"Enhetsfel"))),"")</f>
        <v/>
      </c>
      <c r="K17" s="105" t="str">
        <f>IFERROR(IF(G17="kg","kg/kg",IF(G17="ton","kg/ton",IF(RIGHT(VLOOKUP(H17,Materialtabell[[#All],[Materialnamn]:[Enhet]],4,0),LEN(VLOOKUP(H17,Materialtabell[[#All],[Materialnamn]:[Enhet]],4,0))-3)=G17,VLOOKUP(H17,Materialtabell[[#All],[Materialnamn]:[Enhet]],4,0),"kg/ton/"&amp;RIGHT(VLOOKUP(H17,Materialtabell[[#All],[Materialnamn]:[Enhet]],4,0),LEN(VLOOKUP(H17,Materialtabell[[#All],[Materialnamn]:[Enhet]],4,0))-3)))),"")</f>
        <v/>
      </c>
      <c r="L17" s="104" t="str">
        <f>IFERROR(KalkylStart[[#This Row],[Mängd]]*KalkylStart[[#This Row],[Omräknings-faktor]],"")</f>
        <v/>
      </c>
      <c r="M17" s="104" t="str">
        <f>IFERROR(F17*J17*VLOOKUP(H17,Materialtabell[[#All],[Materialnamn]:[Emissionsfaktor 2019
kg CO2e/kg]],5,0),"")</f>
        <v/>
      </c>
      <c r="N17" s="104" t="str">
        <f>IFERROR(F17*J17*VLOOKUP(H17,Materialtabell[[#All],[Materialnamn]:[Emissionsfaktor 2025
kg CO2e/kg]],6,0),"")</f>
        <v/>
      </c>
      <c r="O17" s="78" t="str">
        <f>IFERROR(VLOOKUP(H17,Materialtabell[[#All],[Materialnamn]:[Kommentar A4]],24,0),"")</f>
        <v/>
      </c>
      <c r="P17" s="94" t="str">
        <f>IFERROR(($F17*$J17*$O17*VLOOKUP($H17,Materialtabell[[#All],[Materialnamn]:[Bränsle 
MJ/ton, km]],25,0)*Materiallista!$AF$5)/1000,"")</f>
        <v/>
      </c>
      <c r="Q17" s="94" t="str">
        <f>IFERROR(($F17*$J17*$O17*VLOOKUP($H17,Materialtabell[[#All],[Materialnamn]:[Bränsle 
MJ/ton, km]],25,0)*Materiallista!$AF$6)/1000,"")</f>
        <v/>
      </c>
      <c r="R17" s="162"/>
      <c r="S17" s="3"/>
      <c r="T17" s="3"/>
    </row>
    <row r="18" spans="1:20" x14ac:dyDescent="0.25">
      <c r="A18" s="3"/>
      <c r="B18" s="185">
        <v>13</v>
      </c>
      <c r="C18" s="170"/>
      <c r="D18" s="103"/>
      <c r="E18" s="103"/>
      <c r="F18" s="78"/>
      <c r="G18" s="103"/>
      <c r="H18" s="106"/>
      <c r="I18" s="105" t="str">
        <f>IFERROR(VLOOKUP(KalkylStart[[#This Row],[Klimatmaterial]],Materialtabell[[#All],[Materialnamn]:[Materialtyp]],2,0),"")</f>
        <v/>
      </c>
      <c r="J18" s="104" t="str">
        <f>IFERROR(IF(G18="kg",1,IF(G18="ton",1000,IF(G18=RIGHT(VLOOKUP(H18,Materialtabell[[#All],[Materialnamn]:[Enhet]],4,0),LEN(VLOOKUP(H18,Materialtabell[[#All],[Materialnamn]:[Enhet]],4,0))-3),VLOOKUP(H18,Materialtabell[[#All],[Materialnamn]:[Enhet]],3,0),"Enhetsfel"))),"")</f>
        <v/>
      </c>
      <c r="K18" s="105" t="str">
        <f>IFERROR(IF(G18="kg","kg/kg",IF(G18="ton","kg/ton",IF(RIGHT(VLOOKUP(H18,Materialtabell[[#All],[Materialnamn]:[Enhet]],4,0),LEN(VLOOKUP(H18,Materialtabell[[#All],[Materialnamn]:[Enhet]],4,0))-3)=G18,VLOOKUP(H18,Materialtabell[[#All],[Materialnamn]:[Enhet]],4,0),"kg/ton/"&amp;RIGHT(VLOOKUP(H18,Materialtabell[[#All],[Materialnamn]:[Enhet]],4,0),LEN(VLOOKUP(H18,Materialtabell[[#All],[Materialnamn]:[Enhet]],4,0))-3)))),"")</f>
        <v/>
      </c>
      <c r="L18" s="104" t="str">
        <f>IFERROR(KalkylStart[[#This Row],[Mängd]]*KalkylStart[[#This Row],[Omräknings-faktor]],"")</f>
        <v/>
      </c>
      <c r="M18" s="104" t="str">
        <f>IFERROR(F18*J18*VLOOKUP(H18,Materialtabell[[#All],[Materialnamn]:[Emissionsfaktor 2019
kg CO2e/kg]],5,0),"")</f>
        <v/>
      </c>
      <c r="N18" s="104" t="str">
        <f>IFERROR(F18*J18*VLOOKUP(H18,Materialtabell[[#All],[Materialnamn]:[Emissionsfaktor 2025
kg CO2e/kg]],6,0),"")</f>
        <v/>
      </c>
      <c r="O18" s="78" t="str">
        <f>IFERROR(VLOOKUP(H18,Materialtabell[[#All],[Materialnamn]:[Kommentar A4]],24,0),"")</f>
        <v/>
      </c>
      <c r="P18" s="94" t="str">
        <f>IFERROR(($F18*$J18*$O18*VLOOKUP($H18,Materialtabell[[#All],[Materialnamn]:[Bränsle 
MJ/ton, km]],25,0)*Materiallista!$AF$5)/1000,"")</f>
        <v/>
      </c>
      <c r="Q18" s="94" t="str">
        <f>IFERROR(($F18*$J18*$O18*VLOOKUP($H18,Materialtabell[[#All],[Materialnamn]:[Bränsle 
MJ/ton, km]],25,0)*Materiallista!$AF$6)/1000,"")</f>
        <v/>
      </c>
      <c r="R18" s="162"/>
      <c r="S18" s="3"/>
      <c r="T18" s="3"/>
    </row>
    <row r="19" spans="1:20" x14ac:dyDescent="0.25">
      <c r="A19" s="3"/>
      <c r="B19" s="185">
        <v>14</v>
      </c>
      <c r="C19" s="170"/>
      <c r="D19" s="103"/>
      <c r="E19" s="103"/>
      <c r="F19" s="78"/>
      <c r="G19" s="103"/>
      <c r="H19" s="106"/>
      <c r="I19" s="105" t="str">
        <f>IFERROR(VLOOKUP(KalkylStart[[#This Row],[Klimatmaterial]],Materialtabell[[#All],[Materialnamn]:[Materialtyp]],2,0),"")</f>
        <v/>
      </c>
      <c r="J19" s="104" t="str">
        <f>IFERROR(IF(G19="kg",1,IF(G19="ton",1000,IF(G19=RIGHT(VLOOKUP(H19,Materialtabell[[#All],[Materialnamn]:[Enhet]],4,0),LEN(VLOOKUP(H19,Materialtabell[[#All],[Materialnamn]:[Enhet]],4,0))-3),VLOOKUP(H19,Materialtabell[[#All],[Materialnamn]:[Enhet]],3,0),"Enhetsfel"))),"")</f>
        <v/>
      </c>
      <c r="K19" s="105" t="str">
        <f>IFERROR(IF(G19="kg","kg/kg",IF(G19="ton","kg/ton",IF(RIGHT(VLOOKUP(H19,Materialtabell[[#All],[Materialnamn]:[Enhet]],4,0),LEN(VLOOKUP(H19,Materialtabell[[#All],[Materialnamn]:[Enhet]],4,0))-3)=G19,VLOOKUP(H19,Materialtabell[[#All],[Materialnamn]:[Enhet]],4,0),"kg/ton/"&amp;RIGHT(VLOOKUP(H19,Materialtabell[[#All],[Materialnamn]:[Enhet]],4,0),LEN(VLOOKUP(H19,Materialtabell[[#All],[Materialnamn]:[Enhet]],4,0))-3)))),"")</f>
        <v/>
      </c>
      <c r="L19" s="104" t="str">
        <f>IFERROR(KalkylStart[[#This Row],[Mängd]]*KalkylStart[[#This Row],[Omräknings-faktor]],"")</f>
        <v/>
      </c>
      <c r="M19" s="104" t="str">
        <f>IFERROR(F19*J19*VLOOKUP(H19,Materialtabell[[#All],[Materialnamn]:[Emissionsfaktor 2019
kg CO2e/kg]],5,0),"")</f>
        <v/>
      </c>
      <c r="N19" s="104" t="str">
        <f>IFERROR(F19*J19*VLOOKUP(H19,Materialtabell[[#All],[Materialnamn]:[Emissionsfaktor 2025
kg CO2e/kg]],6,0),"")</f>
        <v/>
      </c>
      <c r="O19" s="78" t="str">
        <f>IFERROR(VLOOKUP(H19,Materialtabell[[#All],[Materialnamn]:[Kommentar A4]],24,0),"")</f>
        <v/>
      </c>
      <c r="P19" s="94" t="str">
        <f>IFERROR(($F19*$J19*$O19*VLOOKUP($H19,Materialtabell[[#All],[Materialnamn]:[Bränsle 
MJ/ton, km]],25,0)*Materiallista!$AF$5)/1000,"")</f>
        <v/>
      </c>
      <c r="Q19" s="94" t="str">
        <f>IFERROR(($F19*$J19*$O19*VLOOKUP($H19,Materialtabell[[#All],[Materialnamn]:[Bränsle 
MJ/ton, km]],25,0)*Materiallista!$AF$6)/1000,"")</f>
        <v/>
      </c>
      <c r="R19" s="162"/>
      <c r="S19" s="3"/>
      <c r="T19" s="3"/>
    </row>
    <row r="20" spans="1:20" x14ac:dyDescent="0.25">
      <c r="A20" s="3"/>
      <c r="B20" s="185">
        <v>15</v>
      </c>
      <c r="C20" s="170"/>
      <c r="D20" s="103"/>
      <c r="E20" s="103"/>
      <c r="F20" s="78"/>
      <c r="G20" s="103"/>
      <c r="H20" s="106"/>
      <c r="I20" s="105" t="str">
        <f>IFERROR(VLOOKUP(KalkylStart[[#This Row],[Klimatmaterial]],Materialtabell[[#All],[Materialnamn]:[Materialtyp]],2,0),"")</f>
        <v/>
      </c>
      <c r="J20" s="104" t="str">
        <f>IFERROR(IF(G20="kg",1,IF(G20="ton",1000,IF(G20=RIGHT(VLOOKUP(H20,Materialtabell[[#All],[Materialnamn]:[Enhet]],4,0),LEN(VLOOKUP(H20,Materialtabell[[#All],[Materialnamn]:[Enhet]],4,0))-3),VLOOKUP(H20,Materialtabell[[#All],[Materialnamn]:[Enhet]],3,0),"Enhetsfel"))),"")</f>
        <v/>
      </c>
      <c r="K20" s="105" t="str">
        <f>IFERROR(IF(G20="kg","kg/kg",IF(G20="ton","kg/ton",IF(RIGHT(VLOOKUP(H20,Materialtabell[[#All],[Materialnamn]:[Enhet]],4,0),LEN(VLOOKUP(H20,Materialtabell[[#All],[Materialnamn]:[Enhet]],4,0))-3)=G20,VLOOKUP(H20,Materialtabell[[#All],[Materialnamn]:[Enhet]],4,0),"kg/ton/"&amp;RIGHT(VLOOKUP(H20,Materialtabell[[#All],[Materialnamn]:[Enhet]],4,0),LEN(VLOOKUP(H20,Materialtabell[[#All],[Materialnamn]:[Enhet]],4,0))-3)))),"")</f>
        <v/>
      </c>
      <c r="L20" s="104" t="str">
        <f>IFERROR(KalkylStart[[#This Row],[Mängd]]*KalkylStart[[#This Row],[Omräknings-faktor]],"")</f>
        <v/>
      </c>
      <c r="M20" s="104" t="str">
        <f>IFERROR(F20*J20*VLOOKUP(H20,Materialtabell[[#All],[Materialnamn]:[Emissionsfaktor 2019
kg CO2e/kg]],5,0),"")</f>
        <v/>
      </c>
      <c r="N20" s="104" t="str">
        <f>IFERROR(F20*J20*VLOOKUP(H20,Materialtabell[[#All],[Materialnamn]:[Emissionsfaktor 2025
kg CO2e/kg]],6,0),"")</f>
        <v/>
      </c>
      <c r="O20" s="78" t="str">
        <f>IFERROR(VLOOKUP(H20,Materialtabell[[#All],[Materialnamn]:[Kommentar A4]],24,0),"")</f>
        <v/>
      </c>
      <c r="P20" s="94" t="str">
        <f>IFERROR(($F20*$J20*$O20*VLOOKUP($H20,Materialtabell[[#All],[Materialnamn]:[Bränsle 
MJ/ton, km]],25,0)*Materiallista!$AF$5)/1000,"")</f>
        <v/>
      </c>
      <c r="Q20" s="94" t="str">
        <f>IFERROR(($F20*$J20*$O20*VLOOKUP($H20,Materialtabell[[#All],[Materialnamn]:[Bränsle 
MJ/ton, km]],25,0)*Materiallista!$AF$6)/1000,"")</f>
        <v/>
      </c>
      <c r="R20" s="162"/>
      <c r="S20" s="3"/>
      <c r="T20" s="3"/>
    </row>
    <row r="21" spans="1:20" x14ac:dyDescent="0.25">
      <c r="A21" s="3"/>
      <c r="B21" s="185">
        <v>16</v>
      </c>
      <c r="C21" s="170"/>
      <c r="D21" s="103"/>
      <c r="E21" s="103"/>
      <c r="F21" s="78"/>
      <c r="G21" s="103"/>
      <c r="H21" s="106"/>
      <c r="I21" s="105" t="str">
        <f>IFERROR(VLOOKUP(KalkylStart[[#This Row],[Klimatmaterial]],Materialtabell[[#All],[Materialnamn]:[Materialtyp]],2,0),"")</f>
        <v/>
      </c>
      <c r="J21" s="104" t="str">
        <f>IFERROR(IF(G21="kg",1,IF(G21="ton",1000,IF(G21=RIGHT(VLOOKUP(H21,Materialtabell[[#All],[Materialnamn]:[Enhet]],4,0),LEN(VLOOKUP(H21,Materialtabell[[#All],[Materialnamn]:[Enhet]],4,0))-3),VLOOKUP(H21,Materialtabell[[#All],[Materialnamn]:[Enhet]],3,0),"Enhetsfel"))),"")</f>
        <v/>
      </c>
      <c r="K21" s="105" t="str">
        <f>IFERROR(IF(G21="kg","kg/kg",IF(G21="ton","kg/ton",IF(RIGHT(VLOOKUP(H21,Materialtabell[[#All],[Materialnamn]:[Enhet]],4,0),LEN(VLOOKUP(H21,Materialtabell[[#All],[Materialnamn]:[Enhet]],4,0))-3)=G21,VLOOKUP(H21,Materialtabell[[#All],[Materialnamn]:[Enhet]],4,0),"kg/ton/"&amp;RIGHT(VLOOKUP(H21,Materialtabell[[#All],[Materialnamn]:[Enhet]],4,0),LEN(VLOOKUP(H21,Materialtabell[[#All],[Materialnamn]:[Enhet]],4,0))-3)))),"")</f>
        <v/>
      </c>
      <c r="L21" s="104" t="str">
        <f>IFERROR(KalkylStart[[#This Row],[Mängd]]*KalkylStart[[#This Row],[Omräknings-faktor]],"")</f>
        <v/>
      </c>
      <c r="M21" s="104" t="str">
        <f>IFERROR(F21*J21*VLOOKUP(H21,Materialtabell[[#All],[Materialnamn]:[Emissionsfaktor 2019
kg CO2e/kg]],5,0),"")</f>
        <v/>
      </c>
      <c r="N21" s="104" t="str">
        <f>IFERROR(F21*J21*VLOOKUP(H21,Materialtabell[[#All],[Materialnamn]:[Emissionsfaktor 2025
kg CO2e/kg]],6,0),"")</f>
        <v/>
      </c>
      <c r="O21" s="78" t="str">
        <f>IFERROR(VLOOKUP(H21,Materialtabell[[#All],[Materialnamn]:[Kommentar A4]],24,0),"")</f>
        <v/>
      </c>
      <c r="P21" s="94" t="str">
        <f>IFERROR(($F21*$J21*$O21*VLOOKUP($H21,Materialtabell[[#All],[Materialnamn]:[Bränsle 
MJ/ton, km]],25,0)*Materiallista!$AF$5)/1000,"")</f>
        <v/>
      </c>
      <c r="Q21" s="94" t="str">
        <f>IFERROR(($F21*$J21*$O21*VLOOKUP($H21,Materialtabell[[#All],[Materialnamn]:[Bränsle 
MJ/ton, km]],25,0)*Materiallista!$AF$6)/1000,"")</f>
        <v/>
      </c>
      <c r="R21" s="162"/>
      <c r="S21" s="3"/>
      <c r="T21" s="3"/>
    </row>
    <row r="22" spans="1:20" x14ac:dyDescent="0.25">
      <c r="A22" s="3"/>
      <c r="B22" s="185">
        <v>17</v>
      </c>
      <c r="C22" s="170"/>
      <c r="D22" s="103"/>
      <c r="E22" s="103"/>
      <c r="F22" s="78"/>
      <c r="G22" s="103"/>
      <c r="H22" s="106"/>
      <c r="I22" s="105" t="str">
        <f>IFERROR(VLOOKUP(KalkylStart[[#This Row],[Klimatmaterial]],Materialtabell[[#All],[Materialnamn]:[Materialtyp]],2,0),"")</f>
        <v/>
      </c>
      <c r="J22" s="104" t="str">
        <f>IFERROR(IF(G22="kg",1,IF(G22="ton",1000,IF(G22=RIGHT(VLOOKUP(H22,Materialtabell[[#All],[Materialnamn]:[Enhet]],4,0),LEN(VLOOKUP(H22,Materialtabell[[#All],[Materialnamn]:[Enhet]],4,0))-3),VLOOKUP(H22,Materialtabell[[#All],[Materialnamn]:[Enhet]],3,0),"Enhetsfel"))),"")</f>
        <v/>
      </c>
      <c r="K22" s="105" t="str">
        <f>IFERROR(IF(G22="kg","kg/kg",IF(G22="ton","kg/ton",IF(RIGHT(VLOOKUP(H22,Materialtabell[[#All],[Materialnamn]:[Enhet]],4,0),LEN(VLOOKUP(H22,Materialtabell[[#All],[Materialnamn]:[Enhet]],4,0))-3)=G22,VLOOKUP(H22,Materialtabell[[#All],[Materialnamn]:[Enhet]],4,0),"kg/ton/"&amp;RIGHT(VLOOKUP(H22,Materialtabell[[#All],[Materialnamn]:[Enhet]],4,0),LEN(VLOOKUP(H22,Materialtabell[[#All],[Materialnamn]:[Enhet]],4,0))-3)))),"")</f>
        <v/>
      </c>
      <c r="L22" s="104" t="str">
        <f>IFERROR(KalkylStart[[#This Row],[Mängd]]*KalkylStart[[#This Row],[Omräknings-faktor]],"")</f>
        <v/>
      </c>
      <c r="M22" s="104" t="str">
        <f>IFERROR(F22*J22*VLOOKUP(H22,Materialtabell[[#All],[Materialnamn]:[Emissionsfaktor 2019
kg CO2e/kg]],5,0),"")</f>
        <v/>
      </c>
      <c r="N22" s="104" t="str">
        <f>IFERROR(F22*J22*VLOOKUP(H22,Materialtabell[[#All],[Materialnamn]:[Emissionsfaktor 2025
kg CO2e/kg]],6,0),"")</f>
        <v/>
      </c>
      <c r="O22" s="78" t="str">
        <f>IFERROR(VLOOKUP(H22,Materialtabell[[#All],[Materialnamn]:[Kommentar A4]],24,0),"")</f>
        <v/>
      </c>
      <c r="P22" s="94" t="str">
        <f>IFERROR(($F22*$J22*$O22*VLOOKUP($H22,Materialtabell[[#All],[Materialnamn]:[Bränsle 
MJ/ton, km]],25,0)*Materiallista!$AF$5)/1000,"")</f>
        <v/>
      </c>
      <c r="Q22" s="94" t="str">
        <f>IFERROR(($F22*$J22*$O22*VLOOKUP($H22,Materialtabell[[#All],[Materialnamn]:[Bränsle 
MJ/ton, km]],25,0)*Materiallista!$AF$6)/1000,"")</f>
        <v/>
      </c>
      <c r="R22" s="162"/>
      <c r="S22" s="3"/>
      <c r="T22" s="3"/>
    </row>
    <row r="23" spans="1:20" x14ac:dyDescent="0.25">
      <c r="A23" s="3"/>
      <c r="B23" s="185">
        <v>18</v>
      </c>
      <c r="C23" s="170"/>
      <c r="D23" s="103"/>
      <c r="E23" s="103"/>
      <c r="F23" s="78"/>
      <c r="G23" s="103"/>
      <c r="H23" s="106"/>
      <c r="I23" s="105" t="str">
        <f>IFERROR(VLOOKUP(KalkylStart[[#This Row],[Klimatmaterial]],Materialtabell[[#All],[Materialnamn]:[Materialtyp]],2,0),"")</f>
        <v/>
      </c>
      <c r="J23" s="104" t="str">
        <f>IFERROR(IF(G23="kg",1,IF(G23="ton",1000,IF(G23=RIGHT(VLOOKUP(H23,Materialtabell[[#All],[Materialnamn]:[Enhet]],4,0),LEN(VLOOKUP(H23,Materialtabell[[#All],[Materialnamn]:[Enhet]],4,0))-3),VLOOKUP(H23,Materialtabell[[#All],[Materialnamn]:[Enhet]],3,0),"Enhetsfel"))),"")</f>
        <v/>
      </c>
      <c r="K23" s="105" t="str">
        <f>IFERROR(IF(G23="kg","kg/kg",IF(G23="ton","kg/ton",IF(RIGHT(VLOOKUP(H23,Materialtabell[[#All],[Materialnamn]:[Enhet]],4,0),LEN(VLOOKUP(H23,Materialtabell[[#All],[Materialnamn]:[Enhet]],4,0))-3)=G23,VLOOKUP(H23,Materialtabell[[#All],[Materialnamn]:[Enhet]],4,0),"kg/ton/"&amp;RIGHT(VLOOKUP(H23,Materialtabell[[#All],[Materialnamn]:[Enhet]],4,0),LEN(VLOOKUP(H23,Materialtabell[[#All],[Materialnamn]:[Enhet]],4,0))-3)))),"")</f>
        <v/>
      </c>
      <c r="L23" s="104" t="str">
        <f>IFERROR(KalkylStart[[#This Row],[Mängd]]*KalkylStart[[#This Row],[Omräknings-faktor]],"")</f>
        <v/>
      </c>
      <c r="M23" s="104" t="str">
        <f>IFERROR(F23*J23*VLOOKUP(H23,Materialtabell[[#All],[Materialnamn]:[Emissionsfaktor 2019
kg CO2e/kg]],5,0),"")</f>
        <v/>
      </c>
      <c r="N23" s="104" t="str">
        <f>IFERROR(F23*J23*VLOOKUP(H23,Materialtabell[[#All],[Materialnamn]:[Emissionsfaktor 2025
kg CO2e/kg]],6,0),"")</f>
        <v/>
      </c>
      <c r="O23" s="78" t="str">
        <f>IFERROR(VLOOKUP(H23,Materialtabell[[#All],[Materialnamn]:[Kommentar A4]],24,0),"")</f>
        <v/>
      </c>
      <c r="P23" s="94" t="str">
        <f>IFERROR(($F23*$J23*$O23*VLOOKUP($H23,Materialtabell[[#All],[Materialnamn]:[Bränsle 
MJ/ton, km]],25,0)*Materiallista!$AF$5)/1000,"")</f>
        <v/>
      </c>
      <c r="Q23" s="94" t="str">
        <f>IFERROR(($F23*$J23*$O23*VLOOKUP($H23,Materialtabell[[#All],[Materialnamn]:[Bränsle 
MJ/ton, km]],25,0)*Materiallista!$AF$6)/1000,"")</f>
        <v/>
      </c>
      <c r="R23" s="162"/>
      <c r="S23" s="3"/>
      <c r="T23" s="3"/>
    </row>
    <row r="24" spans="1:20" x14ac:dyDescent="0.25">
      <c r="A24" s="3"/>
      <c r="B24" s="185">
        <v>19</v>
      </c>
      <c r="C24" s="170"/>
      <c r="D24" s="103"/>
      <c r="E24" s="103"/>
      <c r="F24" s="78"/>
      <c r="G24" s="103"/>
      <c r="H24" s="106"/>
      <c r="I24" s="105" t="str">
        <f>IFERROR(VLOOKUP(KalkylStart[[#This Row],[Klimatmaterial]],Materialtabell[[#All],[Materialnamn]:[Materialtyp]],2,0),"")</f>
        <v/>
      </c>
      <c r="J24" s="104" t="str">
        <f>IFERROR(IF(G24="kg",1,IF(G24="ton",1000,IF(G24=RIGHT(VLOOKUP(H24,Materialtabell[[#All],[Materialnamn]:[Enhet]],4,0),LEN(VLOOKUP(H24,Materialtabell[[#All],[Materialnamn]:[Enhet]],4,0))-3),VLOOKUP(H24,Materialtabell[[#All],[Materialnamn]:[Enhet]],3,0),"Enhetsfel"))),"")</f>
        <v/>
      </c>
      <c r="K24" s="105" t="str">
        <f>IFERROR(IF(G24="kg","kg/kg",IF(G24="ton","kg/ton",IF(RIGHT(VLOOKUP(H24,Materialtabell[[#All],[Materialnamn]:[Enhet]],4,0),LEN(VLOOKUP(H24,Materialtabell[[#All],[Materialnamn]:[Enhet]],4,0))-3)=G24,VLOOKUP(H24,Materialtabell[[#All],[Materialnamn]:[Enhet]],4,0),"kg/ton/"&amp;RIGHT(VLOOKUP(H24,Materialtabell[[#All],[Materialnamn]:[Enhet]],4,0),LEN(VLOOKUP(H24,Materialtabell[[#All],[Materialnamn]:[Enhet]],4,0))-3)))),"")</f>
        <v/>
      </c>
      <c r="L24" s="104" t="str">
        <f>IFERROR(KalkylStart[[#This Row],[Mängd]]*KalkylStart[[#This Row],[Omräknings-faktor]],"")</f>
        <v/>
      </c>
      <c r="M24" s="104" t="str">
        <f>IFERROR(F24*J24*VLOOKUP(H24,Materialtabell[[#All],[Materialnamn]:[Emissionsfaktor 2019
kg CO2e/kg]],5,0),"")</f>
        <v/>
      </c>
      <c r="N24" s="104" t="str">
        <f>IFERROR(F24*J24*VLOOKUP(H24,Materialtabell[[#All],[Materialnamn]:[Emissionsfaktor 2025
kg CO2e/kg]],6,0),"")</f>
        <v/>
      </c>
      <c r="O24" s="78" t="str">
        <f>IFERROR(VLOOKUP(H24,Materialtabell[[#All],[Materialnamn]:[Kommentar A4]],24,0),"")</f>
        <v/>
      </c>
      <c r="P24" s="94" t="str">
        <f>IFERROR(($F24*$J24*$O24*VLOOKUP($H24,Materialtabell[[#All],[Materialnamn]:[Bränsle 
MJ/ton, km]],25,0)*Materiallista!$AF$5)/1000,"")</f>
        <v/>
      </c>
      <c r="Q24" s="94" t="str">
        <f>IFERROR(($F24*$J24*$O24*VLOOKUP($H24,Materialtabell[[#All],[Materialnamn]:[Bränsle 
MJ/ton, km]],25,0)*Materiallista!$AF$6)/1000,"")</f>
        <v/>
      </c>
      <c r="R24" s="162"/>
      <c r="S24" s="3"/>
      <c r="T24" s="3"/>
    </row>
    <row r="25" spans="1:20" x14ac:dyDescent="0.25">
      <c r="A25" s="3"/>
      <c r="B25" s="185">
        <v>20</v>
      </c>
      <c r="C25" s="170"/>
      <c r="D25" s="103"/>
      <c r="E25" s="103"/>
      <c r="F25" s="78"/>
      <c r="G25" s="103"/>
      <c r="H25" s="106"/>
      <c r="I25" s="105" t="str">
        <f>IFERROR(VLOOKUP(KalkylStart[[#This Row],[Klimatmaterial]],Materialtabell[[#All],[Materialnamn]:[Materialtyp]],2,0),"")</f>
        <v/>
      </c>
      <c r="J25" s="104" t="str">
        <f>IFERROR(IF(G25="kg",1,IF(G25="ton",1000,IF(G25=RIGHT(VLOOKUP(H25,Materialtabell[[#All],[Materialnamn]:[Enhet]],4,0),LEN(VLOOKUP(H25,Materialtabell[[#All],[Materialnamn]:[Enhet]],4,0))-3),VLOOKUP(H25,Materialtabell[[#All],[Materialnamn]:[Enhet]],3,0),"Enhetsfel"))),"")</f>
        <v/>
      </c>
      <c r="K25" s="105" t="str">
        <f>IFERROR(IF(G25="kg","kg/kg",IF(G25="ton","kg/ton",IF(RIGHT(VLOOKUP(H25,Materialtabell[[#All],[Materialnamn]:[Enhet]],4,0),LEN(VLOOKUP(H25,Materialtabell[[#All],[Materialnamn]:[Enhet]],4,0))-3)=G25,VLOOKUP(H25,Materialtabell[[#All],[Materialnamn]:[Enhet]],4,0),"kg/ton/"&amp;RIGHT(VLOOKUP(H25,Materialtabell[[#All],[Materialnamn]:[Enhet]],4,0),LEN(VLOOKUP(H25,Materialtabell[[#All],[Materialnamn]:[Enhet]],4,0))-3)))),"")</f>
        <v/>
      </c>
      <c r="L25" s="104" t="str">
        <f>IFERROR(KalkylStart[[#This Row],[Mängd]]*KalkylStart[[#This Row],[Omräknings-faktor]],"")</f>
        <v/>
      </c>
      <c r="M25" s="104" t="str">
        <f>IFERROR(F25*J25*VLOOKUP(H25,Materialtabell[[#All],[Materialnamn]:[Emissionsfaktor 2019
kg CO2e/kg]],5,0),"")</f>
        <v/>
      </c>
      <c r="N25" s="104" t="str">
        <f>IFERROR(F25*J25*VLOOKUP(H25,Materialtabell[[#All],[Materialnamn]:[Emissionsfaktor 2025
kg CO2e/kg]],6,0),"")</f>
        <v/>
      </c>
      <c r="O25" s="78" t="str">
        <f>IFERROR(VLOOKUP(H25,Materialtabell[[#All],[Materialnamn]:[Kommentar A4]],24,0),"")</f>
        <v/>
      </c>
      <c r="P25" s="94" t="str">
        <f>IFERROR(($F25*$J25*$O25*VLOOKUP($H25,Materialtabell[[#All],[Materialnamn]:[Bränsle 
MJ/ton, km]],25,0)*Materiallista!$AF$5)/1000,"")</f>
        <v/>
      </c>
      <c r="Q25" s="94" t="str">
        <f>IFERROR(($F25*$J25*$O25*VLOOKUP($H25,Materialtabell[[#All],[Materialnamn]:[Bränsle 
MJ/ton, km]],25,0)*Materiallista!$AF$6)/1000,"")</f>
        <v/>
      </c>
      <c r="R25" s="162"/>
      <c r="S25" s="3"/>
      <c r="T25" s="3"/>
    </row>
    <row r="26" spans="1:20" x14ac:dyDescent="0.25">
      <c r="A26" s="3"/>
      <c r="B26" s="185">
        <v>21</v>
      </c>
      <c r="C26" s="170"/>
      <c r="D26" s="103"/>
      <c r="E26" s="103"/>
      <c r="F26" s="78"/>
      <c r="G26" s="103"/>
      <c r="H26" s="106"/>
      <c r="I26" s="105" t="str">
        <f>IFERROR(VLOOKUP(KalkylStart[[#This Row],[Klimatmaterial]],Materialtabell[[#All],[Materialnamn]:[Materialtyp]],2,0),"")</f>
        <v/>
      </c>
      <c r="J26" s="104" t="str">
        <f>IFERROR(IF(G26="kg",1,IF(G26="ton",1000,IF(G26=RIGHT(VLOOKUP(H26,Materialtabell[[#All],[Materialnamn]:[Enhet]],4,0),LEN(VLOOKUP(H26,Materialtabell[[#All],[Materialnamn]:[Enhet]],4,0))-3),VLOOKUP(H26,Materialtabell[[#All],[Materialnamn]:[Enhet]],3,0),"Enhetsfel"))),"")</f>
        <v/>
      </c>
      <c r="K26" s="105" t="str">
        <f>IFERROR(IF(G26="kg","kg/kg",IF(G26="ton","kg/ton",IF(RIGHT(VLOOKUP(H26,Materialtabell[[#All],[Materialnamn]:[Enhet]],4,0),LEN(VLOOKUP(H26,Materialtabell[[#All],[Materialnamn]:[Enhet]],4,0))-3)=G26,VLOOKUP(H26,Materialtabell[[#All],[Materialnamn]:[Enhet]],4,0),"kg/ton/"&amp;RIGHT(VLOOKUP(H26,Materialtabell[[#All],[Materialnamn]:[Enhet]],4,0),LEN(VLOOKUP(H26,Materialtabell[[#All],[Materialnamn]:[Enhet]],4,0))-3)))),"")</f>
        <v/>
      </c>
      <c r="L26" s="104" t="str">
        <f>IFERROR(KalkylStart[[#This Row],[Mängd]]*KalkylStart[[#This Row],[Omräknings-faktor]],"")</f>
        <v/>
      </c>
      <c r="M26" s="104" t="str">
        <f>IFERROR(F26*J26*VLOOKUP(H26,Materialtabell[[#All],[Materialnamn]:[Emissionsfaktor 2019
kg CO2e/kg]],5,0),"")</f>
        <v/>
      </c>
      <c r="N26" s="104" t="str">
        <f>IFERROR(F26*J26*VLOOKUP(H26,Materialtabell[[#All],[Materialnamn]:[Emissionsfaktor 2025
kg CO2e/kg]],6,0),"")</f>
        <v/>
      </c>
      <c r="O26" s="78" t="str">
        <f>IFERROR(VLOOKUP(H26,Materialtabell[[#All],[Materialnamn]:[Kommentar A4]],24,0),"")</f>
        <v/>
      </c>
      <c r="P26" s="94" t="str">
        <f>IFERROR(($F26*$J26*$O26*VLOOKUP($H26,Materialtabell[[#All],[Materialnamn]:[Bränsle 
MJ/ton, km]],25,0)*Materiallista!$AF$5)/1000,"")</f>
        <v/>
      </c>
      <c r="Q26" s="94" t="str">
        <f>IFERROR(($F26*$J26*$O26*VLOOKUP($H26,Materialtabell[[#All],[Materialnamn]:[Bränsle 
MJ/ton, km]],25,0)*Materiallista!$AF$6)/1000,"")</f>
        <v/>
      </c>
      <c r="R26" s="162"/>
      <c r="S26" s="3"/>
      <c r="T26" s="3"/>
    </row>
    <row r="27" spans="1:20" x14ac:dyDescent="0.25">
      <c r="A27" s="3"/>
      <c r="B27" s="185">
        <v>22</v>
      </c>
      <c r="C27" s="170"/>
      <c r="D27" s="103"/>
      <c r="E27" s="103"/>
      <c r="F27" s="78"/>
      <c r="G27" s="103"/>
      <c r="H27" s="106"/>
      <c r="I27" s="105" t="str">
        <f>IFERROR(VLOOKUP(KalkylStart[[#This Row],[Klimatmaterial]],Materialtabell[[#All],[Materialnamn]:[Materialtyp]],2,0),"")</f>
        <v/>
      </c>
      <c r="J27" s="104" t="str">
        <f>IFERROR(IF(G27="kg",1,IF(G27="ton",1000,IF(G27=RIGHT(VLOOKUP(H27,Materialtabell[[#All],[Materialnamn]:[Enhet]],4,0),LEN(VLOOKUP(H27,Materialtabell[[#All],[Materialnamn]:[Enhet]],4,0))-3),VLOOKUP(H27,Materialtabell[[#All],[Materialnamn]:[Enhet]],3,0),"Enhetsfel"))),"")</f>
        <v/>
      </c>
      <c r="K27" s="105" t="str">
        <f>IFERROR(IF(G27="kg","kg/kg",IF(G27="ton","kg/ton",IF(RIGHT(VLOOKUP(H27,Materialtabell[[#All],[Materialnamn]:[Enhet]],4,0),LEN(VLOOKUP(H27,Materialtabell[[#All],[Materialnamn]:[Enhet]],4,0))-3)=G27,VLOOKUP(H27,Materialtabell[[#All],[Materialnamn]:[Enhet]],4,0),"kg/ton/"&amp;RIGHT(VLOOKUP(H27,Materialtabell[[#All],[Materialnamn]:[Enhet]],4,0),LEN(VLOOKUP(H27,Materialtabell[[#All],[Materialnamn]:[Enhet]],4,0))-3)))),"")</f>
        <v/>
      </c>
      <c r="L27" s="104" t="str">
        <f>IFERROR(KalkylStart[[#This Row],[Mängd]]*KalkylStart[[#This Row],[Omräknings-faktor]],"")</f>
        <v/>
      </c>
      <c r="M27" s="104" t="str">
        <f>IFERROR(F27*J27*VLOOKUP(H27,Materialtabell[[#All],[Materialnamn]:[Emissionsfaktor 2019
kg CO2e/kg]],5,0),"")</f>
        <v/>
      </c>
      <c r="N27" s="104" t="str">
        <f>IFERROR(F27*J27*VLOOKUP(H27,Materialtabell[[#All],[Materialnamn]:[Emissionsfaktor 2025
kg CO2e/kg]],6,0),"")</f>
        <v/>
      </c>
      <c r="O27" s="78" t="str">
        <f>IFERROR(VLOOKUP(H27,Materialtabell[[#All],[Materialnamn]:[Kommentar A4]],24,0),"")</f>
        <v/>
      </c>
      <c r="P27" s="94" t="str">
        <f>IFERROR(($F27*$J27*$O27*VLOOKUP($H27,Materialtabell[[#All],[Materialnamn]:[Bränsle 
MJ/ton, km]],25,0)*Materiallista!$AF$5)/1000,"")</f>
        <v/>
      </c>
      <c r="Q27" s="94" t="str">
        <f>IFERROR(($F27*$J27*$O27*VLOOKUP($H27,Materialtabell[[#All],[Materialnamn]:[Bränsle 
MJ/ton, km]],25,0)*Materiallista!$AF$6)/1000,"")</f>
        <v/>
      </c>
      <c r="R27" s="162"/>
      <c r="S27" s="3"/>
      <c r="T27" s="3"/>
    </row>
    <row r="28" spans="1:20" x14ac:dyDescent="0.25">
      <c r="A28" s="3"/>
      <c r="B28" s="185">
        <v>23</v>
      </c>
      <c r="C28" s="170"/>
      <c r="D28" s="103"/>
      <c r="E28" s="103"/>
      <c r="F28" s="78"/>
      <c r="G28" s="103"/>
      <c r="H28" s="102"/>
      <c r="I28" s="105" t="str">
        <f>IFERROR(VLOOKUP(KalkylStart[[#This Row],[Klimatmaterial]],Materialtabell[[#All],[Materialnamn]:[Materialtyp]],2,0),"")</f>
        <v/>
      </c>
      <c r="J28" s="104" t="str">
        <f>IFERROR(IF(G28="kg",1,IF(G28="ton",1000,IF(G28=RIGHT(VLOOKUP(H28,Materialtabell[[#All],[Materialnamn]:[Enhet]],4,0),LEN(VLOOKUP(H28,Materialtabell[[#All],[Materialnamn]:[Enhet]],4,0))-3),VLOOKUP(H28,Materialtabell[[#All],[Materialnamn]:[Enhet]],3,0),"Enhetsfel"))),"")</f>
        <v/>
      </c>
      <c r="K28" s="105" t="str">
        <f>IFERROR(IF(G28="kg","kg/kg",IF(G28="ton","kg/ton",IF(RIGHT(VLOOKUP(H28,Materialtabell[[#All],[Materialnamn]:[Enhet]],4,0),LEN(VLOOKUP(H28,Materialtabell[[#All],[Materialnamn]:[Enhet]],4,0))-3)=G28,VLOOKUP(H28,Materialtabell[[#All],[Materialnamn]:[Enhet]],4,0),"kg/ton/"&amp;RIGHT(VLOOKUP(H28,Materialtabell[[#All],[Materialnamn]:[Enhet]],4,0),LEN(VLOOKUP(H28,Materialtabell[[#All],[Materialnamn]:[Enhet]],4,0))-3)))),"")</f>
        <v/>
      </c>
      <c r="L28" s="104" t="str">
        <f>IFERROR(KalkylStart[[#This Row],[Mängd]]*KalkylStart[[#This Row],[Omräknings-faktor]],"")</f>
        <v/>
      </c>
      <c r="M28" s="104" t="str">
        <f>IFERROR(F28*J28*VLOOKUP(H28,Materialtabell[[#All],[Materialnamn]:[Emissionsfaktor 2019
kg CO2e/kg]],5,0),"")</f>
        <v/>
      </c>
      <c r="N28" s="104" t="str">
        <f>IFERROR(F28*J28*VLOOKUP(H28,Materialtabell[[#All],[Materialnamn]:[Emissionsfaktor 2025
kg CO2e/kg]],6,0),"")</f>
        <v/>
      </c>
      <c r="O28" s="78" t="str">
        <f>IFERROR(VLOOKUP(H28,Materialtabell[[#All],[Materialnamn]:[Kommentar A4]],24,0),"")</f>
        <v/>
      </c>
      <c r="P28" s="94" t="str">
        <f>IFERROR(($F28*$J28*$O28*VLOOKUP($H28,Materialtabell[[#All],[Materialnamn]:[Bränsle 
MJ/ton, km]],25,0)*Materiallista!$AF$5)/1000,"")</f>
        <v/>
      </c>
      <c r="Q28" s="94" t="str">
        <f>IFERROR(($F28*$J28*$O28*VLOOKUP($H28,Materialtabell[[#All],[Materialnamn]:[Bränsle 
MJ/ton, km]],25,0)*Materiallista!$AF$6)/1000,"")</f>
        <v/>
      </c>
      <c r="R28" s="162"/>
      <c r="S28" s="3"/>
      <c r="T28" s="3"/>
    </row>
    <row r="29" spans="1:20" x14ac:dyDescent="0.25">
      <c r="A29" s="3"/>
      <c r="B29" s="185">
        <v>24</v>
      </c>
      <c r="C29" s="170"/>
      <c r="D29" s="103"/>
      <c r="E29" s="103"/>
      <c r="F29" s="78"/>
      <c r="G29" s="103"/>
      <c r="H29" s="102"/>
      <c r="I29" s="105" t="str">
        <f>IFERROR(VLOOKUP(KalkylStart[[#This Row],[Klimatmaterial]],Materialtabell[[#All],[Materialnamn]:[Materialtyp]],2,0),"")</f>
        <v/>
      </c>
      <c r="J29" s="104" t="str">
        <f>IFERROR(IF(G29="kg",1,IF(G29="ton",1000,IF(G29=RIGHT(VLOOKUP(H29,Materialtabell[[#All],[Materialnamn]:[Enhet]],4,0),LEN(VLOOKUP(H29,Materialtabell[[#All],[Materialnamn]:[Enhet]],4,0))-3),VLOOKUP(H29,Materialtabell[[#All],[Materialnamn]:[Enhet]],3,0),"Enhetsfel"))),"")</f>
        <v/>
      </c>
      <c r="K29" s="105" t="str">
        <f>IFERROR(IF(G29="kg","kg/kg",IF(G29="ton","kg/ton",IF(RIGHT(VLOOKUP(H29,Materialtabell[[#All],[Materialnamn]:[Enhet]],4,0),LEN(VLOOKUP(H29,Materialtabell[[#All],[Materialnamn]:[Enhet]],4,0))-3)=G29,VLOOKUP(H29,Materialtabell[[#All],[Materialnamn]:[Enhet]],4,0),"kg/ton/"&amp;RIGHT(VLOOKUP(H29,Materialtabell[[#All],[Materialnamn]:[Enhet]],4,0),LEN(VLOOKUP(H29,Materialtabell[[#All],[Materialnamn]:[Enhet]],4,0))-3)))),"")</f>
        <v/>
      </c>
      <c r="L29" s="104" t="str">
        <f>IFERROR(KalkylStart[[#This Row],[Mängd]]*KalkylStart[[#This Row],[Omräknings-faktor]],"")</f>
        <v/>
      </c>
      <c r="M29" s="104" t="str">
        <f>IFERROR(F29*J29*VLOOKUP(H29,Materialtabell[[#All],[Materialnamn]:[Emissionsfaktor 2019
kg CO2e/kg]],5,0),"")</f>
        <v/>
      </c>
      <c r="N29" s="104" t="str">
        <f>IFERROR(F29*J29*VLOOKUP(H29,Materialtabell[[#All],[Materialnamn]:[Emissionsfaktor 2025
kg CO2e/kg]],6,0),"")</f>
        <v/>
      </c>
      <c r="O29" s="78" t="str">
        <f>IFERROR(VLOOKUP(H29,Materialtabell[[#All],[Materialnamn]:[Kommentar A4]],24,0),"")</f>
        <v/>
      </c>
      <c r="P29" s="94" t="str">
        <f>IFERROR(($F29*$J29*$O29*VLOOKUP($H29,Materialtabell[[#All],[Materialnamn]:[Bränsle 
MJ/ton, km]],25,0)*Materiallista!$AF$5)/1000,"")</f>
        <v/>
      </c>
      <c r="Q29" s="94" t="str">
        <f>IFERROR(($F29*$J29*$O29*VLOOKUP($H29,Materialtabell[[#All],[Materialnamn]:[Bränsle 
MJ/ton, km]],25,0)*Materiallista!$AF$6)/1000,"")</f>
        <v/>
      </c>
      <c r="R29" s="162"/>
      <c r="S29" s="3"/>
      <c r="T29" s="3"/>
    </row>
    <row r="30" spans="1:20" x14ac:dyDescent="0.25">
      <c r="A30" s="3"/>
      <c r="B30" s="185">
        <v>25</v>
      </c>
      <c r="C30" s="170"/>
      <c r="D30" s="103"/>
      <c r="E30" s="103"/>
      <c r="F30" s="78"/>
      <c r="G30" s="103"/>
      <c r="H30" s="102"/>
      <c r="I30" s="105" t="str">
        <f>IFERROR(VLOOKUP(KalkylStart[[#This Row],[Klimatmaterial]],Materialtabell[[#All],[Materialnamn]:[Materialtyp]],2,0),"")</f>
        <v/>
      </c>
      <c r="J30" s="104" t="str">
        <f>IFERROR(IF(G30="kg",1,IF(G30="ton",1000,IF(G30=RIGHT(VLOOKUP(H30,Materialtabell[[#All],[Materialnamn]:[Enhet]],4,0),LEN(VLOOKUP(H30,Materialtabell[[#All],[Materialnamn]:[Enhet]],4,0))-3),VLOOKUP(H30,Materialtabell[[#All],[Materialnamn]:[Enhet]],3,0),"Enhetsfel"))),"")</f>
        <v/>
      </c>
      <c r="K30" s="105" t="str">
        <f>IFERROR(IF(G30="kg","kg/kg",IF(G30="ton","kg/ton",IF(RIGHT(VLOOKUP(H30,Materialtabell[[#All],[Materialnamn]:[Enhet]],4,0),LEN(VLOOKUP(H30,Materialtabell[[#All],[Materialnamn]:[Enhet]],4,0))-3)=G30,VLOOKUP(H30,Materialtabell[[#All],[Materialnamn]:[Enhet]],4,0),"kg/ton/"&amp;RIGHT(VLOOKUP(H30,Materialtabell[[#All],[Materialnamn]:[Enhet]],4,0),LEN(VLOOKUP(H30,Materialtabell[[#All],[Materialnamn]:[Enhet]],4,0))-3)))),"")</f>
        <v/>
      </c>
      <c r="L30" s="104" t="str">
        <f>IFERROR(KalkylStart[[#This Row],[Mängd]]*KalkylStart[[#This Row],[Omräknings-faktor]],"")</f>
        <v/>
      </c>
      <c r="M30" s="104" t="str">
        <f>IFERROR(F30*J30*VLOOKUP(H30,Materialtabell[[#All],[Materialnamn]:[Emissionsfaktor 2019
kg CO2e/kg]],5,0),"")</f>
        <v/>
      </c>
      <c r="N30" s="104" t="str">
        <f>IFERROR(F30*J30*VLOOKUP(H30,Materialtabell[[#All],[Materialnamn]:[Emissionsfaktor 2025
kg CO2e/kg]],6,0),"")</f>
        <v/>
      </c>
      <c r="O30" s="78" t="str">
        <f>IFERROR(VLOOKUP(H30,Materialtabell[[#All],[Materialnamn]:[Kommentar A4]],24,0),"")</f>
        <v/>
      </c>
      <c r="P30" s="94" t="str">
        <f>IFERROR(($F30*$J30*$O30*VLOOKUP($H30,Materialtabell[[#All],[Materialnamn]:[Bränsle 
MJ/ton, km]],25,0)*Materiallista!$AF$5)/1000,"")</f>
        <v/>
      </c>
      <c r="Q30" s="94" t="str">
        <f>IFERROR(($F30*$J30*$O30*VLOOKUP($H30,Materialtabell[[#All],[Materialnamn]:[Bränsle 
MJ/ton, km]],25,0)*Materiallista!$AF$6)/1000,"")</f>
        <v/>
      </c>
      <c r="R30" s="162"/>
      <c r="S30" s="3"/>
      <c r="T30" s="3"/>
    </row>
    <row r="31" spans="1:20" x14ac:dyDescent="0.25">
      <c r="A31" s="3"/>
      <c r="B31" s="185">
        <v>26</v>
      </c>
      <c r="C31" s="170"/>
      <c r="D31" s="103"/>
      <c r="E31" s="103"/>
      <c r="F31" s="78"/>
      <c r="G31" s="103"/>
      <c r="H31" s="102"/>
      <c r="I31" s="105" t="str">
        <f>IFERROR(VLOOKUP(KalkylStart[[#This Row],[Klimatmaterial]],Materialtabell[[#All],[Materialnamn]:[Materialtyp]],2,0),"")</f>
        <v/>
      </c>
      <c r="J31" s="104" t="str">
        <f>IFERROR(IF(G31="kg",1,IF(G31="ton",1000,IF(G31=RIGHT(VLOOKUP(H31,Materialtabell[[#All],[Materialnamn]:[Enhet]],4,0),LEN(VLOOKUP(H31,Materialtabell[[#All],[Materialnamn]:[Enhet]],4,0))-3),VLOOKUP(H31,Materialtabell[[#All],[Materialnamn]:[Enhet]],3,0),"Enhetsfel"))),"")</f>
        <v/>
      </c>
      <c r="K31" s="105" t="str">
        <f>IFERROR(IF(G31="kg","kg/kg",IF(G31="ton","kg/ton",IF(RIGHT(VLOOKUP(H31,Materialtabell[[#All],[Materialnamn]:[Enhet]],4,0),LEN(VLOOKUP(H31,Materialtabell[[#All],[Materialnamn]:[Enhet]],4,0))-3)=G31,VLOOKUP(H31,Materialtabell[[#All],[Materialnamn]:[Enhet]],4,0),"kg/ton/"&amp;RIGHT(VLOOKUP(H31,Materialtabell[[#All],[Materialnamn]:[Enhet]],4,0),LEN(VLOOKUP(H31,Materialtabell[[#All],[Materialnamn]:[Enhet]],4,0))-3)))),"")</f>
        <v/>
      </c>
      <c r="L31" s="104" t="str">
        <f>IFERROR(KalkylStart[[#This Row],[Mängd]]*KalkylStart[[#This Row],[Omräknings-faktor]],"")</f>
        <v/>
      </c>
      <c r="M31" s="104" t="str">
        <f>IFERROR(F31*J31*VLOOKUP(H31,Materialtabell[[#All],[Materialnamn]:[Emissionsfaktor 2019
kg CO2e/kg]],5,0),"")</f>
        <v/>
      </c>
      <c r="N31" s="104" t="str">
        <f>IFERROR(F31*J31*VLOOKUP(H31,Materialtabell[[#All],[Materialnamn]:[Emissionsfaktor 2025
kg CO2e/kg]],6,0),"")</f>
        <v/>
      </c>
      <c r="O31" s="78" t="str">
        <f>IFERROR(VLOOKUP(H31,Materialtabell[[#All],[Materialnamn]:[Kommentar A4]],24,0),"")</f>
        <v/>
      </c>
      <c r="P31" s="94" t="str">
        <f>IFERROR(($F31*$J31*$O31*VLOOKUP($H31,Materialtabell[[#All],[Materialnamn]:[Bränsle 
MJ/ton, km]],25,0)*Materiallista!$AF$5)/1000,"")</f>
        <v/>
      </c>
      <c r="Q31" s="94" t="str">
        <f>IFERROR(($F31*$J31*$O31*VLOOKUP($H31,Materialtabell[[#All],[Materialnamn]:[Bränsle 
MJ/ton, km]],25,0)*Materiallista!$AF$6)/1000,"")</f>
        <v/>
      </c>
      <c r="R31" s="162"/>
      <c r="S31" s="3"/>
      <c r="T31" s="3"/>
    </row>
    <row r="32" spans="1:20" x14ac:dyDescent="0.25">
      <c r="A32" s="3"/>
      <c r="B32" s="185">
        <v>27</v>
      </c>
      <c r="C32" s="170"/>
      <c r="D32" s="103"/>
      <c r="E32" s="103"/>
      <c r="F32" s="78"/>
      <c r="G32" s="103"/>
      <c r="H32" s="102"/>
      <c r="I32" s="105" t="str">
        <f>IFERROR(VLOOKUP(KalkylStart[[#This Row],[Klimatmaterial]],Materialtabell[[#All],[Materialnamn]:[Materialtyp]],2,0),"")</f>
        <v/>
      </c>
      <c r="J32" s="104" t="str">
        <f>IFERROR(IF(G32="kg",1,IF(G32="ton",1000,IF(G32=RIGHT(VLOOKUP(H32,Materialtabell[[#All],[Materialnamn]:[Enhet]],4,0),LEN(VLOOKUP(H32,Materialtabell[[#All],[Materialnamn]:[Enhet]],4,0))-3),VLOOKUP(H32,Materialtabell[[#All],[Materialnamn]:[Enhet]],3,0),"Enhetsfel"))),"")</f>
        <v/>
      </c>
      <c r="K32" s="105" t="str">
        <f>IFERROR(IF(G32="kg","kg/kg",IF(G32="ton","kg/ton",IF(RIGHT(VLOOKUP(H32,Materialtabell[[#All],[Materialnamn]:[Enhet]],4,0),LEN(VLOOKUP(H32,Materialtabell[[#All],[Materialnamn]:[Enhet]],4,0))-3)=G32,VLOOKUP(H32,Materialtabell[[#All],[Materialnamn]:[Enhet]],4,0),"kg/ton/"&amp;RIGHT(VLOOKUP(H32,Materialtabell[[#All],[Materialnamn]:[Enhet]],4,0),LEN(VLOOKUP(H32,Materialtabell[[#All],[Materialnamn]:[Enhet]],4,0))-3)))),"")</f>
        <v/>
      </c>
      <c r="L32" s="104" t="str">
        <f>IFERROR(KalkylStart[[#This Row],[Mängd]]*KalkylStart[[#This Row],[Omräknings-faktor]],"")</f>
        <v/>
      </c>
      <c r="M32" s="104" t="str">
        <f>IFERROR(F32*J32*VLOOKUP(H32,Materialtabell[[#All],[Materialnamn]:[Emissionsfaktor 2019
kg CO2e/kg]],5,0),"")</f>
        <v/>
      </c>
      <c r="N32" s="104" t="str">
        <f>IFERROR(F32*J32*VLOOKUP(H32,Materialtabell[[#All],[Materialnamn]:[Emissionsfaktor 2025
kg CO2e/kg]],6,0),"")</f>
        <v/>
      </c>
      <c r="O32" s="78" t="str">
        <f>IFERROR(VLOOKUP(H32,Materialtabell[[#All],[Materialnamn]:[Kommentar A4]],24,0),"")</f>
        <v/>
      </c>
      <c r="P32" s="94" t="str">
        <f>IFERROR(($F32*$J32*$O32*VLOOKUP($H32,Materialtabell[[#All],[Materialnamn]:[Bränsle 
MJ/ton, km]],25,0)*Materiallista!$AF$5)/1000,"")</f>
        <v/>
      </c>
      <c r="Q32" s="94" t="str">
        <f>IFERROR(($F32*$J32*$O32*VLOOKUP($H32,Materialtabell[[#All],[Materialnamn]:[Bränsle 
MJ/ton, km]],25,0)*Materiallista!$AF$6)/1000,"")</f>
        <v/>
      </c>
      <c r="R32" s="162"/>
      <c r="S32" s="3"/>
      <c r="T32" s="3"/>
    </row>
    <row r="33" spans="1:20" x14ac:dyDescent="0.25">
      <c r="A33" s="3"/>
      <c r="B33" s="185">
        <v>28</v>
      </c>
      <c r="C33" s="170"/>
      <c r="D33" s="103"/>
      <c r="E33" s="103"/>
      <c r="F33" s="78"/>
      <c r="G33" s="103"/>
      <c r="H33" s="102"/>
      <c r="I33" s="105" t="str">
        <f>IFERROR(VLOOKUP(KalkylStart[[#This Row],[Klimatmaterial]],Materialtabell[[#All],[Materialnamn]:[Materialtyp]],2,0),"")</f>
        <v/>
      </c>
      <c r="J33" s="104" t="str">
        <f>IFERROR(IF(G33="kg",1,IF(G33="ton",1000,IF(G33=RIGHT(VLOOKUP(H33,Materialtabell[[#All],[Materialnamn]:[Enhet]],4,0),LEN(VLOOKUP(H33,Materialtabell[[#All],[Materialnamn]:[Enhet]],4,0))-3),VLOOKUP(H33,Materialtabell[[#All],[Materialnamn]:[Enhet]],3,0),"Enhetsfel"))),"")</f>
        <v/>
      </c>
      <c r="K33" s="105" t="str">
        <f>IFERROR(IF(G33="kg","kg/kg",IF(G33="ton","kg/ton",IF(RIGHT(VLOOKUP(H33,Materialtabell[[#All],[Materialnamn]:[Enhet]],4,0),LEN(VLOOKUP(H33,Materialtabell[[#All],[Materialnamn]:[Enhet]],4,0))-3)=G33,VLOOKUP(H33,Materialtabell[[#All],[Materialnamn]:[Enhet]],4,0),"kg/ton/"&amp;RIGHT(VLOOKUP(H33,Materialtabell[[#All],[Materialnamn]:[Enhet]],4,0),LEN(VLOOKUP(H33,Materialtabell[[#All],[Materialnamn]:[Enhet]],4,0))-3)))),"")</f>
        <v/>
      </c>
      <c r="L33" s="104" t="str">
        <f>IFERROR(KalkylStart[[#This Row],[Mängd]]*KalkylStart[[#This Row],[Omräknings-faktor]],"")</f>
        <v/>
      </c>
      <c r="M33" s="104" t="str">
        <f>IFERROR(F33*J33*VLOOKUP(H33,Materialtabell[[#All],[Materialnamn]:[Emissionsfaktor 2019
kg CO2e/kg]],5,0),"")</f>
        <v/>
      </c>
      <c r="N33" s="104" t="str">
        <f>IFERROR(F33*J33*VLOOKUP(H33,Materialtabell[[#All],[Materialnamn]:[Emissionsfaktor 2025
kg CO2e/kg]],6,0),"")</f>
        <v/>
      </c>
      <c r="O33" s="78" t="str">
        <f>IFERROR(VLOOKUP(H33,Materialtabell[[#All],[Materialnamn]:[Kommentar A4]],24,0),"")</f>
        <v/>
      </c>
      <c r="P33" s="94" t="str">
        <f>IFERROR(($F33*$J33*$O33*VLOOKUP($H33,Materialtabell[[#All],[Materialnamn]:[Bränsle 
MJ/ton, km]],25,0)*Materiallista!$AF$5)/1000,"")</f>
        <v/>
      </c>
      <c r="Q33" s="94" t="str">
        <f>IFERROR(($F33*$J33*$O33*VLOOKUP($H33,Materialtabell[[#All],[Materialnamn]:[Bränsle 
MJ/ton, km]],25,0)*Materiallista!$AF$6)/1000,"")</f>
        <v/>
      </c>
      <c r="R33" s="162"/>
      <c r="S33" s="3"/>
      <c r="T33" s="3"/>
    </row>
    <row r="34" spans="1:20" x14ac:dyDescent="0.25">
      <c r="A34" s="3"/>
      <c r="B34" s="185">
        <v>29</v>
      </c>
      <c r="C34" s="170"/>
      <c r="D34" s="103"/>
      <c r="E34" s="103"/>
      <c r="F34" s="78"/>
      <c r="G34" s="103"/>
      <c r="H34" s="102"/>
      <c r="I34" s="105" t="str">
        <f>IFERROR(VLOOKUP(KalkylStart[[#This Row],[Klimatmaterial]],Materialtabell[[#All],[Materialnamn]:[Materialtyp]],2,0),"")</f>
        <v/>
      </c>
      <c r="J34" s="104" t="str">
        <f>IFERROR(IF(G34="kg",1,IF(G34="ton",1000,IF(G34=RIGHT(VLOOKUP(H34,Materialtabell[[#All],[Materialnamn]:[Enhet]],4,0),LEN(VLOOKUP(H34,Materialtabell[[#All],[Materialnamn]:[Enhet]],4,0))-3),VLOOKUP(H34,Materialtabell[[#All],[Materialnamn]:[Enhet]],3,0),"Enhetsfel"))),"")</f>
        <v/>
      </c>
      <c r="K34" s="105" t="str">
        <f>IFERROR(IF(G34="kg","kg/kg",IF(G34="ton","kg/ton",IF(RIGHT(VLOOKUP(H34,Materialtabell[[#All],[Materialnamn]:[Enhet]],4,0),LEN(VLOOKUP(H34,Materialtabell[[#All],[Materialnamn]:[Enhet]],4,0))-3)=G34,VLOOKUP(H34,Materialtabell[[#All],[Materialnamn]:[Enhet]],4,0),"kg/ton/"&amp;RIGHT(VLOOKUP(H34,Materialtabell[[#All],[Materialnamn]:[Enhet]],4,0),LEN(VLOOKUP(H34,Materialtabell[[#All],[Materialnamn]:[Enhet]],4,0))-3)))),"")</f>
        <v/>
      </c>
      <c r="L34" s="104" t="str">
        <f>IFERROR(KalkylStart[[#This Row],[Mängd]]*KalkylStart[[#This Row],[Omräknings-faktor]],"")</f>
        <v/>
      </c>
      <c r="M34" s="104" t="str">
        <f>IFERROR(F34*J34*VLOOKUP(H34,Materialtabell[[#All],[Materialnamn]:[Emissionsfaktor 2019
kg CO2e/kg]],5,0),"")</f>
        <v/>
      </c>
      <c r="N34" s="104" t="str">
        <f>IFERROR(F34*J34*VLOOKUP(H34,Materialtabell[[#All],[Materialnamn]:[Emissionsfaktor 2025
kg CO2e/kg]],6,0),"")</f>
        <v/>
      </c>
      <c r="O34" s="78" t="str">
        <f>IFERROR(VLOOKUP(H34,Materialtabell[[#All],[Materialnamn]:[Kommentar A4]],24,0),"")</f>
        <v/>
      </c>
      <c r="P34" s="94" t="str">
        <f>IFERROR(($F34*$J34*$O34*VLOOKUP($H34,Materialtabell[[#All],[Materialnamn]:[Bränsle 
MJ/ton, km]],25,0)*Materiallista!$AF$5)/1000,"")</f>
        <v/>
      </c>
      <c r="Q34" s="94" t="str">
        <f>IFERROR(($F34*$J34*$O34*VLOOKUP($H34,Materialtabell[[#All],[Materialnamn]:[Bränsle 
MJ/ton, km]],25,0)*Materiallista!$AF$6)/1000,"")</f>
        <v/>
      </c>
      <c r="R34" s="162"/>
      <c r="S34" s="3"/>
      <c r="T34" s="3"/>
    </row>
    <row r="35" spans="1:20" x14ac:dyDescent="0.25">
      <c r="A35" s="3"/>
      <c r="B35" s="185">
        <v>30</v>
      </c>
      <c r="C35" s="170"/>
      <c r="D35" s="103"/>
      <c r="E35" s="103"/>
      <c r="F35" s="78"/>
      <c r="G35" s="103"/>
      <c r="H35" s="102"/>
      <c r="I35" s="105" t="str">
        <f>IFERROR(VLOOKUP(KalkylStart[[#This Row],[Klimatmaterial]],Materialtabell[[#All],[Materialnamn]:[Materialtyp]],2,0),"")</f>
        <v/>
      </c>
      <c r="J35" s="104" t="str">
        <f>IFERROR(IF(G35="kg",1,IF(G35="ton",1000,IF(G35=RIGHT(VLOOKUP(H35,Materialtabell[[#All],[Materialnamn]:[Enhet]],4,0),LEN(VLOOKUP(H35,Materialtabell[[#All],[Materialnamn]:[Enhet]],4,0))-3),VLOOKUP(H35,Materialtabell[[#All],[Materialnamn]:[Enhet]],3,0),"Enhetsfel"))),"")</f>
        <v/>
      </c>
      <c r="K35" s="105" t="str">
        <f>IFERROR(IF(G35="kg","kg/kg",IF(G35="ton","kg/ton",IF(RIGHT(VLOOKUP(H35,Materialtabell[[#All],[Materialnamn]:[Enhet]],4,0),LEN(VLOOKUP(H35,Materialtabell[[#All],[Materialnamn]:[Enhet]],4,0))-3)=G35,VLOOKUP(H35,Materialtabell[[#All],[Materialnamn]:[Enhet]],4,0),"kg/ton/"&amp;RIGHT(VLOOKUP(H35,Materialtabell[[#All],[Materialnamn]:[Enhet]],4,0),LEN(VLOOKUP(H35,Materialtabell[[#All],[Materialnamn]:[Enhet]],4,0))-3)))),"")</f>
        <v/>
      </c>
      <c r="L35" s="104" t="str">
        <f>IFERROR(KalkylStart[[#This Row],[Mängd]]*KalkylStart[[#This Row],[Omräknings-faktor]],"")</f>
        <v/>
      </c>
      <c r="M35" s="104" t="str">
        <f>IFERROR(F35*J35*VLOOKUP(H35,Materialtabell[[#All],[Materialnamn]:[Emissionsfaktor 2019
kg CO2e/kg]],5,0),"")</f>
        <v/>
      </c>
      <c r="N35" s="104" t="str">
        <f>IFERROR(F35*J35*VLOOKUP(H35,Materialtabell[[#All],[Materialnamn]:[Emissionsfaktor 2025
kg CO2e/kg]],6,0),"")</f>
        <v/>
      </c>
      <c r="O35" s="78" t="str">
        <f>IFERROR(VLOOKUP(H35,Materialtabell[[#All],[Materialnamn]:[Kommentar A4]],24,0),"")</f>
        <v/>
      </c>
      <c r="P35" s="94" t="str">
        <f>IFERROR(($F35*$J35*$O35*VLOOKUP($H35,Materialtabell[[#All],[Materialnamn]:[Bränsle 
MJ/ton, km]],25,0)*Materiallista!$AF$5)/1000,"")</f>
        <v/>
      </c>
      <c r="Q35" s="94" t="str">
        <f>IFERROR(($F35*$J35*$O35*VLOOKUP($H35,Materialtabell[[#All],[Materialnamn]:[Bränsle 
MJ/ton, km]],25,0)*Materiallista!$AF$6)/1000,"")</f>
        <v/>
      </c>
      <c r="R35" s="162"/>
      <c r="S35" s="3"/>
      <c r="T35" s="3"/>
    </row>
    <row r="36" spans="1:20" x14ac:dyDescent="0.25">
      <c r="A36" s="3"/>
      <c r="B36" s="185">
        <v>31</v>
      </c>
      <c r="C36" s="170"/>
      <c r="D36" s="103"/>
      <c r="E36" s="103"/>
      <c r="F36" s="78"/>
      <c r="G36" s="103"/>
      <c r="H36" s="102"/>
      <c r="I36" s="105" t="str">
        <f>IFERROR(VLOOKUP(KalkylStart[[#This Row],[Klimatmaterial]],Materialtabell[[#All],[Materialnamn]:[Materialtyp]],2,0),"")</f>
        <v/>
      </c>
      <c r="J36" s="104" t="str">
        <f>IFERROR(IF(G36="kg",1,IF(G36="ton",1000,IF(G36=RIGHT(VLOOKUP(H36,Materialtabell[[#All],[Materialnamn]:[Enhet]],4,0),LEN(VLOOKUP(H36,Materialtabell[[#All],[Materialnamn]:[Enhet]],4,0))-3),VLOOKUP(H36,Materialtabell[[#All],[Materialnamn]:[Enhet]],3,0),"Enhetsfel"))),"")</f>
        <v/>
      </c>
      <c r="K36" s="105" t="str">
        <f>IFERROR(IF(G36="kg","kg/kg",IF(G36="ton","kg/ton",IF(RIGHT(VLOOKUP(H36,Materialtabell[[#All],[Materialnamn]:[Enhet]],4,0),LEN(VLOOKUP(H36,Materialtabell[[#All],[Materialnamn]:[Enhet]],4,0))-3)=G36,VLOOKUP(H36,Materialtabell[[#All],[Materialnamn]:[Enhet]],4,0),"kg/ton/"&amp;RIGHT(VLOOKUP(H36,Materialtabell[[#All],[Materialnamn]:[Enhet]],4,0),LEN(VLOOKUP(H36,Materialtabell[[#All],[Materialnamn]:[Enhet]],4,0))-3)))),"")</f>
        <v/>
      </c>
      <c r="L36" s="104" t="str">
        <f>IFERROR(KalkylStart[[#This Row],[Mängd]]*KalkylStart[[#This Row],[Omräknings-faktor]],"")</f>
        <v/>
      </c>
      <c r="M36" s="104" t="str">
        <f>IFERROR(F36*J36*VLOOKUP(H36,Materialtabell[[#All],[Materialnamn]:[Emissionsfaktor 2019
kg CO2e/kg]],5,0),"")</f>
        <v/>
      </c>
      <c r="N36" s="104" t="str">
        <f>IFERROR(F36*J36*VLOOKUP(H36,Materialtabell[[#All],[Materialnamn]:[Emissionsfaktor 2025
kg CO2e/kg]],6,0),"")</f>
        <v/>
      </c>
      <c r="O36" s="78" t="str">
        <f>IFERROR(VLOOKUP(H36,Materialtabell[[#All],[Materialnamn]:[Kommentar A4]],24,0),"")</f>
        <v/>
      </c>
      <c r="P36" s="94" t="str">
        <f>IFERROR(($F36*$J36*$O36*VLOOKUP($H36,Materialtabell[[#All],[Materialnamn]:[Bränsle 
MJ/ton, km]],25,0)*Materiallista!$AF$5)/1000,"")</f>
        <v/>
      </c>
      <c r="Q36" s="94" t="str">
        <f>IFERROR(($F36*$J36*$O36*VLOOKUP($H36,Materialtabell[[#All],[Materialnamn]:[Bränsle 
MJ/ton, km]],25,0)*Materiallista!$AF$6)/1000,"")</f>
        <v/>
      </c>
      <c r="R36" s="162"/>
      <c r="S36" s="3"/>
      <c r="T36" s="3"/>
    </row>
    <row r="37" spans="1:20" x14ac:dyDescent="0.25">
      <c r="A37" s="3"/>
      <c r="B37" s="185">
        <v>32</v>
      </c>
      <c r="C37" s="170"/>
      <c r="D37" s="103"/>
      <c r="E37" s="103"/>
      <c r="F37" s="78"/>
      <c r="G37" s="103"/>
      <c r="H37" s="102"/>
      <c r="I37" s="105" t="str">
        <f>IFERROR(VLOOKUP(KalkylStart[[#This Row],[Klimatmaterial]],Materialtabell[[#All],[Materialnamn]:[Materialtyp]],2,0),"")</f>
        <v/>
      </c>
      <c r="J37" s="104" t="str">
        <f>IFERROR(IF(G37="kg",1,IF(G37="ton",1000,IF(G37=RIGHT(VLOOKUP(H37,Materialtabell[[#All],[Materialnamn]:[Enhet]],4,0),LEN(VLOOKUP(H37,Materialtabell[[#All],[Materialnamn]:[Enhet]],4,0))-3),VLOOKUP(H37,Materialtabell[[#All],[Materialnamn]:[Enhet]],3,0),"Enhetsfel"))),"")</f>
        <v/>
      </c>
      <c r="K37" s="105" t="str">
        <f>IFERROR(IF(G37="kg","kg/kg",IF(G37="ton","kg/ton",IF(RIGHT(VLOOKUP(H37,Materialtabell[[#All],[Materialnamn]:[Enhet]],4,0),LEN(VLOOKUP(H37,Materialtabell[[#All],[Materialnamn]:[Enhet]],4,0))-3)=G37,VLOOKUP(H37,Materialtabell[[#All],[Materialnamn]:[Enhet]],4,0),"kg/ton/"&amp;RIGHT(VLOOKUP(H37,Materialtabell[[#All],[Materialnamn]:[Enhet]],4,0),LEN(VLOOKUP(H37,Materialtabell[[#All],[Materialnamn]:[Enhet]],4,0))-3)))),"")</f>
        <v/>
      </c>
      <c r="L37" s="104" t="str">
        <f>IFERROR(KalkylStart[[#This Row],[Mängd]]*KalkylStart[[#This Row],[Omräknings-faktor]],"")</f>
        <v/>
      </c>
      <c r="M37" s="104" t="str">
        <f>IFERROR(F37*J37*VLOOKUP(H37,Materialtabell[[#All],[Materialnamn]:[Emissionsfaktor 2019
kg CO2e/kg]],5,0),"")</f>
        <v/>
      </c>
      <c r="N37" s="104" t="str">
        <f>IFERROR(F37*J37*VLOOKUP(H37,Materialtabell[[#All],[Materialnamn]:[Emissionsfaktor 2025
kg CO2e/kg]],6,0),"")</f>
        <v/>
      </c>
      <c r="O37" s="78" t="str">
        <f>IFERROR(VLOOKUP(H37,Materialtabell[[#All],[Materialnamn]:[Kommentar A4]],24,0),"")</f>
        <v/>
      </c>
      <c r="P37" s="94" t="str">
        <f>IFERROR(($F37*$J37*$O37*VLOOKUP($H37,Materialtabell[[#All],[Materialnamn]:[Bränsle 
MJ/ton, km]],25,0)*Materiallista!$AF$5)/1000,"")</f>
        <v/>
      </c>
      <c r="Q37" s="94" t="str">
        <f>IFERROR(($F37*$J37*$O37*VLOOKUP($H37,Materialtabell[[#All],[Materialnamn]:[Bränsle 
MJ/ton, km]],25,0)*Materiallista!$AF$6)/1000,"")</f>
        <v/>
      </c>
      <c r="R37" s="162"/>
      <c r="S37" s="3"/>
      <c r="T37" s="3"/>
    </row>
    <row r="38" spans="1:20" x14ac:dyDescent="0.25">
      <c r="A38" s="3"/>
      <c r="B38" s="185">
        <v>33</v>
      </c>
      <c r="C38" s="170"/>
      <c r="D38" s="103"/>
      <c r="E38" s="103"/>
      <c r="F38" s="78"/>
      <c r="G38" s="103"/>
      <c r="H38" s="102"/>
      <c r="I38" s="105" t="str">
        <f>IFERROR(VLOOKUP(KalkylStart[[#This Row],[Klimatmaterial]],Materialtabell[[#All],[Materialnamn]:[Materialtyp]],2,0),"")</f>
        <v/>
      </c>
      <c r="J38" s="104" t="str">
        <f>IFERROR(IF(G38="kg",1,IF(G38="ton",1000,IF(G38=RIGHT(VLOOKUP(H38,Materialtabell[[#All],[Materialnamn]:[Enhet]],4,0),LEN(VLOOKUP(H38,Materialtabell[[#All],[Materialnamn]:[Enhet]],4,0))-3),VLOOKUP(H38,Materialtabell[[#All],[Materialnamn]:[Enhet]],3,0),"Enhetsfel"))),"")</f>
        <v/>
      </c>
      <c r="K38" s="105" t="str">
        <f>IFERROR(IF(G38="kg","kg/kg",IF(G38="ton","kg/ton",IF(RIGHT(VLOOKUP(H38,Materialtabell[[#All],[Materialnamn]:[Enhet]],4,0),LEN(VLOOKUP(H38,Materialtabell[[#All],[Materialnamn]:[Enhet]],4,0))-3)=G38,VLOOKUP(H38,Materialtabell[[#All],[Materialnamn]:[Enhet]],4,0),"kg/ton/"&amp;RIGHT(VLOOKUP(H38,Materialtabell[[#All],[Materialnamn]:[Enhet]],4,0),LEN(VLOOKUP(H38,Materialtabell[[#All],[Materialnamn]:[Enhet]],4,0))-3)))),"")</f>
        <v/>
      </c>
      <c r="L38" s="104" t="str">
        <f>IFERROR(KalkylStart[[#This Row],[Mängd]]*KalkylStart[[#This Row],[Omräknings-faktor]],"")</f>
        <v/>
      </c>
      <c r="M38" s="104" t="str">
        <f>IFERROR(F38*J38*VLOOKUP(H38,Materialtabell[[#All],[Materialnamn]:[Emissionsfaktor 2019
kg CO2e/kg]],5,0),"")</f>
        <v/>
      </c>
      <c r="N38" s="104" t="str">
        <f>IFERROR(F38*J38*VLOOKUP(H38,Materialtabell[[#All],[Materialnamn]:[Emissionsfaktor 2025
kg CO2e/kg]],6,0),"")</f>
        <v/>
      </c>
      <c r="O38" s="78" t="str">
        <f>IFERROR(VLOOKUP(H38,Materialtabell[[#All],[Materialnamn]:[Kommentar A4]],24,0),"")</f>
        <v/>
      </c>
      <c r="P38" s="94" t="str">
        <f>IFERROR(($F38*$J38*$O38*VLOOKUP($H38,Materialtabell[[#All],[Materialnamn]:[Bränsle 
MJ/ton, km]],25,0)*Materiallista!$AF$5)/1000,"")</f>
        <v/>
      </c>
      <c r="Q38" s="94" t="str">
        <f>IFERROR(($F38*$J38*$O38*VLOOKUP($H38,Materialtabell[[#All],[Materialnamn]:[Bränsle 
MJ/ton, km]],25,0)*Materiallista!$AF$6)/1000,"")</f>
        <v/>
      </c>
      <c r="R38" s="162"/>
      <c r="S38" s="3"/>
      <c r="T38" s="3"/>
    </row>
    <row r="39" spans="1:20" x14ac:dyDescent="0.25">
      <c r="A39" s="3"/>
      <c r="B39" s="185">
        <v>34</v>
      </c>
      <c r="C39" s="170"/>
      <c r="D39" s="103"/>
      <c r="E39" s="103"/>
      <c r="F39" s="78"/>
      <c r="G39" s="103"/>
      <c r="H39" s="102"/>
      <c r="I39" s="105" t="str">
        <f>IFERROR(VLOOKUP(KalkylStart[[#This Row],[Klimatmaterial]],Materialtabell[[#All],[Materialnamn]:[Materialtyp]],2,0),"")</f>
        <v/>
      </c>
      <c r="J39" s="104" t="str">
        <f>IFERROR(IF(G39="kg",1,IF(G39="ton",1000,IF(G39=RIGHT(VLOOKUP(H39,Materialtabell[[#All],[Materialnamn]:[Enhet]],4,0),LEN(VLOOKUP(H39,Materialtabell[[#All],[Materialnamn]:[Enhet]],4,0))-3),VLOOKUP(H39,Materialtabell[[#All],[Materialnamn]:[Enhet]],3,0),"Enhetsfel"))),"")</f>
        <v/>
      </c>
      <c r="K39" s="105" t="str">
        <f>IFERROR(IF(G39="kg","kg/kg",IF(G39="ton","kg/ton",IF(RIGHT(VLOOKUP(H39,Materialtabell[[#All],[Materialnamn]:[Enhet]],4,0),LEN(VLOOKUP(H39,Materialtabell[[#All],[Materialnamn]:[Enhet]],4,0))-3)=G39,VLOOKUP(H39,Materialtabell[[#All],[Materialnamn]:[Enhet]],4,0),"kg/ton/"&amp;RIGHT(VLOOKUP(H39,Materialtabell[[#All],[Materialnamn]:[Enhet]],4,0),LEN(VLOOKUP(H39,Materialtabell[[#All],[Materialnamn]:[Enhet]],4,0))-3)))),"")</f>
        <v/>
      </c>
      <c r="L39" s="104" t="str">
        <f>IFERROR(KalkylStart[[#This Row],[Mängd]]*KalkylStart[[#This Row],[Omräknings-faktor]],"")</f>
        <v/>
      </c>
      <c r="M39" s="104" t="str">
        <f>IFERROR(F39*J39*VLOOKUP(H39,Materialtabell[[#All],[Materialnamn]:[Emissionsfaktor 2019
kg CO2e/kg]],5,0),"")</f>
        <v/>
      </c>
      <c r="N39" s="104" t="str">
        <f>IFERROR(F39*J39*VLOOKUP(H39,Materialtabell[[#All],[Materialnamn]:[Emissionsfaktor 2025
kg CO2e/kg]],6,0),"")</f>
        <v/>
      </c>
      <c r="O39" s="78" t="str">
        <f>IFERROR(VLOOKUP(H39,Materialtabell[[#All],[Materialnamn]:[Kommentar A4]],24,0),"")</f>
        <v/>
      </c>
      <c r="P39" s="94" t="str">
        <f>IFERROR(($F39*$J39*$O39*VLOOKUP($H39,Materialtabell[[#All],[Materialnamn]:[Bränsle 
MJ/ton, km]],25,0)*Materiallista!$AF$5)/1000,"")</f>
        <v/>
      </c>
      <c r="Q39" s="94" t="str">
        <f>IFERROR(($F39*$J39*$O39*VLOOKUP($H39,Materialtabell[[#All],[Materialnamn]:[Bränsle 
MJ/ton, km]],25,0)*Materiallista!$AF$6)/1000,"")</f>
        <v/>
      </c>
      <c r="R39" s="162"/>
      <c r="S39" s="3"/>
      <c r="T39" s="3"/>
    </row>
    <row r="40" spans="1:20" x14ac:dyDescent="0.25">
      <c r="A40" s="3"/>
      <c r="B40" s="185">
        <v>35</v>
      </c>
      <c r="C40" s="170"/>
      <c r="D40" s="103"/>
      <c r="E40" s="103"/>
      <c r="F40" s="78"/>
      <c r="G40" s="103"/>
      <c r="H40" s="102"/>
      <c r="I40" s="105" t="str">
        <f>IFERROR(VLOOKUP(KalkylStart[[#This Row],[Klimatmaterial]],Materialtabell[[#All],[Materialnamn]:[Materialtyp]],2,0),"")</f>
        <v/>
      </c>
      <c r="J40" s="104" t="str">
        <f>IFERROR(IF(G40="kg",1,IF(G40="ton",1000,IF(G40=RIGHT(VLOOKUP(H40,Materialtabell[[#All],[Materialnamn]:[Enhet]],4,0),LEN(VLOOKUP(H40,Materialtabell[[#All],[Materialnamn]:[Enhet]],4,0))-3),VLOOKUP(H40,Materialtabell[[#All],[Materialnamn]:[Enhet]],3,0),"Enhetsfel"))),"")</f>
        <v/>
      </c>
      <c r="K40" s="105" t="str">
        <f>IFERROR(IF(G40="kg","kg/kg",IF(G40="ton","kg/ton",IF(RIGHT(VLOOKUP(H40,Materialtabell[[#All],[Materialnamn]:[Enhet]],4,0),LEN(VLOOKUP(H40,Materialtabell[[#All],[Materialnamn]:[Enhet]],4,0))-3)=G40,VLOOKUP(H40,Materialtabell[[#All],[Materialnamn]:[Enhet]],4,0),"kg/ton/"&amp;RIGHT(VLOOKUP(H40,Materialtabell[[#All],[Materialnamn]:[Enhet]],4,0),LEN(VLOOKUP(H40,Materialtabell[[#All],[Materialnamn]:[Enhet]],4,0))-3)))),"")</f>
        <v/>
      </c>
      <c r="L40" s="104" t="str">
        <f>IFERROR(KalkylStart[[#This Row],[Mängd]]*KalkylStart[[#This Row],[Omräknings-faktor]],"")</f>
        <v/>
      </c>
      <c r="M40" s="104" t="str">
        <f>IFERROR(F40*J40*VLOOKUP(H40,Materialtabell[[#All],[Materialnamn]:[Emissionsfaktor 2019
kg CO2e/kg]],5,0),"")</f>
        <v/>
      </c>
      <c r="N40" s="104" t="str">
        <f>IFERROR(F40*J40*VLOOKUP(H40,Materialtabell[[#All],[Materialnamn]:[Emissionsfaktor 2025
kg CO2e/kg]],6,0),"")</f>
        <v/>
      </c>
      <c r="O40" s="78" t="str">
        <f>IFERROR(VLOOKUP(H40,Materialtabell[[#All],[Materialnamn]:[Kommentar A4]],24,0),"")</f>
        <v/>
      </c>
      <c r="P40" s="94" t="str">
        <f>IFERROR(($F40*$J40*$O40*VLOOKUP($H40,Materialtabell[[#All],[Materialnamn]:[Bränsle 
MJ/ton, km]],25,0)*Materiallista!$AF$5)/1000,"")</f>
        <v/>
      </c>
      <c r="Q40" s="94" t="str">
        <f>IFERROR(($F40*$J40*$O40*VLOOKUP($H40,Materialtabell[[#All],[Materialnamn]:[Bränsle 
MJ/ton, km]],25,0)*Materiallista!$AF$6)/1000,"")</f>
        <v/>
      </c>
      <c r="R40" s="162"/>
      <c r="S40" s="3"/>
      <c r="T40" s="3"/>
    </row>
    <row r="41" spans="1:20" x14ac:dyDescent="0.25">
      <c r="A41" s="3"/>
      <c r="B41" s="185">
        <v>36</v>
      </c>
      <c r="C41" s="170"/>
      <c r="D41" s="103"/>
      <c r="E41" s="103"/>
      <c r="F41" s="78"/>
      <c r="G41" s="103"/>
      <c r="H41" s="102"/>
      <c r="I41" s="105" t="str">
        <f>IFERROR(VLOOKUP(KalkylStart[[#This Row],[Klimatmaterial]],Materialtabell[[#All],[Materialnamn]:[Materialtyp]],2,0),"")</f>
        <v/>
      </c>
      <c r="J41" s="104" t="str">
        <f>IFERROR(IF(G41="kg",1,IF(G41="ton",1000,IF(G41=RIGHT(VLOOKUP(H41,Materialtabell[[#All],[Materialnamn]:[Enhet]],4,0),LEN(VLOOKUP(H41,Materialtabell[[#All],[Materialnamn]:[Enhet]],4,0))-3),VLOOKUP(H41,Materialtabell[[#All],[Materialnamn]:[Enhet]],3,0),"Enhetsfel"))),"")</f>
        <v/>
      </c>
      <c r="K41" s="105" t="str">
        <f>IFERROR(IF(G41="kg","kg/kg",IF(G41="ton","kg/ton",IF(RIGHT(VLOOKUP(H41,Materialtabell[[#All],[Materialnamn]:[Enhet]],4,0),LEN(VLOOKUP(H41,Materialtabell[[#All],[Materialnamn]:[Enhet]],4,0))-3)=G41,VLOOKUP(H41,Materialtabell[[#All],[Materialnamn]:[Enhet]],4,0),"kg/ton/"&amp;RIGHT(VLOOKUP(H41,Materialtabell[[#All],[Materialnamn]:[Enhet]],4,0),LEN(VLOOKUP(H41,Materialtabell[[#All],[Materialnamn]:[Enhet]],4,0))-3)))),"")</f>
        <v/>
      </c>
      <c r="L41" s="104" t="str">
        <f>IFERROR(KalkylStart[[#This Row],[Mängd]]*KalkylStart[[#This Row],[Omräknings-faktor]],"")</f>
        <v/>
      </c>
      <c r="M41" s="104" t="str">
        <f>IFERROR(F41*J41*VLOOKUP(H41,Materialtabell[[#All],[Materialnamn]:[Emissionsfaktor 2019
kg CO2e/kg]],5,0),"")</f>
        <v/>
      </c>
      <c r="N41" s="104" t="str">
        <f>IFERROR(F41*J41*VLOOKUP(H41,Materialtabell[[#All],[Materialnamn]:[Emissionsfaktor 2025
kg CO2e/kg]],6,0),"")</f>
        <v/>
      </c>
      <c r="O41" s="78" t="str">
        <f>IFERROR(VLOOKUP(H41,Materialtabell[[#All],[Materialnamn]:[Kommentar A4]],24,0),"")</f>
        <v/>
      </c>
      <c r="P41" s="94" t="str">
        <f>IFERROR(($F41*$J41*$O41*VLOOKUP($H41,Materialtabell[[#All],[Materialnamn]:[Bränsle 
MJ/ton, km]],25,0)*Materiallista!$AF$5)/1000,"")</f>
        <v/>
      </c>
      <c r="Q41" s="94" t="str">
        <f>IFERROR(($F41*$J41*$O41*VLOOKUP($H41,Materialtabell[[#All],[Materialnamn]:[Bränsle 
MJ/ton, km]],25,0)*Materiallista!$AF$6)/1000,"")</f>
        <v/>
      </c>
      <c r="R41" s="162"/>
      <c r="S41" s="3"/>
      <c r="T41" s="3"/>
    </row>
    <row r="42" spans="1:20" x14ac:dyDescent="0.25">
      <c r="A42" s="3"/>
      <c r="B42" s="185">
        <v>37</v>
      </c>
      <c r="C42" s="170"/>
      <c r="D42" s="103"/>
      <c r="E42" s="103"/>
      <c r="F42" s="78"/>
      <c r="G42" s="103"/>
      <c r="H42" s="102"/>
      <c r="I42" s="105" t="str">
        <f>IFERROR(VLOOKUP(KalkylStart[[#This Row],[Klimatmaterial]],Materialtabell[[#All],[Materialnamn]:[Materialtyp]],2,0),"")</f>
        <v/>
      </c>
      <c r="J42" s="104" t="str">
        <f>IFERROR(IF(G42="kg",1,IF(G42="ton",1000,IF(G42=RIGHT(VLOOKUP(H42,Materialtabell[[#All],[Materialnamn]:[Enhet]],4,0),LEN(VLOOKUP(H42,Materialtabell[[#All],[Materialnamn]:[Enhet]],4,0))-3),VLOOKUP(H42,Materialtabell[[#All],[Materialnamn]:[Enhet]],3,0),"Enhetsfel"))),"")</f>
        <v/>
      </c>
      <c r="K42" s="105" t="str">
        <f>IFERROR(IF(G42="kg","kg/kg",IF(G42="ton","kg/ton",IF(RIGHT(VLOOKUP(H42,Materialtabell[[#All],[Materialnamn]:[Enhet]],4,0),LEN(VLOOKUP(H42,Materialtabell[[#All],[Materialnamn]:[Enhet]],4,0))-3)=G42,VLOOKUP(H42,Materialtabell[[#All],[Materialnamn]:[Enhet]],4,0),"kg/ton/"&amp;RIGHT(VLOOKUP(H42,Materialtabell[[#All],[Materialnamn]:[Enhet]],4,0),LEN(VLOOKUP(H42,Materialtabell[[#All],[Materialnamn]:[Enhet]],4,0))-3)))),"")</f>
        <v/>
      </c>
      <c r="L42" s="104" t="str">
        <f>IFERROR(KalkylStart[[#This Row],[Mängd]]*KalkylStart[[#This Row],[Omräknings-faktor]],"")</f>
        <v/>
      </c>
      <c r="M42" s="104" t="str">
        <f>IFERROR(F42*J42*VLOOKUP(H42,Materialtabell[[#All],[Materialnamn]:[Emissionsfaktor 2019
kg CO2e/kg]],5,0),"")</f>
        <v/>
      </c>
      <c r="N42" s="104" t="str">
        <f>IFERROR(F42*J42*VLOOKUP(H42,Materialtabell[[#All],[Materialnamn]:[Emissionsfaktor 2025
kg CO2e/kg]],6,0),"")</f>
        <v/>
      </c>
      <c r="O42" s="78" t="str">
        <f>IFERROR(VLOOKUP(H42,Materialtabell[[#All],[Materialnamn]:[Kommentar A4]],24,0),"")</f>
        <v/>
      </c>
      <c r="P42" s="94" t="str">
        <f>IFERROR(($F42*$J42*$O42*VLOOKUP($H42,Materialtabell[[#All],[Materialnamn]:[Bränsle 
MJ/ton, km]],25,0)*Materiallista!$AF$5)/1000,"")</f>
        <v/>
      </c>
      <c r="Q42" s="94" t="str">
        <f>IFERROR(($F42*$J42*$O42*VLOOKUP($H42,Materialtabell[[#All],[Materialnamn]:[Bränsle 
MJ/ton, km]],25,0)*Materiallista!$AF$6)/1000,"")</f>
        <v/>
      </c>
      <c r="R42" s="162"/>
      <c r="S42" s="3"/>
      <c r="T42" s="3"/>
    </row>
    <row r="43" spans="1:20" x14ac:dyDescent="0.25">
      <c r="A43" s="3"/>
      <c r="B43" s="185">
        <v>38</v>
      </c>
      <c r="C43" s="170"/>
      <c r="D43" s="103"/>
      <c r="E43" s="103"/>
      <c r="F43" s="78"/>
      <c r="G43" s="103"/>
      <c r="H43" s="102"/>
      <c r="I43" s="105" t="str">
        <f>IFERROR(VLOOKUP(KalkylStart[[#This Row],[Klimatmaterial]],Materialtabell[[#All],[Materialnamn]:[Materialtyp]],2,0),"")</f>
        <v/>
      </c>
      <c r="J43" s="104" t="str">
        <f>IFERROR(IF(G43="kg",1,IF(G43="ton",1000,IF(G43=RIGHT(VLOOKUP(H43,Materialtabell[[#All],[Materialnamn]:[Enhet]],4,0),LEN(VLOOKUP(H43,Materialtabell[[#All],[Materialnamn]:[Enhet]],4,0))-3),VLOOKUP(H43,Materialtabell[[#All],[Materialnamn]:[Enhet]],3,0),"Enhetsfel"))),"")</f>
        <v/>
      </c>
      <c r="K43" s="105" t="str">
        <f>IFERROR(IF(G43="kg","kg/kg",IF(G43="ton","kg/ton",IF(RIGHT(VLOOKUP(H43,Materialtabell[[#All],[Materialnamn]:[Enhet]],4,0),LEN(VLOOKUP(H43,Materialtabell[[#All],[Materialnamn]:[Enhet]],4,0))-3)=G43,VLOOKUP(H43,Materialtabell[[#All],[Materialnamn]:[Enhet]],4,0),"kg/ton/"&amp;RIGHT(VLOOKUP(H43,Materialtabell[[#All],[Materialnamn]:[Enhet]],4,0),LEN(VLOOKUP(H43,Materialtabell[[#All],[Materialnamn]:[Enhet]],4,0))-3)))),"")</f>
        <v/>
      </c>
      <c r="L43" s="104" t="str">
        <f>IFERROR(KalkylStart[[#This Row],[Mängd]]*KalkylStart[[#This Row],[Omräknings-faktor]],"")</f>
        <v/>
      </c>
      <c r="M43" s="104" t="str">
        <f>IFERROR(F43*J43*VLOOKUP(H43,Materialtabell[[#All],[Materialnamn]:[Emissionsfaktor 2019
kg CO2e/kg]],5,0),"")</f>
        <v/>
      </c>
      <c r="N43" s="104" t="str">
        <f>IFERROR(F43*J43*VLOOKUP(H43,Materialtabell[[#All],[Materialnamn]:[Emissionsfaktor 2025
kg CO2e/kg]],6,0),"")</f>
        <v/>
      </c>
      <c r="O43" s="78" t="str">
        <f>IFERROR(VLOOKUP(H43,Materialtabell[[#All],[Materialnamn]:[Kommentar A4]],24,0),"")</f>
        <v/>
      </c>
      <c r="P43" s="94" t="str">
        <f>IFERROR(($F43*$J43*$O43*VLOOKUP($H43,Materialtabell[[#All],[Materialnamn]:[Bränsle 
MJ/ton, km]],25,0)*Materiallista!$AF$5)/1000,"")</f>
        <v/>
      </c>
      <c r="Q43" s="94" t="str">
        <f>IFERROR(($F43*$J43*$O43*VLOOKUP($H43,Materialtabell[[#All],[Materialnamn]:[Bränsle 
MJ/ton, km]],25,0)*Materiallista!$AF$6)/1000,"")</f>
        <v/>
      </c>
      <c r="R43" s="162"/>
      <c r="S43" s="3"/>
      <c r="T43" s="3"/>
    </row>
    <row r="44" spans="1:20" x14ac:dyDescent="0.25">
      <c r="A44" s="3"/>
      <c r="B44" s="185">
        <v>39</v>
      </c>
      <c r="C44" s="170"/>
      <c r="D44" s="103"/>
      <c r="E44" s="103"/>
      <c r="F44" s="78"/>
      <c r="G44" s="103"/>
      <c r="H44" s="102"/>
      <c r="I44" s="105" t="str">
        <f>IFERROR(VLOOKUP(KalkylStart[[#This Row],[Klimatmaterial]],Materialtabell[[#All],[Materialnamn]:[Materialtyp]],2,0),"")</f>
        <v/>
      </c>
      <c r="J44" s="104" t="str">
        <f>IFERROR(IF(G44="kg",1,IF(G44="ton",1000,IF(G44=RIGHT(VLOOKUP(H44,Materialtabell[[#All],[Materialnamn]:[Enhet]],4,0),LEN(VLOOKUP(H44,Materialtabell[[#All],[Materialnamn]:[Enhet]],4,0))-3),VLOOKUP(H44,Materialtabell[[#All],[Materialnamn]:[Enhet]],3,0),"Enhetsfel"))),"")</f>
        <v/>
      </c>
      <c r="K44" s="105" t="str">
        <f>IFERROR(IF(G44="kg","kg/kg",IF(G44="ton","kg/ton",IF(RIGHT(VLOOKUP(H44,Materialtabell[[#All],[Materialnamn]:[Enhet]],4,0),LEN(VLOOKUP(H44,Materialtabell[[#All],[Materialnamn]:[Enhet]],4,0))-3)=G44,VLOOKUP(H44,Materialtabell[[#All],[Materialnamn]:[Enhet]],4,0),"kg/ton/"&amp;RIGHT(VLOOKUP(H44,Materialtabell[[#All],[Materialnamn]:[Enhet]],4,0),LEN(VLOOKUP(H44,Materialtabell[[#All],[Materialnamn]:[Enhet]],4,0))-3)))),"")</f>
        <v/>
      </c>
      <c r="L44" s="104" t="str">
        <f>IFERROR(KalkylStart[[#This Row],[Mängd]]*KalkylStart[[#This Row],[Omräknings-faktor]],"")</f>
        <v/>
      </c>
      <c r="M44" s="104" t="str">
        <f>IFERROR(F44*J44*VLOOKUP(H44,Materialtabell[[#All],[Materialnamn]:[Emissionsfaktor 2019
kg CO2e/kg]],5,0),"")</f>
        <v/>
      </c>
      <c r="N44" s="104" t="str">
        <f>IFERROR(F44*J44*VLOOKUP(H44,Materialtabell[[#All],[Materialnamn]:[Emissionsfaktor 2025
kg CO2e/kg]],6,0),"")</f>
        <v/>
      </c>
      <c r="O44" s="78" t="str">
        <f>IFERROR(VLOOKUP(H44,Materialtabell[[#All],[Materialnamn]:[Kommentar A4]],24,0),"")</f>
        <v/>
      </c>
      <c r="P44" s="94" t="str">
        <f>IFERROR(($F44*$J44*$O44*VLOOKUP($H44,Materialtabell[[#All],[Materialnamn]:[Bränsle 
MJ/ton, km]],25,0)*Materiallista!$AF$5)/1000,"")</f>
        <v/>
      </c>
      <c r="Q44" s="94" t="str">
        <f>IFERROR(($F44*$J44*$O44*VLOOKUP($H44,Materialtabell[[#All],[Materialnamn]:[Bränsle 
MJ/ton, km]],25,0)*Materiallista!$AF$6)/1000,"")</f>
        <v/>
      </c>
      <c r="R44" s="162"/>
      <c r="S44" s="3"/>
      <c r="T44" s="3"/>
    </row>
    <row r="45" spans="1:20" x14ac:dyDescent="0.25">
      <c r="A45" s="3"/>
      <c r="B45" s="185">
        <v>40</v>
      </c>
      <c r="C45" s="170"/>
      <c r="D45" s="103"/>
      <c r="E45" s="103"/>
      <c r="F45" s="78"/>
      <c r="G45" s="103"/>
      <c r="H45" s="102"/>
      <c r="I45" s="105" t="str">
        <f>IFERROR(VLOOKUP(KalkylStart[[#This Row],[Klimatmaterial]],Materialtabell[[#All],[Materialnamn]:[Materialtyp]],2,0),"")</f>
        <v/>
      </c>
      <c r="J45" s="104" t="str">
        <f>IFERROR(IF(G45="kg",1,IF(G45="ton",1000,IF(G45=RIGHT(VLOOKUP(H45,Materialtabell[[#All],[Materialnamn]:[Enhet]],4,0),LEN(VLOOKUP(H45,Materialtabell[[#All],[Materialnamn]:[Enhet]],4,0))-3),VLOOKUP(H45,Materialtabell[[#All],[Materialnamn]:[Enhet]],3,0),"Enhetsfel"))),"")</f>
        <v/>
      </c>
      <c r="K45" s="105" t="str">
        <f>IFERROR(IF(G45="kg","kg/kg",IF(G45="ton","kg/ton",IF(RIGHT(VLOOKUP(H45,Materialtabell[[#All],[Materialnamn]:[Enhet]],4,0),LEN(VLOOKUP(H45,Materialtabell[[#All],[Materialnamn]:[Enhet]],4,0))-3)=G45,VLOOKUP(H45,Materialtabell[[#All],[Materialnamn]:[Enhet]],4,0),"kg/ton/"&amp;RIGHT(VLOOKUP(H45,Materialtabell[[#All],[Materialnamn]:[Enhet]],4,0),LEN(VLOOKUP(H45,Materialtabell[[#All],[Materialnamn]:[Enhet]],4,0))-3)))),"")</f>
        <v/>
      </c>
      <c r="L45" s="104" t="str">
        <f>IFERROR(KalkylStart[[#This Row],[Mängd]]*KalkylStart[[#This Row],[Omräknings-faktor]],"")</f>
        <v/>
      </c>
      <c r="M45" s="104" t="str">
        <f>IFERROR(F45*J45*VLOOKUP(H45,Materialtabell[[#All],[Materialnamn]:[Emissionsfaktor 2019
kg CO2e/kg]],5,0),"")</f>
        <v/>
      </c>
      <c r="N45" s="104" t="str">
        <f>IFERROR(F45*J45*VLOOKUP(H45,Materialtabell[[#All],[Materialnamn]:[Emissionsfaktor 2025
kg CO2e/kg]],6,0),"")</f>
        <v/>
      </c>
      <c r="O45" s="78" t="str">
        <f>IFERROR(VLOOKUP(H45,Materialtabell[[#All],[Materialnamn]:[Kommentar A4]],24,0),"")</f>
        <v/>
      </c>
      <c r="P45" s="94" t="str">
        <f>IFERROR(($F45*$J45*$O45*VLOOKUP($H45,Materialtabell[[#All],[Materialnamn]:[Bränsle 
MJ/ton, km]],25,0)*Materiallista!$AF$5)/1000,"")</f>
        <v/>
      </c>
      <c r="Q45" s="94" t="str">
        <f>IFERROR(($F45*$J45*$O45*VLOOKUP($H45,Materialtabell[[#All],[Materialnamn]:[Bränsle 
MJ/ton, km]],25,0)*Materiallista!$AF$6)/1000,"")</f>
        <v/>
      </c>
      <c r="R45" s="162"/>
      <c r="S45" s="3"/>
      <c r="T45" s="3"/>
    </row>
    <row r="46" spans="1:20" x14ac:dyDescent="0.25">
      <c r="A46" s="3"/>
      <c r="B46" s="185">
        <v>41</v>
      </c>
      <c r="C46" s="170"/>
      <c r="D46" s="103"/>
      <c r="E46" s="103"/>
      <c r="F46" s="78"/>
      <c r="G46" s="103"/>
      <c r="H46" s="102"/>
      <c r="I46" s="105" t="str">
        <f>IFERROR(VLOOKUP(KalkylStart[[#This Row],[Klimatmaterial]],Materialtabell[[#All],[Materialnamn]:[Materialtyp]],2,0),"")</f>
        <v/>
      </c>
      <c r="J46" s="104" t="str">
        <f>IFERROR(IF(G46="kg",1,IF(G46="ton",1000,IF(G46=RIGHT(VLOOKUP(H46,Materialtabell[[#All],[Materialnamn]:[Enhet]],4,0),LEN(VLOOKUP(H46,Materialtabell[[#All],[Materialnamn]:[Enhet]],4,0))-3),VLOOKUP(H46,Materialtabell[[#All],[Materialnamn]:[Enhet]],3,0),"Enhetsfel"))),"")</f>
        <v/>
      </c>
      <c r="K46" s="105" t="str">
        <f>IFERROR(IF(G46="kg","kg/kg",IF(G46="ton","kg/ton",IF(RIGHT(VLOOKUP(H46,Materialtabell[[#All],[Materialnamn]:[Enhet]],4,0),LEN(VLOOKUP(H46,Materialtabell[[#All],[Materialnamn]:[Enhet]],4,0))-3)=G46,VLOOKUP(H46,Materialtabell[[#All],[Materialnamn]:[Enhet]],4,0),"kg/ton/"&amp;RIGHT(VLOOKUP(H46,Materialtabell[[#All],[Materialnamn]:[Enhet]],4,0),LEN(VLOOKUP(H46,Materialtabell[[#All],[Materialnamn]:[Enhet]],4,0))-3)))),"")</f>
        <v/>
      </c>
      <c r="L46" s="104" t="str">
        <f>IFERROR(KalkylStart[[#This Row],[Mängd]]*KalkylStart[[#This Row],[Omräknings-faktor]],"")</f>
        <v/>
      </c>
      <c r="M46" s="104" t="str">
        <f>IFERROR(F46*J46*VLOOKUP(H46,Materialtabell[[#All],[Materialnamn]:[Emissionsfaktor 2019
kg CO2e/kg]],5,0),"")</f>
        <v/>
      </c>
      <c r="N46" s="104" t="str">
        <f>IFERROR(F46*J46*VLOOKUP(H46,Materialtabell[[#All],[Materialnamn]:[Emissionsfaktor 2025
kg CO2e/kg]],6,0),"")</f>
        <v/>
      </c>
      <c r="O46" s="78" t="str">
        <f>IFERROR(VLOOKUP(H46,Materialtabell[[#All],[Materialnamn]:[Kommentar A4]],24,0),"")</f>
        <v/>
      </c>
      <c r="P46" s="94" t="str">
        <f>IFERROR(($F46*$J46*$O46*VLOOKUP($H46,Materialtabell[[#All],[Materialnamn]:[Bränsle 
MJ/ton, km]],25,0)*Materiallista!$AF$5)/1000,"")</f>
        <v/>
      </c>
      <c r="Q46" s="94" t="str">
        <f>IFERROR(($F46*$J46*$O46*VLOOKUP($H46,Materialtabell[[#All],[Materialnamn]:[Bränsle 
MJ/ton, km]],25,0)*Materiallista!$AF$6)/1000,"")</f>
        <v/>
      </c>
      <c r="R46" s="162"/>
      <c r="S46" s="3"/>
      <c r="T46" s="3"/>
    </row>
    <row r="47" spans="1:20" x14ac:dyDescent="0.25">
      <c r="A47" s="3"/>
      <c r="B47" s="185">
        <v>42</v>
      </c>
      <c r="C47" s="170"/>
      <c r="D47" s="103"/>
      <c r="E47" s="103"/>
      <c r="F47" s="78"/>
      <c r="G47" s="103"/>
      <c r="H47" s="102"/>
      <c r="I47" s="105" t="str">
        <f>IFERROR(VLOOKUP(KalkylStart[[#This Row],[Klimatmaterial]],Materialtabell[[#All],[Materialnamn]:[Materialtyp]],2,0),"")</f>
        <v/>
      </c>
      <c r="J47" s="104" t="str">
        <f>IFERROR(IF(G47="kg",1,IF(G47="ton",1000,IF(G47=RIGHT(VLOOKUP(H47,Materialtabell[[#All],[Materialnamn]:[Enhet]],4,0),LEN(VLOOKUP(H47,Materialtabell[[#All],[Materialnamn]:[Enhet]],4,0))-3),VLOOKUP(H47,Materialtabell[[#All],[Materialnamn]:[Enhet]],3,0),"Enhetsfel"))),"")</f>
        <v/>
      </c>
      <c r="K47" s="105" t="str">
        <f>IFERROR(IF(G47="kg","kg/kg",IF(G47="ton","kg/ton",IF(RIGHT(VLOOKUP(H47,Materialtabell[[#All],[Materialnamn]:[Enhet]],4,0),LEN(VLOOKUP(H47,Materialtabell[[#All],[Materialnamn]:[Enhet]],4,0))-3)=G47,VLOOKUP(H47,Materialtabell[[#All],[Materialnamn]:[Enhet]],4,0),"kg/ton/"&amp;RIGHT(VLOOKUP(H47,Materialtabell[[#All],[Materialnamn]:[Enhet]],4,0),LEN(VLOOKUP(H47,Materialtabell[[#All],[Materialnamn]:[Enhet]],4,0))-3)))),"")</f>
        <v/>
      </c>
      <c r="L47" s="104" t="str">
        <f>IFERROR(KalkylStart[[#This Row],[Mängd]]*KalkylStart[[#This Row],[Omräknings-faktor]],"")</f>
        <v/>
      </c>
      <c r="M47" s="104" t="str">
        <f>IFERROR(F47*J47*VLOOKUP(H47,Materialtabell[[#All],[Materialnamn]:[Emissionsfaktor 2019
kg CO2e/kg]],5,0),"")</f>
        <v/>
      </c>
      <c r="N47" s="104" t="str">
        <f>IFERROR(F47*J47*VLOOKUP(H47,Materialtabell[[#All],[Materialnamn]:[Emissionsfaktor 2025
kg CO2e/kg]],6,0),"")</f>
        <v/>
      </c>
      <c r="O47" s="78" t="str">
        <f>IFERROR(VLOOKUP(H47,Materialtabell[[#All],[Materialnamn]:[Kommentar A4]],24,0),"")</f>
        <v/>
      </c>
      <c r="P47" s="94" t="str">
        <f>IFERROR(($F47*$J47*$O47*VLOOKUP($H47,Materialtabell[[#All],[Materialnamn]:[Bränsle 
MJ/ton, km]],25,0)*Materiallista!$AF$5)/1000,"")</f>
        <v/>
      </c>
      <c r="Q47" s="94" t="str">
        <f>IFERROR(($F47*$J47*$O47*VLOOKUP($H47,Materialtabell[[#All],[Materialnamn]:[Bränsle 
MJ/ton, km]],25,0)*Materiallista!$AF$6)/1000,"")</f>
        <v/>
      </c>
      <c r="R47" s="162"/>
      <c r="S47" s="3"/>
      <c r="T47" s="3"/>
    </row>
    <row r="48" spans="1:20" x14ac:dyDescent="0.25">
      <c r="A48" s="3"/>
      <c r="B48" s="185">
        <v>43</v>
      </c>
      <c r="C48" s="170"/>
      <c r="D48" s="103"/>
      <c r="E48" s="103"/>
      <c r="F48" s="78"/>
      <c r="G48" s="103"/>
      <c r="H48" s="102"/>
      <c r="I48" s="105" t="str">
        <f>IFERROR(VLOOKUP(KalkylStart[[#This Row],[Klimatmaterial]],Materialtabell[[#All],[Materialnamn]:[Materialtyp]],2,0),"")</f>
        <v/>
      </c>
      <c r="J48" s="104" t="str">
        <f>IFERROR(IF(G48="kg",1,IF(G48="ton",1000,IF(G48=RIGHT(VLOOKUP(H48,Materialtabell[[#All],[Materialnamn]:[Enhet]],4,0),LEN(VLOOKUP(H48,Materialtabell[[#All],[Materialnamn]:[Enhet]],4,0))-3),VLOOKUP(H48,Materialtabell[[#All],[Materialnamn]:[Enhet]],3,0),"Enhetsfel"))),"")</f>
        <v/>
      </c>
      <c r="K48" s="105" t="str">
        <f>IFERROR(IF(G48="kg","kg/kg",IF(G48="ton","kg/ton",IF(RIGHT(VLOOKUP(H48,Materialtabell[[#All],[Materialnamn]:[Enhet]],4,0),LEN(VLOOKUP(H48,Materialtabell[[#All],[Materialnamn]:[Enhet]],4,0))-3)=G48,VLOOKUP(H48,Materialtabell[[#All],[Materialnamn]:[Enhet]],4,0),"kg/ton/"&amp;RIGHT(VLOOKUP(H48,Materialtabell[[#All],[Materialnamn]:[Enhet]],4,0),LEN(VLOOKUP(H48,Materialtabell[[#All],[Materialnamn]:[Enhet]],4,0))-3)))),"")</f>
        <v/>
      </c>
      <c r="L48" s="104" t="str">
        <f>IFERROR(KalkylStart[[#This Row],[Mängd]]*KalkylStart[[#This Row],[Omräknings-faktor]],"")</f>
        <v/>
      </c>
      <c r="M48" s="104" t="str">
        <f>IFERROR(F48*J48*VLOOKUP(H48,Materialtabell[[#All],[Materialnamn]:[Emissionsfaktor 2019
kg CO2e/kg]],5,0),"")</f>
        <v/>
      </c>
      <c r="N48" s="104" t="str">
        <f>IFERROR(F48*J48*VLOOKUP(H48,Materialtabell[[#All],[Materialnamn]:[Emissionsfaktor 2025
kg CO2e/kg]],6,0),"")</f>
        <v/>
      </c>
      <c r="O48" s="78" t="str">
        <f>IFERROR(VLOOKUP(H48,Materialtabell[[#All],[Materialnamn]:[Kommentar A4]],24,0),"")</f>
        <v/>
      </c>
      <c r="P48" s="94" t="str">
        <f>IFERROR(($F48*$J48*$O48*VLOOKUP($H48,Materialtabell[[#All],[Materialnamn]:[Bränsle 
MJ/ton, km]],25,0)*Materiallista!$AF$5)/1000,"")</f>
        <v/>
      </c>
      <c r="Q48" s="94" t="str">
        <f>IFERROR(($F48*$J48*$O48*VLOOKUP($H48,Materialtabell[[#All],[Materialnamn]:[Bränsle 
MJ/ton, km]],25,0)*Materiallista!$AF$6)/1000,"")</f>
        <v/>
      </c>
      <c r="R48" s="162"/>
      <c r="S48" s="3"/>
      <c r="T48" s="3"/>
    </row>
    <row r="49" spans="1:20" x14ac:dyDescent="0.25">
      <c r="A49" s="3"/>
      <c r="B49" s="185">
        <v>44</v>
      </c>
      <c r="C49" s="170"/>
      <c r="D49" s="103"/>
      <c r="E49" s="103"/>
      <c r="F49" s="78"/>
      <c r="G49" s="103"/>
      <c r="H49" s="102"/>
      <c r="I49" s="105" t="str">
        <f>IFERROR(VLOOKUP(KalkylStart[[#This Row],[Klimatmaterial]],Materialtabell[[#All],[Materialnamn]:[Materialtyp]],2,0),"")</f>
        <v/>
      </c>
      <c r="J49" s="104" t="str">
        <f>IFERROR(IF(G49="kg",1,IF(G49="ton",1000,IF(G49=RIGHT(VLOOKUP(H49,Materialtabell[[#All],[Materialnamn]:[Enhet]],4,0),LEN(VLOOKUP(H49,Materialtabell[[#All],[Materialnamn]:[Enhet]],4,0))-3),VLOOKUP(H49,Materialtabell[[#All],[Materialnamn]:[Enhet]],3,0),"Enhetsfel"))),"")</f>
        <v/>
      </c>
      <c r="K49" s="105" t="str">
        <f>IFERROR(IF(G49="kg","kg/kg",IF(G49="ton","kg/ton",IF(RIGHT(VLOOKUP(H49,Materialtabell[[#All],[Materialnamn]:[Enhet]],4,0),LEN(VLOOKUP(H49,Materialtabell[[#All],[Materialnamn]:[Enhet]],4,0))-3)=G49,VLOOKUP(H49,Materialtabell[[#All],[Materialnamn]:[Enhet]],4,0),"kg/ton/"&amp;RIGHT(VLOOKUP(H49,Materialtabell[[#All],[Materialnamn]:[Enhet]],4,0),LEN(VLOOKUP(H49,Materialtabell[[#All],[Materialnamn]:[Enhet]],4,0))-3)))),"")</f>
        <v/>
      </c>
      <c r="L49" s="104" t="str">
        <f>IFERROR(KalkylStart[[#This Row],[Mängd]]*KalkylStart[[#This Row],[Omräknings-faktor]],"")</f>
        <v/>
      </c>
      <c r="M49" s="104" t="str">
        <f>IFERROR(F49*J49*VLOOKUP(H49,Materialtabell[[#All],[Materialnamn]:[Emissionsfaktor 2019
kg CO2e/kg]],5,0),"")</f>
        <v/>
      </c>
      <c r="N49" s="104" t="str">
        <f>IFERROR(F49*J49*VLOOKUP(H49,Materialtabell[[#All],[Materialnamn]:[Emissionsfaktor 2025
kg CO2e/kg]],6,0),"")</f>
        <v/>
      </c>
      <c r="O49" s="78" t="str">
        <f>IFERROR(VLOOKUP(H49,Materialtabell[[#All],[Materialnamn]:[Kommentar A4]],24,0),"")</f>
        <v/>
      </c>
      <c r="P49" s="94" t="str">
        <f>IFERROR(($F49*$J49*$O49*VLOOKUP($H49,Materialtabell[[#All],[Materialnamn]:[Bränsle 
MJ/ton, km]],25,0)*Materiallista!$AF$5)/1000,"")</f>
        <v/>
      </c>
      <c r="Q49" s="94" t="str">
        <f>IFERROR(($F49*$J49*$O49*VLOOKUP($H49,Materialtabell[[#All],[Materialnamn]:[Bränsle 
MJ/ton, km]],25,0)*Materiallista!$AF$6)/1000,"")</f>
        <v/>
      </c>
      <c r="R49" s="162"/>
      <c r="S49" s="3"/>
      <c r="T49" s="3"/>
    </row>
    <row r="50" spans="1:20" x14ac:dyDescent="0.25">
      <c r="A50" s="3"/>
      <c r="B50" s="185">
        <v>45</v>
      </c>
      <c r="C50" s="170"/>
      <c r="D50" s="103"/>
      <c r="E50" s="103"/>
      <c r="F50" s="78"/>
      <c r="G50" s="103"/>
      <c r="H50" s="102"/>
      <c r="I50" s="105" t="str">
        <f>IFERROR(VLOOKUP(KalkylStart[[#This Row],[Klimatmaterial]],Materialtabell[[#All],[Materialnamn]:[Materialtyp]],2,0),"")</f>
        <v/>
      </c>
      <c r="J50" s="104" t="str">
        <f>IFERROR(IF(G50="kg",1,IF(G50="ton",1000,IF(G50=RIGHT(VLOOKUP(H50,Materialtabell[[#All],[Materialnamn]:[Enhet]],4,0),LEN(VLOOKUP(H50,Materialtabell[[#All],[Materialnamn]:[Enhet]],4,0))-3),VLOOKUP(H50,Materialtabell[[#All],[Materialnamn]:[Enhet]],3,0),"Enhetsfel"))),"")</f>
        <v/>
      </c>
      <c r="K50" s="105" t="str">
        <f>IFERROR(IF(G50="kg","kg/kg",IF(G50="ton","kg/ton",IF(RIGHT(VLOOKUP(H50,Materialtabell[[#All],[Materialnamn]:[Enhet]],4,0),LEN(VLOOKUP(H50,Materialtabell[[#All],[Materialnamn]:[Enhet]],4,0))-3)=G50,VLOOKUP(H50,Materialtabell[[#All],[Materialnamn]:[Enhet]],4,0),"kg/ton/"&amp;RIGHT(VLOOKUP(H50,Materialtabell[[#All],[Materialnamn]:[Enhet]],4,0),LEN(VLOOKUP(H50,Materialtabell[[#All],[Materialnamn]:[Enhet]],4,0))-3)))),"")</f>
        <v/>
      </c>
      <c r="L50" s="104" t="str">
        <f>IFERROR(KalkylStart[[#This Row],[Mängd]]*KalkylStart[[#This Row],[Omräknings-faktor]],"")</f>
        <v/>
      </c>
      <c r="M50" s="104" t="str">
        <f>IFERROR(F50*J50*VLOOKUP(H50,Materialtabell[[#All],[Materialnamn]:[Emissionsfaktor 2019
kg CO2e/kg]],5,0),"")</f>
        <v/>
      </c>
      <c r="N50" s="104" t="str">
        <f>IFERROR(F50*J50*VLOOKUP(H50,Materialtabell[[#All],[Materialnamn]:[Emissionsfaktor 2025
kg CO2e/kg]],6,0),"")</f>
        <v/>
      </c>
      <c r="O50" s="78" t="str">
        <f>IFERROR(VLOOKUP(H50,Materialtabell[[#All],[Materialnamn]:[Kommentar A4]],24,0),"")</f>
        <v/>
      </c>
      <c r="P50" s="94" t="str">
        <f>IFERROR(($F50*$J50*$O50*VLOOKUP($H50,Materialtabell[[#All],[Materialnamn]:[Bränsle 
MJ/ton, km]],25,0)*Materiallista!$AF$5)/1000,"")</f>
        <v/>
      </c>
      <c r="Q50" s="94" t="str">
        <f>IFERROR(($F50*$J50*$O50*VLOOKUP($H50,Materialtabell[[#All],[Materialnamn]:[Bränsle 
MJ/ton, km]],25,0)*Materiallista!$AF$6)/1000,"")</f>
        <v/>
      </c>
      <c r="R50" s="162"/>
      <c r="S50" s="3"/>
      <c r="T50" s="3"/>
    </row>
    <row r="51" spans="1:20" x14ac:dyDescent="0.25">
      <c r="A51" s="3"/>
      <c r="B51" s="185">
        <v>46</v>
      </c>
      <c r="C51" s="170"/>
      <c r="D51" s="103"/>
      <c r="E51" s="103"/>
      <c r="F51" s="78"/>
      <c r="G51" s="103"/>
      <c r="H51" s="102"/>
      <c r="I51" s="105" t="str">
        <f>IFERROR(VLOOKUP(KalkylStart[[#This Row],[Klimatmaterial]],Materialtabell[[#All],[Materialnamn]:[Materialtyp]],2,0),"")</f>
        <v/>
      </c>
      <c r="J51" s="104" t="str">
        <f>IFERROR(IF(G51="kg",1,IF(G51="ton",1000,IF(G51=RIGHT(VLOOKUP(H51,Materialtabell[[#All],[Materialnamn]:[Enhet]],4,0),LEN(VLOOKUP(H51,Materialtabell[[#All],[Materialnamn]:[Enhet]],4,0))-3),VLOOKUP(H51,Materialtabell[[#All],[Materialnamn]:[Enhet]],3,0),"Enhetsfel"))),"")</f>
        <v/>
      </c>
      <c r="K51" s="105" t="str">
        <f>IFERROR(IF(G51="kg","kg/kg",IF(G51="ton","kg/ton",IF(RIGHT(VLOOKUP(H51,Materialtabell[[#All],[Materialnamn]:[Enhet]],4,0),LEN(VLOOKUP(H51,Materialtabell[[#All],[Materialnamn]:[Enhet]],4,0))-3)=G51,VLOOKUP(H51,Materialtabell[[#All],[Materialnamn]:[Enhet]],4,0),"kg/ton/"&amp;RIGHT(VLOOKUP(H51,Materialtabell[[#All],[Materialnamn]:[Enhet]],4,0),LEN(VLOOKUP(H51,Materialtabell[[#All],[Materialnamn]:[Enhet]],4,0))-3)))),"")</f>
        <v/>
      </c>
      <c r="L51" s="104" t="str">
        <f>IFERROR(KalkylStart[[#This Row],[Mängd]]*KalkylStart[[#This Row],[Omräknings-faktor]],"")</f>
        <v/>
      </c>
      <c r="M51" s="104" t="str">
        <f>IFERROR(F51*J51*VLOOKUP(H51,Materialtabell[[#All],[Materialnamn]:[Emissionsfaktor 2019
kg CO2e/kg]],5,0),"")</f>
        <v/>
      </c>
      <c r="N51" s="104" t="str">
        <f>IFERROR(F51*J51*VLOOKUP(H51,Materialtabell[[#All],[Materialnamn]:[Emissionsfaktor 2025
kg CO2e/kg]],6,0),"")</f>
        <v/>
      </c>
      <c r="O51" s="78" t="str">
        <f>IFERROR(VLOOKUP(H51,Materialtabell[[#All],[Materialnamn]:[Kommentar A4]],24,0),"")</f>
        <v/>
      </c>
      <c r="P51" s="94" t="str">
        <f>IFERROR(($F51*$J51*$O51*VLOOKUP($H51,Materialtabell[[#All],[Materialnamn]:[Bränsle 
MJ/ton, km]],25,0)*Materiallista!$AF$5)/1000,"")</f>
        <v/>
      </c>
      <c r="Q51" s="94" t="str">
        <f>IFERROR(($F51*$J51*$O51*VLOOKUP($H51,Materialtabell[[#All],[Materialnamn]:[Bränsle 
MJ/ton, km]],25,0)*Materiallista!$AF$6)/1000,"")</f>
        <v/>
      </c>
      <c r="R51" s="162"/>
      <c r="S51" s="3"/>
      <c r="T51" s="3"/>
    </row>
    <row r="52" spans="1:20" x14ac:dyDescent="0.25">
      <c r="A52" s="3"/>
      <c r="B52" s="185">
        <v>47</v>
      </c>
      <c r="C52" s="170"/>
      <c r="D52" s="103"/>
      <c r="E52" s="103"/>
      <c r="F52" s="78"/>
      <c r="G52" s="103"/>
      <c r="H52" s="102"/>
      <c r="I52" s="105" t="str">
        <f>IFERROR(VLOOKUP(KalkylStart[[#This Row],[Klimatmaterial]],Materialtabell[[#All],[Materialnamn]:[Materialtyp]],2,0),"")</f>
        <v/>
      </c>
      <c r="J52" s="104" t="str">
        <f>IFERROR(IF(G52="kg",1,IF(G52="ton",1000,IF(G52=RIGHT(VLOOKUP(H52,Materialtabell[[#All],[Materialnamn]:[Enhet]],4,0),LEN(VLOOKUP(H52,Materialtabell[[#All],[Materialnamn]:[Enhet]],4,0))-3),VLOOKUP(H52,Materialtabell[[#All],[Materialnamn]:[Enhet]],3,0),"Enhetsfel"))),"")</f>
        <v/>
      </c>
      <c r="K52" s="105" t="str">
        <f>IFERROR(IF(G52="kg","kg/kg",IF(G52="ton","kg/ton",IF(RIGHT(VLOOKUP(H52,Materialtabell[[#All],[Materialnamn]:[Enhet]],4,0),LEN(VLOOKUP(H52,Materialtabell[[#All],[Materialnamn]:[Enhet]],4,0))-3)=G52,VLOOKUP(H52,Materialtabell[[#All],[Materialnamn]:[Enhet]],4,0),"kg/ton/"&amp;RIGHT(VLOOKUP(H52,Materialtabell[[#All],[Materialnamn]:[Enhet]],4,0),LEN(VLOOKUP(H52,Materialtabell[[#All],[Materialnamn]:[Enhet]],4,0))-3)))),"")</f>
        <v/>
      </c>
      <c r="L52" s="104" t="str">
        <f>IFERROR(KalkylStart[[#This Row],[Mängd]]*KalkylStart[[#This Row],[Omräknings-faktor]],"")</f>
        <v/>
      </c>
      <c r="M52" s="104" t="str">
        <f>IFERROR(F52*J52*VLOOKUP(H52,Materialtabell[[#All],[Materialnamn]:[Emissionsfaktor 2019
kg CO2e/kg]],5,0),"")</f>
        <v/>
      </c>
      <c r="N52" s="104" t="str">
        <f>IFERROR(F52*J52*VLOOKUP(H52,Materialtabell[[#All],[Materialnamn]:[Emissionsfaktor 2025
kg CO2e/kg]],6,0),"")</f>
        <v/>
      </c>
      <c r="O52" s="78" t="str">
        <f>IFERROR(VLOOKUP(H52,Materialtabell[[#All],[Materialnamn]:[Kommentar A4]],24,0),"")</f>
        <v/>
      </c>
      <c r="P52" s="94" t="str">
        <f>IFERROR(($F52*$J52*$O52*VLOOKUP($H52,Materialtabell[[#All],[Materialnamn]:[Bränsle 
MJ/ton, km]],25,0)*Materiallista!$AF$5)/1000,"")</f>
        <v/>
      </c>
      <c r="Q52" s="94" t="str">
        <f>IFERROR(($F52*$J52*$O52*VLOOKUP($H52,Materialtabell[[#All],[Materialnamn]:[Bränsle 
MJ/ton, km]],25,0)*Materiallista!$AF$6)/1000,"")</f>
        <v/>
      </c>
      <c r="R52" s="162"/>
      <c r="S52" s="3"/>
      <c r="T52" s="3"/>
    </row>
    <row r="53" spans="1:20" x14ac:dyDescent="0.25">
      <c r="A53" s="3"/>
      <c r="B53" s="185">
        <v>48</v>
      </c>
      <c r="C53" s="170"/>
      <c r="D53" s="103"/>
      <c r="E53" s="103"/>
      <c r="F53" s="78"/>
      <c r="G53" s="103"/>
      <c r="H53" s="102"/>
      <c r="I53" s="105" t="str">
        <f>IFERROR(VLOOKUP(KalkylStart[[#This Row],[Klimatmaterial]],Materialtabell[[#All],[Materialnamn]:[Materialtyp]],2,0),"")</f>
        <v/>
      </c>
      <c r="J53" s="104" t="str">
        <f>IFERROR(IF(G53="kg",1,IF(G53="ton",1000,IF(G53=RIGHT(VLOOKUP(H53,Materialtabell[[#All],[Materialnamn]:[Enhet]],4,0),LEN(VLOOKUP(H53,Materialtabell[[#All],[Materialnamn]:[Enhet]],4,0))-3),VLOOKUP(H53,Materialtabell[[#All],[Materialnamn]:[Enhet]],3,0),"Enhetsfel"))),"")</f>
        <v/>
      </c>
      <c r="K53" s="105" t="str">
        <f>IFERROR(IF(G53="kg","kg/kg",IF(G53="ton","kg/ton",IF(RIGHT(VLOOKUP(H53,Materialtabell[[#All],[Materialnamn]:[Enhet]],4,0),LEN(VLOOKUP(H53,Materialtabell[[#All],[Materialnamn]:[Enhet]],4,0))-3)=G53,VLOOKUP(H53,Materialtabell[[#All],[Materialnamn]:[Enhet]],4,0),"kg/ton/"&amp;RIGHT(VLOOKUP(H53,Materialtabell[[#All],[Materialnamn]:[Enhet]],4,0),LEN(VLOOKUP(H53,Materialtabell[[#All],[Materialnamn]:[Enhet]],4,0))-3)))),"")</f>
        <v/>
      </c>
      <c r="L53" s="104" t="str">
        <f>IFERROR(KalkylStart[[#This Row],[Mängd]]*KalkylStart[[#This Row],[Omräknings-faktor]],"")</f>
        <v/>
      </c>
      <c r="M53" s="104" t="str">
        <f>IFERROR(F53*J53*VLOOKUP(H53,Materialtabell[[#All],[Materialnamn]:[Emissionsfaktor 2019
kg CO2e/kg]],5,0),"")</f>
        <v/>
      </c>
      <c r="N53" s="104" t="str">
        <f>IFERROR(F53*J53*VLOOKUP(H53,Materialtabell[[#All],[Materialnamn]:[Emissionsfaktor 2025
kg CO2e/kg]],6,0),"")</f>
        <v/>
      </c>
      <c r="O53" s="78" t="str">
        <f>IFERROR(VLOOKUP(H53,Materialtabell[[#All],[Materialnamn]:[Kommentar A4]],24,0),"")</f>
        <v/>
      </c>
      <c r="P53" s="94" t="str">
        <f>IFERROR(($F53*$J53*$O53*VLOOKUP($H53,Materialtabell[[#All],[Materialnamn]:[Bränsle 
MJ/ton, km]],25,0)*Materiallista!$AF$5)/1000,"")</f>
        <v/>
      </c>
      <c r="Q53" s="94" t="str">
        <f>IFERROR(($F53*$J53*$O53*VLOOKUP($H53,Materialtabell[[#All],[Materialnamn]:[Bränsle 
MJ/ton, km]],25,0)*Materiallista!$AF$6)/1000,"")</f>
        <v/>
      </c>
      <c r="R53" s="162"/>
      <c r="S53" s="3"/>
      <c r="T53" s="3"/>
    </row>
    <row r="54" spans="1:20" x14ac:dyDescent="0.25">
      <c r="A54" s="3"/>
      <c r="B54" s="185">
        <v>49</v>
      </c>
      <c r="C54" s="170"/>
      <c r="D54" s="103"/>
      <c r="E54" s="103"/>
      <c r="F54" s="78"/>
      <c r="G54" s="103"/>
      <c r="H54" s="102"/>
      <c r="I54" s="105" t="str">
        <f>IFERROR(VLOOKUP(KalkylStart[[#This Row],[Klimatmaterial]],Materialtabell[[#All],[Materialnamn]:[Materialtyp]],2,0),"")</f>
        <v/>
      </c>
      <c r="J54" s="104" t="str">
        <f>IFERROR(IF(G54="kg",1,IF(G54="ton",1000,IF(G54=RIGHT(VLOOKUP(H54,Materialtabell[[#All],[Materialnamn]:[Enhet]],4,0),LEN(VLOOKUP(H54,Materialtabell[[#All],[Materialnamn]:[Enhet]],4,0))-3),VLOOKUP(H54,Materialtabell[[#All],[Materialnamn]:[Enhet]],3,0),"Enhetsfel"))),"")</f>
        <v/>
      </c>
      <c r="K54" s="105" t="str">
        <f>IFERROR(IF(G54="kg","kg/kg",IF(G54="ton","kg/ton",IF(RIGHT(VLOOKUP(H54,Materialtabell[[#All],[Materialnamn]:[Enhet]],4,0),LEN(VLOOKUP(H54,Materialtabell[[#All],[Materialnamn]:[Enhet]],4,0))-3)=G54,VLOOKUP(H54,Materialtabell[[#All],[Materialnamn]:[Enhet]],4,0),"kg/ton/"&amp;RIGHT(VLOOKUP(H54,Materialtabell[[#All],[Materialnamn]:[Enhet]],4,0),LEN(VLOOKUP(H54,Materialtabell[[#All],[Materialnamn]:[Enhet]],4,0))-3)))),"")</f>
        <v/>
      </c>
      <c r="L54" s="104" t="str">
        <f>IFERROR(KalkylStart[[#This Row],[Mängd]]*KalkylStart[[#This Row],[Omräknings-faktor]],"")</f>
        <v/>
      </c>
      <c r="M54" s="104" t="str">
        <f>IFERROR(F54*J54*VLOOKUP(H54,Materialtabell[[#All],[Materialnamn]:[Emissionsfaktor 2019
kg CO2e/kg]],5,0),"")</f>
        <v/>
      </c>
      <c r="N54" s="104" t="str">
        <f>IFERROR(F54*J54*VLOOKUP(H54,Materialtabell[[#All],[Materialnamn]:[Emissionsfaktor 2025
kg CO2e/kg]],6,0),"")</f>
        <v/>
      </c>
      <c r="O54" s="78" t="str">
        <f>IFERROR(VLOOKUP(H54,Materialtabell[[#All],[Materialnamn]:[Kommentar A4]],24,0),"")</f>
        <v/>
      </c>
      <c r="P54" s="94" t="str">
        <f>IFERROR(($F54*$J54*$O54*VLOOKUP($H54,Materialtabell[[#All],[Materialnamn]:[Bränsle 
MJ/ton, km]],25,0)*Materiallista!$AF$5)/1000,"")</f>
        <v/>
      </c>
      <c r="Q54" s="94" t="str">
        <f>IFERROR(($F54*$J54*$O54*VLOOKUP($H54,Materialtabell[[#All],[Materialnamn]:[Bränsle 
MJ/ton, km]],25,0)*Materiallista!$AF$6)/1000,"")</f>
        <v/>
      </c>
      <c r="R54" s="162"/>
      <c r="S54" s="3"/>
      <c r="T54" s="3"/>
    </row>
    <row r="55" spans="1:20" x14ac:dyDescent="0.25">
      <c r="A55" s="3"/>
      <c r="B55" s="185">
        <v>50</v>
      </c>
      <c r="C55" s="170"/>
      <c r="D55" s="103"/>
      <c r="E55" s="103"/>
      <c r="F55" s="78"/>
      <c r="G55" s="103"/>
      <c r="H55" s="102"/>
      <c r="I55" s="105" t="str">
        <f>IFERROR(VLOOKUP(KalkylStart[[#This Row],[Klimatmaterial]],Materialtabell[[#All],[Materialnamn]:[Materialtyp]],2,0),"")</f>
        <v/>
      </c>
      <c r="J55" s="104" t="str">
        <f>IFERROR(IF(G55="kg",1,IF(G55="ton",1000,IF(G55=RIGHT(VLOOKUP(H55,Materialtabell[[#All],[Materialnamn]:[Enhet]],4,0),LEN(VLOOKUP(H55,Materialtabell[[#All],[Materialnamn]:[Enhet]],4,0))-3),VLOOKUP(H55,Materialtabell[[#All],[Materialnamn]:[Enhet]],3,0),"Enhetsfel"))),"")</f>
        <v/>
      </c>
      <c r="K55" s="105" t="str">
        <f>IFERROR(IF(G55="kg","kg/kg",IF(G55="ton","kg/ton",IF(RIGHT(VLOOKUP(H55,Materialtabell[[#All],[Materialnamn]:[Enhet]],4,0),LEN(VLOOKUP(H55,Materialtabell[[#All],[Materialnamn]:[Enhet]],4,0))-3)=G55,VLOOKUP(H55,Materialtabell[[#All],[Materialnamn]:[Enhet]],4,0),"kg/ton/"&amp;RIGHT(VLOOKUP(H55,Materialtabell[[#All],[Materialnamn]:[Enhet]],4,0),LEN(VLOOKUP(H55,Materialtabell[[#All],[Materialnamn]:[Enhet]],4,0))-3)))),"")</f>
        <v/>
      </c>
      <c r="L55" s="104" t="str">
        <f>IFERROR(KalkylStart[[#This Row],[Mängd]]*KalkylStart[[#This Row],[Omräknings-faktor]],"")</f>
        <v/>
      </c>
      <c r="M55" s="104" t="str">
        <f>IFERROR(F55*J55*VLOOKUP(H55,Materialtabell[[#All],[Materialnamn]:[Emissionsfaktor 2019
kg CO2e/kg]],5,0),"")</f>
        <v/>
      </c>
      <c r="N55" s="104" t="str">
        <f>IFERROR(F55*J55*VLOOKUP(H55,Materialtabell[[#All],[Materialnamn]:[Emissionsfaktor 2025
kg CO2e/kg]],6,0),"")</f>
        <v/>
      </c>
      <c r="O55" s="78" t="str">
        <f>IFERROR(VLOOKUP(H55,Materialtabell[[#All],[Materialnamn]:[Kommentar A4]],24,0),"")</f>
        <v/>
      </c>
      <c r="P55" s="94" t="str">
        <f>IFERROR(($F55*$J55*$O55*VLOOKUP($H55,Materialtabell[[#All],[Materialnamn]:[Bränsle 
MJ/ton, km]],25,0)*Materiallista!$AF$5)/1000,"")</f>
        <v/>
      </c>
      <c r="Q55" s="94" t="str">
        <f>IFERROR(($F55*$J55*$O55*VLOOKUP($H55,Materialtabell[[#All],[Materialnamn]:[Bränsle 
MJ/ton, km]],25,0)*Materiallista!$AF$6)/1000,"")</f>
        <v/>
      </c>
      <c r="R55" s="162"/>
      <c r="S55" s="3"/>
      <c r="T55" s="3"/>
    </row>
    <row r="56" spans="1:20" x14ac:dyDescent="0.25">
      <c r="A56" s="3"/>
      <c r="B56" s="185">
        <v>51</v>
      </c>
      <c r="C56" s="170"/>
      <c r="D56" s="103"/>
      <c r="E56" s="103"/>
      <c r="F56" s="78"/>
      <c r="G56" s="103"/>
      <c r="H56" s="102"/>
      <c r="I56" s="105" t="str">
        <f>IFERROR(VLOOKUP(KalkylStart[[#This Row],[Klimatmaterial]],Materialtabell[[#All],[Materialnamn]:[Materialtyp]],2,0),"")</f>
        <v/>
      </c>
      <c r="J56" s="104" t="str">
        <f>IFERROR(IF(G56="kg",1,IF(G56="ton",1000,IF(G56=RIGHT(VLOOKUP(H56,Materialtabell[[#All],[Materialnamn]:[Enhet]],4,0),LEN(VLOOKUP(H56,Materialtabell[[#All],[Materialnamn]:[Enhet]],4,0))-3),VLOOKUP(H56,Materialtabell[[#All],[Materialnamn]:[Enhet]],3,0),"Enhetsfel"))),"")</f>
        <v/>
      </c>
      <c r="K56" s="105" t="str">
        <f>IFERROR(IF(G56="kg","kg/kg",IF(G56="ton","kg/ton",IF(RIGHT(VLOOKUP(H56,Materialtabell[[#All],[Materialnamn]:[Enhet]],4,0),LEN(VLOOKUP(H56,Materialtabell[[#All],[Materialnamn]:[Enhet]],4,0))-3)=G56,VLOOKUP(H56,Materialtabell[[#All],[Materialnamn]:[Enhet]],4,0),"kg/ton/"&amp;RIGHT(VLOOKUP(H56,Materialtabell[[#All],[Materialnamn]:[Enhet]],4,0),LEN(VLOOKUP(H56,Materialtabell[[#All],[Materialnamn]:[Enhet]],4,0))-3)))),"")</f>
        <v/>
      </c>
      <c r="L56" s="104" t="str">
        <f>IFERROR(KalkylStart[[#This Row],[Mängd]]*KalkylStart[[#This Row],[Omräknings-faktor]],"")</f>
        <v/>
      </c>
      <c r="M56" s="104" t="str">
        <f>IFERROR(F56*J56*VLOOKUP(H56,Materialtabell[[#All],[Materialnamn]:[Emissionsfaktor 2019
kg CO2e/kg]],5,0),"")</f>
        <v/>
      </c>
      <c r="N56" s="104" t="str">
        <f>IFERROR(F56*J56*VLOOKUP(H56,Materialtabell[[#All],[Materialnamn]:[Emissionsfaktor 2025
kg CO2e/kg]],6,0),"")</f>
        <v/>
      </c>
      <c r="O56" s="78" t="str">
        <f>IFERROR(VLOOKUP(H56,Materialtabell[[#All],[Materialnamn]:[Kommentar A4]],24,0),"")</f>
        <v/>
      </c>
      <c r="P56" s="94" t="str">
        <f>IFERROR(($F56*$J56*$O56*VLOOKUP($H56,Materialtabell[[#All],[Materialnamn]:[Bränsle 
MJ/ton, km]],25,0)*Materiallista!$AF$5)/1000,"")</f>
        <v/>
      </c>
      <c r="Q56" s="94" t="str">
        <f>IFERROR(($F56*$J56*$O56*VLOOKUP($H56,Materialtabell[[#All],[Materialnamn]:[Bränsle 
MJ/ton, km]],25,0)*Materiallista!$AF$6)/1000,"")</f>
        <v/>
      </c>
      <c r="R56" s="162"/>
      <c r="S56" s="3"/>
      <c r="T56" s="3"/>
    </row>
    <row r="57" spans="1:20" x14ac:dyDescent="0.25">
      <c r="A57" s="3"/>
      <c r="B57" s="185">
        <v>52</v>
      </c>
      <c r="C57" s="170"/>
      <c r="D57" s="103"/>
      <c r="E57" s="103"/>
      <c r="F57" s="78"/>
      <c r="G57" s="103"/>
      <c r="H57" s="102"/>
      <c r="I57" s="105" t="str">
        <f>IFERROR(VLOOKUP(KalkylStart[[#This Row],[Klimatmaterial]],Materialtabell[[#All],[Materialnamn]:[Materialtyp]],2,0),"")</f>
        <v/>
      </c>
      <c r="J57" s="104" t="str">
        <f>IFERROR(IF(G57="kg",1,IF(G57="ton",1000,IF(G57=RIGHT(VLOOKUP(H57,Materialtabell[[#All],[Materialnamn]:[Enhet]],4,0),LEN(VLOOKUP(H57,Materialtabell[[#All],[Materialnamn]:[Enhet]],4,0))-3),VLOOKUP(H57,Materialtabell[[#All],[Materialnamn]:[Enhet]],3,0),"Enhetsfel"))),"")</f>
        <v/>
      </c>
      <c r="K57" s="105" t="str">
        <f>IFERROR(IF(G57="kg","kg/kg",IF(G57="ton","kg/ton",IF(RIGHT(VLOOKUP(H57,Materialtabell[[#All],[Materialnamn]:[Enhet]],4,0),LEN(VLOOKUP(H57,Materialtabell[[#All],[Materialnamn]:[Enhet]],4,0))-3)=G57,VLOOKUP(H57,Materialtabell[[#All],[Materialnamn]:[Enhet]],4,0),"kg/ton/"&amp;RIGHT(VLOOKUP(H57,Materialtabell[[#All],[Materialnamn]:[Enhet]],4,0),LEN(VLOOKUP(H57,Materialtabell[[#All],[Materialnamn]:[Enhet]],4,0))-3)))),"")</f>
        <v/>
      </c>
      <c r="L57" s="104" t="str">
        <f>IFERROR(KalkylStart[[#This Row],[Mängd]]*KalkylStart[[#This Row],[Omräknings-faktor]],"")</f>
        <v/>
      </c>
      <c r="M57" s="104" t="str">
        <f>IFERROR(F57*J57*VLOOKUP(H57,Materialtabell[[#All],[Materialnamn]:[Emissionsfaktor 2019
kg CO2e/kg]],5,0),"")</f>
        <v/>
      </c>
      <c r="N57" s="104" t="str">
        <f>IFERROR(F57*J57*VLOOKUP(H57,Materialtabell[[#All],[Materialnamn]:[Emissionsfaktor 2025
kg CO2e/kg]],6,0),"")</f>
        <v/>
      </c>
      <c r="O57" s="78" t="str">
        <f>IFERROR(VLOOKUP(H57,Materialtabell[[#All],[Materialnamn]:[Kommentar A4]],24,0),"")</f>
        <v/>
      </c>
      <c r="P57" s="94" t="str">
        <f>IFERROR(($F57*$J57*$O57*VLOOKUP($H57,Materialtabell[[#All],[Materialnamn]:[Bränsle 
MJ/ton, km]],25,0)*Materiallista!$AF$5)/1000,"")</f>
        <v/>
      </c>
      <c r="Q57" s="94" t="str">
        <f>IFERROR(($F57*$J57*$O57*VLOOKUP($H57,Materialtabell[[#All],[Materialnamn]:[Bränsle 
MJ/ton, km]],25,0)*Materiallista!$AF$6)/1000,"")</f>
        <v/>
      </c>
      <c r="R57" s="162"/>
      <c r="S57" s="3"/>
      <c r="T57" s="3"/>
    </row>
    <row r="58" spans="1:20" x14ac:dyDescent="0.25">
      <c r="A58" s="3"/>
      <c r="B58" s="185">
        <v>53</v>
      </c>
      <c r="C58" s="170"/>
      <c r="D58" s="103"/>
      <c r="E58" s="103"/>
      <c r="F58" s="78"/>
      <c r="G58" s="103"/>
      <c r="H58" s="102"/>
      <c r="I58" s="105" t="str">
        <f>IFERROR(VLOOKUP(KalkylStart[[#This Row],[Klimatmaterial]],Materialtabell[[#All],[Materialnamn]:[Materialtyp]],2,0),"")</f>
        <v/>
      </c>
      <c r="J58" s="104" t="str">
        <f>IFERROR(IF(G58="kg",1,IF(G58="ton",1000,IF(G58=RIGHT(VLOOKUP(H58,Materialtabell[[#All],[Materialnamn]:[Enhet]],4,0),LEN(VLOOKUP(H58,Materialtabell[[#All],[Materialnamn]:[Enhet]],4,0))-3),VLOOKUP(H58,Materialtabell[[#All],[Materialnamn]:[Enhet]],3,0),"Enhetsfel"))),"")</f>
        <v/>
      </c>
      <c r="K58" s="105" t="str">
        <f>IFERROR(IF(G58="kg","kg/kg",IF(G58="ton","kg/ton",IF(RIGHT(VLOOKUP(H58,Materialtabell[[#All],[Materialnamn]:[Enhet]],4,0),LEN(VLOOKUP(H58,Materialtabell[[#All],[Materialnamn]:[Enhet]],4,0))-3)=G58,VLOOKUP(H58,Materialtabell[[#All],[Materialnamn]:[Enhet]],4,0),"kg/ton/"&amp;RIGHT(VLOOKUP(H58,Materialtabell[[#All],[Materialnamn]:[Enhet]],4,0),LEN(VLOOKUP(H58,Materialtabell[[#All],[Materialnamn]:[Enhet]],4,0))-3)))),"")</f>
        <v/>
      </c>
      <c r="L58" s="104" t="str">
        <f>IFERROR(KalkylStart[[#This Row],[Mängd]]*KalkylStart[[#This Row],[Omräknings-faktor]],"")</f>
        <v/>
      </c>
      <c r="M58" s="104" t="str">
        <f>IFERROR(F58*J58*VLOOKUP(H58,Materialtabell[[#All],[Materialnamn]:[Emissionsfaktor 2019
kg CO2e/kg]],5,0),"")</f>
        <v/>
      </c>
      <c r="N58" s="104" t="str">
        <f>IFERROR(F58*J58*VLOOKUP(H58,Materialtabell[[#All],[Materialnamn]:[Emissionsfaktor 2025
kg CO2e/kg]],6,0),"")</f>
        <v/>
      </c>
      <c r="O58" s="78" t="str">
        <f>IFERROR(VLOOKUP(H58,Materialtabell[[#All],[Materialnamn]:[Kommentar A4]],24,0),"")</f>
        <v/>
      </c>
      <c r="P58" s="94" t="str">
        <f>IFERROR(($F58*$J58*$O58*VLOOKUP($H58,Materialtabell[[#All],[Materialnamn]:[Bränsle 
MJ/ton, km]],25,0)*Materiallista!$AF$5)/1000,"")</f>
        <v/>
      </c>
      <c r="Q58" s="94" t="str">
        <f>IFERROR(($F58*$J58*$O58*VLOOKUP($H58,Materialtabell[[#All],[Materialnamn]:[Bränsle 
MJ/ton, km]],25,0)*Materiallista!$AF$6)/1000,"")</f>
        <v/>
      </c>
      <c r="R58" s="162"/>
      <c r="S58" s="3"/>
      <c r="T58" s="3"/>
    </row>
    <row r="59" spans="1:20" x14ac:dyDescent="0.25">
      <c r="A59" s="3"/>
      <c r="B59" s="185">
        <v>54</v>
      </c>
      <c r="C59" s="170"/>
      <c r="D59" s="103"/>
      <c r="E59" s="103"/>
      <c r="F59" s="78"/>
      <c r="G59" s="103"/>
      <c r="H59" s="102"/>
      <c r="I59" s="105" t="str">
        <f>IFERROR(VLOOKUP(KalkylStart[[#This Row],[Klimatmaterial]],Materialtabell[[#All],[Materialnamn]:[Materialtyp]],2,0),"")</f>
        <v/>
      </c>
      <c r="J59" s="104" t="str">
        <f>IFERROR(IF(G59="kg",1,IF(G59="ton",1000,IF(G59=RIGHT(VLOOKUP(H59,Materialtabell[[#All],[Materialnamn]:[Enhet]],4,0),LEN(VLOOKUP(H59,Materialtabell[[#All],[Materialnamn]:[Enhet]],4,0))-3),VLOOKUP(H59,Materialtabell[[#All],[Materialnamn]:[Enhet]],3,0),"Enhetsfel"))),"")</f>
        <v/>
      </c>
      <c r="K59" s="105" t="str">
        <f>IFERROR(IF(G59="kg","kg/kg",IF(G59="ton","kg/ton",IF(RIGHT(VLOOKUP(H59,Materialtabell[[#All],[Materialnamn]:[Enhet]],4,0),LEN(VLOOKUP(H59,Materialtabell[[#All],[Materialnamn]:[Enhet]],4,0))-3)=G59,VLOOKUP(H59,Materialtabell[[#All],[Materialnamn]:[Enhet]],4,0),"kg/ton/"&amp;RIGHT(VLOOKUP(H59,Materialtabell[[#All],[Materialnamn]:[Enhet]],4,0),LEN(VLOOKUP(H59,Materialtabell[[#All],[Materialnamn]:[Enhet]],4,0))-3)))),"")</f>
        <v/>
      </c>
      <c r="L59" s="104" t="str">
        <f>IFERROR(KalkylStart[[#This Row],[Mängd]]*KalkylStart[[#This Row],[Omräknings-faktor]],"")</f>
        <v/>
      </c>
      <c r="M59" s="104" t="str">
        <f>IFERROR(F59*J59*VLOOKUP(H59,Materialtabell[[#All],[Materialnamn]:[Emissionsfaktor 2019
kg CO2e/kg]],5,0),"")</f>
        <v/>
      </c>
      <c r="N59" s="104" t="str">
        <f>IFERROR(F59*J59*VLOOKUP(H59,Materialtabell[[#All],[Materialnamn]:[Emissionsfaktor 2025
kg CO2e/kg]],6,0),"")</f>
        <v/>
      </c>
      <c r="O59" s="78" t="str">
        <f>IFERROR(VLOOKUP(H59,Materialtabell[[#All],[Materialnamn]:[Kommentar A4]],24,0),"")</f>
        <v/>
      </c>
      <c r="P59" s="94" t="str">
        <f>IFERROR(($F59*$J59*$O59*VLOOKUP($H59,Materialtabell[[#All],[Materialnamn]:[Bränsle 
MJ/ton, km]],25,0)*Materiallista!$AF$5)/1000,"")</f>
        <v/>
      </c>
      <c r="Q59" s="94" t="str">
        <f>IFERROR(($F59*$J59*$O59*VLOOKUP($H59,Materialtabell[[#All],[Materialnamn]:[Bränsle 
MJ/ton, km]],25,0)*Materiallista!$AF$6)/1000,"")</f>
        <v/>
      </c>
      <c r="R59" s="162"/>
      <c r="S59" s="3"/>
      <c r="T59" s="3"/>
    </row>
    <row r="60" spans="1:20" x14ac:dyDescent="0.25">
      <c r="A60" s="3"/>
      <c r="B60" s="185">
        <v>55</v>
      </c>
      <c r="C60" s="170"/>
      <c r="D60" s="103"/>
      <c r="E60" s="103"/>
      <c r="F60" s="78"/>
      <c r="G60" s="103"/>
      <c r="H60" s="102"/>
      <c r="I60" s="105" t="str">
        <f>IFERROR(VLOOKUP(KalkylStart[[#This Row],[Klimatmaterial]],Materialtabell[[#All],[Materialnamn]:[Materialtyp]],2,0),"")</f>
        <v/>
      </c>
      <c r="J60" s="104" t="str">
        <f>IFERROR(IF(G60="kg",1,IF(G60="ton",1000,IF(G60=RIGHT(VLOOKUP(H60,Materialtabell[[#All],[Materialnamn]:[Enhet]],4,0),LEN(VLOOKUP(H60,Materialtabell[[#All],[Materialnamn]:[Enhet]],4,0))-3),VLOOKUP(H60,Materialtabell[[#All],[Materialnamn]:[Enhet]],3,0),"Enhetsfel"))),"")</f>
        <v/>
      </c>
      <c r="K60" s="105" t="str">
        <f>IFERROR(IF(G60="kg","kg/kg",IF(G60="ton","kg/ton",IF(RIGHT(VLOOKUP(H60,Materialtabell[[#All],[Materialnamn]:[Enhet]],4,0),LEN(VLOOKUP(H60,Materialtabell[[#All],[Materialnamn]:[Enhet]],4,0))-3)=G60,VLOOKUP(H60,Materialtabell[[#All],[Materialnamn]:[Enhet]],4,0),"kg/ton/"&amp;RIGHT(VLOOKUP(H60,Materialtabell[[#All],[Materialnamn]:[Enhet]],4,0),LEN(VLOOKUP(H60,Materialtabell[[#All],[Materialnamn]:[Enhet]],4,0))-3)))),"")</f>
        <v/>
      </c>
      <c r="L60" s="104" t="str">
        <f>IFERROR(KalkylStart[[#This Row],[Mängd]]*KalkylStart[[#This Row],[Omräknings-faktor]],"")</f>
        <v/>
      </c>
      <c r="M60" s="104" t="str">
        <f>IFERROR(F60*J60*VLOOKUP(H60,Materialtabell[[#All],[Materialnamn]:[Emissionsfaktor 2019
kg CO2e/kg]],5,0),"")</f>
        <v/>
      </c>
      <c r="N60" s="104" t="str">
        <f>IFERROR(F60*J60*VLOOKUP(H60,Materialtabell[[#All],[Materialnamn]:[Emissionsfaktor 2025
kg CO2e/kg]],6,0),"")</f>
        <v/>
      </c>
      <c r="O60" s="78" t="str">
        <f>IFERROR(VLOOKUP(H60,Materialtabell[[#All],[Materialnamn]:[Kommentar A4]],24,0),"")</f>
        <v/>
      </c>
      <c r="P60" s="94" t="str">
        <f>IFERROR(($F60*$J60*$O60*VLOOKUP($H60,Materialtabell[[#All],[Materialnamn]:[Bränsle 
MJ/ton, km]],25,0)*Materiallista!$AF$5)/1000,"")</f>
        <v/>
      </c>
      <c r="Q60" s="94" t="str">
        <f>IFERROR(($F60*$J60*$O60*VLOOKUP($H60,Materialtabell[[#All],[Materialnamn]:[Bränsle 
MJ/ton, km]],25,0)*Materiallista!$AF$6)/1000,"")</f>
        <v/>
      </c>
      <c r="R60" s="162"/>
      <c r="S60" s="3"/>
      <c r="T60" s="3"/>
    </row>
    <row r="61" spans="1:20" x14ac:dyDescent="0.25">
      <c r="A61" s="3"/>
      <c r="B61" s="185">
        <v>56</v>
      </c>
      <c r="C61" s="170"/>
      <c r="D61" s="103"/>
      <c r="E61" s="103"/>
      <c r="F61" s="78"/>
      <c r="G61" s="103"/>
      <c r="H61" s="102"/>
      <c r="I61" s="105" t="str">
        <f>IFERROR(VLOOKUP(KalkylStart[[#This Row],[Klimatmaterial]],Materialtabell[[#All],[Materialnamn]:[Materialtyp]],2,0),"")</f>
        <v/>
      </c>
      <c r="J61" s="104" t="str">
        <f>IFERROR(IF(G61="kg",1,IF(G61="ton",1000,IF(G61=RIGHT(VLOOKUP(H61,Materialtabell[[#All],[Materialnamn]:[Enhet]],4,0),LEN(VLOOKUP(H61,Materialtabell[[#All],[Materialnamn]:[Enhet]],4,0))-3),VLOOKUP(H61,Materialtabell[[#All],[Materialnamn]:[Enhet]],3,0),"Enhetsfel"))),"")</f>
        <v/>
      </c>
      <c r="K61" s="105" t="str">
        <f>IFERROR(IF(G61="kg","kg/kg",IF(G61="ton","kg/ton",IF(RIGHT(VLOOKUP(H61,Materialtabell[[#All],[Materialnamn]:[Enhet]],4,0),LEN(VLOOKUP(H61,Materialtabell[[#All],[Materialnamn]:[Enhet]],4,0))-3)=G61,VLOOKUP(H61,Materialtabell[[#All],[Materialnamn]:[Enhet]],4,0),"kg/ton/"&amp;RIGHT(VLOOKUP(H61,Materialtabell[[#All],[Materialnamn]:[Enhet]],4,0),LEN(VLOOKUP(H61,Materialtabell[[#All],[Materialnamn]:[Enhet]],4,0))-3)))),"")</f>
        <v/>
      </c>
      <c r="L61" s="104" t="str">
        <f>IFERROR(KalkylStart[[#This Row],[Mängd]]*KalkylStart[[#This Row],[Omräknings-faktor]],"")</f>
        <v/>
      </c>
      <c r="M61" s="104" t="str">
        <f>IFERROR(F61*J61*VLOOKUP(H61,Materialtabell[[#All],[Materialnamn]:[Emissionsfaktor 2019
kg CO2e/kg]],5,0),"")</f>
        <v/>
      </c>
      <c r="N61" s="104" t="str">
        <f>IFERROR(F61*J61*VLOOKUP(H61,Materialtabell[[#All],[Materialnamn]:[Emissionsfaktor 2025
kg CO2e/kg]],6,0),"")</f>
        <v/>
      </c>
      <c r="O61" s="78" t="str">
        <f>IFERROR(VLOOKUP(H61,Materialtabell[[#All],[Materialnamn]:[Kommentar A4]],24,0),"")</f>
        <v/>
      </c>
      <c r="P61" s="94" t="str">
        <f>IFERROR(($F61*$J61*$O61*VLOOKUP($H61,Materialtabell[[#All],[Materialnamn]:[Bränsle 
MJ/ton, km]],25,0)*Materiallista!$AF$5)/1000,"")</f>
        <v/>
      </c>
      <c r="Q61" s="94" t="str">
        <f>IFERROR(($F61*$J61*$O61*VLOOKUP($H61,Materialtabell[[#All],[Materialnamn]:[Bränsle 
MJ/ton, km]],25,0)*Materiallista!$AF$6)/1000,"")</f>
        <v/>
      </c>
      <c r="R61" s="162"/>
      <c r="S61" s="3"/>
      <c r="T61" s="3"/>
    </row>
    <row r="62" spans="1:20" x14ac:dyDescent="0.25">
      <c r="A62" s="3"/>
      <c r="B62" s="185">
        <v>57</v>
      </c>
      <c r="C62" s="170"/>
      <c r="D62" s="103"/>
      <c r="E62" s="103"/>
      <c r="F62" s="78"/>
      <c r="G62" s="103"/>
      <c r="H62" s="102"/>
      <c r="I62" s="105" t="str">
        <f>IFERROR(VLOOKUP(KalkylStart[[#This Row],[Klimatmaterial]],Materialtabell[[#All],[Materialnamn]:[Materialtyp]],2,0),"")</f>
        <v/>
      </c>
      <c r="J62" s="104" t="str">
        <f>IFERROR(IF(G62="kg",1,IF(G62="ton",1000,IF(G62=RIGHT(VLOOKUP(H62,Materialtabell[[#All],[Materialnamn]:[Enhet]],4,0),LEN(VLOOKUP(H62,Materialtabell[[#All],[Materialnamn]:[Enhet]],4,0))-3),VLOOKUP(H62,Materialtabell[[#All],[Materialnamn]:[Enhet]],3,0),"Enhetsfel"))),"")</f>
        <v/>
      </c>
      <c r="K62" s="105" t="str">
        <f>IFERROR(IF(G62="kg","kg/kg",IF(G62="ton","kg/ton",IF(RIGHT(VLOOKUP(H62,Materialtabell[[#All],[Materialnamn]:[Enhet]],4,0),LEN(VLOOKUP(H62,Materialtabell[[#All],[Materialnamn]:[Enhet]],4,0))-3)=G62,VLOOKUP(H62,Materialtabell[[#All],[Materialnamn]:[Enhet]],4,0),"kg/ton/"&amp;RIGHT(VLOOKUP(H62,Materialtabell[[#All],[Materialnamn]:[Enhet]],4,0),LEN(VLOOKUP(H62,Materialtabell[[#All],[Materialnamn]:[Enhet]],4,0))-3)))),"")</f>
        <v/>
      </c>
      <c r="L62" s="104" t="str">
        <f>IFERROR(KalkylStart[[#This Row],[Mängd]]*KalkylStart[[#This Row],[Omräknings-faktor]],"")</f>
        <v/>
      </c>
      <c r="M62" s="104" t="str">
        <f>IFERROR(F62*J62*VLOOKUP(H62,Materialtabell[[#All],[Materialnamn]:[Emissionsfaktor 2019
kg CO2e/kg]],5,0),"")</f>
        <v/>
      </c>
      <c r="N62" s="104" t="str">
        <f>IFERROR(F62*J62*VLOOKUP(H62,Materialtabell[[#All],[Materialnamn]:[Emissionsfaktor 2025
kg CO2e/kg]],6,0),"")</f>
        <v/>
      </c>
      <c r="O62" s="78" t="str">
        <f>IFERROR(VLOOKUP(H62,Materialtabell[[#All],[Materialnamn]:[Kommentar A4]],24,0),"")</f>
        <v/>
      </c>
      <c r="P62" s="94" t="str">
        <f>IFERROR(($F62*$J62*$O62*VLOOKUP($H62,Materialtabell[[#All],[Materialnamn]:[Bränsle 
MJ/ton, km]],25,0)*Materiallista!$AF$5)/1000,"")</f>
        <v/>
      </c>
      <c r="Q62" s="94" t="str">
        <f>IFERROR(($F62*$J62*$O62*VLOOKUP($H62,Materialtabell[[#All],[Materialnamn]:[Bränsle 
MJ/ton, km]],25,0)*Materiallista!$AF$6)/1000,"")</f>
        <v/>
      </c>
      <c r="R62" s="162"/>
      <c r="S62" s="3"/>
      <c r="T62" s="3"/>
    </row>
    <row r="63" spans="1:20" x14ac:dyDescent="0.25">
      <c r="A63" s="3"/>
      <c r="B63" s="185">
        <v>58</v>
      </c>
      <c r="C63" s="170"/>
      <c r="D63" s="103"/>
      <c r="E63" s="103"/>
      <c r="F63" s="78"/>
      <c r="G63" s="103"/>
      <c r="H63" s="102"/>
      <c r="I63" s="105" t="str">
        <f>IFERROR(VLOOKUP(KalkylStart[[#This Row],[Klimatmaterial]],Materialtabell[[#All],[Materialnamn]:[Materialtyp]],2,0),"")</f>
        <v/>
      </c>
      <c r="J63" s="104" t="str">
        <f>IFERROR(IF(G63="kg",1,IF(G63="ton",1000,IF(G63=RIGHT(VLOOKUP(H63,Materialtabell[[#All],[Materialnamn]:[Enhet]],4,0),LEN(VLOOKUP(H63,Materialtabell[[#All],[Materialnamn]:[Enhet]],4,0))-3),VLOOKUP(H63,Materialtabell[[#All],[Materialnamn]:[Enhet]],3,0),"Enhetsfel"))),"")</f>
        <v/>
      </c>
      <c r="K63" s="105" t="str">
        <f>IFERROR(IF(G63="kg","kg/kg",IF(G63="ton","kg/ton",IF(RIGHT(VLOOKUP(H63,Materialtabell[[#All],[Materialnamn]:[Enhet]],4,0),LEN(VLOOKUP(H63,Materialtabell[[#All],[Materialnamn]:[Enhet]],4,0))-3)=G63,VLOOKUP(H63,Materialtabell[[#All],[Materialnamn]:[Enhet]],4,0),"kg/ton/"&amp;RIGHT(VLOOKUP(H63,Materialtabell[[#All],[Materialnamn]:[Enhet]],4,0),LEN(VLOOKUP(H63,Materialtabell[[#All],[Materialnamn]:[Enhet]],4,0))-3)))),"")</f>
        <v/>
      </c>
      <c r="L63" s="104" t="str">
        <f>IFERROR(KalkylStart[[#This Row],[Mängd]]*KalkylStart[[#This Row],[Omräknings-faktor]],"")</f>
        <v/>
      </c>
      <c r="M63" s="104" t="str">
        <f>IFERROR(F63*J63*VLOOKUP(H63,Materialtabell[[#All],[Materialnamn]:[Emissionsfaktor 2019
kg CO2e/kg]],5,0),"")</f>
        <v/>
      </c>
      <c r="N63" s="104" t="str">
        <f>IFERROR(F63*J63*VLOOKUP(H63,Materialtabell[[#All],[Materialnamn]:[Emissionsfaktor 2025
kg CO2e/kg]],6,0),"")</f>
        <v/>
      </c>
      <c r="O63" s="78" t="str">
        <f>IFERROR(VLOOKUP(H63,Materialtabell[[#All],[Materialnamn]:[Kommentar A4]],24,0),"")</f>
        <v/>
      </c>
      <c r="P63" s="94" t="str">
        <f>IFERROR(($F63*$J63*$O63*VLOOKUP($H63,Materialtabell[[#All],[Materialnamn]:[Bränsle 
MJ/ton, km]],25,0)*Materiallista!$AF$5)/1000,"")</f>
        <v/>
      </c>
      <c r="Q63" s="94" t="str">
        <f>IFERROR(($F63*$J63*$O63*VLOOKUP($H63,Materialtabell[[#All],[Materialnamn]:[Bränsle 
MJ/ton, km]],25,0)*Materiallista!$AF$6)/1000,"")</f>
        <v/>
      </c>
      <c r="R63" s="162"/>
      <c r="S63" s="3"/>
      <c r="T63" s="3"/>
    </row>
    <row r="64" spans="1:20" x14ac:dyDescent="0.25">
      <c r="A64" s="3"/>
      <c r="B64" s="185">
        <v>59</v>
      </c>
      <c r="C64" s="170"/>
      <c r="D64" s="103"/>
      <c r="E64" s="103"/>
      <c r="F64" s="78"/>
      <c r="G64" s="103"/>
      <c r="H64" s="102"/>
      <c r="I64" s="105" t="str">
        <f>IFERROR(VLOOKUP(KalkylStart[[#This Row],[Klimatmaterial]],Materialtabell[[#All],[Materialnamn]:[Materialtyp]],2,0),"")</f>
        <v/>
      </c>
      <c r="J64" s="104" t="str">
        <f>IFERROR(IF(G64="kg",1,IF(G64="ton",1000,IF(G64=RIGHT(VLOOKUP(H64,Materialtabell[[#All],[Materialnamn]:[Enhet]],4,0),LEN(VLOOKUP(H64,Materialtabell[[#All],[Materialnamn]:[Enhet]],4,0))-3),VLOOKUP(H64,Materialtabell[[#All],[Materialnamn]:[Enhet]],3,0),"Enhetsfel"))),"")</f>
        <v/>
      </c>
      <c r="K64" s="105" t="str">
        <f>IFERROR(IF(G64="kg","kg/kg",IF(G64="ton","kg/ton",IF(RIGHT(VLOOKUP(H64,Materialtabell[[#All],[Materialnamn]:[Enhet]],4,0),LEN(VLOOKUP(H64,Materialtabell[[#All],[Materialnamn]:[Enhet]],4,0))-3)=G64,VLOOKUP(H64,Materialtabell[[#All],[Materialnamn]:[Enhet]],4,0),"kg/ton/"&amp;RIGHT(VLOOKUP(H64,Materialtabell[[#All],[Materialnamn]:[Enhet]],4,0),LEN(VLOOKUP(H64,Materialtabell[[#All],[Materialnamn]:[Enhet]],4,0))-3)))),"")</f>
        <v/>
      </c>
      <c r="L64" s="104" t="str">
        <f>IFERROR(KalkylStart[[#This Row],[Mängd]]*KalkylStart[[#This Row],[Omräknings-faktor]],"")</f>
        <v/>
      </c>
      <c r="M64" s="104" t="str">
        <f>IFERROR(F64*J64*VLOOKUP(H64,Materialtabell[[#All],[Materialnamn]:[Emissionsfaktor 2019
kg CO2e/kg]],5,0),"")</f>
        <v/>
      </c>
      <c r="N64" s="104" t="str">
        <f>IFERROR(F64*J64*VLOOKUP(H64,Materialtabell[[#All],[Materialnamn]:[Emissionsfaktor 2025
kg CO2e/kg]],6,0),"")</f>
        <v/>
      </c>
      <c r="O64" s="78" t="str">
        <f>IFERROR(VLOOKUP(H64,Materialtabell[[#All],[Materialnamn]:[Kommentar A4]],24,0),"")</f>
        <v/>
      </c>
      <c r="P64" s="94" t="str">
        <f>IFERROR(($F64*$J64*$O64*VLOOKUP($H64,Materialtabell[[#All],[Materialnamn]:[Bränsle 
MJ/ton, km]],25,0)*Materiallista!$AF$5)/1000,"")</f>
        <v/>
      </c>
      <c r="Q64" s="94" t="str">
        <f>IFERROR(($F64*$J64*$O64*VLOOKUP($H64,Materialtabell[[#All],[Materialnamn]:[Bränsle 
MJ/ton, km]],25,0)*Materiallista!$AF$6)/1000,"")</f>
        <v/>
      </c>
      <c r="R64" s="162"/>
      <c r="S64" s="3"/>
      <c r="T64" s="3"/>
    </row>
    <row r="65" spans="1:20" x14ac:dyDescent="0.25">
      <c r="A65" s="3"/>
      <c r="B65" s="185">
        <v>60</v>
      </c>
      <c r="C65" s="170"/>
      <c r="D65" s="103"/>
      <c r="E65" s="103"/>
      <c r="F65" s="78"/>
      <c r="G65" s="103"/>
      <c r="H65" s="102"/>
      <c r="I65" s="105" t="str">
        <f>IFERROR(VLOOKUP(KalkylStart[[#This Row],[Klimatmaterial]],Materialtabell[[#All],[Materialnamn]:[Materialtyp]],2,0),"")</f>
        <v/>
      </c>
      <c r="J65" s="104" t="str">
        <f>IFERROR(IF(G65="kg",1,IF(G65="ton",1000,IF(G65=RIGHT(VLOOKUP(H65,Materialtabell[[#All],[Materialnamn]:[Enhet]],4,0),LEN(VLOOKUP(H65,Materialtabell[[#All],[Materialnamn]:[Enhet]],4,0))-3),VLOOKUP(H65,Materialtabell[[#All],[Materialnamn]:[Enhet]],3,0),"Enhetsfel"))),"")</f>
        <v/>
      </c>
      <c r="K65" s="105" t="str">
        <f>IFERROR(IF(G65="kg","kg/kg",IF(G65="ton","kg/ton",IF(RIGHT(VLOOKUP(H65,Materialtabell[[#All],[Materialnamn]:[Enhet]],4,0),LEN(VLOOKUP(H65,Materialtabell[[#All],[Materialnamn]:[Enhet]],4,0))-3)=G65,VLOOKUP(H65,Materialtabell[[#All],[Materialnamn]:[Enhet]],4,0),"kg/ton/"&amp;RIGHT(VLOOKUP(H65,Materialtabell[[#All],[Materialnamn]:[Enhet]],4,0),LEN(VLOOKUP(H65,Materialtabell[[#All],[Materialnamn]:[Enhet]],4,0))-3)))),"")</f>
        <v/>
      </c>
      <c r="L65" s="104" t="str">
        <f>IFERROR(KalkylStart[[#This Row],[Mängd]]*KalkylStart[[#This Row],[Omräknings-faktor]],"")</f>
        <v/>
      </c>
      <c r="M65" s="104" t="str">
        <f>IFERROR(F65*J65*VLOOKUP(H65,Materialtabell[[#All],[Materialnamn]:[Emissionsfaktor 2019
kg CO2e/kg]],5,0),"")</f>
        <v/>
      </c>
      <c r="N65" s="104" t="str">
        <f>IFERROR(F65*J65*VLOOKUP(H65,Materialtabell[[#All],[Materialnamn]:[Emissionsfaktor 2025
kg CO2e/kg]],6,0),"")</f>
        <v/>
      </c>
      <c r="O65" s="78" t="str">
        <f>IFERROR(VLOOKUP(H65,Materialtabell[[#All],[Materialnamn]:[Kommentar A4]],24,0),"")</f>
        <v/>
      </c>
      <c r="P65" s="94" t="str">
        <f>IFERROR(($F65*$J65*$O65*VLOOKUP($H65,Materialtabell[[#All],[Materialnamn]:[Bränsle 
MJ/ton, km]],25,0)*Materiallista!$AF$5)/1000,"")</f>
        <v/>
      </c>
      <c r="Q65" s="94" t="str">
        <f>IFERROR(($F65*$J65*$O65*VLOOKUP($H65,Materialtabell[[#All],[Materialnamn]:[Bränsle 
MJ/ton, km]],25,0)*Materiallista!$AF$6)/1000,"")</f>
        <v/>
      </c>
      <c r="R65" s="162"/>
      <c r="S65" s="3"/>
      <c r="T65" s="3"/>
    </row>
    <row r="66" spans="1:20" x14ac:dyDescent="0.25">
      <c r="A66" s="3"/>
      <c r="B66" s="185">
        <v>61</v>
      </c>
      <c r="C66" s="170"/>
      <c r="D66" s="103"/>
      <c r="E66" s="103"/>
      <c r="F66" s="78"/>
      <c r="G66" s="103"/>
      <c r="H66" s="102"/>
      <c r="I66" s="105" t="str">
        <f>IFERROR(VLOOKUP(KalkylStart[[#This Row],[Klimatmaterial]],Materialtabell[[#All],[Materialnamn]:[Materialtyp]],2,0),"")</f>
        <v/>
      </c>
      <c r="J66" s="104" t="str">
        <f>IFERROR(IF(G66="kg",1,IF(G66="ton",1000,IF(G66=RIGHT(VLOOKUP(H66,Materialtabell[[#All],[Materialnamn]:[Enhet]],4,0),LEN(VLOOKUP(H66,Materialtabell[[#All],[Materialnamn]:[Enhet]],4,0))-3),VLOOKUP(H66,Materialtabell[[#All],[Materialnamn]:[Enhet]],3,0),"Enhetsfel"))),"")</f>
        <v/>
      </c>
      <c r="K66" s="105" t="str">
        <f>IFERROR(IF(G66="kg","kg/kg",IF(G66="ton","kg/ton",IF(RIGHT(VLOOKUP(H66,Materialtabell[[#All],[Materialnamn]:[Enhet]],4,0),LEN(VLOOKUP(H66,Materialtabell[[#All],[Materialnamn]:[Enhet]],4,0))-3)=G66,VLOOKUP(H66,Materialtabell[[#All],[Materialnamn]:[Enhet]],4,0),"kg/ton/"&amp;RIGHT(VLOOKUP(H66,Materialtabell[[#All],[Materialnamn]:[Enhet]],4,0),LEN(VLOOKUP(H66,Materialtabell[[#All],[Materialnamn]:[Enhet]],4,0))-3)))),"")</f>
        <v/>
      </c>
      <c r="L66" s="104" t="str">
        <f>IFERROR(KalkylStart[[#This Row],[Mängd]]*KalkylStart[[#This Row],[Omräknings-faktor]],"")</f>
        <v/>
      </c>
      <c r="M66" s="104" t="str">
        <f>IFERROR(F66*J66*VLOOKUP(H66,Materialtabell[[#All],[Materialnamn]:[Emissionsfaktor 2019
kg CO2e/kg]],5,0),"")</f>
        <v/>
      </c>
      <c r="N66" s="104" t="str">
        <f>IFERROR(F66*J66*VLOOKUP(H66,Materialtabell[[#All],[Materialnamn]:[Emissionsfaktor 2025
kg CO2e/kg]],6,0),"")</f>
        <v/>
      </c>
      <c r="O66" s="78" t="str">
        <f>IFERROR(VLOOKUP(H66,Materialtabell[[#All],[Materialnamn]:[Kommentar A4]],24,0),"")</f>
        <v/>
      </c>
      <c r="P66" s="94" t="str">
        <f>IFERROR(($F66*$J66*$O66*VLOOKUP($H66,Materialtabell[[#All],[Materialnamn]:[Bränsle 
MJ/ton, km]],25,0)*Materiallista!$AF$5)/1000,"")</f>
        <v/>
      </c>
      <c r="Q66" s="94" t="str">
        <f>IFERROR(($F66*$J66*$O66*VLOOKUP($H66,Materialtabell[[#All],[Materialnamn]:[Bränsle 
MJ/ton, km]],25,0)*Materiallista!$AF$6)/1000,"")</f>
        <v/>
      </c>
      <c r="R66" s="162"/>
      <c r="S66" s="3"/>
      <c r="T66" s="3"/>
    </row>
    <row r="67" spans="1:20" x14ac:dyDescent="0.25">
      <c r="A67" s="3"/>
      <c r="B67" s="185">
        <v>62</v>
      </c>
      <c r="C67" s="170"/>
      <c r="D67" s="103"/>
      <c r="E67" s="103"/>
      <c r="F67" s="78"/>
      <c r="G67" s="103"/>
      <c r="H67" s="102"/>
      <c r="I67" s="105" t="str">
        <f>IFERROR(VLOOKUP(KalkylStart[[#This Row],[Klimatmaterial]],Materialtabell[[#All],[Materialnamn]:[Materialtyp]],2,0),"")</f>
        <v/>
      </c>
      <c r="J67" s="104" t="str">
        <f>IFERROR(IF(G67="kg",1,IF(G67="ton",1000,IF(G67=RIGHT(VLOOKUP(H67,Materialtabell[[#All],[Materialnamn]:[Enhet]],4,0),LEN(VLOOKUP(H67,Materialtabell[[#All],[Materialnamn]:[Enhet]],4,0))-3),VLOOKUP(H67,Materialtabell[[#All],[Materialnamn]:[Enhet]],3,0),"Enhetsfel"))),"")</f>
        <v/>
      </c>
      <c r="K67" s="105" t="str">
        <f>IFERROR(IF(G67="kg","kg/kg",IF(G67="ton","kg/ton",IF(RIGHT(VLOOKUP(H67,Materialtabell[[#All],[Materialnamn]:[Enhet]],4,0),LEN(VLOOKUP(H67,Materialtabell[[#All],[Materialnamn]:[Enhet]],4,0))-3)=G67,VLOOKUP(H67,Materialtabell[[#All],[Materialnamn]:[Enhet]],4,0),"kg/ton/"&amp;RIGHT(VLOOKUP(H67,Materialtabell[[#All],[Materialnamn]:[Enhet]],4,0),LEN(VLOOKUP(H67,Materialtabell[[#All],[Materialnamn]:[Enhet]],4,0))-3)))),"")</f>
        <v/>
      </c>
      <c r="L67" s="104" t="str">
        <f>IFERROR(KalkylStart[[#This Row],[Mängd]]*KalkylStart[[#This Row],[Omräknings-faktor]],"")</f>
        <v/>
      </c>
      <c r="M67" s="104" t="str">
        <f>IFERROR(F67*J67*VLOOKUP(H67,Materialtabell[[#All],[Materialnamn]:[Emissionsfaktor 2019
kg CO2e/kg]],5,0),"")</f>
        <v/>
      </c>
      <c r="N67" s="104" t="str">
        <f>IFERROR(F67*J67*VLOOKUP(H67,Materialtabell[[#All],[Materialnamn]:[Emissionsfaktor 2025
kg CO2e/kg]],6,0),"")</f>
        <v/>
      </c>
      <c r="O67" s="78" t="str">
        <f>IFERROR(VLOOKUP(H67,Materialtabell[[#All],[Materialnamn]:[Kommentar A4]],24,0),"")</f>
        <v/>
      </c>
      <c r="P67" s="94" t="str">
        <f>IFERROR(($F67*$J67*$O67*VLOOKUP($H67,Materialtabell[[#All],[Materialnamn]:[Bränsle 
MJ/ton, km]],25,0)*Materiallista!$AF$5)/1000,"")</f>
        <v/>
      </c>
      <c r="Q67" s="94" t="str">
        <f>IFERROR(($F67*$J67*$O67*VLOOKUP($H67,Materialtabell[[#All],[Materialnamn]:[Bränsle 
MJ/ton, km]],25,0)*Materiallista!$AF$6)/1000,"")</f>
        <v/>
      </c>
      <c r="R67" s="162"/>
      <c r="S67" s="3"/>
      <c r="T67" s="3"/>
    </row>
    <row r="68" spans="1:20" s="14" customFormat="1" x14ac:dyDescent="0.25">
      <c r="A68" s="12"/>
      <c r="B68" s="185">
        <v>63</v>
      </c>
      <c r="C68" s="170"/>
      <c r="D68" s="103"/>
      <c r="E68" s="103"/>
      <c r="F68" s="78"/>
      <c r="G68" s="103"/>
      <c r="H68" s="102"/>
      <c r="I68" s="105" t="str">
        <f>IFERROR(VLOOKUP(KalkylStart[[#This Row],[Klimatmaterial]],Materialtabell[[#All],[Materialnamn]:[Materialtyp]],2,0),"")</f>
        <v/>
      </c>
      <c r="J68" s="104" t="str">
        <f>IFERROR(IF(G68="kg",1,IF(G68="ton",1000,IF(G68=RIGHT(VLOOKUP(H68,Materialtabell[[#All],[Materialnamn]:[Enhet]],4,0),LEN(VLOOKUP(H68,Materialtabell[[#All],[Materialnamn]:[Enhet]],4,0))-3),VLOOKUP(H68,Materialtabell[[#All],[Materialnamn]:[Enhet]],3,0),"Enhetsfel"))),"")</f>
        <v/>
      </c>
      <c r="K68" s="105" t="str">
        <f>IFERROR(IF(G68="kg","kg/kg",IF(G68="ton","kg/ton",IF(RIGHT(VLOOKUP(H68,Materialtabell[[#All],[Materialnamn]:[Enhet]],4,0),LEN(VLOOKUP(H68,Materialtabell[[#All],[Materialnamn]:[Enhet]],4,0))-3)=G68,VLOOKUP(H68,Materialtabell[[#All],[Materialnamn]:[Enhet]],4,0),"kg/ton/"&amp;RIGHT(VLOOKUP(H68,Materialtabell[[#All],[Materialnamn]:[Enhet]],4,0),LEN(VLOOKUP(H68,Materialtabell[[#All],[Materialnamn]:[Enhet]],4,0))-3)))),"")</f>
        <v/>
      </c>
      <c r="L68" s="104" t="str">
        <f>IFERROR(KalkylStart[[#This Row],[Mängd]]*KalkylStart[[#This Row],[Omräknings-faktor]],"")</f>
        <v/>
      </c>
      <c r="M68" s="104" t="str">
        <f>IFERROR(F68*J68*VLOOKUP(H68,Materialtabell[[#All],[Materialnamn]:[Emissionsfaktor 2019
kg CO2e/kg]],5,0),"")</f>
        <v/>
      </c>
      <c r="N68" s="104" t="str">
        <f>IFERROR(F68*J68*VLOOKUP(H68,Materialtabell[[#All],[Materialnamn]:[Emissionsfaktor 2025
kg CO2e/kg]],6,0),"")</f>
        <v/>
      </c>
      <c r="O68" s="78" t="str">
        <f>IFERROR(VLOOKUP(H68,Materialtabell[[#All],[Materialnamn]:[Kommentar A4]],24,0),"")</f>
        <v/>
      </c>
      <c r="P68" s="94" t="str">
        <f>IFERROR(($F68*$J68*$O68*VLOOKUP($H68,Materialtabell[[#All],[Materialnamn]:[Bränsle 
MJ/ton, km]],25,0)*Materiallista!$AF$5)/1000,"")</f>
        <v/>
      </c>
      <c r="Q68" s="94" t="str">
        <f>IFERROR(($F68*$J68*$O68*VLOOKUP($H68,Materialtabell[[#All],[Materialnamn]:[Bränsle 
MJ/ton, km]],25,0)*Materiallista!$AF$6)/1000,"")</f>
        <v/>
      </c>
      <c r="R68" s="162"/>
      <c r="S68" s="12"/>
      <c r="T68" s="12"/>
    </row>
    <row r="69" spans="1:20" s="14" customFormat="1" x14ac:dyDescent="0.25">
      <c r="A69" s="12"/>
      <c r="B69" s="185">
        <v>64</v>
      </c>
      <c r="C69" s="170"/>
      <c r="D69" s="103"/>
      <c r="E69" s="103"/>
      <c r="F69" s="78"/>
      <c r="G69" s="103"/>
      <c r="H69" s="102"/>
      <c r="I69" s="105" t="str">
        <f>IFERROR(VLOOKUP(KalkylStart[[#This Row],[Klimatmaterial]],Materialtabell[[#All],[Materialnamn]:[Materialtyp]],2,0),"")</f>
        <v/>
      </c>
      <c r="J69" s="104" t="str">
        <f>IFERROR(IF(G69="kg",1,IF(G69="ton",1000,IF(G69=RIGHT(VLOOKUP(H69,Materialtabell[[#All],[Materialnamn]:[Enhet]],4,0),LEN(VLOOKUP(H69,Materialtabell[[#All],[Materialnamn]:[Enhet]],4,0))-3),VLOOKUP(H69,Materialtabell[[#All],[Materialnamn]:[Enhet]],3,0),"Enhetsfel"))),"")</f>
        <v/>
      </c>
      <c r="K69" s="105" t="str">
        <f>IFERROR(IF(G69="kg","kg/kg",IF(G69="ton","kg/ton",IF(RIGHT(VLOOKUP(H69,Materialtabell[[#All],[Materialnamn]:[Enhet]],4,0),LEN(VLOOKUP(H69,Materialtabell[[#All],[Materialnamn]:[Enhet]],4,0))-3)=G69,VLOOKUP(H69,Materialtabell[[#All],[Materialnamn]:[Enhet]],4,0),"kg/ton/"&amp;RIGHT(VLOOKUP(H69,Materialtabell[[#All],[Materialnamn]:[Enhet]],4,0),LEN(VLOOKUP(H69,Materialtabell[[#All],[Materialnamn]:[Enhet]],4,0))-3)))),"")</f>
        <v/>
      </c>
      <c r="L69" s="104" t="str">
        <f>IFERROR(KalkylStart[[#This Row],[Mängd]]*KalkylStart[[#This Row],[Omräknings-faktor]],"")</f>
        <v/>
      </c>
      <c r="M69" s="104" t="str">
        <f>IFERROR(F69*J69*VLOOKUP(H69,Materialtabell[[#All],[Materialnamn]:[Emissionsfaktor 2019
kg CO2e/kg]],5,0),"")</f>
        <v/>
      </c>
      <c r="N69" s="104" t="str">
        <f>IFERROR(F69*J69*VLOOKUP(H69,Materialtabell[[#All],[Materialnamn]:[Emissionsfaktor 2025
kg CO2e/kg]],6,0),"")</f>
        <v/>
      </c>
      <c r="O69" s="78" t="str">
        <f>IFERROR(VLOOKUP(H69,Materialtabell[[#All],[Materialnamn]:[Kommentar A4]],24,0),"")</f>
        <v/>
      </c>
      <c r="P69" s="94" t="str">
        <f>IFERROR(($F69*$J69*$O69*VLOOKUP($H69,Materialtabell[[#All],[Materialnamn]:[Bränsle 
MJ/ton, km]],25,0)*Materiallista!$AF$5)/1000,"")</f>
        <v/>
      </c>
      <c r="Q69" s="94" t="str">
        <f>IFERROR(($F69*$J69*$O69*VLOOKUP($H69,Materialtabell[[#All],[Materialnamn]:[Bränsle 
MJ/ton, km]],25,0)*Materiallista!$AF$6)/1000,"")</f>
        <v/>
      </c>
      <c r="R69" s="162"/>
      <c r="S69" s="12"/>
      <c r="T69" s="12"/>
    </row>
    <row r="70" spans="1:20" x14ac:dyDescent="0.25">
      <c r="A70" s="3"/>
      <c r="B70" s="185">
        <v>65</v>
      </c>
      <c r="C70" s="170"/>
      <c r="D70" s="103"/>
      <c r="E70" s="103"/>
      <c r="F70" s="78"/>
      <c r="G70" s="103"/>
      <c r="H70" s="102"/>
      <c r="I70" s="105" t="str">
        <f>IFERROR(VLOOKUP(KalkylStart[[#This Row],[Klimatmaterial]],Materialtabell[[#All],[Materialnamn]:[Materialtyp]],2,0),"")</f>
        <v/>
      </c>
      <c r="J70" s="104" t="str">
        <f>IFERROR(IF(G70="kg",1,IF(G70="ton",1000,IF(G70=RIGHT(VLOOKUP(H70,Materialtabell[[#All],[Materialnamn]:[Enhet]],4,0),LEN(VLOOKUP(H70,Materialtabell[[#All],[Materialnamn]:[Enhet]],4,0))-3),VLOOKUP(H70,Materialtabell[[#All],[Materialnamn]:[Enhet]],3,0),"Enhetsfel"))),"")</f>
        <v/>
      </c>
      <c r="K70" s="105" t="str">
        <f>IFERROR(IF(G70="kg","kg/kg",IF(G70="ton","kg/ton",IF(RIGHT(VLOOKUP(H70,Materialtabell[[#All],[Materialnamn]:[Enhet]],4,0),LEN(VLOOKUP(H70,Materialtabell[[#All],[Materialnamn]:[Enhet]],4,0))-3)=G70,VLOOKUP(H70,Materialtabell[[#All],[Materialnamn]:[Enhet]],4,0),"kg/ton/"&amp;RIGHT(VLOOKUP(H70,Materialtabell[[#All],[Materialnamn]:[Enhet]],4,0),LEN(VLOOKUP(H70,Materialtabell[[#All],[Materialnamn]:[Enhet]],4,0))-3)))),"")</f>
        <v/>
      </c>
      <c r="L70" s="104" t="str">
        <f>IFERROR(KalkylStart[[#This Row],[Mängd]]*KalkylStart[[#This Row],[Omräknings-faktor]],"")</f>
        <v/>
      </c>
      <c r="M70" s="104" t="str">
        <f>IFERROR(F70*J70*VLOOKUP(H70,Materialtabell[[#All],[Materialnamn]:[Emissionsfaktor 2019
kg CO2e/kg]],5,0),"")</f>
        <v/>
      </c>
      <c r="N70" s="104" t="str">
        <f>IFERROR(F70*J70*VLOOKUP(H70,Materialtabell[[#All],[Materialnamn]:[Emissionsfaktor 2025
kg CO2e/kg]],6,0),"")</f>
        <v/>
      </c>
      <c r="O70" s="78" t="str">
        <f>IFERROR(VLOOKUP(H70,Materialtabell[[#All],[Materialnamn]:[Kommentar A4]],24,0),"")</f>
        <v/>
      </c>
      <c r="P70" s="94" t="str">
        <f>IFERROR(($F70*$J70*$O70*VLOOKUP($H70,Materialtabell[[#All],[Materialnamn]:[Bränsle 
MJ/ton, km]],25,0)*Materiallista!$AF$5)/1000,"")</f>
        <v/>
      </c>
      <c r="Q70" s="94" t="str">
        <f>IFERROR(($F70*$J70*$O70*VLOOKUP($H70,Materialtabell[[#All],[Materialnamn]:[Bränsle 
MJ/ton, km]],25,0)*Materiallista!$AF$6)/1000,"")</f>
        <v/>
      </c>
      <c r="R70" s="162"/>
      <c r="S70" s="3"/>
      <c r="T70" s="3"/>
    </row>
    <row r="71" spans="1:20" x14ac:dyDescent="0.25">
      <c r="A71" s="3"/>
      <c r="B71" s="185">
        <v>66</v>
      </c>
      <c r="C71" s="170"/>
      <c r="D71" s="103"/>
      <c r="E71" s="103"/>
      <c r="F71" s="78"/>
      <c r="G71" s="103"/>
      <c r="H71" s="102"/>
      <c r="I71" s="105" t="str">
        <f>IFERROR(VLOOKUP(KalkylStart[[#This Row],[Klimatmaterial]],Materialtabell[[#All],[Materialnamn]:[Materialtyp]],2,0),"")</f>
        <v/>
      </c>
      <c r="J71" s="104" t="str">
        <f>IFERROR(IF(G71="kg",1,IF(G71="ton",1000,IF(G71=RIGHT(VLOOKUP(H71,Materialtabell[[#All],[Materialnamn]:[Enhet]],4,0),LEN(VLOOKUP(H71,Materialtabell[[#All],[Materialnamn]:[Enhet]],4,0))-3),VLOOKUP(H71,Materialtabell[[#All],[Materialnamn]:[Enhet]],3,0),"Enhetsfel"))),"")</f>
        <v/>
      </c>
      <c r="K71" s="105" t="str">
        <f>IFERROR(IF(G71="kg","kg/kg",IF(G71="ton","kg/ton",IF(RIGHT(VLOOKUP(H71,Materialtabell[[#All],[Materialnamn]:[Enhet]],4,0),LEN(VLOOKUP(H71,Materialtabell[[#All],[Materialnamn]:[Enhet]],4,0))-3)=G71,VLOOKUP(H71,Materialtabell[[#All],[Materialnamn]:[Enhet]],4,0),"kg/ton/"&amp;RIGHT(VLOOKUP(H71,Materialtabell[[#All],[Materialnamn]:[Enhet]],4,0),LEN(VLOOKUP(H71,Materialtabell[[#All],[Materialnamn]:[Enhet]],4,0))-3)))),"")</f>
        <v/>
      </c>
      <c r="L71" s="104" t="str">
        <f>IFERROR(KalkylStart[[#This Row],[Mängd]]*KalkylStart[[#This Row],[Omräknings-faktor]],"")</f>
        <v/>
      </c>
      <c r="M71" s="104" t="str">
        <f>IFERROR(F71*J71*VLOOKUP(H71,Materialtabell[[#All],[Materialnamn]:[Emissionsfaktor 2019
kg CO2e/kg]],5,0),"")</f>
        <v/>
      </c>
      <c r="N71" s="104" t="str">
        <f>IFERROR(F71*J71*VLOOKUP(H71,Materialtabell[[#All],[Materialnamn]:[Emissionsfaktor 2025
kg CO2e/kg]],6,0),"")</f>
        <v/>
      </c>
      <c r="O71" s="78" t="str">
        <f>IFERROR(VLOOKUP(H71,Materialtabell[[#All],[Materialnamn]:[Kommentar A4]],24,0),"")</f>
        <v/>
      </c>
      <c r="P71" s="94" t="str">
        <f>IFERROR(($F71*$J71*$O71*VLOOKUP($H71,Materialtabell[[#All],[Materialnamn]:[Bränsle 
MJ/ton, km]],25,0)*Materiallista!$AF$5)/1000,"")</f>
        <v/>
      </c>
      <c r="Q71" s="94" t="str">
        <f>IFERROR(($F71*$J71*$O71*VLOOKUP($H71,Materialtabell[[#All],[Materialnamn]:[Bränsle 
MJ/ton, km]],25,0)*Materiallista!$AF$6)/1000,"")</f>
        <v/>
      </c>
      <c r="R71" s="162"/>
      <c r="S71" s="3"/>
      <c r="T71" s="3"/>
    </row>
    <row r="72" spans="1:20" x14ac:dyDescent="0.25">
      <c r="A72" s="3"/>
      <c r="B72" s="185">
        <v>67</v>
      </c>
      <c r="C72" s="170"/>
      <c r="D72" s="103"/>
      <c r="E72" s="103"/>
      <c r="F72" s="78"/>
      <c r="G72" s="103"/>
      <c r="H72" s="102"/>
      <c r="I72" s="105" t="str">
        <f>IFERROR(VLOOKUP(KalkylStart[[#This Row],[Klimatmaterial]],Materialtabell[[#All],[Materialnamn]:[Materialtyp]],2,0),"")</f>
        <v/>
      </c>
      <c r="J72" s="104" t="str">
        <f>IFERROR(IF(G72="kg",1,IF(G72="ton",1000,IF(G72=RIGHT(VLOOKUP(H72,Materialtabell[[#All],[Materialnamn]:[Enhet]],4,0),LEN(VLOOKUP(H72,Materialtabell[[#All],[Materialnamn]:[Enhet]],4,0))-3),VLOOKUP(H72,Materialtabell[[#All],[Materialnamn]:[Enhet]],3,0),"Enhetsfel"))),"")</f>
        <v/>
      </c>
      <c r="K72" s="105" t="str">
        <f>IFERROR(IF(G72="kg","kg/kg",IF(G72="ton","kg/ton",IF(RIGHT(VLOOKUP(H72,Materialtabell[[#All],[Materialnamn]:[Enhet]],4,0),LEN(VLOOKUP(H72,Materialtabell[[#All],[Materialnamn]:[Enhet]],4,0))-3)=G72,VLOOKUP(H72,Materialtabell[[#All],[Materialnamn]:[Enhet]],4,0),"kg/ton/"&amp;RIGHT(VLOOKUP(H72,Materialtabell[[#All],[Materialnamn]:[Enhet]],4,0),LEN(VLOOKUP(H72,Materialtabell[[#All],[Materialnamn]:[Enhet]],4,0))-3)))),"")</f>
        <v/>
      </c>
      <c r="L72" s="104" t="str">
        <f>IFERROR(KalkylStart[[#This Row],[Mängd]]*KalkylStart[[#This Row],[Omräknings-faktor]],"")</f>
        <v/>
      </c>
      <c r="M72" s="104" t="str">
        <f>IFERROR(F72*J72*VLOOKUP(H72,Materialtabell[[#All],[Materialnamn]:[Emissionsfaktor 2019
kg CO2e/kg]],5,0),"")</f>
        <v/>
      </c>
      <c r="N72" s="104" t="str">
        <f>IFERROR(F72*J72*VLOOKUP(H72,Materialtabell[[#All],[Materialnamn]:[Emissionsfaktor 2025
kg CO2e/kg]],6,0),"")</f>
        <v/>
      </c>
      <c r="O72" s="78" t="str">
        <f>IFERROR(VLOOKUP(H72,Materialtabell[[#All],[Materialnamn]:[Kommentar A4]],24,0),"")</f>
        <v/>
      </c>
      <c r="P72" s="94" t="str">
        <f>IFERROR(($F72*$J72*$O72*VLOOKUP($H72,Materialtabell[[#All],[Materialnamn]:[Bränsle 
MJ/ton, km]],25,0)*Materiallista!$AF$5)/1000,"")</f>
        <v/>
      </c>
      <c r="Q72" s="94" t="str">
        <f>IFERROR(($F72*$J72*$O72*VLOOKUP($H72,Materialtabell[[#All],[Materialnamn]:[Bränsle 
MJ/ton, km]],25,0)*Materiallista!$AF$6)/1000,"")</f>
        <v/>
      </c>
      <c r="R72" s="162"/>
      <c r="S72" s="3"/>
      <c r="T72" s="3"/>
    </row>
    <row r="73" spans="1:20" x14ac:dyDescent="0.25">
      <c r="A73" s="3"/>
      <c r="B73" s="185">
        <v>68</v>
      </c>
      <c r="C73" s="170"/>
      <c r="D73" s="103"/>
      <c r="E73" s="103"/>
      <c r="F73" s="78"/>
      <c r="G73" s="103"/>
      <c r="H73" s="102"/>
      <c r="I73" s="105" t="str">
        <f>IFERROR(VLOOKUP(KalkylStart[[#This Row],[Klimatmaterial]],Materialtabell[[#All],[Materialnamn]:[Materialtyp]],2,0),"")</f>
        <v/>
      </c>
      <c r="J73" s="104" t="str">
        <f>IFERROR(IF(G73="kg",1,IF(G73="ton",1000,IF(G73=RIGHT(VLOOKUP(H73,Materialtabell[[#All],[Materialnamn]:[Enhet]],4,0),LEN(VLOOKUP(H73,Materialtabell[[#All],[Materialnamn]:[Enhet]],4,0))-3),VLOOKUP(H73,Materialtabell[[#All],[Materialnamn]:[Enhet]],3,0),"Enhetsfel"))),"")</f>
        <v/>
      </c>
      <c r="K73" s="105" t="str">
        <f>IFERROR(IF(G73="kg","kg/kg",IF(G73="ton","kg/ton",IF(RIGHT(VLOOKUP(H73,Materialtabell[[#All],[Materialnamn]:[Enhet]],4,0),LEN(VLOOKUP(H73,Materialtabell[[#All],[Materialnamn]:[Enhet]],4,0))-3)=G73,VLOOKUP(H73,Materialtabell[[#All],[Materialnamn]:[Enhet]],4,0),"kg/ton/"&amp;RIGHT(VLOOKUP(H73,Materialtabell[[#All],[Materialnamn]:[Enhet]],4,0),LEN(VLOOKUP(H73,Materialtabell[[#All],[Materialnamn]:[Enhet]],4,0))-3)))),"")</f>
        <v/>
      </c>
      <c r="L73" s="104" t="str">
        <f>IFERROR(KalkylStart[[#This Row],[Mängd]]*KalkylStart[[#This Row],[Omräknings-faktor]],"")</f>
        <v/>
      </c>
      <c r="M73" s="104" t="str">
        <f>IFERROR(F73*J73*VLOOKUP(H73,Materialtabell[[#All],[Materialnamn]:[Emissionsfaktor 2019
kg CO2e/kg]],5,0),"")</f>
        <v/>
      </c>
      <c r="N73" s="104" t="str">
        <f>IFERROR(F73*J73*VLOOKUP(H73,Materialtabell[[#All],[Materialnamn]:[Emissionsfaktor 2025
kg CO2e/kg]],6,0),"")</f>
        <v/>
      </c>
      <c r="O73" s="78" t="str">
        <f>IFERROR(VLOOKUP(H73,Materialtabell[[#All],[Materialnamn]:[Kommentar A4]],24,0),"")</f>
        <v/>
      </c>
      <c r="P73" s="94" t="str">
        <f>IFERROR(($F73*$J73*$O73*VLOOKUP($H73,Materialtabell[[#All],[Materialnamn]:[Bränsle 
MJ/ton, km]],25,0)*Materiallista!$AF$5)/1000,"")</f>
        <v/>
      </c>
      <c r="Q73" s="94" t="str">
        <f>IFERROR(($F73*$J73*$O73*VLOOKUP($H73,Materialtabell[[#All],[Materialnamn]:[Bränsle 
MJ/ton, km]],25,0)*Materiallista!$AF$6)/1000,"")</f>
        <v/>
      </c>
      <c r="R73" s="162"/>
      <c r="S73" s="3"/>
      <c r="T73" s="3"/>
    </row>
    <row r="74" spans="1:20" x14ac:dyDescent="0.25">
      <c r="A74" s="3"/>
      <c r="B74" s="185">
        <v>69</v>
      </c>
      <c r="C74" s="170"/>
      <c r="D74" s="103"/>
      <c r="E74" s="103"/>
      <c r="F74" s="78"/>
      <c r="G74" s="103"/>
      <c r="H74" s="102"/>
      <c r="I74" s="105" t="str">
        <f>IFERROR(VLOOKUP(KalkylStart[[#This Row],[Klimatmaterial]],Materialtabell[[#All],[Materialnamn]:[Materialtyp]],2,0),"")</f>
        <v/>
      </c>
      <c r="J74" s="104" t="str">
        <f>IFERROR(IF(G74="kg",1,IF(G74="ton",1000,IF(G74=RIGHT(VLOOKUP(H74,Materialtabell[[#All],[Materialnamn]:[Enhet]],4,0),LEN(VLOOKUP(H74,Materialtabell[[#All],[Materialnamn]:[Enhet]],4,0))-3),VLOOKUP(H74,Materialtabell[[#All],[Materialnamn]:[Enhet]],3,0),"Enhetsfel"))),"")</f>
        <v/>
      </c>
      <c r="K74" s="105" t="str">
        <f>IFERROR(IF(G74="kg","kg/kg",IF(G74="ton","kg/ton",IF(RIGHT(VLOOKUP(H74,Materialtabell[[#All],[Materialnamn]:[Enhet]],4,0),LEN(VLOOKUP(H74,Materialtabell[[#All],[Materialnamn]:[Enhet]],4,0))-3)=G74,VLOOKUP(H74,Materialtabell[[#All],[Materialnamn]:[Enhet]],4,0),"kg/ton/"&amp;RIGHT(VLOOKUP(H74,Materialtabell[[#All],[Materialnamn]:[Enhet]],4,0),LEN(VLOOKUP(H74,Materialtabell[[#All],[Materialnamn]:[Enhet]],4,0))-3)))),"")</f>
        <v/>
      </c>
      <c r="L74" s="104" t="str">
        <f>IFERROR(KalkylStart[[#This Row],[Mängd]]*KalkylStart[[#This Row],[Omräknings-faktor]],"")</f>
        <v/>
      </c>
      <c r="M74" s="104" t="str">
        <f>IFERROR(F74*J74*VLOOKUP(H74,Materialtabell[[#All],[Materialnamn]:[Emissionsfaktor 2019
kg CO2e/kg]],5,0),"")</f>
        <v/>
      </c>
      <c r="N74" s="104" t="str">
        <f>IFERROR(F74*J74*VLOOKUP(H74,Materialtabell[[#All],[Materialnamn]:[Emissionsfaktor 2025
kg CO2e/kg]],6,0),"")</f>
        <v/>
      </c>
      <c r="O74" s="78" t="str">
        <f>IFERROR(VLOOKUP(H74,Materialtabell[[#All],[Materialnamn]:[Kommentar A4]],24,0),"")</f>
        <v/>
      </c>
      <c r="P74" s="94" t="str">
        <f>IFERROR(($F74*$J74*$O74*VLOOKUP($H74,Materialtabell[[#All],[Materialnamn]:[Bränsle 
MJ/ton, km]],25,0)*Materiallista!$AF$5)/1000,"")</f>
        <v/>
      </c>
      <c r="Q74" s="94" t="str">
        <f>IFERROR(($F74*$J74*$O74*VLOOKUP($H74,Materialtabell[[#All],[Materialnamn]:[Bränsle 
MJ/ton, km]],25,0)*Materiallista!$AF$6)/1000,"")</f>
        <v/>
      </c>
      <c r="R74" s="162"/>
      <c r="S74" s="3"/>
      <c r="T74" s="3"/>
    </row>
    <row r="75" spans="1:20" x14ac:dyDescent="0.25">
      <c r="A75" s="3"/>
      <c r="B75" s="185">
        <v>70</v>
      </c>
      <c r="C75" s="170"/>
      <c r="D75" s="103"/>
      <c r="E75" s="103"/>
      <c r="F75" s="78"/>
      <c r="G75" s="103"/>
      <c r="H75" s="102"/>
      <c r="I75" s="105" t="str">
        <f>IFERROR(VLOOKUP(KalkylStart[[#This Row],[Klimatmaterial]],Materialtabell[[#All],[Materialnamn]:[Materialtyp]],2,0),"")</f>
        <v/>
      </c>
      <c r="J75" s="104" t="str">
        <f>IFERROR(IF(G75="kg",1,IF(G75="ton",1000,IF(G75=RIGHT(VLOOKUP(H75,Materialtabell[[#All],[Materialnamn]:[Enhet]],4,0),LEN(VLOOKUP(H75,Materialtabell[[#All],[Materialnamn]:[Enhet]],4,0))-3),VLOOKUP(H75,Materialtabell[[#All],[Materialnamn]:[Enhet]],3,0),"Enhetsfel"))),"")</f>
        <v/>
      </c>
      <c r="K75" s="105" t="str">
        <f>IFERROR(IF(G75="kg","kg/kg",IF(G75="ton","kg/ton",IF(RIGHT(VLOOKUP(H75,Materialtabell[[#All],[Materialnamn]:[Enhet]],4,0),LEN(VLOOKUP(H75,Materialtabell[[#All],[Materialnamn]:[Enhet]],4,0))-3)=G75,VLOOKUP(H75,Materialtabell[[#All],[Materialnamn]:[Enhet]],4,0),"kg/ton/"&amp;RIGHT(VLOOKUP(H75,Materialtabell[[#All],[Materialnamn]:[Enhet]],4,0),LEN(VLOOKUP(H75,Materialtabell[[#All],[Materialnamn]:[Enhet]],4,0))-3)))),"")</f>
        <v/>
      </c>
      <c r="L75" s="104" t="str">
        <f>IFERROR(KalkylStart[[#This Row],[Mängd]]*KalkylStart[[#This Row],[Omräknings-faktor]],"")</f>
        <v/>
      </c>
      <c r="M75" s="104" t="str">
        <f>IFERROR(F75*J75*VLOOKUP(H75,Materialtabell[[#All],[Materialnamn]:[Emissionsfaktor 2019
kg CO2e/kg]],5,0),"")</f>
        <v/>
      </c>
      <c r="N75" s="104" t="str">
        <f>IFERROR(F75*J75*VLOOKUP(H75,Materialtabell[[#All],[Materialnamn]:[Emissionsfaktor 2025
kg CO2e/kg]],6,0),"")</f>
        <v/>
      </c>
      <c r="O75" s="78" t="str">
        <f>IFERROR(VLOOKUP(H75,Materialtabell[[#All],[Materialnamn]:[Kommentar A4]],24,0),"")</f>
        <v/>
      </c>
      <c r="P75" s="94" t="str">
        <f>IFERROR(($F75*$J75*$O75*VLOOKUP($H75,Materialtabell[[#All],[Materialnamn]:[Bränsle 
MJ/ton, km]],25,0)*Materiallista!$AF$5)/1000,"")</f>
        <v/>
      </c>
      <c r="Q75" s="94" t="str">
        <f>IFERROR(($F75*$J75*$O75*VLOOKUP($H75,Materialtabell[[#All],[Materialnamn]:[Bränsle 
MJ/ton, km]],25,0)*Materiallista!$AF$6)/1000,"")</f>
        <v/>
      </c>
      <c r="R75" s="162"/>
      <c r="S75" s="3"/>
      <c r="T75" s="3"/>
    </row>
    <row r="76" spans="1:20" ht="15" customHeight="1" x14ac:dyDescent="0.25">
      <c r="A76" s="3"/>
      <c r="B76" s="185">
        <v>71</v>
      </c>
      <c r="C76" s="170"/>
      <c r="D76" s="103"/>
      <c r="E76" s="103"/>
      <c r="F76" s="78"/>
      <c r="G76" s="103"/>
      <c r="H76" s="102"/>
      <c r="I76" s="105" t="str">
        <f>IFERROR(VLOOKUP(KalkylStart[[#This Row],[Klimatmaterial]],Materialtabell[[#All],[Materialnamn]:[Materialtyp]],2,0),"")</f>
        <v/>
      </c>
      <c r="J76" s="104" t="str">
        <f>IFERROR(IF(G76="kg",1,IF(G76="ton",1000,IF(G76=RIGHT(VLOOKUP(H76,Materialtabell[[#All],[Materialnamn]:[Enhet]],4,0),LEN(VLOOKUP(H76,Materialtabell[[#All],[Materialnamn]:[Enhet]],4,0))-3),VLOOKUP(H76,Materialtabell[[#All],[Materialnamn]:[Enhet]],3,0),"Enhetsfel"))),"")</f>
        <v/>
      </c>
      <c r="K76" s="105" t="str">
        <f>IFERROR(IF(G76="kg","kg/kg",IF(G76="ton","kg/ton",IF(RIGHT(VLOOKUP(H76,Materialtabell[[#All],[Materialnamn]:[Enhet]],4,0),LEN(VLOOKUP(H76,Materialtabell[[#All],[Materialnamn]:[Enhet]],4,0))-3)=G76,VLOOKUP(H76,Materialtabell[[#All],[Materialnamn]:[Enhet]],4,0),"kg/ton/"&amp;RIGHT(VLOOKUP(H76,Materialtabell[[#All],[Materialnamn]:[Enhet]],4,0),LEN(VLOOKUP(H76,Materialtabell[[#All],[Materialnamn]:[Enhet]],4,0))-3)))),"")</f>
        <v/>
      </c>
      <c r="L76" s="104" t="str">
        <f>IFERROR(KalkylStart[[#This Row],[Mängd]]*KalkylStart[[#This Row],[Omräknings-faktor]],"")</f>
        <v/>
      </c>
      <c r="M76" s="104" t="str">
        <f>IFERROR(F76*J76*VLOOKUP(H76,Materialtabell[[#All],[Materialnamn]:[Emissionsfaktor 2019
kg CO2e/kg]],5,0),"")</f>
        <v/>
      </c>
      <c r="N76" s="104" t="str">
        <f>IFERROR(F76*J76*VLOOKUP(H76,Materialtabell[[#All],[Materialnamn]:[Emissionsfaktor 2025
kg CO2e/kg]],6,0),"")</f>
        <v/>
      </c>
      <c r="O76" s="78" t="str">
        <f>IFERROR(VLOOKUP(H76,Materialtabell[[#All],[Materialnamn]:[Kommentar A4]],24,0),"")</f>
        <v/>
      </c>
      <c r="P76" s="94" t="str">
        <f>IFERROR(($F76*$J76*$O76*VLOOKUP($H76,Materialtabell[[#All],[Materialnamn]:[Bränsle 
MJ/ton, km]],25,0)*Materiallista!$AF$5)/1000,"")</f>
        <v/>
      </c>
      <c r="Q76" s="94" t="str">
        <f>IFERROR(($F76*$J76*$O76*VLOOKUP($H76,Materialtabell[[#All],[Materialnamn]:[Bränsle 
MJ/ton, km]],25,0)*Materiallista!$AF$6)/1000,"")</f>
        <v/>
      </c>
      <c r="R76" s="162"/>
      <c r="S76" s="3"/>
      <c r="T76" s="3"/>
    </row>
    <row r="77" spans="1:20" ht="15" customHeight="1" x14ac:dyDescent="0.25">
      <c r="A77" s="3"/>
      <c r="B77" s="185">
        <v>72</v>
      </c>
      <c r="C77" s="170"/>
      <c r="D77" s="103"/>
      <c r="E77" s="103"/>
      <c r="F77" s="78"/>
      <c r="G77" s="103"/>
      <c r="H77" s="102"/>
      <c r="I77" s="105" t="str">
        <f>IFERROR(VLOOKUP(KalkylStart[[#This Row],[Klimatmaterial]],Materialtabell[[#All],[Materialnamn]:[Materialtyp]],2,0),"")</f>
        <v/>
      </c>
      <c r="J77" s="104" t="str">
        <f>IFERROR(IF(G77="kg",1,IF(G77="ton",1000,IF(G77=RIGHT(VLOOKUP(H77,Materialtabell[[#All],[Materialnamn]:[Enhet]],4,0),LEN(VLOOKUP(H77,Materialtabell[[#All],[Materialnamn]:[Enhet]],4,0))-3),VLOOKUP(H77,Materialtabell[[#All],[Materialnamn]:[Enhet]],3,0),"Enhetsfel"))),"")</f>
        <v/>
      </c>
      <c r="K77" s="105" t="str">
        <f>IFERROR(IF(G77="kg","kg/kg",IF(G77="ton","kg/ton",IF(RIGHT(VLOOKUP(H77,Materialtabell[[#All],[Materialnamn]:[Enhet]],4,0),LEN(VLOOKUP(H77,Materialtabell[[#All],[Materialnamn]:[Enhet]],4,0))-3)=G77,VLOOKUP(H77,Materialtabell[[#All],[Materialnamn]:[Enhet]],4,0),"kg/ton/"&amp;RIGHT(VLOOKUP(H77,Materialtabell[[#All],[Materialnamn]:[Enhet]],4,0),LEN(VLOOKUP(H77,Materialtabell[[#All],[Materialnamn]:[Enhet]],4,0))-3)))),"")</f>
        <v/>
      </c>
      <c r="L77" s="104" t="str">
        <f>IFERROR(KalkylStart[[#This Row],[Mängd]]*KalkylStart[[#This Row],[Omräknings-faktor]],"")</f>
        <v/>
      </c>
      <c r="M77" s="104" t="str">
        <f>IFERROR(F77*J77*VLOOKUP(H77,Materialtabell[[#All],[Materialnamn]:[Emissionsfaktor 2019
kg CO2e/kg]],5,0),"")</f>
        <v/>
      </c>
      <c r="N77" s="104" t="str">
        <f>IFERROR(F77*J77*VLOOKUP(H77,Materialtabell[[#All],[Materialnamn]:[Emissionsfaktor 2025
kg CO2e/kg]],6,0),"")</f>
        <v/>
      </c>
      <c r="O77" s="78" t="str">
        <f>IFERROR(VLOOKUP(H77,Materialtabell[[#All],[Materialnamn]:[Kommentar A4]],24,0),"")</f>
        <v/>
      </c>
      <c r="P77" s="94" t="str">
        <f>IFERROR(($F77*$J77*$O77*VLOOKUP($H77,Materialtabell[[#All],[Materialnamn]:[Bränsle 
MJ/ton, km]],25,0)*Materiallista!$AF$5)/1000,"")</f>
        <v/>
      </c>
      <c r="Q77" s="94" t="str">
        <f>IFERROR(($F77*$J77*$O77*VLOOKUP($H77,Materialtabell[[#All],[Materialnamn]:[Bränsle 
MJ/ton, km]],25,0)*Materiallista!$AF$6)/1000,"")</f>
        <v/>
      </c>
      <c r="R77" s="162"/>
      <c r="S77" s="3"/>
      <c r="T77" s="3"/>
    </row>
    <row r="78" spans="1:20" ht="15" customHeight="1" x14ac:dyDescent="0.25">
      <c r="A78" s="3"/>
      <c r="B78" s="185">
        <v>73</v>
      </c>
      <c r="C78" s="170"/>
      <c r="D78" s="103"/>
      <c r="E78" s="103"/>
      <c r="F78" s="78"/>
      <c r="G78" s="103"/>
      <c r="H78" s="102"/>
      <c r="I78" s="105" t="str">
        <f>IFERROR(VLOOKUP(KalkylStart[[#This Row],[Klimatmaterial]],Materialtabell[[#All],[Materialnamn]:[Materialtyp]],2,0),"")</f>
        <v/>
      </c>
      <c r="J78" s="104" t="str">
        <f>IFERROR(IF(G78="kg",1,IF(G78="ton",1000,IF(G78=RIGHT(VLOOKUP(H78,Materialtabell[[#All],[Materialnamn]:[Enhet]],4,0),LEN(VLOOKUP(H78,Materialtabell[[#All],[Materialnamn]:[Enhet]],4,0))-3),VLOOKUP(H78,Materialtabell[[#All],[Materialnamn]:[Enhet]],3,0),"Enhetsfel"))),"")</f>
        <v/>
      </c>
      <c r="K78" s="105" t="str">
        <f>IFERROR(IF(G78="kg","kg/kg",IF(G78="ton","kg/ton",IF(RIGHT(VLOOKUP(H78,Materialtabell[[#All],[Materialnamn]:[Enhet]],4,0),LEN(VLOOKUP(H78,Materialtabell[[#All],[Materialnamn]:[Enhet]],4,0))-3)=G78,VLOOKUP(H78,Materialtabell[[#All],[Materialnamn]:[Enhet]],4,0),"kg/ton/"&amp;RIGHT(VLOOKUP(H78,Materialtabell[[#All],[Materialnamn]:[Enhet]],4,0),LEN(VLOOKUP(H78,Materialtabell[[#All],[Materialnamn]:[Enhet]],4,0))-3)))),"")</f>
        <v/>
      </c>
      <c r="L78" s="104" t="str">
        <f>IFERROR(KalkylStart[[#This Row],[Mängd]]*KalkylStart[[#This Row],[Omräknings-faktor]],"")</f>
        <v/>
      </c>
      <c r="M78" s="104" t="str">
        <f>IFERROR(F78*J78*VLOOKUP(H78,Materialtabell[[#All],[Materialnamn]:[Emissionsfaktor 2019
kg CO2e/kg]],5,0),"")</f>
        <v/>
      </c>
      <c r="N78" s="104" t="str">
        <f>IFERROR(F78*J78*VLOOKUP(H78,Materialtabell[[#All],[Materialnamn]:[Emissionsfaktor 2025
kg CO2e/kg]],6,0),"")</f>
        <v/>
      </c>
      <c r="O78" s="78" t="str">
        <f>IFERROR(VLOOKUP(H78,Materialtabell[[#All],[Materialnamn]:[Kommentar A4]],24,0),"")</f>
        <v/>
      </c>
      <c r="P78" s="94" t="str">
        <f>IFERROR(($F78*$J78*$O78*VLOOKUP($H78,Materialtabell[[#All],[Materialnamn]:[Bränsle 
MJ/ton, km]],25,0)*Materiallista!$AF$5)/1000,"")</f>
        <v/>
      </c>
      <c r="Q78" s="94" t="str">
        <f>IFERROR(($F78*$J78*$O78*VLOOKUP($H78,Materialtabell[[#All],[Materialnamn]:[Bränsle 
MJ/ton, km]],25,0)*Materiallista!$AF$6)/1000,"")</f>
        <v/>
      </c>
      <c r="R78" s="162"/>
      <c r="S78" s="3"/>
      <c r="T78" s="3"/>
    </row>
    <row r="79" spans="1:20" ht="15" customHeight="1" x14ac:dyDescent="0.25">
      <c r="A79" s="3"/>
      <c r="B79" s="185">
        <v>74</v>
      </c>
      <c r="C79" s="170"/>
      <c r="D79" s="103"/>
      <c r="E79" s="103"/>
      <c r="F79" s="78"/>
      <c r="G79" s="103"/>
      <c r="H79" s="102"/>
      <c r="I79" s="105" t="str">
        <f>IFERROR(VLOOKUP(KalkylStart[[#This Row],[Klimatmaterial]],Materialtabell[[#All],[Materialnamn]:[Materialtyp]],2,0),"")</f>
        <v/>
      </c>
      <c r="J79" s="104" t="str">
        <f>IFERROR(IF(G79="kg",1,IF(G79="ton",1000,IF(G79=RIGHT(VLOOKUP(H79,Materialtabell[[#All],[Materialnamn]:[Enhet]],4,0),LEN(VLOOKUP(H79,Materialtabell[[#All],[Materialnamn]:[Enhet]],4,0))-3),VLOOKUP(H79,Materialtabell[[#All],[Materialnamn]:[Enhet]],3,0),"Enhetsfel"))),"")</f>
        <v/>
      </c>
      <c r="K79" s="105" t="str">
        <f>IFERROR(IF(G79="kg","kg/kg",IF(G79="ton","kg/ton",IF(RIGHT(VLOOKUP(H79,Materialtabell[[#All],[Materialnamn]:[Enhet]],4,0),LEN(VLOOKUP(H79,Materialtabell[[#All],[Materialnamn]:[Enhet]],4,0))-3)=G79,VLOOKUP(H79,Materialtabell[[#All],[Materialnamn]:[Enhet]],4,0),"kg/ton/"&amp;RIGHT(VLOOKUP(H79,Materialtabell[[#All],[Materialnamn]:[Enhet]],4,0),LEN(VLOOKUP(H79,Materialtabell[[#All],[Materialnamn]:[Enhet]],4,0))-3)))),"")</f>
        <v/>
      </c>
      <c r="L79" s="104" t="str">
        <f>IFERROR(KalkylStart[[#This Row],[Mängd]]*KalkylStart[[#This Row],[Omräknings-faktor]],"")</f>
        <v/>
      </c>
      <c r="M79" s="104" t="str">
        <f>IFERROR(F79*J79*VLOOKUP(H79,Materialtabell[[#All],[Materialnamn]:[Emissionsfaktor 2019
kg CO2e/kg]],5,0),"")</f>
        <v/>
      </c>
      <c r="N79" s="104" t="str">
        <f>IFERROR(F79*J79*VLOOKUP(H79,Materialtabell[[#All],[Materialnamn]:[Emissionsfaktor 2025
kg CO2e/kg]],6,0),"")</f>
        <v/>
      </c>
      <c r="O79" s="78" t="str">
        <f>IFERROR(VLOOKUP(H79,Materialtabell[[#All],[Materialnamn]:[Kommentar A4]],24,0),"")</f>
        <v/>
      </c>
      <c r="P79" s="94" t="str">
        <f>IFERROR(($F79*$J79*$O79*VLOOKUP($H79,Materialtabell[[#All],[Materialnamn]:[Bränsle 
MJ/ton, km]],25,0)*Materiallista!$AF$5)/1000,"")</f>
        <v/>
      </c>
      <c r="Q79" s="94" t="str">
        <f>IFERROR(($F79*$J79*$O79*VLOOKUP($H79,Materialtabell[[#All],[Materialnamn]:[Bränsle 
MJ/ton, km]],25,0)*Materiallista!$AF$6)/1000,"")</f>
        <v/>
      </c>
      <c r="R79" s="162"/>
      <c r="S79" s="3"/>
      <c r="T79" s="3"/>
    </row>
    <row r="80" spans="1:20" ht="15" customHeight="1" x14ac:dyDescent="0.25">
      <c r="A80" s="3"/>
      <c r="B80" s="185">
        <v>75</v>
      </c>
      <c r="C80" s="170"/>
      <c r="D80" s="103"/>
      <c r="E80" s="103"/>
      <c r="F80" s="78"/>
      <c r="G80" s="103"/>
      <c r="H80" s="102"/>
      <c r="I80" s="105" t="str">
        <f>IFERROR(VLOOKUP(KalkylStart[[#This Row],[Klimatmaterial]],Materialtabell[[#All],[Materialnamn]:[Materialtyp]],2,0),"")</f>
        <v/>
      </c>
      <c r="J80" s="104" t="str">
        <f>IFERROR(IF(G80="kg",1,IF(G80="ton",1000,IF(G80=RIGHT(VLOOKUP(H80,Materialtabell[[#All],[Materialnamn]:[Enhet]],4,0),LEN(VLOOKUP(H80,Materialtabell[[#All],[Materialnamn]:[Enhet]],4,0))-3),VLOOKUP(H80,Materialtabell[[#All],[Materialnamn]:[Enhet]],3,0),"Enhetsfel"))),"")</f>
        <v/>
      </c>
      <c r="K80" s="105" t="str">
        <f>IFERROR(IF(G80="kg","kg/kg",IF(G80="ton","kg/ton",IF(RIGHT(VLOOKUP(H80,Materialtabell[[#All],[Materialnamn]:[Enhet]],4,0),LEN(VLOOKUP(H80,Materialtabell[[#All],[Materialnamn]:[Enhet]],4,0))-3)=G80,VLOOKUP(H80,Materialtabell[[#All],[Materialnamn]:[Enhet]],4,0),"kg/ton/"&amp;RIGHT(VLOOKUP(H80,Materialtabell[[#All],[Materialnamn]:[Enhet]],4,0),LEN(VLOOKUP(H80,Materialtabell[[#All],[Materialnamn]:[Enhet]],4,0))-3)))),"")</f>
        <v/>
      </c>
      <c r="L80" s="104" t="str">
        <f>IFERROR(KalkylStart[[#This Row],[Mängd]]*KalkylStart[[#This Row],[Omräknings-faktor]],"")</f>
        <v/>
      </c>
      <c r="M80" s="104" t="str">
        <f>IFERROR(F80*J80*VLOOKUP(H80,Materialtabell[[#All],[Materialnamn]:[Emissionsfaktor 2019
kg CO2e/kg]],5,0),"")</f>
        <v/>
      </c>
      <c r="N80" s="104" t="str">
        <f>IFERROR(F80*J80*VLOOKUP(H80,Materialtabell[[#All],[Materialnamn]:[Emissionsfaktor 2025
kg CO2e/kg]],6,0),"")</f>
        <v/>
      </c>
      <c r="O80" s="78" t="str">
        <f>IFERROR(VLOOKUP(H80,Materialtabell[[#All],[Materialnamn]:[Kommentar A4]],24,0),"")</f>
        <v/>
      </c>
      <c r="P80" s="94" t="str">
        <f>IFERROR(($F80*$J80*$O80*VLOOKUP($H80,Materialtabell[[#All],[Materialnamn]:[Bränsle 
MJ/ton, km]],25,0)*Materiallista!$AF$5)/1000,"")</f>
        <v/>
      </c>
      <c r="Q80" s="94" t="str">
        <f>IFERROR(($F80*$J80*$O80*VLOOKUP($H80,Materialtabell[[#All],[Materialnamn]:[Bränsle 
MJ/ton, km]],25,0)*Materiallista!$AF$6)/1000,"")</f>
        <v/>
      </c>
      <c r="R80" s="162"/>
      <c r="S80" s="3"/>
      <c r="T80" s="3"/>
    </row>
    <row r="81" spans="1:20" ht="15" customHeight="1" x14ac:dyDescent="0.25">
      <c r="A81" s="3"/>
      <c r="B81" s="185">
        <v>76</v>
      </c>
      <c r="C81" s="170"/>
      <c r="D81" s="103"/>
      <c r="E81" s="103"/>
      <c r="F81" s="78"/>
      <c r="G81" s="103"/>
      <c r="H81" s="102"/>
      <c r="I81" s="105" t="str">
        <f>IFERROR(VLOOKUP(KalkylStart[[#This Row],[Klimatmaterial]],Materialtabell[[#All],[Materialnamn]:[Materialtyp]],2,0),"")</f>
        <v/>
      </c>
      <c r="J81" s="104" t="str">
        <f>IFERROR(IF(G81="kg",1,IF(G81="ton",1000,IF(G81=RIGHT(VLOOKUP(H81,Materialtabell[[#All],[Materialnamn]:[Enhet]],4,0),LEN(VLOOKUP(H81,Materialtabell[[#All],[Materialnamn]:[Enhet]],4,0))-3),VLOOKUP(H81,Materialtabell[[#All],[Materialnamn]:[Enhet]],3,0),"Enhetsfel"))),"")</f>
        <v/>
      </c>
      <c r="K81" s="105" t="str">
        <f>IFERROR(IF(G81="kg","kg/kg",IF(G81="ton","kg/ton",IF(RIGHT(VLOOKUP(H81,Materialtabell[[#All],[Materialnamn]:[Enhet]],4,0),LEN(VLOOKUP(H81,Materialtabell[[#All],[Materialnamn]:[Enhet]],4,0))-3)=G81,VLOOKUP(H81,Materialtabell[[#All],[Materialnamn]:[Enhet]],4,0),"kg/ton/"&amp;RIGHT(VLOOKUP(H81,Materialtabell[[#All],[Materialnamn]:[Enhet]],4,0),LEN(VLOOKUP(H81,Materialtabell[[#All],[Materialnamn]:[Enhet]],4,0))-3)))),"")</f>
        <v/>
      </c>
      <c r="L81" s="104" t="str">
        <f>IFERROR(KalkylStart[[#This Row],[Mängd]]*KalkylStart[[#This Row],[Omräknings-faktor]],"")</f>
        <v/>
      </c>
      <c r="M81" s="104" t="str">
        <f>IFERROR(F81*J81*VLOOKUP(H81,Materialtabell[[#All],[Materialnamn]:[Emissionsfaktor 2019
kg CO2e/kg]],5,0),"")</f>
        <v/>
      </c>
      <c r="N81" s="104" t="str">
        <f>IFERROR(F81*J81*VLOOKUP(H81,Materialtabell[[#All],[Materialnamn]:[Emissionsfaktor 2025
kg CO2e/kg]],6,0),"")</f>
        <v/>
      </c>
      <c r="O81" s="78" t="str">
        <f>IFERROR(VLOOKUP(H81,Materialtabell[[#All],[Materialnamn]:[Kommentar A4]],24,0),"")</f>
        <v/>
      </c>
      <c r="P81" s="94" t="str">
        <f>IFERROR(($F81*$J81*$O81*VLOOKUP($H81,Materialtabell[[#All],[Materialnamn]:[Bränsle 
MJ/ton, km]],25,0)*Materiallista!$AF$5)/1000,"")</f>
        <v/>
      </c>
      <c r="Q81" s="94" t="str">
        <f>IFERROR(($F81*$J81*$O81*VLOOKUP($H81,Materialtabell[[#All],[Materialnamn]:[Bränsle 
MJ/ton, km]],25,0)*Materiallista!$AF$6)/1000,"")</f>
        <v/>
      </c>
      <c r="R81" s="162"/>
      <c r="S81" s="3"/>
      <c r="T81" s="3"/>
    </row>
    <row r="82" spans="1:20" ht="15" customHeight="1" x14ac:dyDescent="0.25">
      <c r="A82" s="3"/>
      <c r="B82" s="185">
        <v>77</v>
      </c>
      <c r="C82" s="170"/>
      <c r="D82" s="103"/>
      <c r="E82" s="103"/>
      <c r="F82" s="78"/>
      <c r="G82" s="103"/>
      <c r="H82" s="102"/>
      <c r="I82" s="105" t="str">
        <f>IFERROR(VLOOKUP(KalkylStart[[#This Row],[Klimatmaterial]],Materialtabell[[#All],[Materialnamn]:[Materialtyp]],2,0),"")</f>
        <v/>
      </c>
      <c r="J82" s="104" t="str">
        <f>IFERROR(IF(G82="kg",1,IF(G82="ton",1000,IF(G82=RIGHT(VLOOKUP(H82,Materialtabell[[#All],[Materialnamn]:[Enhet]],4,0),LEN(VLOOKUP(H82,Materialtabell[[#All],[Materialnamn]:[Enhet]],4,0))-3),VLOOKUP(H82,Materialtabell[[#All],[Materialnamn]:[Enhet]],3,0),"Enhetsfel"))),"")</f>
        <v/>
      </c>
      <c r="K82" s="105" t="str">
        <f>IFERROR(IF(G82="kg","kg/kg",IF(G82="ton","kg/ton",IF(RIGHT(VLOOKUP(H82,Materialtabell[[#All],[Materialnamn]:[Enhet]],4,0),LEN(VLOOKUP(H82,Materialtabell[[#All],[Materialnamn]:[Enhet]],4,0))-3)=G82,VLOOKUP(H82,Materialtabell[[#All],[Materialnamn]:[Enhet]],4,0),"kg/ton/"&amp;RIGHT(VLOOKUP(H82,Materialtabell[[#All],[Materialnamn]:[Enhet]],4,0),LEN(VLOOKUP(H82,Materialtabell[[#All],[Materialnamn]:[Enhet]],4,0))-3)))),"")</f>
        <v/>
      </c>
      <c r="L82" s="104" t="str">
        <f>IFERROR(KalkylStart[[#This Row],[Mängd]]*KalkylStart[[#This Row],[Omräknings-faktor]],"")</f>
        <v/>
      </c>
      <c r="M82" s="104" t="str">
        <f>IFERROR(F82*J82*VLOOKUP(H82,Materialtabell[[#All],[Materialnamn]:[Emissionsfaktor 2019
kg CO2e/kg]],5,0),"")</f>
        <v/>
      </c>
      <c r="N82" s="104" t="str">
        <f>IFERROR(F82*J82*VLOOKUP(H82,Materialtabell[[#All],[Materialnamn]:[Emissionsfaktor 2025
kg CO2e/kg]],6,0),"")</f>
        <v/>
      </c>
      <c r="O82" s="78" t="str">
        <f>IFERROR(VLOOKUP(H82,Materialtabell[[#All],[Materialnamn]:[Kommentar A4]],24,0),"")</f>
        <v/>
      </c>
      <c r="P82" s="94" t="str">
        <f>IFERROR(($F82*$J82*$O82*VLOOKUP($H82,Materialtabell[[#All],[Materialnamn]:[Bränsle 
MJ/ton, km]],25,0)*Materiallista!$AF$5)/1000,"")</f>
        <v/>
      </c>
      <c r="Q82" s="94" t="str">
        <f>IFERROR(($F82*$J82*$O82*VLOOKUP($H82,Materialtabell[[#All],[Materialnamn]:[Bränsle 
MJ/ton, km]],25,0)*Materiallista!$AF$6)/1000,"")</f>
        <v/>
      </c>
      <c r="R82" s="162"/>
      <c r="S82" s="3"/>
      <c r="T82" s="3"/>
    </row>
    <row r="83" spans="1:20" ht="15" customHeight="1" x14ac:dyDescent="0.25">
      <c r="A83" s="3"/>
      <c r="B83" s="185">
        <v>78</v>
      </c>
      <c r="C83" s="170"/>
      <c r="D83" s="103"/>
      <c r="E83" s="103"/>
      <c r="F83" s="78"/>
      <c r="G83" s="103"/>
      <c r="H83" s="102"/>
      <c r="I83" s="105" t="str">
        <f>IFERROR(VLOOKUP(KalkylStart[[#This Row],[Klimatmaterial]],Materialtabell[[#All],[Materialnamn]:[Materialtyp]],2,0),"")</f>
        <v/>
      </c>
      <c r="J83" s="104" t="str">
        <f>IFERROR(IF(G83="kg",1,IF(G83="ton",1000,IF(G83=RIGHT(VLOOKUP(H83,Materialtabell[[#All],[Materialnamn]:[Enhet]],4,0),LEN(VLOOKUP(H83,Materialtabell[[#All],[Materialnamn]:[Enhet]],4,0))-3),VLOOKUP(H83,Materialtabell[[#All],[Materialnamn]:[Enhet]],3,0),"Enhetsfel"))),"")</f>
        <v/>
      </c>
      <c r="K83" s="105" t="str">
        <f>IFERROR(IF(G83="kg","kg/kg",IF(G83="ton","kg/ton",IF(RIGHT(VLOOKUP(H83,Materialtabell[[#All],[Materialnamn]:[Enhet]],4,0),LEN(VLOOKUP(H83,Materialtabell[[#All],[Materialnamn]:[Enhet]],4,0))-3)=G83,VLOOKUP(H83,Materialtabell[[#All],[Materialnamn]:[Enhet]],4,0),"kg/ton/"&amp;RIGHT(VLOOKUP(H83,Materialtabell[[#All],[Materialnamn]:[Enhet]],4,0),LEN(VLOOKUP(H83,Materialtabell[[#All],[Materialnamn]:[Enhet]],4,0))-3)))),"")</f>
        <v/>
      </c>
      <c r="L83" s="104" t="str">
        <f>IFERROR(KalkylStart[[#This Row],[Mängd]]*KalkylStart[[#This Row],[Omräknings-faktor]],"")</f>
        <v/>
      </c>
      <c r="M83" s="104" t="str">
        <f>IFERROR(F83*J83*VLOOKUP(H83,Materialtabell[[#All],[Materialnamn]:[Emissionsfaktor 2019
kg CO2e/kg]],5,0),"")</f>
        <v/>
      </c>
      <c r="N83" s="104" t="str">
        <f>IFERROR(F83*J83*VLOOKUP(H83,Materialtabell[[#All],[Materialnamn]:[Emissionsfaktor 2025
kg CO2e/kg]],6,0),"")</f>
        <v/>
      </c>
      <c r="O83" s="78" t="str">
        <f>IFERROR(VLOOKUP(H83,Materialtabell[[#All],[Materialnamn]:[Kommentar A4]],24,0),"")</f>
        <v/>
      </c>
      <c r="P83" s="94" t="str">
        <f>IFERROR(($F83*$J83*$O83*VLOOKUP($H83,Materialtabell[[#All],[Materialnamn]:[Bränsle 
MJ/ton, km]],25,0)*Materiallista!$AF$5)/1000,"")</f>
        <v/>
      </c>
      <c r="Q83" s="94" t="str">
        <f>IFERROR(($F83*$J83*$O83*VLOOKUP($H83,Materialtabell[[#All],[Materialnamn]:[Bränsle 
MJ/ton, km]],25,0)*Materiallista!$AF$6)/1000,"")</f>
        <v/>
      </c>
      <c r="R83" s="162"/>
      <c r="S83" s="3"/>
      <c r="T83" s="3"/>
    </row>
    <row r="84" spans="1:20" x14ac:dyDescent="0.25">
      <c r="A84" s="3"/>
      <c r="B84" s="185">
        <v>79</v>
      </c>
      <c r="C84" s="170"/>
      <c r="D84" s="103"/>
      <c r="E84" s="103"/>
      <c r="F84" s="78"/>
      <c r="G84" s="103"/>
      <c r="H84" s="102"/>
      <c r="I84" s="105" t="str">
        <f>IFERROR(VLOOKUP(KalkylStart[[#This Row],[Klimatmaterial]],Materialtabell[[#All],[Materialnamn]:[Materialtyp]],2,0),"")</f>
        <v/>
      </c>
      <c r="J84" s="104" t="str">
        <f>IFERROR(IF(G84="kg",1,IF(G84="ton",1000,IF(G84=RIGHT(VLOOKUP(H84,Materialtabell[[#All],[Materialnamn]:[Enhet]],4,0),LEN(VLOOKUP(H84,Materialtabell[[#All],[Materialnamn]:[Enhet]],4,0))-3),VLOOKUP(H84,Materialtabell[[#All],[Materialnamn]:[Enhet]],3,0),"Enhetsfel"))),"")</f>
        <v/>
      </c>
      <c r="K84" s="105" t="str">
        <f>IFERROR(IF(G84="kg","kg/kg",IF(G84="ton","kg/ton",IF(RIGHT(VLOOKUP(H84,Materialtabell[[#All],[Materialnamn]:[Enhet]],4,0),LEN(VLOOKUP(H84,Materialtabell[[#All],[Materialnamn]:[Enhet]],4,0))-3)=G84,VLOOKUP(H84,Materialtabell[[#All],[Materialnamn]:[Enhet]],4,0),"kg/ton/"&amp;RIGHT(VLOOKUP(H84,Materialtabell[[#All],[Materialnamn]:[Enhet]],4,0),LEN(VLOOKUP(H84,Materialtabell[[#All],[Materialnamn]:[Enhet]],4,0))-3)))),"")</f>
        <v/>
      </c>
      <c r="L84" s="104" t="str">
        <f>IFERROR(KalkylStart[[#This Row],[Mängd]]*KalkylStart[[#This Row],[Omräknings-faktor]],"")</f>
        <v/>
      </c>
      <c r="M84" s="104" t="str">
        <f>IFERROR(F84*J84*VLOOKUP(H84,Materialtabell[[#All],[Materialnamn]:[Emissionsfaktor 2019
kg CO2e/kg]],5,0),"")</f>
        <v/>
      </c>
      <c r="N84" s="104" t="str">
        <f>IFERROR(F84*J84*VLOOKUP(H84,Materialtabell[[#All],[Materialnamn]:[Emissionsfaktor 2025
kg CO2e/kg]],6,0),"")</f>
        <v/>
      </c>
      <c r="O84" s="78" t="str">
        <f>IFERROR(VLOOKUP(H84,Materialtabell[[#All],[Materialnamn]:[Kommentar A4]],24,0),"")</f>
        <v/>
      </c>
      <c r="P84" s="94" t="str">
        <f>IFERROR(($F84*$J84*$O84*VLOOKUP($H84,Materialtabell[[#All],[Materialnamn]:[Bränsle 
MJ/ton, km]],25,0)*Materiallista!$AF$5)/1000,"")</f>
        <v/>
      </c>
      <c r="Q84" s="94" t="str">
        <f>IFERROR(($F84*$J84*$O84*VLOOKUP($H84,Materialtabell[[#All],[Materialnamn]:[Bränsle 
MJ/ton, km]],25,0)*Materiallista!$AF$6)/1000,"")</f>
        <v/>
      </c>
      <c r="R84" s="162"/>
      <c r="S84" s="3"/>
      <c r="T84" s="3"/>
    </row>
    <row r="85" spans="1:20" x14ac:dyDescent="0.25">
      <c r="A85" s="3"/>
      <c r="B85" s="185">
        <v>80</v>
      </c>
      <c r="C85" s="170"/>
      <c r="D85" s="103"/>
      <c r="E85" s="103"/>
      <c r="F85" s="78"/>
      <c r="G85" s="103"/>
      <c r="H85" s="102"/>
      <c r="I85" s="105" t="str">
        <f>IFERROR(VLOOKUP(KalkylStart[[#This Row],[Klimatmaterial]],Materialtabell[[#All],[Materialnamn]:[Materialtyp]],2,0),"")</f>
        <v/>
      </c>
      <c r="J85" s="104" t="str">
        <f>IFERROR(IF(G85="kg",1,IF(G85="ton",1000,IF(G85=RIGHT(VLOOKUP(H85,Materialtabell[[#All],[Materialnamn]:[Enhet]],4,0),LEN(VLOOKUP(H85,Materialtabell[[#All],[Materialnamn]:[Enhet]],4,0))-3),VLOOKUP(H85,Materialtabell[[#All],[Materialnamn]:[Enhet]],3,0),"Enhetsfel"))),"")</f>
        <v/>
      </c>
      <c r="K85" s="105" t="str">
        <f>IFERROR(IF(G85="kg","kg/kg",IF(G85="ton","kg/ton",IF(RIGHT(VLOOKUP(H85,Materialtabell[[#All],[Materialnamn]:[Enhet]],4,0),LEN(VLOOKUP(H85,Materialtabell[[#All],[Materialnamn]:[Enhet]],4,0))-3)=G85,VLOOKUP(H85,Materialtabell[[#All],[Materialnamn]:[Enhet]],4,0),"kg/ton/"&amp;RIGHT(VLOOKUP(H85,Materialtabell[[#All],[Materialnamn]:[Enhet]],4,0),LEN(VLOOKUP(H85,Materialtabell[[#All],[Materialnamn]:[Enhet]],4,0))-3)))),"")</f>
        <v/>
      </c>
      <c r="L85" s="104" t="str">
        <f>IFERROR(KalkylStart[[#This Row],[Mängd]]*KalkylStart[[#This Row],[Omräknings-faktor]],"")</f>
        <v/>
      </c>
      <c r="M85" s="104" t="str">
        <f>IFERROR(F85*J85*VLOOKUP(H85,Materialtabell[[#All],[Materialnamn]:[Emissionsfaktor 2019
kg CO2e/kg]],5,0),"")</f>
        <v/>
      </c>
      <c r="N85" s="104" t="str">
        <f>IFERROR(F85*J85*VLOOKUP(H85,Materialtabell[[#All],[Materialnamn]:[Emissionsfaktor 2025
kg CO2e/kg]],6,0),"")</f>
        <v/>
      </c>
      <c r="O85" s="78" t="str">
        <f>IFERROR(VLOOKUP(H85,Materialtabell[[#All],[Materialnamn]:[Kommentar A4]],24,0),"")</f>
        <v/>
      </c>
      <c r="P85" s="94" t="str">
        <f>IFERROR(($F85*$J85*$O85*VLOOKUP($H85,Materialtabell[[#All],[Materialnamn]:[Bränsle 
MJ/ton, km]],25,0)*Materiallista!$AF$5)/1000,"")</f>
        <v/>
      </c>
      <c r="Q85" s="94" t="str">
        <f>IFERROR(($F85*$J85*$O85*VLOOKUP($H85,Materialtabell[[#All],[Materialnamn]:[Bränsle 
MJ/ton, km]],25,0)*Materiallista!$AF$6)/1000,"")</f>
        <v/>
      </c>
      <c r="R85" s="162"/>
      <c r="S85" s="3"/>
      <c r="T85" s="3"/>
    </row>
    <row r="86" spans="1:20" x14ac:dyDescent="0.25">
      <c r="A86" s="3"/>
      <c r="B86" s="185">
        <v>81</v>
      </c>
      <c r="C86" s="170"/>
      <c r="D86" s="103"/>
      <c r="E86" s="103"/>
      <c r="F86" s="78"/>
      <c r="G86" s="103"/>
      <c r="H86" s="102"/>
      <c r="I86" s="105" t="str">
        <f>IFERROR(VLOOKUP(KalkylStart[[#This Row],[Klimatmaterial]],Materialtabell[[#All],[Materialnamn]:[Materialtyp]],2,0),"")</f>
        <v/>
      </c>
      <c r="J86" s="104" t="str">
        <f>IFERROR(IF(G86="kg",1,IF(G86="ton",1000,IF(G86=RIGHT(VLOOKUP(H86,Materialtabell[[#All],[Materialnamn]:[Enhet]],4,0),LEN(VLOOKUP(H86,Materialtabell[[#All],[Materialnamn]:[Enhet]],4,0))-3),VLOOKUP(H86,Materialtabell[[#All],[Materialnamn]:[Enhet]],3,0),"Enhetsfel"))),"")</f>
        <v/>
      </c>
      <c r="K86" s="105" t="str">
        <f>IFERROR(IF(G86="kg","kg/kg",IF(G86="ton","kg/ton",IF(RIGHT(VLOOKUP(H86,Materialtabell[[#All],[Materialnamn]:[Enhet]],4,0),LEN(VLOOKUP(H86,Materialtabell[[#All],[Materialnamn]:[Enhet]],4,0))-3)=G86,VLOOKUP(H86,Materialtabell[[#All],[Materialnamn]:[Enhet]],4,0),"kg/ton/"&amp;RIGHT(VLOOKUP(H86,Materialtabell[[#All],[Materialnamn]:[Enhet]],4,0),LEN(VLOOKUP(H86,Materialtabell[[#All],[Materialnamn]:[Enhet]],4,0))-3)))),"")</f>
        <v/>
      </c>
      <c r="L86" s="104" t="str">
        <f>IFERROR(KalkylStart[[#This Row],[Mängd]]*KalkylStart[[#This Row],[Omräknings-faktor]],"")</f>
        <v/>
      </c>
      <c r="M86" s="104" t="str">
        <f>IFERROR(F86*J86*VLOOKUP(H86,Materialtabell[[#All],[Materialnamn]:[Emissionsfaktor 2019
kg CO2e/kg]],5,0),"")</f>
        <v/>
      </c>
      <c r="N86" s="104" t="str">
        <f>IFERROR(F86*J86*VLOOKUP(H86,Materialtabell[[#All],[Materialnamn]:[Emissionsfaktor 2025
kg CO2e/kg]],6,0),"")</f>
        <v/>
      </c>
      <c r="O86" s="78" t="str">
        <f>IFERROR(VLOOKUP(H86,Materialtabell[[#All],[Materialnamn]:[Kommentar A4]],24,0),"")</f>
        <v/>
      </c>
      <c r="P86" s="94" t="str">
        <f>IFERROR(($F86*$J86*$O86*VLOOKUP($H86,Materialtabell[[#All],[Materialnamn]:[Bränsle 
MJ/ton, km]],25,0)*Materiallista!$AF$5)/1000,"")</f>
        <v/>
      </c>
      <c r="Q86" s="94" t="str">
        <f>IFERROR(($F86*$J86*$O86*VLOOKUP($H86,Materialtabell[[#All],[Materialnamn]:[Bränsle 
MJ/ton, km]],25,0)*Materiallista!$AF$6)/1000,"")</f>
        <v/>
      </c>
      <c r="R86" s="162"/>
      <c r="S86" s="3"/>
      <c r="T86" s="3"/>
    </row>
    <row r="87" spans="1:20" x14ac:dyDescent="0.25">
      <c r="A87" s="3"/>
      <c r="B87" s="185">
        <v>82</v>
      </c>
      <c r="C87" s="170"/>
      <c r="D87" s="103"/>
      <c r="E87" s="103"/>
      <c r="F87" s="78"/>
      <c r="G87" s="103"/>
      <c r="H87" s="102"/>
      <c r="I87" s="105" t="str">
        <f>IFERROR(VLOOKUP(KalkylStart[[#This Row],[Klimatmaterial]],Materialtabell[[#All],[Materialnamn]:[Materialtyp]],2,0),"")</f>
        <v/>
      </c>
      <c r="J87" s="104" t="str">
        <f>IFERROR(IF(G87="kg",1,IF(G87="ton",1000,IF(G87=RIGHT(VLOOKUP(H87,Materialtabell[[#All],[Materialnamn]:[Enhet]],4,0),LEN(VLOOKUP(H87,Materialtabell[[#All],[Materialnamn]:[Enhet]],4,0))-3),VLOOKUP(H87,Materialtabell[[#All],[Materialnamn]:[Enhet]],3,0),"Enhetsfel"))),"")</f>
        <v/>
      </c>
      <c r="K87" s="105" t="str">
        <f>IFERROR(IF(G87="kg","kg/kg",IF(G87="ton","kg/ton",IF(RIGHT(VLOOKUP(H87,Materialtabell[[#All],[Materialnamn]:[Enhet]],4,0),LEN(VLOOKUP(H87,Materialtabell[[#All],[Materialnamn]:[Enhet]],4,0))-3)=G87,VLOOKUP(H87,Materialtabell[[#All],[Materialnamn]:[Enhet]],4,0),"kg/ton/"&amp;RIGHT(VLOOKUP(H87,Materialtabell[[#All],[Materialnamn]:[Enhet]],4,0),LEN(VLOOKUP(H87,Materialtabell[[#All],[Materialnamn]:[Enhet]],4,0))-3)))),"")</f>
        <v/>
      </c>
      <c r="L87" s="104" t="str">
        <f>IFERROR(KalkylStart[[#This Row],[Mängd]]*KalkylStart[[#This Row],[Omräknings-faktor]],"")</f>
        <v/>
      </c>
      <c r="M87" s="104" t="str">
        <f>IFERROR(F87*J87*VLOOKUP(H87,Materialtabell[[#All],[Materialnamn]:[Emissionsfaktor 2019
kg CO2e/kg]],5,0),"")</f>
        <v/>
      </c>
      <c r="N87" s="104" t="str">
        <f>IFERROR(F87*J87*VLOOKUP(H87,Materialtabell[[#All],[Materialnamn]:[Emissionsfaktor 2025
kg CO2e/kg]],6,0),"")</f>
        <v/>
      </c>
      <c r="O87" s="78" t="str">
        <f>IFERROR(VLOOKUP(H87,Materialtabell[[#All],[Materialnamn]:[Kommentar A4]],24,0),"")</f>
        <v/>
      </c>
      <c r="P87" s="94" t="str">
        <f>IFERROR(($F87*$J87*$O87*VLOOKUP($H87,Materialtabell[[#All],[Materialnamn]:[Bränsle 
MJ/ton, km]],25,0)*Materiallista!$AF$5)/1000,"")</f>
        <v/>
      </c>
      <c r="Q87" s="94" t="str">
        <f>IFERROR(($F87*$J87*$O87*VLOOKUP($H87,Materialtabell[[#All],[Materialnamn]:[Bränsle 
MJ/ton, km]],25,0)*Materiallista!$AF$6)/1000,"")</f>
        <v/>
      </c>
      <c r="R87" s="162"/>
      <c r="S87" s="3"/>
      <c r="T87" s="3"/>
    </row>
    <row r="88" spans="1:20" x14ac:dyDescent="0.25">
      <c r="A88" s="3"/>
      <c r="B88" s="185">
        <v>83</v>
      </c>
      <c r="C88" s="170"/>
      <c r="D88" s="103"/>
      <c r="E88" s="103"/>
      <c r="F88" s="78"/>
      <c r="G88" s="103"/>
      <c r="H88" s="102"/>
      <c r="I88" s="105" t="str">
        <f>IFERROR(VLOOKUP(KalkylStart[[#This Row],[Klimatmaterial]],Materialtabell[[#All],[Materialnamn]:[Materialtyp]],2,0),"")</f>
        <v/>
      </c>
      <c r="J88" s="104" t="str">
        <f>IFERROR(IF(G88="kg",1,IF(G88="ton",1000,IF(G88=RIGHT(VLOOKUP(H88,Materialtabell[[#All],[Materialnamn]:[Enhet]],4,0),LEN(VLOOKUP(H88,Materialtabell[[#All],[Materialnamn]:[Enhet]],4,0))-3),VLOOKUP(H88,Materialtabell[[#All],[Materialnamn]:[Enhet]],3,0),"Enhetsfel"))),"")</f>
        <v/>
      </c>
      <c r="K88" s="105" t="str">
        <f>IFERROR(IF(G88="kg","kg/kg",IF(G88="ton","kg/ton",IF(RIGHT(VLOOKUP(H88,Materialtabell[[#All],[Materialnamn]:[Enhet]],4,0),LEN(VLOOKUP(H88,Materialtabell[[#All],[Materialnamn]:[Enhet]],4,0))-3)=G88,VLOOKUP(H88,Materialtabell[[#All],[Materialnamn]:[Enhet]],4,0),"kg/ton/"&amp;RIGHT(VLOOKUP(H88,Materialtabell[[#All],[Materialnamn]:[Enhet]],4,0),LEN(VLOOKUP(H88,Materialtabell[[#All],[Materialnamn]:[Enhet]],4,0))-3)))),"")</f>
        <v/>
      </c>
      <c r="L88" s="104" t="str">
        <f>IFERROR(KalkylStart[[#This Row],[Mängd]]*KalkylStart[[#This Row],[Omräknings-faktor]],"")</f>
        <v/>
      </c>
      <c r="M88" s="104" t="str">
        <f>IFERROR(F88*J88*VLOOKUP(H88,Materialtabell[[#All],[Materialnamn]:[Emissionsfaktor 2019
kg CO2e/kg]],5,0),"")</f>
        <v/>
      </c>
      <c r="N88" s="104" t="str">
        <f>IFERROR(F88*J88*VLOOKUP(H88,Materialtabell[[#All],[Materialnamn]:[Emissionsfaktor 2025
kg CO2e/kg]],6,0),"")</f>
        <v/>
      </c>
      <c r="O88" s="78" t="str">
        <f>IFERROR(VLOOKUP(H88,Materialtabell[[#All],[Materialnamn]:[Kommentar A4]],24,0),"")</f>
        <v/>
      </c>
      <c r="P88" s="94" t="str">
        <f>IFERROR(($F88*$J88*$O88*VLOOKUP($H88,Materialtabell[[#All],[Materialnamn]:[Bränsle 
MJ/ton, km]],25,0)*Materiallista!$AF$5)/1000,"")</f>
        <v/>
      </c>
      <c r="Q88" s="94" t="str">
        <f>IFERROR(($F88*$J88*$O88*VLOOKUP($H88,Materialtabell[[#All],[Materialnamn]:[Bränsle 
MJ/ton, km]],25,0)*Materiallista!$AF$6)/1000,"")</f>
        <v/>
      </c>
      <c r="R88" s="162"/>
      <c r="S88" s="3"/>
      <c r="T88" s="3"/>
    </row>
    <row r="89" spans="1:20" x14ac:dyDescent="0.25">
      <c r="A89" s="3"/>
      <c r="B89" s="185">
        <v>84</v>
      </c>
      <c r="C89" s="170"/>
      <c r="D89" s="103"/>
      <c r="E89" s="103"/>
      <c r="F89" s="78"/>
      <c r="G89" s="103"/>
      <c r="H89" s="102"/>
      <c r="I89" s="105" t="str">
        <f>IFERROR(VLOOKUP(KalkylStart[[#This Row],[Klimatmaterial]],Materialtabell[[#All],[Materialnamn]:[Materialtyp]],2,0),"")</f>
        <v/>
      </c>
      <c r="J89" s="104" t="str">
        <f>IFERROR(IF(G89="kg",1,IF(G89="ton",1000,IF(G89=RIGHT(VLOOKUP(H89,Materialtabell[[#All],[Materialnamn]:[Enhet]],4,0),LEN(VLOOKUP(H89,Materialtabell[[#All],[Materialnamn]:[Enhet]],4,0))-3),VLOOKUP(H89,Materialtabell[[#All],[Materialnamn]:[Enhet]],3,0),"Enhetsfel"))),"")</f>
        <v/>
      </c>
      <c r="K89" s="105" t="str">
        <f>IFERROR(IF(G89="kg","kg/kg",IF(G89="ton","kg/ton",IF(RIGHT(VLOOKUP(H89,Materialtabell[[#All],[Materialnamn]:[Enhet]],4,0),LEN(VLOOKUP(H89,Materialtabell[[#All],[Materialnamn]:[Enhet]],4,0))-3)=G89,VLOOKUP(H89,Materialtabell[[#All],[Materialnamn]:[Enhet]],4,0),"kg/ton/"&amp;RIGHT(VLOOKUP(H89,Materialtabell[[#All],[Materialnamn]:[Enhet]],4,0),LEN(VLOOKUP(H89,Materialtabell[[#All],[Materialnamn]:[Enhet]],4,0))-3)))),"")</f>
        <v/>
      </c>
      <c r="L89" s="104" t="str">
        <f>IFERROR(KalkylStart[[#This Row],[Mängd]]*KalkylStart[[#This Row],[Omräknings-faktor]],"")</f>
        <v/>
      </c>
      <c r="M89" s="104" t="str">
        <f>IFERROR(F89*J89*VLOOKUP(H89,Materialtabell[[#All],[Materialnamn]:[Emissionsfaktor 2019
kg CO2e/kg]],5,0),"")</f>
        <v/>
      </c>
      <c r="N89" s="104" t="str">
        <f>IFERROR(F89*J89*VLOOKUP(H89,Materialtabell[[#All],[Materialnamn]:[Emissionsfaktor 2025
kg CO2e/kg]],6,0),"")</f>
        <v/>
      </c>
      <c r="O89" s="78" t="str">
        <f>IFERROR(VLOOKUP(H89,Materialtabell[[#All],[Materialnamn]:[Kommentar A4]],24,0),"")</f>
        <v/>
      </c>
      <c r="P89" s="94" t="str">
        <f>IFERROR(($F89*$J89*$O89*VLOOKUP($H89,Materialtabell[[#All],[Materialnamn]:[Bränsle 
MJ/ton, km]],25,0)*Materiallista!$AF$5)/1000,"")</f>
        <v/>
      </c>
      <c r="Q89" s="94" t="str">
        <f>IFERROR(($F89*$J89*$O89*VLOOKUP($H89,Materialtabell[[#All],[Materialnamn]:[Bränsle 
MJ/ton, km]],25,0)*Materiallista!$AF$6)/1000,"")</f>
        <v/>
      </c>
      <c r="R89" s="162"/>
      <c r="S89" s="3"/>
      <c r="T89" s="3"/>
    </row>
    <row r="90" spans="1:20" x14ac:dyDescent="0.25">
      <c r="A90" s="3"/>
      <c r="B90" s="185">
        <v>85</v>
      </c>
      <c r="C90" s="170"/>
      <c r="D90" s="103"/>
      <c r="E90" s="103"/>
      <c r="F90" s="78"/>
      <c r="G90" s="103"/>
      <c r="H90" s="102"/>
      <c r="I90" s="105" t="str">
        <f>IFERROR(VLOOKUP(KalkylStart[[#This Row],[Klimatmaterial]],Materialtabell[[#All],[Materialnamn]:[Materialtyp]],2,0),"")</f>
        <v/>
      </c>
      <c r="J90" s="104" t="str">
        <f>IFERROR(IF(G90="kg",1,IF(G90="ton",1000,IF(G90=RIGHT(VLOOKUP(H90,Materialtabell[[#All],[Materialnamn]:[Enhet]],4,0),LEN(VLOOKUP(H90,Materialtabell[[#All],[Materialnamn]:[Enhet]],4,0))-3),VLOOKUP(H90,Materialtabell[[#All],[Materialnamn]:[Enhet]],3,0),"Enhetsfel"))),"")</f>
        <v/>
      </c>
      <c r="K90" s="105" t="str">
        <f>IFERROR(IF(G90="kg","kg/kg",IF(G90="ton","kg/ton",IF(RIGHT(VLOOKUP(H90,Materialtabell[[#All],[Materialnamn]:[Enhet]],4,0),LEN(VLOOKUP(H90,Materialtabell[[#All],[Materialnamn]:[Enhet]],4,0))-3)=G90,VLOOKUP(H90,Materialtabell[[#All],[Materialnamn]:[Enhet]],4,0),"kg/ton/"&amp;RIGHT(VLOOKUP(H90,Materialtabell[[#All],[Materialnamn]:[Enhet]],4,0),LEN(VLOOKUP(H90,Materialtabell[[#All],[Materialnamn]:[Enhet]],4,0))-3)))),"")</f>
        <v/>
      </c>
      <c r="L90" s="104" t="str">
        <f>IFERROR(KalkylStart[[#This Row],[Mängd]]*KalkylStart[[#This Row],[Omräknings-faktor]],"")</f>
        <v/>
      </c>
      <c r="M90" s="104" t="str">
        <f>IFERROR(F90*J90*VLOOKUP(H90,Materialtabell[[#All],[Materialnamn]:[Emissionsfaktor 2019
kg CO2e/kg]],5,0),"")</f>
        <v/>
      </c>
      <c r="N90" s="104" t="str">
        <f>IFERROR(F90*J90*VLOOKUP(H90,Materialtabell[[#All],[Materialnamn]:[Emissionsfaktor 2025
kg CO2e/kg]],6,0),"")</f>
        <v/>
      </c>
      <c r="O90" s="78" t="str">
        <f>IFERROR(VLOOKUP(H90,Materialtabell[[#All],[Materialnamn]:[Kommentar A4]],24,0),"")</f>
        <v/>
      </c>
      <c r="P90" s="94" t="str">
        <f>IFERROR(($F90*$J90*$O90*VLOOKUP($H90,Materialtabell[[#All],[Materialnamn]:[Bränsle 
MJ/ton, km]],25,0)*Materiallista!$AF$5)/1000,"")</f>
        <v/>
      </c>
      <c r="Q90" s="94" t="str">
        <f>IFERROR(($F90*$J90*$O90*VLOOKUP($H90,Materialtabell[[#All],[Materialnamn]:[Bränsle 
MJ/ton, km]],25,0)*Materiallista!$AF$6)/1000,"")</f>
        <v/>
      </c>
      <c r="R90" s="162"/>
      <c r="S90" s="3"/>
      <c r="T90" s="3"/>
    </row>
    <row r="91" spans="1:20" x14ac:dyDescent="0.25">
      <c r="A91" s="3"/>
      <c r="B91" s="185">
        <v>86</v>
      </c>
      <c r="C91" s="170"/>
      <c r="D91" s="103"/>
      <c r="E91" s="103"/>
      <c r="F91" s="78"/>
      <c r="G91" s="103"/>
      <c r="H91" s="102"/>
      <c r="I91" s="105" t="str">
        <f>IFERROR(VLOOKUP(KalkylStart[[#This Row],[Klimatmaterial]],Materialtabell[[#All],[Materialnamn]:[Materialtyp]],2,0),"")</f>
        <v/>
      </c>
      <c r="J91" s="104" t="str">
        <f>IFERROR(IF(G91="kg",1,IF(G91="ton",1000,IF(G91=RIGHT(VLOOKUP(H91,Materialtabell[[#All],[Materialnamn]:[Enhet]],4,0),LEN(VLOOKUP(H91,Materialtabell[[#All],[Materialnamn]:[Enhet]],4,0))-3),VLOOKUP(H91,Materialtabell[[#All],[Materialnamn]:[Enhet]],3,0),"Enhetsfel"))),"")</f>
        <v/>
      </c>
      <c r="K91" s="105" t="str">
        <f>IFERROR(IF(G91="kg","kg/kg",IF(G91="ton","kg/ton",IF(RIGHT(VLOOKUP(H91,Materialtabell[[#All],[Materialnamn]:[Enhet]],4,0),LEN(VLOOKUP(H91,Materialtabell[[#All],[Materialnamn]:[Enhet]],4,0))-3)=G91,VLOOKUP(H91,Materialtabell[[#All],[Materialnamn]:[Enhet]],4,0),"kg/ton/"&amp;RIGHT(VLOOKUP(H91,Materialtabell[[#All],[Materialnamn]:[Enhet]],4,0),LEN(VLOOKUP(H91,Materialtabell[[#All],[Materialnamn]:[Enhet]],4,0))-3)))),"")</f>
        <v/>
      </c>
      <c r="L91" s="104" t="str">
        <f>IFERROR(KalkylStart[[#This Row],[Mängd]]*KalkylStart[[#This Row],[Omräknings-faktor]],"")</f>
        <v/>
      </c>
      <c r="M91" s="104" t="str">
        <f>IFERROR(F91*J91*VLOOKUP(H91,Materialtabell[[#All],[Materialnamn]:[Emissionsfaktor 2019
kg CO2e/kg]],5,0),"")</f>
        <v/>
      </c>
      <c r="N91" s="104" t="str">
        <f>IFERROR(F91*J91*VLOOKUP(H91,Materialtabell[[#All],[Materialnamn]:[Emissionsfaktor 2025
kg CO2e/kg]],6,0),"")</f>
        <v/>
      </c>
      <c r="O91" s="78" t="str">
        <f>IFERROR(VLOOKUP(H91,Materialtabell[[#All],[Materialnamn]:[Kommentar A4]],24,0),"")</f>
        <v/>
      </c>
      <c r="P91" s="94" t="str">
        <f>IFERROR(($F91*$J91*$O91*VLOOKUP($H91,Materialtabell[[#All],[Materialnamn]:[Bränsle 
MJ/ton, km]],25,0)*Materiallista!$AF$5)/1000,"")</f>
        <v/>
      </c>
      <c r="Q91" s="94" t="str">
        <f>IFERROR(($F91*$J91*$O91*VLOOKUP($H91,Materialtabell[[#All],[Materialnamn]:[Bränsle 
MJ/ton, km]],25,0)*Materiallista!$AF$6)/1000,"")</f>
        <v/>
      </c>
      <c r="R91" s="162"/>
      <c r="S91" s="3"/>
      <c r="T91" s="3"/>
    </row>
    <row r="92" spans="1:20" x14ac:dyDescent="0.25">
      <c r="A92" s="3"/>
      <c r="B92" s="185">
        <v>87</v>
      </c>
      <c r="C92" s="170"/>
      <c r="D92" s="103"/>
      <c r="E92" s="103"/>
      <c r="F92" s="78"/>
      <c r="G92" s="103"/>
      <c r="H92" s="102"/>
      <c r="I92" s="105" t="str">
        <f>IFERROR(VLOOKUP(KalkylStart[[#This Row],[Klimatmaterial]],Materialtabell[[#All],[Materialnamn]:[Materialtyp]],2,0),"")</f>
        <v/>
      </c>
      <c r="J92" s="104" t="str">
        <f>IFERROR(IF(G92="kg",1,IF(G92="ton",1000,IF(G92=RIGHT(VLOOKUP(H92,Materialtabell[[#All],[Materialnamn]:[Enhet]],4,0),LEN(VLOOKUP(H92,Materialtabell[[#All],[Materialnamn]:[Enhet]],4,0))-3),VLOOKUP(H92,Materialtabell[[#All],[Materialnamn]:[Enhet]],3,0),"Enhetsfel"))),"")</f>
        <v/>
      </c>
      <c r="K92" s="105" t="str">
        <f>IFERROR(IF(G92="kg","kg/kg",IF(G92="ton","kg/ton",IF(RIGHT(VLOOKUP(H92,Materialtabell[[#All],[Materialnamn]:[Enhet]],4,0),LEN(VLOOKUP(H92,Materialtabell[[#All],[Materialnamn]:[Enhet]],4,0))-3)=G92,VLOOKUP(H92,Materialtabell[[#All],[Materialnamn]:[Enhet]],4,0),"kg/ton/"&amp;RIGHT(VLOOKUP(H92,Materialtabell[[#All],[Materialnamn]:[Enhet]],4,0),LEN(VLOOKUP(H92,Materialtabell[[#All],[Materialnamn]:[Enhet]],4,0))-3)))),"")</f>
        <v/>
      </c>
      <c r="L92" s="104" t="str">
        <f>IFERROR(KalkylStart[[#This Row],[Mängd]]*KalkylStart[[#This Row],[Omräknings-faktor]],"")</f>
        <v/>
      </c>
      <c r="M92" s="104" t="str">
        <f>IFERROR(F92*J92*VLOOKUP(H92,Materialtabell[[#All],[Materialnamn]:[Emissionsfaktor 2019
kg CO2e/kg]],5,0),"")</f>
        <v/>
      </c>
      <c r="N92" s="104" t="str">
        <f>IFERROR(F92*J92*VLOOKUP(H92,Materialtabell[[#All],[Materialnamn]:[Emissionsfaktor 2025
kg CO2e/kg]],6,0),"")</f>
        <v/>
      </c>
      <c r="O92" s="78" t="str">
        <f>IFERROR(VLOOKUP(H92,Materialtabell[[#All],[Materialnamn]:[Kommentar A4]],24,0),"")</f>
        <v/>
      </c>
      <c r="P92" s="94" t="str">
        <f>IFERROR(($F92*$J92*$O92*VLOOKUP($H92,Materialtabell[[#All],[Materialnamn]:[Bränsle 
MJ/ton, km]],25,0)*Materiallista!$AF$5)/1000,"")</f>
        <v/>
      </c>
      <c r="Q92" s="94" t="str">
        <f>IFERROR(($F92*$J92*$O92*VLOOKUP($H92,Materialtabell[[#All],[Materialnamn]:[Bränsle 
MJ/ton, km]],25,0)*Materiallista!$AF$6)/1000,"")</f>
        <v/>
      </c>
      <c r="R92" s="162"/>
      <c r="S92" s="3"/>
      <c r="T92" s="3"/>
    </row>
    <row r="93" spans="1:20" x14ac:dyDescent="0.25">
      <c r="A93" s="3"/>
      <c r="B93" s="185">
        <v>88</v>
      </c>
      <c r="C93" s="170"/>
      <c r="D93" s="103"/>
      <c r="E93" s="103"/>
      <c r="F93" s="78"/>
      <c r="G93" s="103"/>
      <c r="H93" s="102"/>
      <c r="I93" s="105" t="str">
        <f>IFERROR(VLOOKUP(KalkylStart[[#This Row],[Klimatmaterial]],Materialtabell[[#All],[Materialnamn]:[Materialtyp]],2,0),"")</f>
        <v/>
      </c>
      <c r="J93" s="104" t="str">
        <f>IFERROR(IF(G93="kg",1,IF(G93="ton",1000,IF(G93=RIGHT(VLOOKUP(H93,Materialtabell[[#All],[Materialnamn]:[Enhet]],4,0),LEN(VLOOKUP(H93,Materialtabell[[#All],[Materialnamn]:[Enhet]],4,0))-3),VLOOKUP(H93,Materialtabell[[#All],[Materialnamn]:[Enhet]],3,0),"Enhetsfel"))),"")</f>
        <v/>
      </c>
      <c r="K93" s="105" t="str">
        <f>IFERROR(IF(G93="kg","kg/kg",IF(G93="ton","kg/ton",IF(RIGHT(VLOOKUP(H93,Materialtabell[[#All],[Materialnamn]:[Enhet]],4,0),LEN(VLOOKUP(H93,Materialtabell[[#All],[Materialnamn]:[Enhet]],4,0))-3)=G93,VLOOKUP(H93,Materialtabell[[#All],[Materialnamn]:[Enhet]],4,0),"kg/ton/"&amp;RIGHT(VLOOKUP(H93,Materialtabell[[#All],[Materialnamn]:[Enhet]],4,0),LEN(VLOOKUP(H93,Materialtabell[[#All],[Materialnamn]:[Enhet]],4,0))-3)))),"")</f>
        <v/>
      </c>
      <c r="L93" s="104" t="str">
        <f>IFERROR(KalkylStart[[#This Row],[Mängd]]*KalkylStart[[#This Row],[Omräknings-faktor]],"")</f>
        <v/>
      </c>
      <c r="M93" s="104" t="str">
        <f>IFERROR(F93*J93*VLOOKUP(H93,Materialtabell[[#All],[Materialnamn]:[Emissionsfaktor 2019
kg CO2e/kg]],5,0),"")</f>
        <v/>
      </c>
      <c r="N93" s="104" t="str">
        <f>IFERROR(F93*J93*VLOOKUP(H93,Materialtabell[[#All],[Materialnamn]:[Emissionsfaktor 2025
kg CO2e/kg]],6,0),"")</f>
        <v/>
      </c>
      <c r="O93" s="78" t="str">
        <f>IFERROR(VLOOKUP(H93,Materialtabell[[#All],[Materialnamn]:[Kommentar A4]],24,0),"")</f>
        <v/>
      </c>
      <c r="P93" s="94" t="str">
        <f>IFERROR(($F93*$J93*$O93*VLOOKUP($H93,Materialtabell[[#All],[Materialnamn]:[Bränsle 
MJ/ton, km]],25,0)*Materiallista!$AF$5)/1000,"")</f>
        <v/>
      </c>
      <c r="Q93" s="94" t="str">
        <f>IFERROR(($F93*$J93*$O93*VLOOKUP($H93,Materialtabell[[#All],[Materialnamn]:[Bränsle 
MJ/ton, km]],25,0)*Materiallista!$AF$6)/1000,"")</f>
        <v/>
      </c>
      <c r="R93" s="162"/>
      <c r="S93" s="3"/>
      <c r="T93" s="3"/>
    </row>
    <row r="94" spans="1:20" x14ac:dyDescent="0.25">
      <c r="A94" s="3"/>
      <c r="B94" s="185">
        <v>89</v>
      </c>
      <c r="C94" s="170"/>
      <c r="D94" s="103"/>
      <c r="E94" s="103"/>
      <c r="F94" s="78"/>
      <c r="G94" s="103"/>
      <c r="H94" s="102"/>
      <c r="I94" s="105" t="str">
        <f>IFERROR(VLOOKUP(KalkylStart[[#This Row],[Klimatmaterial]],Materialtabell[[#All],[Materialnamn]:[Materialtyp]],2,0),"")</f>
        <v/>
      </c>
      <c r="J94" s="104" t="str">
        <f>IFERROR(IF(G94="kg",1,IF(G94="ton",1000,IF(G94=RIGHT(VLOOKUP(H94,Materialtabell[[#All],[Materialnamn]:[Enhet]],4,0),LEN(VLOOKUP(H94,Materialtabell[[#All],[Materialnamn]:[Enhet]],4,0))-3),VLOOKUP(H94,Materialtabell[[#All],[Materialnamn]:[Enhet]],3,0),"Enhetsfel"))),"")</f>
        <v/>
      </c>
      <c r="K94" s="105" t="str">
        <f>IFERROR(IF(G94="kg","kg/kg",IF(G94="ton","kg/ton",IF(RIGHT(VLOOKUP(H94,Materialtabell[[#All],[Materialnamn]:[Enhet]],4,0),LEN(VLOOKUP(H94,Materialtabell[[#All],[Materialnamn]:[Enhet]],4,0))-3)=G94,VLOOKUP(H94,Materialtabell[[#All],[Materialnamn]:[Enhet]],4,0),"kg/ton/"&amp;RIGHT(VLOOKUP(H94,Materialtabell[[#All],[Materialnamn]:[Enhet]],4,0),LEN(VLOOKUP(H94,Materialtabell[[#All],[Materialnamn]:[Enhet]],4,0))-3)))),"")</f>
        <v/>
      </c>
      <c r="L94" s="104" t="str">
        <f>IFERROR(KalkylStart[[#This Row],[Mängd]]*KalkylStart[[#This Row],[Omräknings-faktor]],"")</f>
        <v/>
      </c>
      <c r="M94" s="104" t="str">
        <f>IFERROR(F94*J94*VLOOKUP(H94,Materialtabell[[#All],[Materialnamn]:[Emissionsfaktor 2019
kg CO2e/kg]],5,0),"")</f>
        <v/>
      </c>
      <c r="N94" s="104" t="str">
        <f>IFERROR(F94*J94*VLOOKUP(H94,Materialtabell[[#All],[Materialnamn]:[Emissionsfaktor 2025
kg CO2e/kg]],6,0),"")</f>
        <v/>
      </c>
      <c r="O94" s="78" t="str">
        <f>IFERROR(VLOOKUP(H94,Materialtabell[[#All],[Materialnamn]:[Kommentar A4]],24,0),"")</f>
        <v/>
      </c>
      <c r="P94" s="94" t="str">
        <f>IFERROR(($F94*$J94*$O94*VLOOKUP($H94,Materialtabell[[#All],[Materialnamn]:[Bränsle 
MJ/ton, km]],25,0)*Materiallista!$AF$5)/1000,"")</f>
        <v/>
      </c>
      <c r="Q94" s="94" t="str">
        <f>IFERROR(($F94*$J94*$O94*VLOOKUP($H94,Materialtabell[[#All],[Materialnamn]:[Bränsle 
MJ/ton, km]],25,0)*Materiallista!$AF$6)/1000,"")</f>
        <v/>
      </c>
      <c r="R94" s="162"/>
      <c r="S94" s="3"/>
      <c r="T94" s="3"/>
    </row>
    <row r="95" spans="1:20" x14ac:dyDescent="0.25">
      <c r="A95" s="3"/>
      <c r="B95" s="185">
        <v>90</v>
      </c>
      <c r="C95" s="170"/>
      <c r="D95" s="103"/>
      <c r="E95" s="103"/>
      <c r="F95" s="78"/>
      <c r="G95" s="103"/>
      <c r="H95" s="102"/>
      <c r="I95" s="105" t="str">
        <f>IFERROR(VLOOKUP(KalkylStart[[#This Row],[Klimatmaterial]],Materialtabell[[#All],[Materialnamn]:[Materialtyp]],2,0),"")</f>
        <v/>
      </c>
      <c r="J95" s="104" t="str">
        <f>IFERROR(IF(G95="kg",1,IF(G95="ton",1000,IF(G95=RIGHT(VLOOKUP(H95,Materialtabell[[#All],[Materialnamn]:[Enhet]],4,0),LEN(VLOOKUP(H95,Materialtabell[[#All],[Materialnamn]:[Enhet]],4,0))-3),VLOOKUP(H95,Materialtabell[[#All],[Materialnamn]:[Enhet]],3,0),"Enhetsfel"))),"")</f>
        <v/>
      </c>
      <c r="K95" s="105" t="str">
        <f>IFERROR(IF(G95="kg","kg/kg",IF(G95="ton","kg/ton",IF(RIGHT(VLOOKUP(H95,Materialtabell[[#All],[Materialnamn]:[Enhet]],4,0),LEN(VLOOKUP(H95,Materialtabell[[#All],[Materialnamn]:[Enhet]],4,0))-3)=G95,VLOOKUP(H95,Materialtabell[[#All],[Materialnamn]:[Enhet]],4,0),"kg/ton/"&amp;RIGHT(VLOOKUP(H95,Materialtabell[[#All],[Materialnamn]:[Enhet]],4,0),LEN(VLOOKUP(H95,Materialtabell[[#All],[Materialnamn]:[Enhet]],4,0))-3)))),"")</f>
        <v/>
      </c>
      <c r="L95" s="104" t="str">
        <f>IFERROR(KalkylStart[[#This Row],[Mängd]]*KalkylStart[[#This Row],[Omräknings-faktor]],"")</f>
        <v/>
      </c>
      <c r="M95" s="104" t="str">
        <f>IFERROR(F95*J95*VLOOKUP(H95,Materialtabell[[#All],[Materialnamn]:[Emissionsfaktor 2019
kg CO2e/kg]],5,0),"")</f>
        <v/>
      </c>
      <c r="N95" s="104" t="str">
        <f>IFERROR(F95*J95*VLOOKUP(H95,Materialtabell[[#All],[Materialnamn]:[Emissionsfaktor 2025
kg CO2e/kg]],6,0),"")</f>
        <v/>
      </c>
      <c r="O95" s="78" t="str">
        <f>IFERROR(VLOOKUP(H95,Materialtabell[[#All],[Materialnamn]:[Kommentar A4]],24,0),"")</f>
        <v/>
      </c>
      <c r="P95" s="94" t="str">
        <f>IFERROR(($F95*$J95*$O95*VLOOKUP($H95,Materialtabell[[#All],[Materialnamn]:[Bränsle 
MJ/ton, km]],25,0)*Materiallista!$AF$5)/1000,"")</f>
        <v/>
      </c>
      <c r="Q95" s="94" t="str">
        <f>IFERROR(($F95*$J95*$O95*VLOOKUP($H95,Materialtabell[[#All],[Materialnamn]:[Bränsle 
MJ/ton, km]],25,0)*Materiallista!$AF$6)/1000,"")</f>
        <v/>
      </c>
      <c r="R95" s="162"/>
      <c r="S95" s="3"/>
      <c r="T95" s="3"/>
    </row>
    <row r="96" spans="1:20" x14ac:dyDescent="0.25">
      <c r="A96" s="3"/>
      <c r="B96" s="185">
        <v>91</v>
      </c>
      <c r="C96" s="170"/>
      <c r="D96" s="103"/>
      <c r="E96" s="103"/>
      <c r="F96" s="78"/>
      <c r="G96" s="103"/>
      <c r="H96" s="102"/>
      <c r="I96" s="105" t="str">
        <f>IFERROR(VLOOKUP(KalkylStart[[#This Row],[Klimatmaterial]],Materialtabell[[#All],[Materialnamn]:[Materialtyp]],2,0),"")</f>
        <v/>
      </c>
      <c r="J96" s="104" t="str">
        <f>IFERROR(IF(G96="kg",1,IF(G96="ton",1000,IF(G96=RIGHT(VLOOKUP(H96,Materialtabell[[#All],[Materialnamn]:[Enhet]],4,0),LEN(VLOOKUP(H96,Materialtabell[[#All],[Materialnamn]:[Enhet]],4,0))-3),VLOOKUP(H96,Materialtabell[[#All],[Materialnamn]:[Enhet]],3,0),"Enhetsfel"))),"")</f>
        <v/>
      </c>
      <c r="K96" s="105" t="str">
        <f>IFERROR(IF(G96="kg","kg/kg",IF(G96="ton","kg/ton",IF(RIGHT(VLOOKUP(H96,Materialtabell[[#All],[Materialnamn]:[Enhet]],4,0),LEN(VLOOKUP(H96,Materialtabell[[#All],[Materialnamn]:[Enhet]],4,0))-3)=G96,VLOOKUP(H96,Materialtabell[[#All],[Materialnamn]:[Enhet]],4,0),"kg/ton/"&amp;RIGHT(VLOOKUP(H96,Materialtabell[[#All],[Materialnamn]:[Enhet]],4,0),LEN(VLOOKUP(H96,Materialtabell[[#All],[Materialnamn]:[Enhet]],4,0))-3)))),"")</f>
        <v/>
      </c>
      <c r="L96" s="104" t="str">
        <f>IFERROR(KalkylStart[[#This Row],[Mängd]]*KalkylStart[[#This Row],[Omräknings-faktor]],"")</f>
        <v/>
      </c>
      <c r="M96" s="104" t="str">
        <f>IFERROR(F96*J96*VLOOKUP(H96,Materialtabell[[#All],[Materialnamn]:[Emissionsfaktor 2019
kg CO2e/kg]],5,0),"")</f>
        <v/>
      </c>
      <c r="N96" s="104" t="str">
        <f>IFERROR(F96*J96*VLOOKUP(H96,Materialtabell[[#All],[Materialnamn]:[Emissionsfaktor 2025
kg CO2e/kg]],6,0),"")</f>
        <v/>
      </c>
      <c r="O96" s="78" t="str">
        <f>IFERROR(VLOOKUP(H96,Materialtabell[[#All],[Materialnamn]:[Kommentar A4]],24,0),"")</f>
        <v/>
      </c>
      <c r="P96" s="94" t="str">
        <f>IFERROR(($F96*$J96*$O96*VLOOKUP($H96,Materialtabell[[#All],[Materialnamn]:[Bränsle 
MJ/ton, km]],25,0)*Materiallista!$AF$5)/1000,"")</f>
        <v/>
      </c>
      <c r="Q96" s="94" t="str">
        <f>IFERROR(($F96*$J96*$O96*VLOOKUP($H96,Materialtabell[[#All],[Materialnamn]:[Bränsle 
MJ/ton, km]],25,0)*Materiallista!$AF$6)/1000,"")</f>
        <v/>
      </c>
      <c r="R96" s="162"/>
      <c r="S96" s="3"/>
      <c r="T96" s="3"/>
    </row>
    <row r="97" spans="1:20" x14ac:dyDescent="0.25">
      <c r="A97" s="3"/>
      <c r="B97" s="185">
        <v>92</v>
      </c>
      <c r="C97" s="170"/>
      <c r="D97" s="103"/>
      <c r="E97" s="103"/>
      <c r="F97" s="78"/>
      <c r="G97" s="103"/>
      <c r="H97" s="102"/>
      <c r="I97" s="105" t="str">
        <f>IFERROR(VLOOKUP(KalkylStart[[#This Row],[Klimatmaterial]],Materialtabell[[#All],[Materialnamn]:[Materialtyp]],2,0),"")</f>
        <v/>
      </c>
      <c r="J97" s="104" t="str">
        <f>IFERROR(IF(G97="kg",1,IF(G97="ton",1000,IF(G97=RIGHT(VLOOKUP(H97,Materialtabell[[#All],[Materialnamn]:[Enhet]],4,0),LEN(VLOOKUP(H97,Materialtabell[[#All],[Materialnamn]:[Enhet]],4,0))-3),VLOOKUP(H97,Materialtabell[[#All],[Materialnamn]:[Enhet]],3,0),"Enhetsfel"))),"")</f>
        <v/>
      </c>
      <c r="K97" s="105" t="str">
        <f>IFERROR(IF(G97="kg","kg/kg",IF(G97="ton","kg/ton",IF(RIGHT(VLOOKUP(H97,Materialtabell[[#All],[Materialnamn]:[Enhet]],4,0),LEN(VLOOKUP(H97,Materialtabell[[#All],[Materialnamn]:[Enhet]],4,0))-3)=G97,VLOOKUP(H97,Materialtabell[[#All],[Materialnamn]:[Enhet]],4,0),"kg/ton/"&amp;RIGHT(VLOOKUP(H97,Materialtabell[[#All],[Materialnamn]:[Enhet]],4,0),LEN(VLOOKUP(H97,Materialtabell[[#All],[Materialnamn]:[Enhet]],4,0))-3)))),"")</f>
        <v/>
      </c>
      <c r="L97" s="104" t="str">
        <f>IFERROR(KalkylStart[[#This Row],[Mängd]]*KalkylStart[[#This Row],[Omräknings-faktor]],"")</f>
        <v/>
      </c>
      <c r="M97" s="104" t="str">
        <f>IFERROR(F97*J97*VLOOKUP(H97,Materialtabell[[#All],[Materialnamn]:[Emissionsfaktor 2019
kg CO2e/kg]],5,0),"")</f>
        <v/>
      </c>
      <c r="N97" s="104" t="str">
        <f>IFERROR(F97*J97*VLOOKUP(H97,Materialtabell[[#All],[Materialnamn]:[Emissionsfaktor 2025
kg CO2e/kg]],6,0),"")</f>
        <v/>
      </c>
      <c r="O97" s="78" t="str">
        <f>IFERROR(VLOOKUP(H97,Materialtabell[[#All],[Materialnamn]:[Kommentar A4]],24,0),"")</f>
        <v/>
      </c>
      <c r="P97" s="94" t="str">
        <f>IFERROR(($F97*$J97*$O97*VLOOKUP($H97,Materialtabell[[#All],[Materialnamn]:[Bränsle 
MJ/ton, km]],25,0)*Materiallista!$AF$5)/1000,"")</f>
        <v/>
      </c>
      <c r="Q97" s="94" t="str">
        <f>IFERROR(($F97*$J97*$O97*VLOOKUP($H97,Materialtabell[[#All],[Materialnamn]:[Bränsle 
MJ/ton, km]],25,0)*Materiallista!$AF$6)/1000,"")</f>
        <v/>
      </c>
      <c r="R97" s="162"/>
      <c r="S97" s="3"/>
      <c r="T97" s="3"/>
    </row>
    <row r="98" spans="1:20" x14ac:dyDescent="0.25">
      <c r="A98" s="3"/>
      <c r="B98" s="185">
        <v>93</v>
      </c>
      <c r="C98" s="170"/>
      <c r="D98" s="103"/>
      <c r="E98" s="103"/>
      <c r="F98" s="78"/>
      <c r="G98" s="103"/>
      <c r="H98" s="102"/>
      <c r="I98" s="105" t="str">
        <f>IFERROR(VLOOKUP(KalkylStart[[#This Row],[Klimatmaterial]],Materialtabell[[#All],[Materialnamn]:[Materialtyp]],2,0),"")</f>
        <v/>
      </c>
      <c r="J98" s="104" t="str">
        <f>IFERROR(IF(G98="kg",1,IF(G98="ton",1000,IF(G98=RIGHT(VLOOKUP(H98,Materialtabell[[#All],[Materialnamn]:[Enhet]],4,0),LEN(VLOOKUP(H98,Materialtabell[[#All],[Materialnamn]:[Enhet]],4,0))-3),VLOOKUP(H98,Materialtabell[[#All],[Materialnamn]:[Enhet]],3,0),"Enhetsfel"))),"")</f>
        <v/>
      </c>
      <c r="K98" s="105" t="str">
        <f>IFERROR(IF(G98="kg","kg/kg",IF(G98="ton","kg/ton",IF(RIGHT(VLOOKUP(H98,Materialtabell[[#All],[Materialnamn]:[Enhet]],4,0),LEN(VLOOKUP(H98,Materialtabell[[#All],[Materialnamn]:[Enhet]],4,0))-3)=G98,VLOOKUP(H98,Materialtabell[[#All],[Materialnamn]:[Enhet]],4,0),"kg/ton/"&amp;RIGHT(VLOOKUP(H98,Materialtabell[[#All],[Materialnamn]:[Enhet]],4,0),LEN(VLOOKUP(H98,Materialtabell[[#All],[Materialnamn]:[Enhet]],4,0))-3)))),"")</f>
        <v/>
      </c>
      <c r="L98" s="104" t="str">
        <f>IFERROR(KalkylStart[[#This Row],[Mängd]]*KalkylStart[[#This Row],[Omräknings-faktor]],"")</f>
        <v/>
      </c>
      <c r="M98" s="104" t="str">
        <f>IFERROR(F98*J98*VLOOKUP(H98,Materialtabell[[#All],[Materialnamn]:[Emissionsfaktor 2019
kg CO2e/kg]],5,0),"")</f>
        <v/>
      </c>
      <c r="N98" s="104" t="str">
        <f>IFERROR(F98*J98*VLOOKUP(H98,Materialtabell[[#All],[Materialnamn]:[Emissionsfaktor 2025
kg CO2e/kg]],6,0),"")</f>
        <v/>
      </c>
      <c r="O98" s="78" t="str">
        <f>IFERROR(VLOOKUP(H98,Materialtabell[[#All],[Materialnamn]:[Kommentar A4]],24,0),"")</f>
        <v/>
      </c>
      <c r="P98" s="94" t="str">
        <f>IFERROR(($F98*$J98*$O98*VLOOKUP($H98,Materialtabell[[#All],[Materialnamn]:[Bränsle 
MJ/ton, km]],25,0)*Materiallista!$AF$5)/1000,"")</f>
        <v/>
      </c>
      <c r="Q98" s="94" t="str">
        <f>IFERROR(($F98*$J98*$O98*VLOOKUP($H98,Materialtabell[[#All],[Materialnamn]:[Bränsle 
MJ/ton, km]],25,0)*Materiallista!$AF$6)/1000,"")</f>
        <v/>
      </c>
      <c r="R98" s="162"/>
      <c r="S98" s="3"/>
      <c r="T98" s="3"/>
    </row>
    <row r="99" spans="1:20" x14ac:dyDescent="0.25">
      <c r="A99" s="3"/>
      <c r="B99" s="185">
        <v>94</v>
      </c>
      <c r="C99" s="170"/>
      <c r="D99" s="103"/>
      <c r="E99" s="103"/>
      <c r="F99" s="78"/>
      <c r="G99" s="103"/>
      <c r="H99" s="102"/>
      <c r="I99" s="105" t="str">
        <f>IFERROR(VLOOKUP(KalkylStart[[#This Row],[Klimatmaterial]],Materialtabell[[#All],[Materialnamn]:[Materialtyp]],2,0),"")</f>
        <v/>
      </c>
      <c r="J99" s="104" t="str">
        <f>IFERROR(IF(G99="kg",1,IF(G99="ton",1000,IF(G99=RIGHT(VLOOKUP(H99,Materialtabell[[#All],[Materialnamn]:[Enhet]],4,0),LEN(VLOOKUP(H99,Materialtabell[[#All],[Materialnamn]:[Enhet]],4,0))-3),VLOOKUP(H99,Materialtabell[[#All],[Materialnamn]:[Enhet]],3,0),"Enhetsfel"))),"")</f>
        <v/>
      </c>
      <c r="K99" s="105" t="str">
        <f>IFERROR(IF(G99="kg","kg/kg",IF(G99="ton","kg/ton",IF(RIGHT(VLOOKUP(H99,Materialtabell[[#All],[Materialnamn]:[Enhet]],4,0),LEN(VLOOKUP(H99,Materialtabell[[#All],[Materialnamn]:[Enhet]],4,0))-3)=G99,VLOOKUP(H99,Materialtabell[[#All],[Materialnamn]:[Enhet]],4,0),"kg/ton/"&amp;RIGHT(VLOOKUP(H99,Materialtabell[[#All],[Materialnamn]:[Enhet]],4,0),LEN(VLOOKUP(H99,Materialtabell[[#All],[Materialnamn]:[Enhet]],4,0))-3)))),"")</f>
        <v/>
      </c>
      <c r="L99" s="104" t="str">
        <f>IFERROR(KalkylStart[[#This Row],[Mängd]]*KalkylStart[[#This Row],[Omräknings-faktor]],"")</f>
        <v/>
      </c>
      <c r="M99" s="104" t="str">
        <f>IFERROR(F99*J99*VLOOKUP(H99,Materialtabell[[#All],[Materialnamn]:[Emissionsfaktor 2019
kg CO2e/kg]],5,0),"")</f>
        <v/>
      </c>
      <c r="N99" s="104" t="str">
        <f>IFERROR(F99*J99*VLOOKUP(H99,Materialtabell[[#All],[Materialnamn]:[Emissionsfaktor 2025
kg CO2e/kg]],6,0),"")</f>
        <v/>
      </c>
      <c r="O99" s="78" t="str">
        <f>IFERROR(VLOOKUP(H99,Materialtabell[[#All],[Materialnamn]:[Kommentar A4]],24,0),"")</f>
        <v/>
      </c>
      <c r="P99" s="94" t="str">
        <f>IFERROR(($F99*$J99*$O99*VLOOKUP($H99,Materialtabell[[#All],[Materialnamn]:[Bränsle 
MJ/ton, km]],25,0)*Materiallista!$AF$5)/1000,"")</f>
        <v/>
      </c>
      <c r="Q99" s="94" t="str">
        <f>IFERROR(($F99*$J99*$O99*VLOOKUP($H99,Materialtabell[[#All],[Materialnamn]:[Bränsle 
MJ/ton, km]],25,0)*Materiallista!$AF$6)/1000,"")</f>
        <v/>
      </c>
      <c r="R99" s="162"/>
      <c r="S99" s="3"/>
      <c r="T99" s="3"/>
    </row>
    <row r="100" spans="1:20" x14ac:dyDescent="0.25">
      <c r="A100" s="3"/>
      <c r="B100" s="185">
        <v>95</v>
      </c>
      <c r="C100" s="170"/>
      <c r="D100" s="103"/>
      <c r="E100" s="103"/>
      <c r="F100" s="78"/>
      <c r="G100" s="103"/>
      <c r="H100" s="102"/>
      <c r="I100" s="105" t="str">
        <f>IFERROR(VLOOKUP(KalkylStart[[#This Row],[Klimatmaterial]],Materialtabell[[#All],[Materialnamn]:[Materialtyp]],2,0),"")</f>
        <v/>
      </c>
      <c r="J100" s="104" t="str">
        <f>IFERROR(IF(G100="kg",1,IF(G100="ton",1000,IF(G100=RIGHT(VLOOKUP(H100,Materialtabell[[#All],[Materialnamn]:[Enhet]],4,0),LEN(VLOOKUP(H100,Materialtabell[[#All],[Materialnamn]:[Enhet]],4,0))-3),VLOOKUP(H100,Materialtabell[[#All],[Materialnamn]:[Enhet]],3,0),"Enhetsfel"))),"")</f>
        <v/>
      </c>
      <c r="K100" s="105" t="str">
        <f>IFERROR(IF(G100="kg","kg/kg",IF(G100="ton","kg/ton",IF(RIGHT(VLOOKUP(H100,Materialtabell[[#All],[Materialnamn]:[Enhet]],4,0),LEN(VLOOKUP(H100,Materialtabell[[#All],[Materialnamn]:[Enhet]],4,0))-3)=G100,VLOOKUP(H100,Materialtabell[[#All],[Materialnamn]:[Enhet]],4,0),"kg/ton/"&amp;RIGHT(VLOOKUP(H100,Materialtabell[[#All],[Materialnamn]:[Enhet]],4,0),LEN(VLOOKUP(H100,Materialtabell[[#All],[Materialnamn]:[Enhet]],4,0))-3)))),"")</f>
        <v/>
      </c>
      <c r="L100" s="104" t="str">
        <f>IFERROR(KalkylStart[[#This Row],[Mängd]]*KalkylStart[[#This Row],[Omräknings-faktor]],"")</f>
        <v/>
      </c>
      <c r="M100" s="104" t="str">
        <f>IFERROR(F100*J100*VLOOKUP(H100,Materialtabell[[#All],[Materialnamn]:[Emissionsfaktor 2019
kg CO2e/kg]],5,0),"")</f>
        <v/>
      </c>
      <c r="N100" s="104" t="str">
        <f>IFERROR(F100*J100*VLOOKUP(H100,Materialtabell[[#All],[Materialnamn]:[Emissionsfaktor 2025
kg CO2e/kg]],6,0),"")</f>
        <v/>
      </c>
      <c r="O100" s="78" t="str">
        <f>IFERROR(VLOOKUP(H100,Materialtabell[[#All],[Materialnamn]:[Kommentar A4]],24,0),"")</f>
        <v/>
      </c>
      <c r="P100" s="94" t="str">
        <f>IFERROR(($F100*$J100*$O100*VLOOKUP($H100,Materialtabell[[#All],[Materialnamn]:[Bränsle 
MJ/ton, km]],25,0)*Materiallista!$AF$5)/1000,"")</f>
        <v/>
      </c>
      <c r="Q100" s="94" t="str">
        <f>IFERROR(($F100*$J100*$O100*VLOOKUP($H100,Materialtabell[[#All],[Materialnamn]:[Bränsle 
MJ/ton, km]],25,0)*Materiallista!$AF$6)/1000,"")</f>
        <v/>
      </c>
      <c r="R100" s="162"/>
      <c r="S100" s="3"/>
      <c r="T100" s="3"/>
    </row>
    <row r="101" spans="1:20" x14ac:dyDescent="0.25">
      <c r="A101" s="3"/>
      <c r="B101" s="185">
        <v>96</v>
      </c>
      <c r="C101" s="170"/>
      <c r="D101" s="103"/>
      <c r="E101" s="103"/>
      <c r="F101" s="78"/>
      <c r="G101" s="103"/>
      <c r="H101" s="102"/>
      <c r="I101" s="105" t="str">
        <f>IFERROR(VLOOKUP(KalkylStart[[#This Row],[Klimatmaterial]],Materialtabell[[#All],[Materialnamn]:[Materialtyp]],2,0),"")</f>
        <v/>
      </c>
      <c r="J101" s="104" t="str">
        <f>IFERROR(IF(G101="kg",1,IF(G101="ton",1000,IF(G101=RIGHT(VLOOKUP(H101,Materialtabell[[#All],[Materialnamn]:[Enhet]],4,0),LEN(VLOOKUP(H101,Materialtabell[[#All],[Materialnamn]:[Enhet]],4,0))-3),VLOOKUP(H101,Materialtabell[[#All],[Materialnamn]:[Enhet]],3,0),"Enhetsfel"))),"")</f>
        <v/>
      </c>
      <c r="K101" s="105" t="str">
        <f>IFERROR(IF(G101="kg","kg/kg",IF(G101="ton","kg/ton",IF(RIGHT(VLOOKUP(H101,Materialtabell[[#All],[Materialnamn]:[Enhet]],4,0),LEN(VLOOKUP(H101,Materialtabell[[#All],[Materialnamn]:[Enhet]],4,0))-3)=G101,VLOOKUP(H101,Materialtabell[[#All],[Materialnamn]:[Enhet]],4,0),"kg/ton/"&amp;RIGHT(VLOOKUP(H101,Materialtabell[[#All],[Materialnamn]:[Enhet]],4,0),LEN(VLOOKUP(H101,Materialtabell[[#All],[Materialnamn]:[Enhet]],4,0))-3)))),"")</f>
        <v/>
      </c>
      <c r="L101" s="104" t="str">
        <f>IFERROR(KalkylStart[[#This Row],[Mängd]]*KalkylStart[[#This Row],[Omräknings-faktor]],"")</f>
        <v/>
      </c>
      <c r="M101" s="104" t="str">
        <f>IFERROR(F101*J101*VLOOKUP(H101,Materialtabell[[#All],[Materialnamn]:[Emissionsfaktor 2019
kg CO2e/kg]],5,0),"")</f>
        <v/>
      </c>
      <c r="N101" s="104" t="str">
        <f>IFERROR(F101*J101*VLOOKUP(H101,Materialtabell[[#All],[Materialnamn]:[Emissionsfaktor 2025
kg CO2e/kg]],6,0),"")</f>
        <v/>
      </c>
      <c r="O101" s="78" t="str">
        <f>IFERROR(VLOOKUP(H101,Materialtabell[[#All],[Materialnamn]:[Kommentar A4]],24,0),"")</f>
        <v/>
      </c>
      <c r="P101" s="94" t="str">
        <f>IFERROR(($F101*$J101*$O101*VLOOKUP($H101,Materialtabell[[#All],[Materialnamn]:[Bränsle 
MJ/ton, km]],25,0)*Materiallista!$AF$5)/1000,"")</f>
        <v/>
      </c>
      <c r="Q101" s="94" t="str">
        <f>IFERROR(($F101*$J101*$O101*VLOOKUP($H101,Materialtabell[[#All],[Materialnamn]:[Bränsle 
MJ/ton, km]],25,0)*Materiallista!$AF$6)/1000,"")</f>
        <v/>
      </c>
      <c r="R101" s="162"/>
      <c r="S101" s="3"/>
      <c r="T101" s="3"/>
    </row>
    <row r="102" spans="1:20" x14ac:dyDescent="0.25">
      <c r="A102" s="3"/>
      <c r="B102" s="185">
        <v>97</v>
      </c>
      <c r="C102" s="170"/>
      <c r="D102" s="103"/>
      <c r="E102" s="103"/>
      <c r="F102" s="78"/>
      <c r="G102" s="103"/>
      <c r="H102" s="102"/>
      <c r="I102" s="105" t="str">
        <f>IFERROR(VLOOKUP(KalkylStart[[#This Row],[Klimatmaterial]],Materialtabell[[#All],[Materialnamn]:[Materialtyp]],2,0),"")</f>
        <v/>
      </c>
      <c r="J102" s="104" t="str">
        <f>IFERROR(IF(G102="kg",1,IF(G102="ton",1000,IF(G102=RIGHT(VLOOKUP(H102,Materialtabell[[#All],[Materialnamn]:[Enhet]],4,0),LEN(VLOOKUP(H102,Materialtabell[[#All],[Materialnamn]:[Enhet]],4,0))-3),VLOOKUP(H102,Materialtabell[[#All],[Materialnamn]:[Enhet]],3,0),"Enhetsfel"))),"")</f>
        <v/>
      </c>
      <c r="K102" s="105" t="str">
        <f>IFERROR(IF(G102="kg","kg/kg",IF(G102="ton","kg/ton",IF(RIGHT(VLOOKUP(H102,Materialtabell[[#All],[Materialnamn]:[Enhet]],4,0),LEN(VLOOKUP(H102,Materialtabell[[#All],[Materialnamn]:[Enhet]],4,0))-3)=G102,VLOOKUP(H102,Materialtabell[[#All],[Materialnamn]:[Enhet]],4,0),"kg/ton/"&amp;RIGHT(VLOOKUP(H102,Materialtabell[[#All],[Materialnamn]:[Enhet]],4,0),LEN(VLOOKUP(H102,Materialtabell[[#All],[Materialnamn]:[Enhet]],4,0))-3)))),"")</f>
        <v/>
      </c>
      <c r="L102" s="104" t="str">
        <f>IFERROR(KalkylStart[[#This Row],[Mängd]]*KalkylStart[[#This Row],[Omräknings-faktor]],"")</f>
        <v/>
      </c>
      <c r="M102" s="104" t="str">
        <f>IFERROR(F102*J102*VLOOKUP(H102,Materialtabell[[#All],[Materialnamn]:[Emissionsfaktor 2019
kg CO2e/kg]],5,0),"")</f>
        <v/>
      </c>
      <c r="N102" s="104" t="str">
        <f>IFERROR(F102*J102*VLOOKUP(H102,Materialtabell[[#All],[Materialnamn]:[Emissionsfaktor 2025
kg CO2e/kg]],6,0),"")</f>
        <v/>
      </c>
      <c r="O102" s="78" t="str">
        <f>IFERROR(VLOOKUP(H102,Materialtabell[[#All],[Materialnamn]:[Kommentar A4]],24,0),"")</f>
        <v/>
      </c>
      <c r="P102" s="94" t="str">
        <f>IFERROR(($F102*$J102*$O102*VLOOKUP($H102,Materialtabell[[#All],[Materialnamn]:[Bränsle 
MJ/ton, km]],25,0)*Materiallista!$AF$5)/1000,"")</f>
        <v/>
      </c>
      <c r="Q102" s="94" t="str">
        <f>IFERROR(($F102*$J102*$O102*VLOOKUP($H102,Materialtabell[[#All],[Materialnamn]:[Bränsle 
MJ/ton, km]],25,0)*Materiallista!$AF$6)/1000,"")</f>
        <v/>
      </c>
      <c r="R102" s="162"/>
      <c r="S102" s="3"/>
      <c r="T102" s="3"/>
    </row>
    <row r="103" spans="1:20" x14ac:dyDescent="0.25">
      <c r="A103" s="3"/>
      <c r="B103" s="185">
        <v>98</v>
      </c>
      <c r="C103" s="170"/>
      <c r="D103" s="103"/>
      <c r="E103" s="103"/>
      <c r="F103" s="78"/>
      <c r="G103" s="103"/>
      <c r="H103" s="102"/>
      <c r="I103" s="105" t="str">
        <f>IFERROR(VLOOKUP(KalkylStart[[#This Row],[Klimatmaterial]],Materialtabell[[#All],[Materialnamn]:[Materialtyp]],2,0),"")</f>
        <v/>
      </c>
      <c r="J103" s="104" t="str">
        <f>IFERROR(IF(G103="kg",1,IF(G103="ton",1000,IF(G103=RIGHT(VLOOKUP(H103,Materialtabell[[#All],[Materialnamn]:[Enhet]],4,0),LEN(VLOOKUP(H103,Materialtabell[[#All],[Materialnamn]:[Enhet]],4,0))-3),VLOOKUP(H103,Materialtabell[[#All],[Materialnamn]:[Enhet]],3,0),"Enhetsfel"))),"")</f>
        <v/>
      </c>
      <c r="K103" s="105" t="str">
        <f>IFERROR(IF(G103="kg","kg/kg",IF(G103="ton","kg/ton",IF(RIGHT(VLOOKUP(H103,Materialtabell[[#All],[Materialnamn]:[Enhet]],4,0),LEN(VLOOKUP(H103,Materialtabell[[#All],[Materialnamn]:[Enhet]],4,0))-3)=G103,VLOOKUP(H103,Materialtabell[[#All],[Materialnamn]:[Enhet]],4,0),"kg/ton/"&amp;RIGHT(VLOOKUP(H103,Materialtabell[[#All],[Materialnamn]:[Enhet]],4,0),LEN(VLOOKUP(H103,Materialtabell[[#All],[Materialnamn]:[Enhet]],4,0))-3)))),"")</f>
        <v/>
      </c>
      <c r="L103" s="104" t="str">
        <f>IFERROR(KalkylStart[[#This Row],[Mängd]]*KalkylStart[[#This Row],[Omräknings-faktor]],"")</f>
        <v/>
      </c>
      <c r="M103" s="104" t="str">
        <f>IFERROR(F103*J103*VLOOKUP(H103,Materialtabell[[#All],[Materialnamn]:[Emissionsfaktor 2019
kg CO2e/kg]],5,0),"")</f>
        <v/>
      </c>
      <c r="N103" s="104" t="str">
        <f>IFERROR(F103*J103*VLOOKUP(H103,Materialtabell[[#All],[Materialnamn]:[Emissionsfaktor 2025
kg CO2e/kg]],6,0),"")</f>
        <v/>
      </c>
      <c r="O103" s="78" t="str">
        <f>IFERROR(VLOOKUP(H103,Materialtabell[[#All],[Materialnamn]:[Kommentar A4]],24,0),"")</f>
        <v/>
      </c>
      <c r="P103" s="94" t="str">
        <f>IFERROR(($F103*$J103*$O103*VLOOKUP($H103,Materialtabell[[#All],[Materialnamn]:[Bränsle 
MJ/ton, km]],25,0)*Materiallista!$AF$5)/1000,"")</f>
        <v/>
      </c>
      <c r="Q103" s="94" t="str">
        <f>IFERROR(($F103*$J103*$O103*VLOOKUP($H103,Materialtabell[[#All],[Materialnamn]:[Bränsle 
MJ/ton, km]],25,0)*Materiallista!$AF$6)/1000,"")</f>
        <v/>
      </c>
      <c r="R103" s="162"/>
      <c r="S103" s="3"/>
      <c r="T103" s="3"/>
    </row>
    <row r="104" spans="1:20" x14ac:dyDescent="0.25">
      <c r="A104" s="3"/>
      <c r="B104" s="185">
        <v>99</v>
      </c>
      <c r="C104" s="170"/>
      <c r="D104" s="103"/>
      <c r="E104" s="103"/>
      <c r="F104" s="78"/>
      <c r="G104" s="103"/>
      <c r="H104" s="102"/>
      <c r="I104" s="105" t="str">
        <f>IFERROR(VLOOKUP(KalkylStart[[#This Row],[Klimatmaterial]],Materialtabell[[#All],[Materialnamn]:[Materialtyp]],2,0),"")</f>
        <v/>
      </c>
      <c r="J104" s="104" t="str">
        <f>IFERROR(IF(G104="kg",1,IF(G104="ton",1000,IF(G104=RIGHT(VLOOKUP(H104,Materialtabell[[#All],[Materialnamn]:[Enhet]],4,0),LEN(VLOOKUP(H104,Materialtabell[[#All],[Materialnamn]:[Enhet]],4,0))-3),VLOOKUP(H104,Materialtabell[[#All],[Materialnamn]:[Enhet]],3,0),"Enhetsfel"))),"")</f>
        <v/>
      </c>
      <c r="K104" s="105" t="str">
        <f>IFERROR(IF(G104="kg","kg/kg",IF(G104="ton","kg/ton",IF(RIGHT(VLOOKUP(H104,Materialtabell[[#All],[Materialnamn]:[Enhet]],4,0),LEN(VLOOKUP(H104,Materialtabell[[#All],[Materialnamn]:[Enhet]],4,0))-3)=G104,VLOOKUP(H104,Materialtabell[[#All],[Materialnamn]:[Enhet]],4,0),"kg/ton/"&amp;RIGHT(VLOOKUP(H104,Materialtabell[[#All],[Materialnamn]:[Enhet]],4,0),LEN(VLOOKUP(H104,Materialtabell[[#All],[Materialnamn]:[Enhet]],4,0))-3)))),"")</f>
        <v/>
      </c>
      <c r="L104" s="104" t="str">
        <f>IFERROR(KalkylStart[[#This Row],[Mängd]]*KalkylStart[[#This Row],[Omräknings-faktor]],"")</f>
        <v/>
      </c>
      <c r="M104" s="104" t="str">
        <f>IFERROR(F104*J104*VLOOKUP(H104,Materialtabell[[#All],[Materialnamn]:[Emissionsfaktor 2019
kg CO2e/kg]],5,0),"")</f>
        <v/>
      </c>
      <c r="N104" s="104" t="str">
        <f>IFERROR(F104*J104*VLOOKUP(H104,Materialtabell[[#All],[Materialnamn]:[Emissionsfaktor 2025
kg CO2e/kg]],6,0),"")</f>
        <v/>
      </c>
      <c r="O104" s="78" t="str">
        <f>IFERROR(VLOOKUP(H104,Materialtabell[[#All],[Materialnamn]:[Kommentar A4]],24,0),"")</f>
        <v/>
      </c>
      <c r="P104" s="94" t="str">
        <f>IFERROR(($F104*$J104*$O104*VLOOKUP($H104,Materialtabell[[#All],[Materialnamn]:[Bränsle 
MJ/ton, km]],25,0)*Materiallista!$AF$5)/1000,"")</f>
        <v/>
      </c>
      <c r="Q104" s="94" t="str">
        <f>IFERROR(($F104*$J104*$O104*VLOOKUP($H104,Materialtabell[[#All],[Materialnamn]:[Bränsle 
MJ/ton, km]],25,0)*Materiallista!$AF$6)/1000,"")</f>
        <v/>
      </c>
      <c r="R104" s="162"/>
      <c r="S104" s="3"/>
      <c r="T104" s="3"/>
    </row>
    <row r="105" spans="1:20" x14ac:dyDescent="0.25">
      <c r="A105" s="3"/>
      <c r="B105" s="185">
        <v>100</v>
      </c>
      <c r="C105" s="170"/>
      <c r="D105" s="103"/>
      <c r="E105" s="103"/>
      <c r="F105" s="78"/>
      <c r="G105" s="103"/>
      <c r="H105" s="102"/>
      <c r="I105" s="105" t="str">
        <f>IFERROR(VLOOKUP(KalkylStart[[#This Row],[Klimatmaterial]],Materialtabell[[#All],[Materialnamn]:[Materialtyp]],2,0),"")</f>
        <v/>
      </c>
      <c r="J105" s="104" t="str">
        <f>IFERROR(IF(G105="kg",1,IF(G105="ton",1000,IF(G105=RIGHT(VLOOKUP(H105,Materialtabell[[#All],[Materialnamn]:[Enhet]],4,0),LEN(VLOOKUP(H105,Materialtabell[[#All],[Materialnamn]:[Enhet]],4,0))-3),VLOOKUP(H105,Materialtabell[[#All],[Materialnamn]:[Enhet]],3,0),"Enhetsfel"))),"")</f>
        <v/>
      </c>
      <c r="K105" s="105" t="str">
        <f>IFERROR(IF(G105="kg","kg/kg",IF(G105="ton","kg/ton",IF(RIGHT(VLOOKUP(H105,Materialtabell[[#All],[Materialnamn]:[Enhet]],4,0),LEN(VLOOKUP(H105,Materialtabell[[#All],[Materialnamn]:[Enhet]],4,0))-3)=G105,VLOOKUP(H105,Materialtabell[[#All],[Materialnamn]:[Enhet]],4,0),"kg/ton/"&amp;RIGHT(VLOOKUP(H105,Materialtabell[[#All],[Materialnamn]:[Enhet]],4,0),LEN(VLOOKUP(H105,Materialtabell[[#All],[Materialnamn]:[Enhet]],4,0))-3)))),"")</f>
        <v/>
      </c>
      <c r="L105" s="104" t="str">
        <f>IFERROR(KalkylStart[[#This Row],[Mängd]]*KalkylStart[[#This Row],[Omräknings-faktor]],"")</f>
        <v/>
      </c>
      <c r="M105" s="104" t="str">
        <f>IFERROR(F105*J105*VLOOKUP(H105,Materialtabell[[#All],[Materialnamn]:[Emissionsfaktor 2019
kg CO2e/kg]],5,0),"")</f>
        <v/>
      </c>
      <c r="N105" s="104" t="str">
        <f>IFERROR(F105*J105*VLOOKUP(H105,Materialtabell[[#All],[Materialnamn]:[Emissionsfaktor 2025
kg CO2e/kg]],6,0),"")</f>
        <v/>
      </c>
      <c r="O105" s="78" t="str">
        <f>IFERROR(VLOOKUP(H105,Materialtabell[[#All],[Materialnamn]:[Kommentar A4]],24,0),"")</f>
        <v/>
      </c>
      <c r="P105" s="94" t="str">
        <f>IFERROR(($F105*$J105*$O105*VLOOKUP($H105,Materialtabell[[#All],[Materialnamn]:[Bränsle 
MJ/ton, km]],25,0)*Materiallista!$AF$5)/1000,"")</f>
        <v/>
      </c>
      <c r="Q105" s="94" t="str">
        <f>IFERROR(($F105*$J105*$O105*VLOOKUP($H105,Materialtabell[[#All],[Materialnamn]:[Bränsle 
MJ/ton, km]],25,0)*Materiallista!$AF$6)/1000,"")</f>
        <v/>
      </c>
      <c r="R105" s="162"/>
      <c r="S105" s="3"/>
      <c r="T105" s="3"/>
    </row>
    <row r="106" spans="1:20" x14ac:dyDescent="0.25">
      <c r="A106" s="3"/>
      <c r="B106" s="185">
        <v>101</v>
      </c>
      <c r="C106" s="170"/>
      <c r="D106" s="103"/>
      <c r="E106" s="103"/>
      <c r="F106" s="78"/>
      <c r="G106" s="103"/>
      <c r="H106" s="102"/>
      <c r="I106" s="105" t="str">
        <f>IFERROR(VLOOKUP(KalkylStart[[#This Row],[Klimatmaterial]],Materialtabell[[#All],[Materialnamn]:[Materialtyp]],2,0),"")</f>
        <v/>
      </c>
      <c r="J106" s="104" t="str">
        <f>IFERROR(IF(G106="kg",1,IF(G106="ton",1000,IF(G106=RIGHT(VLOOKUP(H106,Materialtabell[[#All],[Materialnamn]:[Enhet]],4,0),LEN(VLOOKUP(H106,Materialtabell[[#All],[Materialnamn]:[Enhet]],4,0))-3),VLOOKUP(H106,Materialtabell[[#All],[Materialnamn]:[Enhet]],3,0),"Enhetsfel"))),"")</f>
        <v/>
      </c>
      <c r="K106" s="105" t="str">
        <f>IFERROR(IF(G106="kg","kg/kg",IF(G106="ton","kg/ton",IF(RIGHT(VLOOKUP(H106,Materialtabell[[#All],[Materialnamn]:[Enhet]],4,0),LEN(VLOOKUP(H106,Materialtabell[[#All],[Materialnamn]:[Enhet]],4,0))-3)=G106,VLOOKUP(H106,Materialtabell[[#All],[Materialnamn]:[Enhet]],4,0),"kg/ton/"&amp;RIGHT(VLOOKUP(H106,Materialtabell[[#All],[Materialnamn]:[Enhet]],4,0),LEN(VLOOKUP(H106,Materialtabell[[#All],[Materialnamn]:[Enhet]],4,0))-3)))),"")</f>
        <v/>
      </c>
      <c r="L106" s="104" t="str">
        <f>IFERROR(KalkylStart[[#This Row],[Mängd]]*KalkylStart[[#This Row],[Omräknings-faktor]],"")</f>
        <v/>
      </c>
      <c r="M106" s="104" t="str">
        <f>IFERROR(F106*J106*VLOOKUP(H106,Materialtabell[[#All],[Materialnamn]:[Emissionsfaktor 2019
kg CO2e/kg]],5,0),"")</f>
        <v/>
      </c>
      <c r="N106" s="104" t="str">
        <f>IFERROR(F106*J106*VLOOKUP(H106,Materialtabell[[#All],[Materialnamn]:[Emissionsfaktor 2025
kg CO2e/kg]],6,0),"")</f>
        <v/>
      </c>
      <c r="O106" s="78" t="str">
        <f>IFERROR(VLOOKUP(H106,Materialtabell[[#All],[Materialnamn]:[Kommentar A4]],24,0),"")</f>
        <v/>
      </c>
      <c r="P106" s="94" t="str">
        <f>IFERROR(($F106*$J106*$O106*VLOOKUP($H106,Materialtabell[[#All],[Materialnamn]:[Bränsle 
MJ/ton, km]],25,0)*Materiallista!$AF$5)/1000,"")</f>
        <v/>
      </c>
      <c r="Q106" s="94" t="str">
        <f>IFERROR(($F106*$J106*$O106*VLOOKUP($H106,Materialtabell[[#All],[Materialnamn]:[Bränsle 
MJ/ton, km]],25,0)*Materiallista!$AF$6)/1000,"")</f>
        <v/>
      </c>
      <c r="R106" s="162"/>
      <c r="S106" s="3"/>
      <c r="T106" s="3"/>
    </row>
    <row r="107" spans="1:20" x14ac:dyDescent="0.25">
      <c r="A107" s="3"/>
      <c r="B107" s="185">
        <v>102</v>
      </c>
      <c r="C107" s="170"/>
      <c r="D107" s="103"/>
      <c r="E107" s="103"/>
      <c r="F107" s="78"/>
      <c r="G107" s="103"/>
      <c r="H107" s="102"/>
      <c r="I107" s="105" t="str">
        <f>IFERROR(VLOOKUP(KalkylStart[[#This Row],[Klimatmaterial]],Materialtabell[[#All],[Materialnamn]:[Materialtyp]],2,0),"")</f>
        <v/>
      </c>
      <c r="J107" s="104" t="str">
        <f>IFERROR(IF(G107="kg",1,IF(G107="ton",1000,IF(G107=RIGHT(VLOOKUP(H107,Materialtabell[[#All],[Materialnamn]:[Enhet]],4,0),LEN(VLOOKUP(H107,Materialtabell[[#All],[Materialnamn]:[Enhet]],4,0))-3),VLOOKUP(H107,Materialtabell[[#All],[Materialnamn]:[Enhet]],3,0),"Enhetsfel"))),"")</f>
        <v/>
      </c>
      <c r="K107" s="105" t="str">
        <f>IFERROR(IF(G107="kg","kg/kg",IF(G107="ton","kg/ton",IF(RIGHT(VLOOKUP(H107,Materialtabell[[#All],[Materialnamn]:[Enhet]],4,0),LEN(VLOOKUP(H107,Materialtabell[[#All],[Materialnamn]:[Enhet]],4,0))-3)=G107,VLOOKUP(H107,Materialtabell[[#All],[Materialnamn]:[Enhet]],4,0),"kg/ton/"&amp;RIGHT(VLOOKUP(H107,Materialtabell[[#All],[Materialnamn]:[Enhet]],4,0),LEN(VLOOKUP(H107,Materialtabell[[#All],[Materialnamn]:[Enhet]],4,0))-3)))),"")</f>
        <v/>
      </c>
      <c r="L107" s="104" t="str">
        <f>IFERROR(KalkylStart[[#This Row],[Mängd]]*KalkylStart[[#This Row],[Omräknings-faktor]],"")</f>
        <v/>
      </c>
      <c r="M107" s="104" t="str">
        <f>IFERROR(F107*J107*VLOOKUP(H107,Materialtabell[[#All],[Materialnamn]:[Emissionsfaktor 2019
kg CO2e/kg]],5,0),"")</f>
        <v/>
      </c>
      <c r="N107" s="104" t="str">
        <f>IFERROR(F107*J107*VLOOKUP(H107,Materialtabell[[#All],[Materialnamn]:[Emissionsfaktor 2025
kg CO2e/kg]],6,0),"")</f>
        <v/>
      </c>
      <c r="O107" s="78" t="str">
        <f>IFERROR(VLOOKUP(H107,Materialtabell[[#All],[Materialnamn]:[Kommentar A4]],24,0),"")</f>
        <v/>
      </c>
      <c r="P107" s="94" t="str">
        <f>IFERROR(($F107*$J107*$O107*VLOOKUP($H107,Materialtabell[[#All],[Materialnamn]:[Bränsle 
MJ/ton, km]],25,0)*Materiallista!$AF$5)/1000,"")</f>
        <v/>
      </c>
      <c r="Q107" s="94" t="str">
        <f>IFERROR(($F107*$J107*$O107*VLOOKUP($H107,Materialtabell[[#All],[Materialnamn]:[Bränsle 
MJ/ton, km]],25,0)*Materiallista!$AF$6)/1000,"")</f>
        <v/>
      </c>
      <c r="R107" s="162"/>
      <c r="S107" s="3"/>
      <c r="T107" s="3"/>
    </row>
    <row r="108" spans="1:20" x14ac:dyDescent="0.25">
      <c r="A108" s="3"/>
      <c r="B108" s="185">
        <v>103</v>
      </c>
      <c r="C108" s="170"/>
      <c r="D108" s="103"/>
      <c r="E108" s="103"/>
      <c r="F108" s="78"/>
      <c r="G108" s="103"/>
      <c r="H108" s="102"/>
      <c r="I108" s="105" t="str">
        <f>IFERROR(VLOOKUP(KalkylStart[[#This Row],[Klimatmaterial]],Materialtabell[[#All],[Materialnamn]:[Materialtyp]],2,0),"")</f>
        <v/>
      </c>
      <c r="J108" s="104" t="str">
        <f>IFERROR(IF(G108="kg",1,IF(G108="ton",1000,IF(G108=RIGHT(VLOOKUP(H108,Materialtabell[[#All],[Materialnamn]:[Enhet]],4,0),LEN(VLOOKUP(H108,Materialtabell[[#All],[Materialnamn]:[Enhet]],4,0))-3),VLOOKUP(H108,Materialtabell[[#All],[Materialnamn]:[Enhet]],3,0),"Enhetsfel"))),"")</f>
        <v/>
      </c>
      <c r="K108" s="105" t="str">
        <f>IFERROR(IF(G108="kg","kg/kg",IF(G108="ton","kg/ton",IF(RIGHT(VLOOKUP(H108,Materialtabell[[#All],[Materialnamn]:[Enhet]],4,0),LEN(VLOOKUP(H108,Materialtabell[[#All],[Materialnamn]:[Enhet]],4,0))-3)=G108,VLOOKUP(H108,Materialtabell[[#All],[Materialnamn]:[Enhet]],4,0),"kg/ton/"&amp;RIGHT(VLOOKUP(H108,Materialtabell[[#All],[Materialnamn]:[Enhet]],4,0),LEN(VLOOKUP(H108,Materialtabell[[#All],[Materialnamn]:[Enhet]],4,0))-3)))),"")</f>
        <v/>
      </c>
      <c r="L108" s="104" t="str">
        <f>IFERROR(KalkylStart[[#This Row],[Mängd]]*KalkylStart[[#This Row],[Omräknings-faktor]],"")</f>
        <v/>
      </c>
      <c r="M108" s="104" t="str">
        <f>IFERROR(F108*J108*VLOOKUP(H108,Materialtabell[[#All],[Materialnamn]:[Emissionsfaktor 2019
kg CO2e/kg]],5,0),"")</f>
        <v/>
      </c>
      <c r="N108" s="104" t="str">
        <f>IFERROR(F108*J108*VLOOKUP(H108,Materialtabell[[#All],[Materialnamn]:[Emissionsfaktor 2025
kg CO2e/kg]],6,0),"")</f>
        <v/>
      </c>
      <c r="O108" s="78" t="str">
        <f>IFERROR(VLOOKUP(H108,Materialtabell[[#All],[Materialnamn]:[Kommentar A4]],24,0),"")</f>
        <v/>
      </c>
      <c r="P108" s="94" t="str">
        <f>IFERROR(($F108*$J108*$O108*VLOOKUP($H108,Materialtabell[[#All],[Materialnamn]:[Bränsle 
MJ/ton, km]],25,0)*Materiallista!$AF$5)/1000,"")</f>
        <v/>
      </c>
      <c r="Q108" s="94" t="str">
        <f>IFERROR(($F108*$J108*$O108*VLOOKUP($H108,Materialtabell[[#All],[Materialnamn]:[Bränsle 
MJ/ton, km]],25,0)*Materiallista!$AF$6)/1000,"")</f>
        <v/>
      </c>
      <c r="R108" s="162"/>
      <c r="S108" s="3"/>
      <c r="T108" s="3"/>
    </row>
    <row r="109" spans="1:20" x14ac:dyDescent="0.25">
      <c r="A109" s="3"/>
      <c r="B109" s="185">
        <v>104</v>
      </c>
      <c r="C109" s="170"/>
      <c r="D109" s="103"/>
      <c r="E109" s="103"/>
      <c r="F109" s="78"/>
      <c r="G109" s="103"/>
      <c r="H109" s="102"/>
      <c r="I109" s="105" t="str">
        <f>IFERROR(VLOOKUP(KalkylStart[[#This Row],[Klimatmaterial]],Materialtabell[[#All],[Materialnamn]:[Materialtyp]],2,0),"")</f>
        <v/>
      </c>
      <c r="J109" s="104" t="str">
        <f>IFERROR(IF(G109="kg",1,IF(G109="ton",1000,IF(G109=RIGHT(VLOOKUP(H109,Materialtabell[[#All],[Materialnamn]:[Enhet]],4,0),LEN(VLOOKUP(H109,Materialtabell[[#All],[Materialnamn]:[Enhet]],4,0))-3),VLOOKUP(H109,Materialtabell[[#All],[Materialnamn]:[Enhet]],3,0),"Enhetsfel"))),"")</f>
        <v/>
      </c>
      <c r="K109" s="105" t="str">
        <f>IFERROR(IF(G109="kg","kg/kg",IF(G109="ton","kg/ton",IF(RIGHT(VLOOKUP(H109,Materialtabell[[#All],[Materialnamn]:[Enhet]],4,0),LEN(VLOOKUP(H109,Materialtabell[[#All],[Materialnamn]:[Enhet]],4,0))-3)=G109,VLOOKUP(H109,Materialtabell[[#All],[Materialnamn]:[Enhet]],4,0),"kg/ton/"&amp;RIGHT(VLOOKUP(H109,Materialtabell[[#All],[Materialnamn]:[Enhet]],4,0),LEN(VLOOKUP(H109,Materialtabell[[#All],[Materialnamn]:[Enhet]],4,0))-3)))),"")</f>
        <v/>
      </c>
      <c r="L109" s="104" t="str">
        <f>IFERROR(KalkylStart[[#This Row],[Mängd]]*KalkylStart[[#This Row],[Omräknings-faktor]],"")</f>
        <v/>
      </c>
      <c r="M109" s="104" t="str">
        <f>IFERROR(F109*J109*VLOOKUP(H109,Materialtabell[[#All],[Materialnamn]:[Emissionsfaktor 2019
kg CO2e/kg]],5,0),"")</f>
        <v/>
      </c>
      <c r="N109" s="104" t="str">
        <f>IFERROR(F109*J109*VLOOKUP(H109,Materialtabell[[#All],[Materialnamn]:[Emissionsfaktor 2025
kg CO2e/kg]],6,0),"")</f>
        <v/>
      </c>
      <c r="O109" s="78" t="str">
        <f>IFERROR(VLOOKUP(H109,Materialtabell[[#All],[Materialnamn]:[Kommentar A4]],24,0),"")</f>
        <v/>
      </c>
      <c r="P109" s="94" t="str">
        <f>IFERROR(($F109*$J109*$O109*VLOOKUP($H109,Materialtabell[[#All],[Materialnamn]:[Bränsle 
MJ/ton, km]],25,0)*Materiallista!$AF$5)/1000,"")</f>
        <v/>
      </c>
      <c r="Q109" s="94" t="str">
        <f>IFERROR(($F109*$J109*$O109*VLOOKUP($H109,Materialtabell[[#All],[Materialnamn]:[Bränsle 
MJ/ton, km]],25,0)*Materiallista!$AF$6)/1000,"")</f>
        <v/>
      </c>
      <c r="R109" s="162"/>
      <c r="S109" s="3"/>
      <c r="T109" s="3"/>
    </row>
    <row r="110" spans="1:20" x14ac:dyDescent="0.25">
      <c r="A110" s="3"/>
      <c r="B110" s="185">
        <v>105</v>
      </c>
      <c r="C110" s="170"/>
      <c r="D110" s="103"/>
      <c r="E110" s="103"/>
      <c r="F110" s="78"/>
      <c r="G110" s="103"/>
      <c r="H110" s="102"/>
      <c r="I110" s="105" t="str">
        <f>IFERROR(VLOOKUP(KalkylStart[[#This Row],[Klimatmaterial]],Materialtabell[[#All],[Materialnamn]:[Materialtyp]],2,0),"")</f>
        <v/>
      </c>
      <c r="J110" s="104" t="str">
        <f>IFERROR(IF(G110="kg",1,IF(G110="ton",1000,IF(G110=RIGHT(VLOOKUP(H110,Materialtabell[[#All],[Materialnamn]:[Enhet]],4,0),LEN(VLOOKUP(H110,Materialtabell[[#All],[Materialnamn]:[Enhet]],4,0))-3),VLOOKUP(H110,Materialtabell[[#All],[Materialnamn]:[Enhet]],3,0),"Enhetsfel"))),"")</f>
        <v/>
      </c>
      <c r="K110" s="105" t="str">
        <f>IFERROR(IF(G110="kg","kg/kg",IF(G110="ton","kg/ton",IF(RIGHT(VLOOKUP(H110,Materialtabell[[#All],[Materialnamn]:[Enhet]],4,0),LEN(VLOOKUP(H110,Materialtabell[[#All],[Materialnamn]:[Enhet]],4,0))-3)=G110,VLOOKUP(H110,Materialtabell[[#All],[Materialnamn]:[Enhet]],4,0),"kg/ton/"&amp;RIGHT(VLOOKUP(H110,Materialtabell[[#All],[Materialnamn]:[Enhet]],4,0),LEN(VLOOKUP(H110,Materialtabell[[#All],[Materialnamn]:[Enhet]],4,0))-3)))),"")</f>
        <v/>
      </c>
      <c r="L110" s="104" t="str">
        <f>IFERROR(KalkylStart[[#This Row],[Mängd]]*KalkylStart[[#This Row],[Omräknings-faktor]],"")</f>
        <v/>
      </c>
      <c r="M110" s="104" t="str">
        <f>IFERROR(F110*J110*VLOOKUP(H110,Materialtabell[[#All],[Materialnamn]:[Emissionsfaktor 2019
kg CO2e/kg]],5,0),"")</f>
        <v/>
      </c>
      <c r="N110" s="104" t="str">
        <f>IFERROR(F110*J110*VLOOKUP(H110,Materialtabell[[#All],[Materialnamn]:[Emissionsfaktor 2025
kg CO2e/kg]],6,0),"")</f>
        <v/>
      </c>
      <c r="O110" s="78" t="str">
        <f>IFERROR(VLOOKUP(H110,Materialtabell[[#All],[Materialnamn]:[Kommentar A4]],24,0),"")</f>
        <v/>
      </c>
      <c r="P110" s="94" t="str">
        <f>IFERROR(($F110*$J110*$O110*VLOOKUP($H110,Materialtabell[[#All],[Materialnamn]:[Bränsle 
MJ/ton, km]],25,0)*Materiallista!$AF$5)/1000,"")</f>
        <v/>
      </c>
      <c r="Q110" s="94" t="str">
        <f>IFERROR(($F110*$J110*$O110*VLOOKUP($H110,Materialtabell[[#All],[Materialnamn]:[Bränsle 
MJ/ton, km]],25,0)*Materiallista!$AF$6)/1000,"")</f>
        <v/>
      </c>
      <c r="R110" s="162"/>
      <c r="S110" s="3"/>
      <c r="T110" s="3"/>
    </row>
    <row r="111" spans="1:20" x14ac:dyDescent="0.25">
      <c r="A111" s="3"/>
      <c r="B111" s="185">
        <v>106</v>
      </c>
      <c r="C111" s="170"/>
      <c r="D111" s="103"/>
      <c r="E111" s="103"/>
      <c r="F111" s="78"/>
      <c r="G111" s="103"/>
      <c r="H111" s="102"/>
      <c r="I111" s="105" t="str">
        <f>IFERROR(VLOOKUP(KalkylStart[[#This Row],[Klimatmaterial]],Materialtabell[[#All],[Materialnamn]:[Materialtyp]],2,0),"")</f>
        <v/>
      </c>
      <c r="J111" s="104" t="str">
        <f>IFERROR(IF(G111="kg",1,IF(G111="ton",1000,IF(G111=RIGHT(VLOOKUP(H111,Materialtabell[[#All],[Materialnamn]:[Enhet]],4,0),LEN(VLOOKUP(H111,Materialtabell[[#All],[Materialnamn]:[Enhet]],4,0))-3),VLOOKUP(H111,Materialtabell[[#All],[Materialnamn]:[Enhet]],3,0),"Enhetsfel"))),"")</f>
        <v/>
      </c>
      <c r="K111" s="105" t="str">
        <f>IFERROR(IF(G111="kg","kg/kg",IF(G111="ton","kg/ton",IF(RIGHT(VLOOKUP(H111,Materialtabell[[#All],[Materialnamn]:[Enhet]],4,0),LEN(VLOOKUP(H111,Materialtabell[[#All],[Materialnamn]:[Enhet]],4,0))-3)=G111,VLOOKUP(H111,Materialtabell[[#All],[Materialnamn]:[Enhet]],4,0),"kg/ton/"&amp;RIGHT(VLOOKUP(H111,Materialtabell[[#All],[Materialnamn]:[Enhet]],4,0),LEN(VLOOKUP(H111,Materialtabell[[#All],[Materialnamn]:[Enhet]],4,0))-3)))),"")</f>
        <v/>
      </c>
      <c r="L111" s="104" t="str">
        <f>IFERROR(KalkylStart[[#This Row],[Mängd]]*KalkylStart[[#This Row],[Omräknings-faktor]],"")</f>
        <v/>
      </c>
      <c r="M111" s="104" t="str">
        <f>IFERROR(F111*J111*VLOOKUP(H111,Materialtabell[[#All],[Materialnamn]:[Emissionsfaktor 2019
kg CO2e/kg]],5,0),"")</f>
        <v/>
      </c>
      <c r="N111" s="104" t="str">
        <f>IFERROR(F111*J111*VLOOKUP(H111,Materialtabell[[#All],[Materialnamn]:[Emissionsfaktor 2025
kg CO2e/kg]],6,0),"")</f>
        <v/>
      </c>
      <c r="O111" s="78" t="str">
        <f>IFERROR(VLOOKUP(H111,Materialtabell[[#All],[Materialnamn]:[Kommentar A4]],24,0),"")</f>
        <v/>
      </c>
      <c r="P111" s="94" t="str">
        <f>IFERROR(($F111*$J111*$O111*VLOOKUP($H111,Materialtabell[[#All],[Materialnamn]:[Bränsle 
MJ/ton, km]],25,0)*Materiallista!$AF$5)/1000,"")</f>
        <v/>
      </c>
      <c r="Q111" s="94" t="str">
        <f>IFERROR(($F111*$J111*$O111*VLOOKUP($H111,Materialtabell[[#All],[Materialnamn]:[Bränsle 
MJ/ton, km]],25,0)*Materiallista!$AF$6)/1000,"")</f>
        <v/>
      </c>
      <c r="R111" s="162"/>
      <c r="S111" s="3"/>
      <c r="T111" s="3"/>
    </row>
    <row r="112" spans="1:20" x14ac:dyDescent="0.25">
      <c r="A112" s="3"/>
      <c r="B112" s="185">
        <v>107</v>
      </c>
      <c r="C112" s="170"/>
      <c r="D112" s="103"/>
      <c r="E112" s="103"/>
      <c r="F112" s="78"/>
      <c r="G112" s="103"/>
      <c r="H112" s="102"/>
      <c r="I112" s="105" t="str">
        <f>IFERROR(VLOOKUP(KalkylStart[[#This Row],[Klimatmaterial]],Materialtabell[[#All],[Materialnamn]:[Materialtyp]],2,0),"")</f>
        <v/>
      </c>
      <c r="J112" s="104" t="str">
        <f>IFERROR(IF(G112="kg",1,IF(G112="ton",1000,IF(G112=RIGHT(VLOOKUP(H112,Materialtabell[[#All],[Materialnamn]:[Enhet]],4,0),LEN(VLOOKUP(H112,Materialtabell[[#All],[Materialnamn]:[Enhet]],4,0))-3),VLOOKUP(H112,Materialtabell[[#All],[Materialnamn]:[Enhet]],3,0),"Enhetsfel"))),"")</f>
        <v/>
      </c>
      <c r="K112" s="105" t="str">
        <f>IFERROR(IF(G112="kg","kg/kg",IF(G112="ton","kg/ton",IF(RIGHT(VLOOKUP(H112,Materialtabell[[#All],[Materialnamn]:[Enhet]],4,0),LEN(VLOOKUP(H112,Materialtabell[[#All],[Materialnamn]:[Enhet]],4,0))-3)=G112,VLOOKUP(H112,Materialtabell[[#All],[Materialnamn]:[Enhet]],4,0),"kg/ton/"&amp;RIGHT(VLOOKUP(H112,Materialtabell[[#All],[Materialnamn]:[Enhet]],4,0),LEN(VLOOKUP(H112,Materialtabell[[#All],[Materialnamn]:[Enhet]],4,0))-3)))),"")</f>
        <v/>
      </c>
      <c r="L112" s="104" t="str">
        <f>IFERROR(KalkylStart[[#This Row],[Mängd]]*KalkylStart[[#This Row],[Omräknings-faktor]],"")</f>
        <v/>
      </c>
      <c r="M112" s="104" t="str">
        <f>IFERROR(F112*J112*VLOOKUP(H112,Materialtabell[[#All],[Materialnamn]:[Emissionsfaktor 2019
kg CO2e/kg]],5,0),"")</f>
        <v/>
      </c>
      <c r="N112" s="104" t="str">
        <f>IFERROR(F112*J112*VLOOKUP(H112,Materialtabell[[#All],[Materialnamn]:[Emissionsfaktor 2025
kg CO2e/kg]],6,0),"")</f>
        <v/>
      </c>
      <c r="O112" s="78" t="str">
        <f>IFERROR(VLOOKUP(H112,Materialtabell[[#All],[Materialnamn]:[Kommentar A4]],24,0),"")</f>
        <v/>
      </c>
      <c r="P112" s="94" t="str">
        <f>IFERROR(($F112*$J112*$O112*VLOOKUP($H112,Materialtabell[[#All],[Materialnamn]:[Bränsle 
MJ/ton, km]],25,0)*Materiallista!$AF$5)/1000,"")</f>
        <v/>
      </c>
      <c r="Q112" s="94" t="str">
        <f>IFERROR(($F112*$J112*$O112*VLOOKUP($H112,Materialtabell[[#All],[Materialnamn]:[Bränsle 
MJ/ton, km]],25,0)*Materiallista!$AF$6)/1000,"")</f>
        <v/>
      </c>
      <c r="R112" s="162"/>
      <c r="S112" s="3"/>
      <c r="T112" s="3"/>
    </row>
    <row r="113" spans="1:20" x14ac:dyDescent="0.25">
      <c r="A113" s="3"/>
      <c r="B113" s="185">
        <v>108</v>
      </c>
      <c r="C113" s="170"/>
      <c r="D113" s="103"/>
      <c r="E113" s="103"/>
      <c r="F113" s="78"/>
      <c r="G113" s="103"/>
      <c r="H113" s="102"/>
      <c r="I113" s="105" t="str">
        <f>IFERROR(VLOOKUP(KalkylStart[[#This Row],[Klimatmaterial]],Materialtabell[[#All],[Materialnamn]:[Materialtyp]],2,0),"")</f>
        <v/>
      </c>
      <c r="J113" s="104" t="str">
        <f>IFERROR(IF(G113="kg",1,IF(G113="ton",1000,IF(G113=RIGHT(VLOOKUP(H113,Materialtabell[[#All],[Materialnamn]:[Enhet]],4,0),LEN(VLOOKUP(H113,Materialtabell[[#All],[Materialnamn]:[Enhet]],4,0))-3),VLOOKUP(H113,Materialtabell[[#All],[Materialnamn]:[Enhet]],3,0),"Enhetsfel"))),"")</f>
        <v/>
      </c>
      <c r="K113" s="105" t="str">
        <f>IFERROR(IF(G113="kg","kg/kg",IF(G113="ton","kg/ton",IF(RIGHT(VLOOKUP(H113,Materialtabell[[#All],[Materialnamn]:[Enhet]],4,0),LEN(VLOOKUP(H113,Materialtabell[[#All],[Materialnamn]:[Enhet]],4,0))-3)=G113,VLOOKUP(H113,Materialtabell[[#All],[Materialnamn]:[Enhet]],4,0),"kg/ton/"&amp;RIGHT(VLOOKUP(H113,Materialtabell[[#All],[Materialnamn]:[Enhet]],4,0),LEN(VLOOKUP(H113,Materialtabell[[#All],[Materialnamn]:[Enhet]],4,0))-3)))),"")</f>
        <v/>
      </c>
      <c r="L113" s="104" t="str">
        <f>IFERROR(KalkylStart[[#This Row],[Mängd]]*KalkylStart[[#This Row],[Omräknings-faktor]],"")</f>
        <v/>
      </c>
      <c r="M113" s="104" t="str">
        <f>IFERROR(F113*J113*VLOOKUP(H113,Materialtabell[[#All],[Materialnamn]:[Emissionsfaktor 2019
kg CO2e/kg]],5,0),"")</f>
        <v/>
      </c>
      <c r="N113" s="104" t="str">
        <f>IFERROR(F113*J113*VLOOKUP(H113,Materialtabell[[#All],[Materialnamn]:[Emissionsfaktor 2025
kg CO2e/kg]],6,0),"")</f>
        <v/>
      </c>
      <c r="O113" s="78" t="str">
        <f>IFERROR(VLOOKUP(H113,Materialtabell[[#All],[Materialnamn]:[Kommentar A4]],24,0),"")</f>
        <v/>
      </c>
      <c r="P113" s="94" t="str">
        <f>IFERROR(($F113*$J113*$O113*VLOOKUP($H113,Materialtabell[[#All],[Materialnamn]:[Bränsle 
MJ/ton, km]],25,0)*Materiallista!$AF$5)/1000,"")</f>
        <v/>
      </c>
      <c r="Q113" s="94" t="str">
        <f>IFERROR(($F113*$J113*$O113*VLOOKUP($H113,Materialtabell[[#All],[Materialnamn]:[Bränsle 
MJ/ton, km]],25,0)*Materiallista!$AF$6)/1000,"")</f>
        <v/>
      </c>
      <c r="R113" s="162"/>
      <c r="S113" s="3"/>
      <c r="T113" s="3"/>
    </row>
    <row r="114" spans="1:20" x14ac:dyDescent="0.25">
      <c r="A114" s="3"/>
      <c r="B114" s="185">
        <v>109</v>
      </c>
      <c r="C114" s="170"/>
      <c r="D114" s="103"/>
      <c r="E114" s="103"/>
      <c r="F114" s="78"/>
      <c r="G114" s="103"/>
      <c r="H114" s="102"/>
      <c r="I114" s="105" t="str">
        <f>IFERROR(VLOOKUP(KalkylStart[[#This Row],[Klimatmaterial]],Materialtabell[[#All],[Materialnamn]:[Materialtyp]],2,0),"")</f>
        <v/>
      </c>
      <c r="J114" s="104" t="str">
        <f>IFERROR(IF(G114="kg",1,IF(G114="ton",1000,IF(G114=RIGHT(VLOOKUP(H114,Materialtabell[[#All],[Materialnamn]:[Enhet]],4,0),LEN(VLOOKUP(H114,Materialtabell[[#All],[Materialnamn]:[Enhet]],4,0))-3),VLOOKUP(H114,Materialtabell[[#All],[Materialnamn]:[Enhet]],3,0),"Enhetsfel"))),"")</f>
        <v/>
      </c>
      <c r="K114" s="105" t="str">
        <f>IFERROR(IF(G114="kg","kg/kg",IF(G114="ton","kg/ton",IF(RIGHT(VLOOKUP(H114,Materialtabell[[#All],[Materialnamn]:[Enhet]],4,0),LEN(VLOOKUP(H114,Materialtabell[[#All],[Materialnamn]:[Enhet]],4,0))-3)=G114,VLOOKUP(H114,Materialtabell[[#All],[Materialnamn]:[Enhet]],4,0),"kg/ton/"&amp;RIGHT(VLOOKUP(H114,Materialtabell[[#All],[Materialnamn]:[Enhet]],4,0),LEN(VLOOKUP(H114,Materialtabell[[#All],[Materialnamn]:[Enhet]],4,0))-3)))),"")</f>
        <v/>
      </c>
      <c r="L114" s="104" t="str">
        <f>IFERROR(KalkylStart[[#This Row],[Mängd]]*KalkylStart[[#This Row],[Omräknings-faktor]],"")</f>
        <v/>
      </c>
      <c r="M114" s="104" t="str">
        <f>IFERROR(F114*J114*VLOOKUP(H114,Materialtabell[[#All],[Materialnamn]:[Emissionsfaktor 2019
kg CO2e/kg]],5,0),"")</f>
        <v/>
      </c>
      <c r="N114" s="104" t="str">
        <f>IFERROR(F114*J114*VLOOKUP(H114,Materialtabell[[#All],[Materialnamn]:[Emissionsfaktor 2025
kg CO2e/kg]],6,0),"")</f>
        <v/>
      </c>
      <c r="O114" s="78" t="str">
        <f>IFERROR(VLOOKUP(H114,Materialtabell[[#All],[Materialnamn]:[Kommentar A4]],24,0),"")</f>
        <v/>
      </c>
      <c r="P114" s="94" t="str">
        <f>IFERROR(($F114*$J114*$O114*VLOOKUP($H114,Materialtabell[[#All],[Materialnamn]:[Bränsle 
MJ/ton, km]],25,0)*Materiallista!$AF$5)/1000,"")</f>
        <v/>
      </c>
      <c r="Q114" s="94" t="str">
        <f>IFERROR(($F114*$J114*$O114*VLOOKUP($H114,Materialtabell[[#All],[Materialnamn]:[Bränsle 
MJ/ton, km]],25,0)*Materiallista!$AF$6)/1000,"")</f>
        <v/>
      </c>
      <c r="R114" s="162"/>
      <c r="S114" s="3"/>
      <c r="T114" s="3"/>
    </row>
    <row r="115" spans="1:20" x14ac:dyDescent="0.25">
      <c r="A115" s="3"/>
      <c r="B115" s="185">
        <v>110</v>
      </c>
      <c r="C115" s="170"/>
      <c r="D115" s="103"/>
      <c r="E115" s="103"/>
      <c r="F115" s="78"/>
      <c r="G115" s="103"/>
      <c r="H115" s="102"/>
      <c r="I115" s="105" t="str">
        <f>IFERROR(VLOOKUP(KalkylStart[[#This Row],[Klimatmaterial]],Materialtabell[[#All],[Materialnamn]:[Materialtyp]],2,0),"")</f>
        <v/>
      </c>
      <c r="J115" s="104" t="str">
        <f>IFERROR(IF(G115="kg",1,IF(G115="ton",1000,IF(G115=RIGHT(VLOOKUP(H115,Materialtabell[[#All],[Materialnamn]:[Enhet]],4,0),LEN(VLOOKUP(H115,Materialtabell[[#All],[Materialnamn]:[Enhet]],4,0))-3),VLOOKUP(H115,Materialtabell[[#All],[Materialnamn]:[Enhet]],3,0),"Enhetsfel"))),"")</f>
        <v/>
      </c>
      <c r="K115" s="105" t="str">
        <f>IFERROR(IF(G115="kg","kg/kg",IF(G115="ton","kg/ton",IF(RIGHT(VLOOKUP(H115,Materialtabell[[#All],[Materialnamn]:[Enhet]],4,0),LEN(VLOOKUP(H115,Materialtabell[[#All],[Materialnamn]:[Enhet]],4,0))-3)=G115,VLOOKUP(H115,Materialtabell[[#All],[Materialnamn]:[Enhet]],4,0),"kg/ton/"&amp;RIGHT(VLOOKUP(H115,Materialtabell[[#All],[Materialnamn]:[Enhet]],4,0),LEN(VLOOKUP(H115,Materialtabell[[#All],[Materialnamn]:[Enhet]],4,0))-3)))),"")</f>
        <v/>
      </c>
      <c r="L115" s="104" t="str">
        <f>IFERROR(KalkylStart[[#This Row],[Mängd]]*KalkylStart[[#This Row],[Omräknings-faktor]],"")</f>
        <v/>
      </c>
      <c r="M115" s="104" t="str">
        <f>IFERROR(F115*J115*VLOOKUP(H115,Materialtabell[[#All],[Materialnamn]:[Emissionsfaktor 2019
kg CO2e/kg]],5,0),"")</f>
        <v/>
      </c>
      <c r="N115" s="104" t="str">
        <f>IFERROR(F115*J115*VLOOKUP(H115,Materialtabell[[#All],[Materialnamn]:[Emissionsfaktor 2025
kg CO2e/kg]],6,0),"")</f>
        <v/>
      </c>
      <c r="O115" s="78" t="str">
        <f>IFERROR(VLOOKUP(H115,Materialtabell[[#All],[Materialnamn]:[Kommentar A4]],24,0),"")</f>
        <v/>
      </c>
      <c r="P115" s="94" t="str">
        <f>IFERROR(($F115*$J115*$O115*VLOOKUP($H115,Materialtabell[[#All],[Materialnamn]:[Bränsle 
MJ/ton, km]],25,0)*Materiallista!$AF$5)/1000,"")</f>
        <v/>
      </c>
      <c r="Q115" s="94" t="str">
        <f>IFERROR(($F115*$J115*$O115*VLOOKUP($H115,Materialtabell[[#All],[Materialnamn]:[Bränsle 
MJ/ton, km]],25,0)*Materiallista!$AF$6)/1000,"")</f>
        <v/>
      </c>
      <c r="R115" s="162"/>
      <c r="S115" s="3"/>
      <c r="T115" s="3"/>
    </row>
    <row r="116" spans="1:20" x14ac:dyDescent="0.25">
      <c r="A116" s="3"/>
      <c r="B116" s="185">
        <v>111</v>
      </c>
      <c r="C116" s="170"/>
      <c r="D116" s="103"/>
      <c r="E116" s="103"/>
      <c r="F116" s="78"/>
      <c r="G116" s="103"/>
      <c r="H116" s="102"/>
      <c r="I116" s="105" t="str">
        <f>IFERROR(VLOOKUP(KalkylStart[[#This Row],[Klimatmaterial]],Materialtabell[[#All],[Materialnamn]:[Materialtyp]],2,0),"")</f>
        <v/>
      </c>
      <c r="J116" s="104" t="str">
        <f>IFERROR(IF(G116="kg",1,IF(G116="ton",1000,IF(G116=RIGHT(VLOOKUP(H116,Materialtabell[[#All],[Materialnamn]:[Enhet]],4,0),LEN(VLOOKUP(H116,Materialtabell[[#All],[Materialnamn]:[Enhet]],4,0))-3),VLOOKUP(H116,Materialtabell[[#All],[Materialnamn]:[Enhet]],3,0),"Enhetsfel"))),"")</f>
        <v/>
      </c>
      <c r="K116" s="105" t="str">
        <f>IFERROR(IF(G116="kg","kg/kg",IF(G116="ton","kg/ton",IF(RIGHT(VLOOKUP(H116,Materialtabell[[#All],[Materialnamn]:[Enhet]],4,0),LEN(VLOOKUP(H116,Materialtabell[[#All],[Materialnamn]:[Enhet]],4,0))-3)=G116,VLOOKUP(H116,Materialtabell[[#All],[Materialnamn]:[Enhet]],4,0),"kg/ton/"&amp;RIGHT(VLOOKUP(H116,Materialtabell[[#All],[Materialnamn]:[Enhet]],4,0),LEN(VLOOKUP(H116,Materialtabell[[#All],[Materialnamn]:[Enhet]],4,0))-3)))),"")</f>
        <v/>
      </c>
      <c r="L116" s="104" t="str">
        <f>IFERROR(KalkylStart[[#This Row],[Mängd]]*KalkylStart[[#This Row],[Omräknings-faktor]],"")</f>
        <v/>
      </c>
      <c r="M116" s="104" t="str">
        <f>IFERROR(F116*J116*VLOOKUP(H116,Materialtabell[[#All],[Materialnamn]:[Emissionsfaktor 2019
kg CO2e/kg]],5,0),"")</f>
        <v/>
      </c>
      <c r="N116" s="104" t="str">
        <f>IFERROR(F116*J116*VLOOKUP(H116,Materialtabell[[#All],[Materialnamn]:[Emissionsfaktor 2025
kg CO2e/kg]],6,0),"")</f>
        <v/>
      </c>
      <c r="O116" s="78" t="str">
        <f>IFERROR(VLOOKUP(H116,Materialtabell[[#All],[Materialnamn]:[Kommentar A4]],24,0),"")</f>
        <v/>
      </c>
      <c r="P116" s="94" t="str">
        <f>IFERROR(($F116*$J116*$O116*VLOOKUP($H116,Materialtabell[[#All],[Materialnamn]:[Bränsle 
MJ/ton, km]],25,0)*Materiallista!$AF$5)/1000,"")</f>
        <v/>
      </c>
      <c r="Q116" s="94" t="str">
        <f>IFERROR(($F116*$J116*$O116*VLOOKUP($H116,Materialtabell[[#All],[Materialnamn]:[Bränsle 
MJ/ton, km]],25,0)*Materiallista!$AF$6)/1000,"")</f>
        <v/>
      </c>
      <c r="R116" s="162"/>
      <c r="S116" s="3"/>
      <c r="T116" s="3"/>
    </row>
    <row r="117" spans="1:20" x14ac:dyDescent="0.25">
      <c r="A117" s="3"/>
      <c r="B117" s="185">
        <v>112</v>
      </c>
      <c r="C117" s="170"/>
      <c r="D117" s="103"/>
      <c r="E117" s="103"/>
      <c r="F117" s="78"/>
      <c r="G117" s="103"/>
      <c r="H117" s="102"/>
      <c r="I117" s="105" t="str">
        <f>IFERROR(VLOOKUP(KalkylStart[[#This Row],[Klimatmaterial]],Materialtabell[[#All],[Materialnamn]:[Materialtyp]],2,0),"")</f>
        <v/>
      </c>
      <c r="J117" s="104" t="str">
        <f>IFERROR(IF(G117="kg",1,IF(G117="ton",1000,IF(G117=RIGHT(VLOOKUP(H117,Materialtabell[[#All],[Materialnamn]:[Enhet]],4,0),LEN(VLOOKUP(H117,Materialtabell[[#All],[Materialnamn]:[Enhet]],4,0))-3),VLOOKUP(H117,Materialtabell[[#All],[Materialnamn]:[Enhet]],3,0),"Enhetsfel"))),"")</f>
        <v/>
      </c>
      <c r="K117" s="105" t="str">
        <f>IFERROR(IF(G117="kg","kg/kg",IF(G117="ton","kg/ton",IF(RIGHT(VLOOKUP(H117,Materialtabell[[#All],[Materialnamn]:[Enhet]],4,0),LEN(VLOOKUP(H117,Materialtabell[[#All],[Materialnamn]:[Enhet]],4,0))-3)=G117,VLOOKUP(H117,Materialtabell[[#All],[Materialnamn]:[Enhet]],4,0),"kg/ton/"&amp;RIGHT(VLOOKUP(H117,Materialtabell[[#All],[Materialnamn]:[Enhet]],4,0),LEN(VLOOKUP(H117,Materialtabell[[#All],[Materialnamn]:[Enhet]],4,0))-3)))),"")</f>
        <v/>
      </c>
      <c r="L117" s="104" t="str">
        <f>IFERROR(KalkylStart[[#This Row],[Mängd]]*KalkylStart[[#This Row],[Omräknings-faktor]],"")</f>
        <v/>
      </c>
      <c r="M117" s="104" t="str">
        <f>IFERROR(F117*J117*VLOOKUP(H117,Materialtabell[[#All],[Materialnamn]:[Emissionsfaktor 2019
kg CO2e/kg]],5,0),"")</f>
        <v/>
      </c>
      <c r="N117" s="104" t="str">
        <f>IFERROR(F117*J117*VLOOKUP(H117,Materialtabell[[#All],[Materialnamn]:[Emissionsfaktor 2025
kg CO2e/kg]],6,0),"")</f>
        <v/>
      </c>
      <c r="O117" s="78" t="str">
        <f>IFERROR(VLOOKUP(H117,Materialtabell[[#All],[Materialnamn]:[Kommentar A4]],24,0),"")</f>
        <v/>
      </c>
      <c r="P117" s="94" t="str">
        <f>IFERROR(($F117*$J117*$O117*VLOOKUP($H117,Materialtabell[[#All],[Materialnamn]:[Bränsle 
MJ/ton, km]],25,0)*Materiallista!$AF$5)/1000,"")</f>
        <v/>
      </c>
      <c r="Q117" s="94" t="str">
        <f>IFERROR(($F117*$J117*$O117*VLOOKUP($H117,Materialtabell[[#All],[Materialnamn]:[Bränsle 
MJ/ton, km]],25,0)*Materiallista!$AF$6)/1000,"")</f>
        <v/>
      </c>
      <c r="R117" s="162"/>
      <c r="S117" s="3"/>
      <c r="T117" s="3"/>
    </row>
    <row r="118" spans="1:20" x14ac:dyDescent="0.25">
      <c r="A118" s="3"/>
      <c r="B118" s="185">
        <v>113</v>
      </c>
      <c r="C118" s="170"/>
      <c r="D118" s="103"/>
      <c r="E118" s="103"/>
      <c r="F118" s="78"/>
      <c r="G118" s="103"/>
      <c r="H118" s="102"/>
      <c r="I118" s="105" t="str">
        <f>IFERROR(VLOOKUP(KalkylStart[[#This Row],[Klimatmaterial]],Materialtabell[[#All],[Materialnamn]:[Materialtyp]],2,0),"")</f>
        <v/>
      </c>
      <c r="J118" s="104" t="str">
        <f>IFERROR(IF(G118="kg",1,IF(G118="ton",1000,IF(G118=RIGHT(VLOOKUP(H118,Materialtabell[[#All],[Materialnamn]:[Enhet]],4,0),LEN(VLOOKUP(H118,Materialtabell[[#All],[Materialnamn]:[Enhet]],4,0))-3),VLOOKUP(H118,Materialtabell[[#All],[Materialnamn]:[Enhet]],3,0),"Enhetsfel"))),"")</f>
        <v/>
      </c>
      <c r="K118" s="105" t="str">
        <f>IFERROR(IF(G118="kg","kg/kg",IF(G118="ton","kg/ton",IF(RIGHT(VLOOKUP(H118,Materialtabell[[#All],[Materialnamn]:[Enhet]],4,0),LEN(VLOOKUP(H118,Materialtabell[[#All],[Materialnamn]:[Enhet]],4,0))-3)=G118,VLOOKUP(H118,Materialtabell[[#All],[Materialnamn]:[Enhet]],4,0),"kg/ton/"&amp;RIGHT(VLOOKUP(H118,Materialtabell[[#All],[Materialnamn]:[Enhet]],4,0),LEN(VLOOKUP(H118,Materialtabell[[#All],[Materialnamn]:[Enhet]],4,0))-3)))),"")</f>
        <v/>
      </c>
      <c r="L118" s="104" t="str">
        <f>IFERROR(KalkylStart[[#This Row],[Mängd]]*KalkylStart[[#This Row],[Omräknings-faktor]],"")</f>
        <v/>
      </c>
      <c r="M118" s="104" t="str">
        <f>IFERROR(F118*J118*VLOOKUP(H118,Materialtabell[[#All],[Materialnamn]:[Emissionsfaktor 2019
kg CO2e/kg]],5,0),"")</f>
        <v/>
      </c>
      <c r="N118" s="104" t="str">
        <f>IFERROR(F118*J118*VLOOKUP(H118,Materialtabell[[#All],[Materialnamn]:[Emissionsfaktor 2025
kg CO2e/kg]],6,0),"")</f>
        <v/>
      </c>
      <c r="O118" s="78" t="str">
        <f>IFERROR(VLOOKUP(H118,Materialtabell[[#All],[Materialnamn]:[Kommentar A4]],24,0),"")</f>
        <v/>
      </c>
      <c r="P118" s="94" t="str">
        <f>IFERROR(($F118*$J118*$O118*VLOOKUP($H118,Materialtabell[[#All],[Materialnamn]:[Bränsle 
MJ/ton, km]],25,0)*Materiallista!$AF$5)/1000,"")</f>
        <v/>
      </c>
      <c r="Q118" s="94" t="str">
        <f>IFERROR(($F118*$J118*$O118*VLOOKUP($H118,Materialtabell[[#All],[Materialnamn]:[Bränsle 
MJ/ton, km]],25,0)*Materiallista!$AF$6)/1000,"")</f>
        <v/>
      </c>
      <c r="R118" s="162"/>
      <c r="S118" s="3"/>
      <c r="T118" s="3"/>
    </row>
    <row r="119" spans="1:20" x14ac:dyDescent="0.25">
      <c r="A119" s="3"/>
      <c r="B119" s="185">
        <v>114</v>
      </c>
      <c r="C119" s="170"/>
      <c r="D119" s="103"/>
      <c r="E119" s="103"/>
      <c r="F119" s="78"/>
      <c r="G119" s="103"/>
      <c r="H119" s="102"/>
      <c r="I119" s="105" t="str">
        <f>IFERROR(VLOOKUP(KalkylStart[[#This Row],[Klimatmaterial]],Materialtabell[[#All],[Materialnamn]:[Materialtyp]],2,0),"")</f>
        <v/>
      </c>
      <c r="J119" s="104" t="str">
        <f>IFERROR(IF(G119="kg",1,IF(G119="ton",1000,IF(G119=RIGHT(VLOOKUP(H119,Materialtabell[[#All],[Materialnamn]:[Enhet]],4,0),LEN(VLOOKUP(H119,Materialtabell[[#All],[Materialnamn]:[Enhet]],4,0))-3),VLOOKUP(H119,Materialtabell[[#All],[Materialnamn]:[Enhet]],3,0),"Enhetsfel"))),"")</f>
        <v/>
      </c>
      <c r="K119" s="105" t="str">
        <f>IFERROR(IF(G119="kg","kg/kg",IF(G119="ton","kg/ton",IF(RIGHT(VLOOKUP(H119,Materialtabell[[#All],[Materialnamn]:[Enhet]],4,0),LEN(VLOOKUP(H119,Materialtabell[[#All],[Materialnamn]:[Enhet]],4,0))-3)=G119,VLOOKUP(H119,Materialtabell[[#All],[Materialnamn]:[Enhet]],4,0),"kg/ton/"&amp;RIGHT(VLOOKUP(H119,Materialtabell[[#All],[Materialnamn]:[Enhet]],4,0),LEN(VLOOKUP(H119,Materialtabell[[#All],[Materialnamn]:[Enhet]],4,0))-3)))),"")</f>
        <v/>
      </c>
      <c r="L119" s="104" t="str">
        <f>IFERROR(KalkylStart[[#This Row],[Mängd]]*KalkylStart[[#This Row],[Omräknings-faktor]],"")</f>
        <v/>
      </c>
      <c r="M119" s="104" t="str">
        <f>IFERROR(F119*J119*VLOOKUP(H119,Materialtabell[[#All],[Materialnamn]:[Emissionsfaktor 2019
kg CO2e/kg]],5,0),"")</f>
        <v/>
      </c>
      <c r="N119" s="104" t="str">
        <f>IFERROR(F119*J119*VLOOKUP(H119,Materialtabell[[#All],[Materialnamn]:[Emissionsfaktor 2025
kg CO2e/kg]],6,0),"")</f>
        <v/>
      </c>
      <c r="O119" s="78" t="str">
        <f>IFERROR(VLOOKUP(H119,Materialtabell[[#All],[Materialnamn]:[Kommentar A4]],24,0),"")</f>
        <v/>
      </c>
      <c r="P119" s="94" t="str">
        <f>IFERROR(($F119*$J119*$O119*VLOOKUP($H119,Materialtabell[[#All],[Materialnamn]:[Bränsle 
MJ/ton, km]],25,0)*Materiallista!$AF$5)/1000,"")</f>
        <v/>
      </c>
      <c r="Q119" s="94" t="str">
        <f>IFERROR(($F119*$J119*$O119*VLOOKUP($H119,Materialtabell[[#All],[Materialnamn]:[Bränsle 
MJ/ton, km]],25,0)*Materiallista!$AF$6)/1000,"")</f>
        <v/>
      </c>
      <c r="R119" s="162"/>
      <c r="S119" s="3"/>
      <c r="T119" s="3"/>
    </row>
    <row r="120" spans="1:20" x14ac:dyDescent="0.25">
      <c r="A120" s="3"/>
      <c r="B120" s="185">
        <v>115</v>
      </c>
      <c r="C120" s="170"/>
      <c r="D120" s="103"/>
      <c r="E120" s="103"/>
      <c r="F120" s="78"/>
      <c r="G120" s="103"/>
      <c r="H120" s="102"/>
      <c r="I120" s="105" t="str">
        <f>IFERROR(VLOOKUP(KalkylStart[[#This Row],[Klimatmaterial]],Materialtabell[[#All],[Materialnamn]:[Materialtyp]],2,0),"")</f>
        <v/>
      </c>
      <c r="J120" s="104" t="str">
        <f>IFERROR(IF(G120="kg",1,IF(G120="ton",1000,IF(G120=RIGHT(VLOOKUP(H120,Materialtabell[[#All],[Materialnamn]:[Enhet]],4,0),LEN(VLOOKUP(H120,Materialtabell[[#All],[Materialnamn]:[Enhet]],4,0))-3),VLOOKUP(H120,Materialtabell[[#All],[Materialnamn]:[Enhet]],3,0),"Enhetsfel"))),"")</f>
        <v/>
      </c>
      <c r="K120" s="105" t="str">
        <f>IFERROR(IF(G120="kg","kg/kg",IF(G120="ton","kg/ton",IF(RIGHT(VLOOKUP(H120,Materialtabell[[#All],[Materialnamn]:[Enhet]],4,0),LEN(VLOOKUP(H120,Materialtabell[[#All],[Materialnamn]:[Enhet]],4,0))-3)=G120,VLOOKUP(H120,Materialtabell[[#All],[Materialnamn]:[Enhet]],4,0),"kg/ton/"&amp;RIGHT(VLOOKUP(H120,Materialtabell[[#All],[Materialnamn]:[Enhet]],4,0),LEN(VLOOKUP(H120,Materialtabell[[#All],[Materialnamn]:[Enhet]],4,0))-3)))),"")</f>
        <v/>
      </c>
      <c r="L120" s="104" t="str">
        <f>IFERROR(KalkylStart[[#This Row],[Mängd]]*KalkylStart[[#This Row],[Omräknings-faktor]],"")</f>
        <v/>
      </c>
      <c r="M120" s="104" t="str">
        <f>IFERROR(F120*J120*VLOOKUP(H120,Materialtabell[[#All],[Materialnamn]:[Emissionsfaktor 2019
kg CO2e/kg]],5,0),"")</f>
        <v/>
      </c>
      <c r="N120" s="104" t="str">
        <f>IFERROR(F120*J120*VLOOKUP(H120,Materialtabell[[#All],[Materialnamn]:[Emissionsfaktor 2025
kg CO2e/kg]],6,0),"")</f>
        <v/>
      </c>
      <c r="O120" s="78" t="str">
        <f>IFERROR(VLOOKUP(H120,Materialtabell[[#All],[Materialnamn]:[Kommentar A4]],24,0),"")</f>
        <v/>
      </c>
      <c r="P120" s="94" t="str">
        <f>IFERROR(($F120*$J120*$O120*VLOOKUP($H120,Materialtabell[[#All],[Materialnamn]:[Bränsle 
MJ/ton, km]],25,0)*Materiallista!$AF$5)/1000,"")</f>
        <v/>
      </c>
      <c r="Q120" s="94" t="str">
        <f>IFERROR(($F120*$J120*$O120*VLOOKUP($H120,Materialtabell[[#All],[Materialnamn]:[Bränsle 
MJ/ton, km]],25,0)*Materiallista!$AF$6)/1000,"")</f>
        <v/>
      </c>
      <c r="R120" s="162"/>
      <c r="S120" s="3"/>
      <c r="T120" s="3"/>
    </row>
    <row r="121" spans="1:20" x14ac:dyDescent="0.25">
      <c r="A121" s="3"/>
      <c r="B121" s="185">
        <v>116</v>
      </c>
      <c r="C121" s="170"/>
      <c r="D121" s="103"/>
      <c r="E121" s="103"/>
      <c r="F121" s="78"/>
      <c r="G121" s="103"/>
      <c r="H121" s="102"/>
      <c r="I121" s="105" t="str">
        <f>IFERROR(VLOOKUP(KalkylStart[[#This Row],[Klimatmaterial]],Materialtabell[[#All],[Materialnamn]:[Materialtyp]],2,0),"")</f>
        <v/>
      </c>
      <c r="J121" s="104" t="str">
        <f>IFERROR(IF(G121="kg",1,IF(G121="ton",1000,IF(G121=RIGHT(VLOOKUP(H121,Materialtabell[[#All],[Materialnamn]:[Enhet]],4,0),LEN(VLOOKUP(H121,Materialtabell[[#All],[Materialnamn]:[Enhet]],4,0))-3),VLOOKUP(H121,Materialtabell[[#All],[Materialnamn]:[Enhet]],3,0),"Enhetsfel"))),"")</f>
        <v/>
      </c>
      <c r="K121" s="105" t="str">
        <f>IFERROR(IF(G121="kg","kg/kg",IF(G121="ton","kg/ton",IF(RIGHT(VLOOKUP(H121,Materialtabell[[#All],[Materialnamn]:[Enhet]],4,0),LEN(VLOOKUP(H121,Materialtabell[[#All],[Materialnamn]:[Enhet]],4,0))-3)=G121,VLOOKUP(H121,Materialtabell[[#All],[Materialnamn]:[Enhet]],4,0),"kg/ton/"&amp;RIGHT(VLOOKUP(H121,Materialtabell[[#All],[Materialnamn]:[Enhet]],4,0),LEN(VLOOKUP(H121,Materialtabell[[#All],[Materialnamn]:[Enhet]],4,0))-3)))),"")</f>
        <v/>
      </c>
      <c r="L121" s="104" t="str">
        <f>IFERROR(KalkylStart[[#This Row],[Mängd]]*KalkylStart[[#This Row],[Omräknings-faktor]],"")</f>
        <v/>
      </c>
      <c r="M121" s="104" t="str">
        <f>IFERROR(F121*J121*VLOOKUP(H121,Materialtabell[[#All],[Materialnamn]:[Emissionsfaktor 2019
kg CO2e/kg]],5,0),"")</f>
        <v/>
      </c>
      <c r="N121" s="104" t="str">
        <f>IFERROR(F121*J121*VLOOKUP(H121,Materialtabell[[#All],[Materialnamn]:[Emissionsfaktor 2025
kg CO2e/kg]],6,0),"")</f>
        <v/>
      </c>
      <c r="O121" s="78" t="str">
        <f>IFERROR(VLOOKUP(H121,Materialtabell[[#All],[Materialnamn]:[Kommentar A4]],24,0),"")</f>
        <v/>
      </c>
      <c r="P121" s="94" t="str">
        <f>IFERROR(($F121*$J121*$O121*VLOOKUP($H121,Materialtabell[[#All],[Materialnamn]:[Bränsle 
MJ/ton, km]],25,0)*Materiallista!$AF$5)/1000,"")</f>
        <v/>
      </c>
      <c r="Q121" s="94" t="str">
        <f>IFERROR(($F121*$J121*$O121*VLOOKUP($H121,Materialtabell[[#All],[Materialnamn]:[Bränsle 
MJ/ton, km]],25,0)*Materiallista!$AF$6)/1000,"")</f>
        <v/>
      </c>
      <c r="R121" s="162"/>
      <c r="S121" s="3"/>
      <c r="T121" s="3"/>
    </row>
    <row r="122" spans="1:20" x14ac:dyDescent="0.25">
      <c r="A122" s="3"/>
      <c r="B122" s="185">
        <v>117</v>
      </c>
      <c r="C122" s="170"/>
      <c r="D122" s="103"/>
      <c r="E122" s="103"/>
      <c r="F122" s="78"/>
      <c r="G122" s="103"/>
      <c r="H122" s="102"/>
      <c r="I122" s="105" t="str">
        <f>IFERROR(VLOOKUP(KalkylStart[[#This Row],[Klimatmaterial]],Materialtabell[[#All],[Materialnamn]:[Materialtyp]],2,0),"")</f>
        <v/>
      </c>
      <c r="J122" s="104" t="str">
        <f>IFERROR(IF(G122="kg",1,IF(G122="ton",1000,IF(G122=RIGHT(VLOOKUP(H122,Materialtabell[[#All],[Materialnamn]:[Enhet]],4,0),LEN(VLOOKUP(H122,Materialtabell[[#All],[Materialnamn]:[Enhet]],4,0))-3),VLOOKUP(H122,Materialtabell[[#All],[Materialnamn]:[Enhet]],3,0),"Enhetsfel"))),"")</f>
        <v/>
      </c>
      <c r="K122" s="105" t="str">
        <f>IFERROR(IF(G122="kg","kg/kg",IF(G122="ton","kg/ton",IF(RIGHT(VLOOKUP(H122,Materialtabell[[#All],[Materialnamn]:[Enhet]],4,0),LEN(VLOOKUP(H122,Materialtabell[[#All],[Materialnamn]:[Enhet]],4,0))-3)=G122,VLOOKUP(H122,Materialtabell[[#All],[Materialnamn]:[Enhet]],4,0),"kg/ton/"&amp;RIGHT(VLOOKUP(H122,Materialtabell[[#All],[Materialnamn]:[Enhet]],4,0),LEN(VLOOKUP(H122,Materialtabell[[#All],[Materialnamn]:[Enhet]],4,0))-3)))),"")</f>
        <v/>
      </c>
      <c r="L122" s="104" t="str">
        <f>IFERROR(KalkylStart[[#This Row],[Mängd]]*KalkylStart[[#This Row],[Omräknings-faktor]],"")</f>
        <v/>
      </c>
      <c r="M122" s="104" t="str">
        <f>IFERROR(F122*J122*VLOOKUP(H122,Materialtabell[[#All],[Materialnamn]:[Emissionsfaktor 2019
kg CO2e/kg]],5,0),"")</f>
        <v/>
      </c>
      <c r="N122" s="104" t="str">
        <f>IFERROR(F122*J122*VLOOKUP(H122,Materialtabell[[#All],[Materialnamn]:[Emissionsfaktor 2025
kg CO2e/kg]],6,0),"")</f>
        <v/>
      </c>
      <c r="O122" s="78" t="str">
        <f>IFERROR(VLOOKUP(H122,Materialtabell[[#All],[Materialnamn]:[Kommentar A4]],24,0),"")</f>
        <v/>
      </c>
      <c r="P122" s="94" t="str">
        <f>IFERROR(($F122*$J122*$O122*VLOOKUP($H122,Materialtabell[[#All],[Materialnamn]:[Bränsle 
MJ/ton, km]],25,0)*Materiallista!$AF$5)/1000,"")</f>
        <v/>
      </c>
      <c r="Q122" s="94" t="str">
        <f>IFERROR(($F122*$J122*$O122*VLOOKUP($H122,Materialtabell[[#All],[Materialnamn]:[Bränsle 
MJ/ton, km]],25,0)*Materiallista!$AF$6)/1000,"")</f>
        <v/>
      </c>
      <c r="R122" s="162"/>
      <c r="S122" s="3"/>
      <c r="T122" s="3"/>
    </row>
    <row r="123" spans="1:20" x14ac:dyDescent="0.25">
      <c r="A123" s="3"/>
      <c r="B123" s="185">
        <v>118</v>
      </c>
      <c r="C123" s="170"/>
      <c r="D123" s="103"/>
      <c r="E123" s="103"/>
      <c r="F123" s="78"/>
      <c r="G123" s="103"/>
      <c r="H123" s="102"/>
      <c r="I123" s="105" t="str">
        <f>IFERROR(VLOOKUP(KalkylStart[[#This Row],[Klimatmaterial]],Materialtabell[[#All],[Materialnamn]:[Materialtyp]],2,0),"")</f>
        <v/>
      </c>
      <c r="J123" s="104" t="str">
        <f>IFERROR(IF(G123="kg",1,IF(G123="ton",1000,IF(G123=RIGHT(VLOOKUP(H123,Materialtabell[[#All],[Materialnamn]:[Enhet]],4,0),LEN(VLOOKUP(H123,Materialtabell[[#All],[Materialnamn]:[Enhet]],4,0))-3),VLOOKUP(H123,Materialtabell[[#All],[Materialnamn]:[Enhet]],3,0),"Enhetsfel"))),"")</f>
        <v/>
      </c>
      <c r="K123" s="105" t="str">
        <f>IFERROR(IF(G123="kg","kg/kg",IF(G123="ton","kg/ton",IF(RIGHT(VLOOKUP(H123,Materialtabell[[#All],[Materialnamn]:[Enhet]],4,0),LEN(VLOOKUP(H123,Materialtabell[[#All],[Materialnamn]:[Enhet]],4,0))-3)=G123,VLOOKUP(H123,Materialtabell[[#All],[Materialnamn]:[Enhet]],4,0),"kg/ton/"&amp;RIGHT(VLOOKUP(H123,Materialtabell[[#All],[Materialnamn]:[Enhet]],4,0),LEN(VLOOKUP(H123,Materialtabell[[#All],[Materialnamn]:[Enhet]],4,0))-3)))),"")</f>
        <v/>
      </c>
      <c r="L123" s="104" t="str">
        <f>IFERROR(KalkylStart[[#This Row],[Mängd]]*KalkylStart[[#This Row],[Omräknings-faktor]],"")</f>
        <v/>
      </c>
      <c r="M123" s="104" t="str">
        <f>IFERROR(F123*J123*VLOOKUP(H123,Materialtabell[[#All],[Materialnamn]:[Emissionsfaktor 2019
kg CO2e/kg]],5,0),"")</f>
        <v/>
      </c>
      <c r="N123" s="104" t="str">
        <f>IFERROR(F123*J123*VLOOKUP(H123,Materialtabell[[#All],[Materialnamn]:[Emissionsfaktor 2025
kg CO2e/kg]],6,0),"")</f>
        <v/>
      </c>
      <c r="O123" s="78" t="str">
        <f>IFERROR(VLOOKUP(H123,Materialtabell[[#All],[Materialnamn]:[Kommentar A4]],24,0),"")</f>
        <v/>
      </c>
      <c r="P123" s="94" t="str">
        <f>IFERROR(($F123*$J123*$O123*VLOOKUP($H123,Materialtabell[[#All],[Materialnamn]:[Bränsle 
MJ/ton, km]],25,0)*Materiallista!$AF$5)/1000,"")</f>
        <v/>
      </c>
      <c r="Q123" s="94" t="str">
        <f>IFERROR(($F123*$J123*$O123*VLOOKUP($H123,Materialtabell[[#All],[Materialnamn]:[Bränsle 
MJ/ton, km]],25,0)*Materiallista!$AF$6)/1000,"")</f>
        <v/>
      </c>
      <c r="R123" s="162"/>
      <c r="S123" s="3"/>
      <c r="T123" s="3"/>
    </row>
    <row r="124" spans="1:20" x14ac:dyDescent="0.25">
      <c r="A124" s="3"/>
      <c r="B124" s="185">
        <v>119</v>
      </c>
      <c r="C124" s="170"/>
      <c r="D124" s="103"/>
      <c r="E124" s="103"/>
      <c r="F124" s="78"/>
      <c r="G124" s="103"/>
      <c r="H124" s="102"/>
      <c r="I124" s="105" t="str">
        <f>IFERROR(VLOOKUP(KalkylStart[[#This Row],[Klimatmaterial]],Materialtabell[[#All],[Materialnamn]:[Materialtyp]],2,0),"")</f>
        <v/>
      </c>
      <c r="J124" s="104" t="str">
        <f>IFERROR(IF(G124="kg",1,IF(G124="ton",1000,IF(G124=RIGHT(VLOOKUP(H124,Materialtabell[[#All],[Materialnamn]:[Enhet]],4,0),LEN(VLOOKUP(H124,Materialtabell[[#All],[Materialnamn]:[Enhet]],4,0))-3),VLOOKUP(H124,Materialtabell[[#All],[Materialnamn]:[Enhet]],3,0),"Enhetsfel"))),"")</f>
        <v/>
      </c>
      <c r="K124" s="105" t="str">
        <f>IFERROR(IF(G124="kg","kg/kg",IF(G124="ton","kg/ton",IF(RIGHT(VLOOKUP(H124,Materialtabell[[#All],[Materialnamn]:[Enhet]],4,0),LEN(VLOOKUP(H124,Materialtabell[[#All],[Materialnamn]:[Enhet]],4,0))-3)=G124,VLOOKUP(H124,Materialtabell[[#All],[Materialnamn]:[Enhet]],4,0),"kg/ton/"&amp;RIGHT(VLOOKUP(H124,Materialtabell[[#All],[Materialnamn]:[Enhet]],4,0),LEN(VLOOKUP(H124,Materialtabell[[#All],[Materialnamn]:[Enhet]],4,0))-3)))),"")</f>
        <v/>
      </c>
      <c r="L124" s="104" t="str">
        <f>IFERROR(KalkylStart[[#This Row],[Mängd]]*KalkylStart[[#This Row],[Omräknings-faktor]],"")</f>
        <v/>
      </c>
      <c r="M124" s="104" t="str">
        <f>IFERROR(F124*J124*VLOOKUP(H124,Materialtabell[[#All],[Materialnamn]:[Emissionsfaktor 2019
kg CO2e/kg]],5,0),"")</f>
        <v/>
      </c>
      <c r="N124" s="104" t="str">
        <f>IFERROR(F124*J124*VLOOKUP(H124,Materialtabell[[#All],[Materialnamn]:[Emissionsfaktor 2025
kg CO2e/kg]],6,0),"")</f>
        <v/>
      </c>
      <c r="O124" s="78" t="str">
        <f>IFERROR(VLOOKUP(H124,Materialtabell[[#All],[Materialnamn]:[Kommentar A4]],24,0),"")</f>
        <v/>
      </c>
      <c r="P124" s="94" t="str">
        <f>IFERROR(($F124*$J124*$O124*VLOOKUP($H124,Materialtabell[[#All],[Materialnamn]:[Bränsle 
MJ/ton, km]],25,0)*Materiallista!$AF$5)/1000,"")</f>
        <v/>
      </c>
      <c r="Q124" s="94" t="str">
        <f>IFERROR(($F124*$J124*$O124*VLOOKUP($H124,Materialtabell[[#All],[Materialnamn]:[Bränsle 
MJ/ton, km]],25,0)*Materiallista!$AF$6)/1000,"")</f>
        <v/>
      </c>
      <c r="R124" s="162"/>
      <c r="S124" s="3"/>
      <c r="T124" s="3"/>
    </row>
    <row r="125" spans="1:20" x14ac:dyDescent="0.25">
      <c r="A125" s="3"/>
      <c r="B125" s="185">
        <v>120</v>
      </c>
      <c r="C125" s="170"/>
      <c r="D125" s="103"/>
      <c r="E125" s="103"/>
      <c r="F125" s="78"/>
      <c r="G125" s="103"/>
      <c r="H125" s="102"/>
      <c r="I125" s="105" t="str">
        <f>IFERROR(VLOOKUP(KalkylStart[[#This Row],[Klimatmaterial]],Materialtabell[[#All],[Materialnamn]:[Materialtyp]],2,0),"")</f>
        <v/>
      </c>
      <c r="J125" s="104" t="str">
        <f>IFERROR(IF(G125="kg",1,IF(G125="ton",1000,IF(G125=RIGHT(VLOOKUP(H125,Materialtabell[[#All],[Materialnamn]:[Enhet]],4,0),LEN(VLOOKUP(H125,Materialtabell[[#All],[Materialnamn]:[Enhet]],4,0))-3),VLOOKUP(H125,Materialtabell[[#All],[Materialnamn]:[Enhet]],3,0),"Enhetsfel"))),"")</f>
        <v/>
      </c>
      <c r="K125" s="105" t="str">
        <f>IFERROR(IF(G125="kg","kg/kg",IF(G125="ton","kg/ton",IF(RIGHT(VLOOKUP(H125,Materialtabell[[#All],[Materialnamn]:[Enhet]],4,0),LEN(VLOOKUP(H125,Materialtabell[[#All],[Materialnamn]:[Enhet]],4,0))-3)=G125,VLOOKUP(H125,Materialtabell[[#All],[Materialnamn]:[Enhet]],4,0),"kg/ton/"&amp;RIGHT(VLOOKUP(H125,Materialtabell[[#All],[Materialnamn]:[Enhet]],4,0),LEN(VLOOKUP(H125,Materialtabell[[#All],[Materialnamn]:[Enhet]],4,0))-3)))),"")</f>
        <v/>
      </c>
      <c r="L125" s="104" t="str">
        <f>IFERROR(KalkylStart[[#This Row],[Mängd]]*KalkylStart[[#This Row],[Omräknings-faktor]],"")</f>
        <v/>
      </c>
      <c r="M125" s="104" t="str">
        <f>IFERROR(F125*J125*VLOOKUP(H125,Materialtabell[[#All],[Materialnamn]:[Emissionsfaktor 2019
kg CO2e/kg]],5,0),"")</f>
        <v/>
      </c>
      <c r="N125" s="104" t="str">
        <f>IFERROR(F125*J125*VLOOKUP(H125,Materialtabell[[#All],[Materialnamn]:[Emissionsfaktor 2025
kg CO2e/kg]],6,0),"")</f>
        <v/>
      </c>
      <c r="O125" s="78" t="str">
        <f>IFERROR(VLOOKUP(H125,Materialtabell[[#All],[Materialnamn]:[Kommentar A4]],24,0),"")</f>
        <v/>
      </c>
      <c r="P125" s="94" t="str">
        <f>IFERROR(($F125*$J125*$O125*VLOOKUP($H125,Materialtabell[[#All],[Materialnamn]:[Bränsle 
MJ/ton, km]],25,0)*Materiallista!$AF$5)/1000,"")</f>
        <v/>
      </c>
      <c r="Q125" s="94" t="str">
        <f>IFERROR(($F125*$J125*$O125*VLOOKUP($H125,Materialtabell[[#All],[Materialnamn]:[Bränsle 
MJ/ton, km]],25,0)*Materiallista!$AF$6)/1000,"")</f>
        <v/>
      </c>
      <c r="R125" s="162"/>
      <c r="S125" s="3"/>
      <c r="T125" s="3"/>
    </row>
    <row r="126" spans="1:20" x14ac:dyDescent="0.25">
      <c r="A126" s="3"/>
      <c r="B126" s="185">
        <v>121</v>
      </c>
      <c r="C126" s="170"/>
      <c r="D126" s="103"/>
      <c r="E126" s="103"/>
      <c r="F126" s="78"/>
      <c r="G126" s="103"/>
      <c r="H126" s="102"/>
      <c r="I126" s="105" t="str">
        <f>IFERROR(VLOOKUP(KalkylStart[[#This Row],[Klimatmaterial]],Materialtabell[[#All],[Materialnamn]:[Materialtyp]],2,0),"")</f>
        <v/>
      </c>
      <c r="J126" s="104" t="str">
        <f>IFERROR(IF(G126="kg",1,IF(G126="ton",1000,IF(G126=RIGHT(VLOOKUP(H126,Materialtabell[[#All],[Materialnamn]:[Enhet]],4,0),LEN(VLOOKUP(H126,Materialtabell[[#All],[Materialnamn]:[Enhet]],4,0))-3),VLOOKUP(H126,Materialtabell[[#All],[Materialnamn]:[Enhet]],3,0),"Enhetsfel"))),"")</f>
        <v/>
      </c>
      <c r="K126" s="105" t="str">
        <f>IFERROR(IF(G126="kg","kg/kg",IF(G126="ton","kg/ton",IF(RIGHT(VLOOKUP(H126,Materialtabell[[#All],[Materialnamn]:[Enhet]],4,0),LEN(VLOOKUP(H126,Materialtabell[[#All],[Materialnamn]:[Enhet]],4,0))-3)=G126,VLOOKUP(H126,Materialtabell[[#All],[Materialnamn]:[Enhet]],4,0),"kg/ton/"&amp;RIGHT(VLOOKUP(H126,Materialtabell[[#All],[Materialnamn]:[Enhet]],4,0),LEN(VLOOKUP(H126,Materialtabell[[#All],[Materialnamn]:[Enhet]],4,0))-3)))),"")</f>
        <v/>
      </c>
      <c r="L126" s="104" t="str">
        <f>IFERROR(KalkylStart[[#This Row],[Mängd]]*KalkylStart[[#This Row],[Omräknings-faktor]],"")</f>
        <v/>
      </c>
      <c r="M126" s="104" t="str">
        <f>IFERROR(F126*J126*VLOOKUP(H126,Materialtabell[[#All],[Materialnamn]:[Emissionsfaktor 2019
kg CO2e/kg]],5,0),"")</f>
        <v/>
      </c>
      <c r="N126" s="104" t="str">
        <f>IFERROR(F126*J126*VLOOKUP(H126,Materialtabell[[#All],[Materialnamn]:[Emissionsfaktor 2025
kg CO2e/kg]],6,0),"")</f>
        <v/>
      </c>
      <c r="O126" s="78" t="str">
        <f>IFERROR(VLOOKUP(H126,Materialtabell[[#All],[Materialnamn]:[Kommentar A4]],24,0),"")</f>
        <v/>
      </c>
      <c r="P126" s="94" t="str">
        <f>IFERROR(($F126*$J126*$O126*VLOOKUP($H126,Materialtabell[[#All],[Materialnamn]:[Bränsle 
MJ/ton, km]],25,0)*Materiallista!$AF$5)/1000,"")</f>
        <v/>
      </c>
      <c r="Q126" s="94" t="str">
        <f>IFERROR(($F126*$J126*$O126*VLOOKUP($H126,Materialtabell[[#All],[Materialnamn]:[Bränsle 
MJ/ton, km]],25,0)*Materiallista!$AF$6)/1000,"")</f>
        <v/>
      </c>
      <c r="R126" s="162"/>
      <c r="S126" s="3"/>
      <c r="T126" s="3"/>
    </row>
    <row r="127" spans="1:20" x14ac:dyDescent="0.25">
      <c r="A127" s="3"/>
      <c r="B127" s="185">
        <v>122</v>
      </c>
      <c r="C127" s="170"/>
      <c r="D127" s="103"/>
      <c r="E127" s="103"/>
      <c r="F127" s="78"/>
      <c r="G127" s="103"/>
      <c r="H127" s="102"/>
      <c r="I127" s="105" t="str">
        <f>IFERROR(VLOOKUP(KalkylStart[[#This Row],[Klimatmaterial]],Materialtabell[[#All],[Materialnamn]:[Materialtyp]],2,0),"")</f>
        <v/>
      </c>
      <c r="J127" s="104" t="str">
        <f>IFERROR(IF(G127="kg",1,IF(G127="ton",1000,IF(G127=RIGHT(VLOOKUP(H127,Materialtabell[[#All],[Materialnamn]:[Enhet]],4,0),LEN(VLOOKUP(H127,Materialtabell[[#All],[Materialnamn]:[Enhet]],4,0))-3),VLOOKUP(H127,Materialtabell[[#All],[Materialnamn]:[Enhet]],3,0),"Enhetsfel"))),"")</f>
        <v/>
      </c>
      <c r="K127" s="105" t="str">
        <f>IFERROR(IF(G127="kg","kg/kg",IF(G127="ton","kg/ton",IF(RIGHT(VLOOKUP(H127,Materialtabell[[#All],[Materialnamn]:[Enhet]],4,0),LEN(VLOOKUP(H127,Materialtabell[[#All],[Materialnamn]:[Enhet]],4,0))-3)=G127,VLOOKUP(H127,Materialtabell[[#All],[Materialnamn]:[Enhet]],4,0),"kg/ton/"&amp;RIGHT(VLOOKUP(H127,Materialtabell[[#All],[Materialnamn]:[Enhet]],4,0),LEN(VLOOKUP(H127,Materialtabell[[#All],[Materialnamn]:[Enhet]],4,0))-3)))),"")</f>
        <v/>
      </c>
      <c r="L127" s="104" t="str">
        <f>IFERROR(KalkylStart[[#This Row],[Mängd]]*KalkylStart[[#This Row],[Omräknings-faktor]],"")</f>
        <v/>
      </c>
      <c r="M127" s="104" t="str">
        <f>IFERROR(F127*J127*VLOOKUP(H127,Materialtabell[[#All],[Materialnamn]:[Emissionsfaktor 2019
kg CO2e/kg]],5,0),"")</f>
        <v/>
      </c>
      <c r="N127" s="104" t="str">
        <f>IFERROR(F127*J127*VLOOKUP(H127,Materialtabell[[#All],[Materialnamn]:[Emissionsfaktor 2025
kg CO2e/kg]],6,0),"")</f>
        <v/>
      </c>
      <c r="O127" s="78" t="str">
        <f>IFERROR(VLOOKUP(H127,Materialtabell[[#All],[Materialnamn]:[Kommentar A4]],24,0),"")</f>
        <v/>
      </c>
      <c r="P127" s="94" t="str">
        <f>IFERROR(($F127*$J127*$O127*VLOOKUP($H127,Materialtabell[[#All],[Materialnamn]:[Bränsle 
MJ/ton, km]],25,0)*Materiallista!$AF$5)/1000,"")</f>
        <v/>
      </c>
      <c r="Q127" s="94" t="str">
        <f>IFERROR(($F127*$J127*$O127*VLOOKUP($H127,Materialtabell[[#All],[Materialnamn]:[Bränsle 
MJ/ton, km]],25,0)*Materiallista!$AF$6)/1000,"")</f>
        <v/>
      </c>
      <c r="R127" s="162"/>
      <c r="S127" s="3"/>
      <c r="T127" s="3"/>
    </row>
    <row r="128" spans="1:20" x14ac:dyDescent="0.25">
      <c r="A128" s="3"/>
      <c r="B128" s="185">
        <v>123</v>
      </c>
      <c r="C128" s="170"/>
      <c r="D128" s="103"/>
      <c r="E128" s="103"/>
      <c r="F128" s="78"/>
      <c r="G128" s="103"/>
      <c r="H128" s="102"/>
      <c r="I128" s="105" t="str">
        <f>IFERROR(VLOOKUP(KalkylStart[[#This Row],[Klimatmaterial]],Materialtabell[[#All],[Materialnamn]:[Materialtyp]],2,0),"")</f>
        <v/>
      </c>
      <c r="J128" s="104" t="str">
        <f>IFERROR(IF(G128="kg",1,IF(G128="ton",1000,IF(G128=RIGHT(VLOOKUP(H128,Materialtabell[[#All],[Materialnamn]:[Enhet]],4,0),LEN(VLOOKUP(H128,Materialtabell[[#All],[Materialnamn]:[Enhet]],4,0))-3),VLOOKUP(H128,Materialtabell[[#All],[Materialnamn]:[Enhet]],3,0),"Enhetsfel"))),"")</f>
        <v/>
      </c>
      <c r="K128" s="105" t="str">
        <f>IFERROR(IF(G128="kg","kg/kg",IF(G128="ton","kg/ton",IF(RIGHT(VLOOKUP(H128,Materialtabell[[#All],[Materialnamn]:[Enhet]],4,0),LEN(VLOOKUP(H128,Materialtabell[[#All],[Materialnamn]:[Enhet]],4,0))-3)=G128,VLOOKUP(H128,Materialtabell[[#All],[Materialnamn]:[Enhet]],4,0),"kg/ton/"&amp;RIGHT(VLOOKUP(H128,Materialtabell[[#All],[Materialnamn]:[Enhet]],4,0),LEN(VLOOKUP(H128,Materialtabell[[#All],[Materialnamn]:[Enhet]],4,0))-3)))),"")</f>
        <v/>
      </c>
      <c r="L128" s="104" t="str">
        <f>IFERROR(KalkylStart[[#This Row],[Mängd]]*KalkylStart[[#This Row],[Omräknings-faktor]],"")</f>
        <v/>
      </c>
      <c r="M128" s="104" t="str">
        <f>IFERROR(F128*J128*VLOOKUP(H128,Materialtabell[[#All],[Materialnamn]:[Emissionsfaktor 2019
kg CO2e/kg]],5,0),"")</f>
        <v/>
      </c>
      <c r="N128" s="104" t="str">
        <f>IFERROR(F128*J128*VLOOKUP(H128,Materialtabell[[#All],[Materialnamn]:[Emissionsfaktor 2025
kg CO2e/kg]],6,0),"")</f>
        <v/>
      </c>
      <c r="O128" s="78" t="str">
        <f>IFERROR(VLOOKUP(H128,Materialtabell[[#All],[Materialnamn]:[Kommentar A4]],24,0),"")</f>
        <v/>
      </c>
      <c r="P128" s="94" t="str">
        <f>IFERROR(($F128*$J128*$O128*VLOOKUP($H128,Materialtabell[[#All],[Materialnamn]:[Bränsle 
MJ/ton, km]],25,0)*Materiallista!$AF$5)/1000,"")</f>
        <v/>
      </c>
      <c r="Q128" s="94" t="str">
        <f>IFERROR(($F128*$J128*$O128*VLOOKUP($H128,Materialtabell[[#All],[Materialnamn]:[Bränsle 
MJ/ton, km]],25,0)*Materiallista!$AF$6)/1000,"")</f>
        <v/>
      </c>
      <c r="R128" s="162"/>
      <c r="S128" s="3"/>
      <c r="T128" s="3"/>
    </row>
    <row r="129" spans="1:20" x14ac:dyDescent="0.25">
      <c r="A129" s="3"/>
      <c r="B129" s="185">
        <v>124</v>
      </c>
      <c r="C129" s="170"/>
      <c r="D129" s="103"/>
      <c r="E129" s="103"/>
      <c r="F129" s="78"/>
      <c r="G129" s="103"/>
      <c r="H129" s="102"/>
      <c r="I129" s="105" t="str">
        <f>IFERROR(VLOOKUP(KalkylStart[[#This Row],[Klimatmaterial]],Materialtabell[[#All],[Materialnamn]:[Materialtyp]],2,0),"")</f>
        <v/>
      </c>
      <c r="J129" s="104" t="str">
        <f>IFERROR(IF(G129="kg",1,IF(G129="ton",1000,IF(G129=RIGHT(VLOOKUP(H129,Materialtabell[[#All],[Materialnamn]:[Enhet]],4,0),LEN(VLOOKUP(H129,Materialtabell[[#All],[Materialnamn]:[Enhet]],4,0))-3),VLOOKUP(H129,Materialtabell[[#All],[Materialnamn]:[Enhet]],3,0),"Enhetsfel"))),"")</f>
        <v/>
      </c>
      <c r="K129" s="105" t="str">
        <f>IFERROR(IF(G129="kg","kg/kg",IF(G129="ton","kg/ton",IF(RIGHT(VLOOKUP(H129,Materialtabell[[#All],[Materialnamn]:[Enhet]],4,0),LEN(VLOOKUP(H129,Materialtabell[[#All],[Materialnamn]:[Enhet]],4,0))-3)=G129,VLOOKUP(H129,Materialtabell[[#All],[Materialnamn]:[Enhet]],4,0),"kg/ton/"&amp;RIGHT(VLOOKUP(H129,Materialtabell[[#All],[Materialnamn]:[Enhet]],4,0),LEN(VLOOKUP(H129,Materialtabell[[#All],[Materialnamn]:[Enhet]],4,0))-3)))),"")</f>
        <v/>
      </c>
      <c r="L129" s="104" t="str">
        <f>IFERROR(KalkylStart[[#This Row],[Mängd]]*KalkylStart[[#This Row],[Omräknings-faktor]],"")</f>
        <v/>
      </c>
      <c r="M129" s="104" t="str">
        <f>IFERROR(F129*J129*VLOOKUP(H129,Materialtabell[[#All],[Materialnamn]:[Emissionsfaktor 2019
kg CO2e/kg]],5,0),"")</f>
        <v/>
      </c>
      <c r="N129" s="104" t="str">
        <f>IFERROR(F129*J129*VLOOKUP(H129,Materialtabell[[#All],[Materialnamn]:[Emissionsfaktor 2025
kg CO2e/kg]],6,0),"")</f>
        <v/>
      </c>
      <c r="O129" s="78" t="str">
        <f>IFERROR(VLOOKUP(H129,Materialtabell[[#All],[Materialnamn]:[Kommentar A4]],24,0),"")</f>
        <v/>
      </c>
      <c r="P129" s="94" t="str">
        <f>IFERROR(($F129*$J129*$O129*VLOOKUP($H129,Materialtabell[[#All],[Materialnamn]:[Bränsle 
MJ/ton, km]],25,0)*Materiallista!$AF$5)/1000,"")</f>
        <v/>
      </c>
      <c r="Q129" s="94" t="str">
        <f>IFERROR(($F129*$J129*$O129*VLOOKUP($H129,Materialtabell[[#All],[Materialnamn]:[Bränsle 
MJ/ton, km]],25,0)*Materiallista!$AF$6)/1000,"")</f>
        <v/>
      </c>
      <c r="R129" s="162"/>
      <c r="S129" s="3"/>
      <c r="T129" s="3"/>
    </row>
    <row r="130" spans="1:20" x14ac:dyDescent="0.25">
      <c r="A130" s="3"/>
      <c r="B130" s="185">
        <v>125</v>
      </c>
      <c r="C130" s="170"/>
      <c r="D130" s="103"/>
      <c r="E130" s="103"/>
      <c r="F130" s="78"/>
      <c r="G130" s="103"/>
      <c r="H130" s="102"/>
      <c r="I130" s="105" t="str">
        <f>IFERROR(VLOOKUP(KalkylStart[[#This Row],[Klimatmaterial]],Materialtabell[[#All],[Materialnamn]:[Materialtyp]],2,0),"")</f>
        <v/>
      </c>
      <c r="J130" s="104" t="str">
        <f>IFERROR(IF(G130="kg",1,IF(G130="ton",1000,IF(G130=RIGHT(VLOOKUP(H130,Materialtabell[[#All],[Materialnamn]:[Enhet]],4,0),LEN(VLOOKUP(H130,Materialtabell[[#All],[Materialnamn]:[Enhet]],4,0))-3),VLOOKUP(H130,Materialtabell[[#All],[Materialnamn]:[Enhet]],3,0),"Enhetsfel"))),"")</f>
        <v/>
      </c>
      <c r="K130" s="105" t="str">
        <f>IFERROR(IF(G130="kg","kg/kg",IF(G130="ton","kg/ton",IF(RIGHT(VLOOKUP(H130,Materialtabell[[#All],[Materialnamn]:[Enhet]],4,0),LEN(VLOOKUP(H130,Materialtabell[[#All],[Materialnamn]:[Enhet]],4,0))-3)=G130,VLOOKUP(H130,Materialtabell[[#All],[Materialnamn]:[Enhet]],4,0),"kg/ton/"&amp;RIGHT(VLOOKUP(H130,Materialtabell[[#All],[Materialnamn]:[Enhet]],4,0),LEN(VLOOKUP(H130,Materialtabell[[#All],[Materialnamn]:[Enhet]],4,0))-3)))),"")</f>
        <v/>
      </c>
      <c r="L130" s="104" t="str">
        <f>IFERROR(KalkylStart[[#This Row],[Mängd]]*KalkylStart[[#This Row],[Omräknings-faktor]],"")</f>
        <v/>
      </c>
      <c r="M130" s="104" t="str">
        <f>IFERROR(F130*J130*VLOOKUP(H130,Materialtabell[[#All],[Materialnamn]:[Emissionsfaktor 2019
kg CO2e/kg]],5,0),"")</f>
        <v/>
      </c>
      <c r="N130" s="104" t="str">
        <f>IFERROR(F130*J130*VLOOKUP(H130,Materialtabell[[#All],[Materialnamn]:[Emissionsfaktor 2025
kg CO2e/kg]],6,0),"")</f>
        <v/>
      </c>
      <c r="O130" s="78" t="str">
        <f>IFERROR(VLOOKUP(H130,Materialtabell[[#All],[Materialnamn]:[Kommentar A4]],24,0),"")</f>
        <v/>
      </c>
      <c r="P130" s="94" t="str">
        <f>IFERROR(($F130*$J130*$O130*VLOOKUP($H130,Materialtabell[[#All],[Materialnamn]:[Bränsle 
MJ/ton, km]],25,0)*Materiallista!$AF$5)/1000,"")</f>
        <v/>
      </c>
      <c r="Q130" s="94" t="str">
        <f>IFERROR(($F130*$J130*$O130*VLOOKUP($H130,Materialtabell[[#All],[Materialnamn]:[Bränsle 
MJ/ton, km]],25,0)*Materiallista!$AF$6)/1000,"")</f>
        <v/>
      </c>
      <c r="R130" s="162"/>
      <c r="S130" s="3"/>
      <c r="T130" s="3"/>
    </row>
    <row r="131" spans="1:20" x14ac:dyDescent="0.25">
      <c r="A131" s="3"/>
      <c r="B131" s="185">
        <v>126</v>
      </c>
      <c r="C131" s="170"/>
      <c r="D131" s="103"/>
      <c r="E131" s="103"/>
      <c r="F131" s="78"/>
      <c r="G131" s="103"/>
      <c r="H131" s="102"/>
      <c r="I131" s="105" t="str">
        <f>IFERROR(VLOOKUP(KalkylStart[[#This Row],[Klimatmaterial]],Materialtabell[[#All],[Materialnamn]:[Materialtyp]],2,0),"")</f>
        <v/>
      </c>
      <c r="J131" s="104" t="str">
        <f>IFERROR(IF(G131="kg",1,IF(G131="ton",1000,IF(G131=RIGHT(VLOOKUP(H131,Materialtabell[[#All],[Materialnamn]:[Enhet]],4,0),LEN(VLOOKUP(H131,Materialtabell[[#All],[Materialnamn]:[Enhet]],4,0))-3),VLOOKUP(H131,Materialtabell[[#All],[Materialnamn]:[Enhet]],3,0),"Enhetsfel"))),"")</f>
        <v/>
      </c>
      <c r="K131" s="105" t="str">
        <f>IFERROR(IF(G131="kg","kg/kg",IF(G131="ton","kg/ton",IF(RIGHT(VLOOKUP(H131,Materialtabell[[#All],[Materialnamn]:[Enhet]],4,0),LEN(VLOOKUP(H131,Materialtabell[[#All],[Materialnamn]:[Enhet]],4,0))-3)=G131,VLOOKUP(H131,Materialtabell[[#All],[Materialnamn]:[Enhet]],4,0),"kg/ton/"&amp;RIGHT(VLOOKUP(H131,Materialtabell[[#All],[Materialnamn]:[Enhet]],4,0),LEN(VLOOKUP(H131,Materialtabell[[#All],[Materialnamn]:[Enhet]],4,0))-3)))),"")</f>
        <v/>
      </c>
      <c r="L131" s="104" t="str">
        <f>IFERROR(KalkylStart[[#This Row],[Mängd]]*KalkylStart[[#This Row],[Omräknings-faktor]],"")</f>
        <v/>
      </c>
      <c r="M131" s="104" t="str">
        <f>IFERROR(F131*J131*VLOOKUP(H131,Materialtabell[[#All],[Materialnamn]:[Emissionsfaktor 2019
kg CO2e/kg]],5,0),"")</f>
        <v/>
      </c>
      <c r="N131" s="104" t="str">
        <f>IFERROR(F131*J131*VLOOKUP(H131,Materialtabell[[#All],[Materialnamn]:[Emissionsfaktor 2025
kg CO2e/kg]],6,0),"")</f>
        <v/>
      </c>
      <c r="O131" s="78" t="str">
        <f>IFERROR(VLOOKUP(H131,Materialtabell[[#All],[Materialnamn]:[Kommentar A4]],24,0),"")</f>
        <v/>
      </c>
      <c r="P131" s="94" t="str">
        <f>IFERROR(($F131*$J131*$O131*VLOOKUP($H131,Materialtabell[[#All],[Materialnamn]:[Bränsle 
MJ/ton, km]],25,0)*Materiallista!$AF$5)/1000,"")</f>
        <v/>
      </c>
      <c r="Q131" s="94" t="str">
        <f>IFERROR(($F131*$J131*$O131*VLOOKUP($H131,Materialtabell[[#All],[Materialnamn]:[Bränsle 
MJ/ton, km]],25,0)*Materiallista!$AF$6)/1000,"")</f>
        <v/>
      </c>
      <c r="R131" s="162"/>
      <c r="S131" s="3"/>
      <c r="T131" s="3"/>
    </row>
    <row r="132" spans="1:20" x14ac:dyDescent="0.25">
      <c r="A132" s="3"/>
      <c r="B132" s="185">
        <v>127</v>
      </c>
      <c r="C132" s="170"/>
      <c r="D132" s="103"/>
      <c r="E132" s="103"/>
      <c r="F132" s="78"/>
      <c r="G132" s="103"/>
      <c r="H132" s="102"/>
      <c r="I132" s="105" t="str">
        <f>IFERROR(VLOOKUP(KalkylStart[[#This Row],[Klimatmaterial]],Materialtabell[[#All],[Materialnamn]:[Materialtyp]],2,0),"")</f>
        <v/>
      </c>
      <c r="J132" s="104" t="str">
        <f>IFERROR(IF(G132="kg",1,IF(G132="ton",1000,IF(G132=RIGHT(VLOOKUP(H132,Materialtabell[[#All],[Materialnamn]:[Enhet]],4,0),LEN(VLOOKUP(H132,Materialtabell[[#All],[Materialnamn]:[Enhet]],4,0))-3),VLOOKUP(H132,Materialtabell[[#All],[Materialnamn]:[Enhet]],3,0),"Enhetsfel"))),"")</f>
        <v/>
      </c>
      <c r="K132" s="105" t="str">
        <f>IFERROR(IF(G132="kg","kg/kg",IF(G132="ton","kg/ton",IF(RIGHT(VLOOKUP(H132,Materialtabell[[#All],[Materialnamn]:[Enhet]],4,0),LEN(VLOOKUP(H132,Materialtabell[[#All],[Materialnamn]:[Enhet]],4,0))-3)=G132,VLOOKUP(H132,Materialtabell[[#All],[Materialnamn]:[Enhet]],4,0),"kg/ton/"&amp;RIGHT(VLOOKUP(H132,Materialtabell[[#All],[Materialnamn]:[Enhet]],4,0),LEN(VLOOKUP(H132,Materialtabell[[#All],[Materialnamn]:[Enhet]],4,0))-3)))),"")</f>
        <v/>
      </c>
      <c r="L132" s="104" t="str">
        <f>IFERROR(KalkylStart[[#This Row],[Mängd]]*KalkylStart[[#This Row],[Omräknings-faktor]],"")</f>
        <v/>
      </c>
      <c r="M132" s="104" t="str">
        <f>IFERROR(F132*J132*VLOOKUP(H132,Materialtabell[[#All],[Materialnamn]:[Emissionsfaktor 2019
kg CO2e/kg]],5,0),"")</f>
        <v/>
      </c>
      <c r="N132" s="104" t="str">
        <f>IFERROR(F132*J132*VLOOKUP(H132,Materialtabell[[#All],[Materialnamn]:[Emissionsfaktor 2025
kg CO2e/kg]],6,0),"")</f>
        <v/>
      </c>
      <c r="O132" s="78" t="str">
        <f>IFERROR(VLOOKUP(H132,Materialtabell[[#All],[Materialnamn]:[Kommentar A4]],24,0),"")</f>
        <v/>
      </c>
      <c r="P132" s="94" t="str">
        <f>IFERROR(($F132*$J132*$O132*VLOOKUP($H132,Materialtabell[[#All],[Materialnamn]:[Bränsle 
MJ/ton, km]],25,0)*Materiallista!$AF$5)/1000,"")</f>
        <v/>
      </c>
      <c r="Q132" s="94" t="str">
        <f>IFERROR(($F132*$J132*$O132*VLOOKUP($H132,Materialtabell[[#All],[Materialnamn]:[Bränsle 
MJ/ton, km]],25,0)*Materiallista!$AF$6)/1000,"")</f>
        <v/>
      </c>
      <c r="R132" s="162"/>
      <c r="S132" s="3"/>
      <c r="T132" s="3"/>
    </row>
    <row r="133" spans="1:20" x14ac:dyDescent="0.25">
      <c r="A133" s="3"/>
      <c r="B133" s="185">
        <v>128</v>
      </c>
      <c r="C133" s="170"/>
      <c r="D133" s="103"/>
      <c r="E133" s="103"/>
      <c r="F133" s="78"/>
      <c r="G133" s="103"/>
      <c r="H133" s="102"/>
      <c r="I133" s="105" t="str">
        <f>IFERROR(VLOOKUP(KalkylStart[[#This Row],[Klimatmaterial]],Materialtabell[[#All],[Materialnamn]:[Materialtyp]],2,0),"")</f>
        <v/>
      </c>
      <c r="J133" s="104" t="str">
        <f>IFERROR(IF(G133="kg",1,IF(G133="ton",1000,IF(G133=RIGHT(VLOOKUP(H133,Materialtabell[[#All],[Materialnamn]:[Enhet]],4,0),LEN(VLOOKUP(H133,Materialtabell[[#All],[Materialnamn]:[Enhet]],4,0))-3),VLOOKUP(H133,Materialtabell[[#All],[Materialnamn]:[Enhet]],3,0),"Enhetsfel"))),"")</f>
        <v/>
      </c>
      <c r="K133" s="105" t="str">
        <f>IFERROR(IF(G133="kg","kg/kg",IF(G133="ton","kg/ton",IF(RIGHT(VLOOKUP(H133,Materialtabell[[#All],[Materialnamn]:[Enhet]],4,0),LEN(VLOOKUP(H133,Materialtabell[[#All],[Materialnamn]:[Enhet]],4,0))-3)=G133,VLOOKUP(H133,Materialtabell[[#All],[Materialnamn]:[Enhet]],4,0),"kg/ton/"&amp;RIGHT(VLOOKUP(H133,Materialtabell[[#All],[Materialnamn]:[Enhet]],4,0),LEN(VLOOKUP(H133,Materialtabell[[#All],[Materialnamn]:[Enhet]],4,0))-3)))),"")</f>
        <v/>
      </c>
      <c r="L133" s="104" t="str">
        <f>IFERROR(KalkylStart[[#This Row],[Mängd]]*KalkylStart[[#This Row],[Omräknings-faktor]],"")</f>
        <v/>
      </c>
      <c r="M133" s="104" t="str">
        <f>IFERROR(F133*J133*VLOOKUP(H133,Materialtabell[[#All],[Materialnamn]:[Emissionsfaktor 2019
kg CO2e/kg]],5,0),"")</f>
        <v/>
      </c>
      <c r="N133" s="104" t="str">
        <f>IFERROR(F133*J133*VLOOKUP(H133,Materialtabell[[#All],[Materialnamn]:[Emissionsfaktor 2025
kg CO2e/kg]],6,0),"")</f>
        <v/>
      </c>
      <c r="O133" s="78" t="str">
        <f>IFERROR(VLOOKUP(H133,Materialtabell[[#All],[Materialnamn]:[Kommentar A4]],24,0),"")</f>
        <v/>
      </c>
      <c r="P133" s="94" t="str">
        <f>IFERROR(($F133*$J133*$O133*VLOOKUP($H133,Materialtabell[[#All],[Materialnamn]:[Bränsle 
MJ/ton, km]],25,0)*Materiallista!$AF$5)/1000,"")</f>
        <v/>
      </c>
      <c r="Q133" s="94" t="str">
        <f>IFERROR(($F133*$J133*$O133*VLOOKUP($H133,Materialtabell[[#All],[Materialnamn]:[Bränsle 
MJ/ton, km]],25,0)*Materiallista!$AF$6)/1000,"")</f>
        <v/>
      </c>
      <c r="R133" s="162"/>
      <c r="S133" s="3"/>
      <c r="T133" s="3"/>
    </row>
    <row r="134" spans="1:20" x14ac:dyDescent="0.25">
      <c r="A134" s="3"/>
      <c r="B134" s="185">
        <v>129</v>
      </c>
      <c r="C134" s="170"/>
      <c r="D134" s="103"/>
      <c r="E134" s="103"/>
      <c r="F134" s="78"/>
      <c r="G134" s="103"/>
      <c r="H134" s="102"/>
      <c r="I134" s="105" t="str">
        <f>IFERROR(VLOOKUP(KalkylStart[[#This Row],[Klimatmaterial]],Materialtabell[[#All],[Materialnamn]:[Materialtyp]],2,0),"")</f>
        <v/>
      </c>
      <c r="J134" s="104" t="str">
        <f>IFERROR(IF(G134="kg",1,IF(G134="ton",1000,IF(G134=RIGHT(VLOOKUP(H134,Materialtabell[[#All],[Materialnamn]:[Enhet]],4,0),LEN(VLOOKUP(H134,Materialtabell[[#All],[Materialnamn]:[Enhet]],4,0))-3),VLOOKUP(H134,Materialtabell[[#All],[Materialnamn]:[Enhet]],3,0),"Enhetsfel"))),"")</f>
        <v/>
      </c>
      <c r="K134" s="105" t="str">
        <f>IFERROR(IF(G134="kg","kg/kg",IF(G134="ton","kg/ton",IF(RIGHT(VLOOKUP(H134,Materialtabell[[#All],[Materialnamn]:[Enhet]],4,0),LEN(VLOOKUP(H134,Materialtabell[[#All],[Materialnamn]:[Enhet]],4,0))-3)=G134,VLOOKUP(H134,Materialtabell[[#All],[Materialnamn]:[Enhet]],4,0),"kg/ton/"&amp;RIGHT(VLOOKUP(H134,Materialtabell[[#All],[Materialnamn]:[Enhet]],4,0),LEN(VLOOKUP(H134,Materialtabell[[#All],[Materialnamn]:[Enhet]],4,0))-3)))),"")</f>
        <v/>
      </c>
      <c r="L134" s="104" t="str">
        <f>IFERROR(KalkylStart[[#This Row],[Mängd]]*KalkylStart[[#This Row],[Omräknings-faktor]],"")</f>
        <v/>
      </c>
      <c r="M134" s="104" t="str">
        <f>IFERROR(F134*J134*VLOOKUP(H134,Materialtabell[[#All],[Materialnamn]:[Emissionsfaktor 2019
kg CO2e/kg]],5,0),"")</f>
        <v/>
      </c>
      <c r="N134" s="104" t="str">
        <f>IFERROR(F134*J134*VLOOKUP(H134,Materialtabell[[#All],[Materialnamn]:[Emissionsfaktor 2025
kg CO2e/kg]],6,0),"")</f>
        <v/>
      </c>
      <c r="O134" s="78" t="str">
        <f>IFERROR(VLOOKUP(H134,Materialtabell[[#All],[Materialnamn]:[Kommentar A4]],24,0),"")</f>
        <v/>
      </c>
      <c r="P134" s="94" t="str">
        <f>IFERROR(($F134*$J134*$O134*VLOOKUP($H134,Materialtabell[[#All],[Materialnamn]:[Bränsle 
MJ/ton, km]],25,0)*Materiallista!$AF$5)/1000,"")</f>
        <v/>
      </c>
      <c r="Q134" s="94" t="str">
        <f>IFERROR(($F134*$J134*$O134*VLOOKUP($H134,Materialtabell[[#All],[Materialnamn]:[Bränsle 
MJ/ton, km]],25,0)*Materiallista!$AF$6)/1000,"")</f>
        <v/>
      </c>
      <c r="R134" s="162"/>
      <c r="S134" s="3"/>
      <c r="T134" s="3"/>
    </row>
    <row r="135" spans="1:20" x14ac:dyDescent="0.25">
      <c r="A135" s="3"/>
      <c r="B135" s="185">
        <v>130</v>
      </c>
      <c r="C135" s="170"/>
      <c r="D135" s="103"/>
      <c r="E135" s="103"/>
      <c r="F135" s="78"/>
      <c r="G135" s="103"/>
      <c r="H135" s="102"/>
      <c r="I135" s="105" t="str">
        <f>IFERROR(VLOOKUP(KalkylStart[[#This Row],[Klimatmaterial]],Materialtabell[[#All],[Materialnamn]:[Materialtyp]],2,0),"")</f>
        <v/>
      </c>
      <c r="J135" s="104" t="str">
        <f>IFERROR(IF(G135="kg",1,IF(G135="ton",1000,IF(G135=RIGHT(VLOOKUP(H135,Materialtabell[[#All],[Materialnamn]:[Enhet]],4,0),LEN(VLOOKUP(H135,Materialtabell[[#All],[Materialnamn]:[Enhet]],4,0))-3),VLOOKUP(H135,Materialtabell[[#All],[Materialnamn]:[Enhet]],3,0),"Enhetsfel"))),"")</f>
        <v/>
      </c>
      <c r="K135" s="105" t="str">
        <f>IFERROR(IF(G135="kg","kg/kg",IF(G135="ton","kg/ton",IF(RIGHT(VLOOKUP(H135,Materialtabell[[#All],[Materialnamn]:[Enhet]],4,0),LEN(VLOOKUP(H135,Materialtabell[[#All],[Materialnamn]:[Enhet]],4,0))-3)=G135,VLOOKUP(H135,Materialtabell[[#All],[Materialnamn]:[Enhet]],4,0),"kg/ton/"&amp;RIGHT(VLOOKUP(H135,Materialtabell[[#All],[Materialnamn]:[Enhet]],4,0),LEN(VLOOKUP(H135,Materialtabell[[#All],[Materialnamn]:[Enhet]],4,0))-3)))),"")</f>
        <v/>
      </c>
      <c r="L135" s="104" t="str">
        <f>IFERROR(KalkylStart[[#This Row],[Mängd]]*KalkylStart[[#This Row],[Omräknings-faktor]],"")</f>
        <v/>
      </c>
      <c r="M135" s="104" t="str">
        <f>IFERROR(F135*J135*VLOOKUP(H135,Materialtabell[[#All],[Materialnamn]:[Emissionsfaktor 2019
kg CO2e/kg]],5,0),"")</f>
        <v/>
      </c>
      <c r="N135" s="104" t="str">
        <f>IFERROR(F135*J135*VLOOKUP(H135,Materialtabell[[#All],[Materialnamn]:[Emissionsfaktor 2025
kg CO2e/kg]],6,0),"")</f>
        <v/>
      </c>
      <c r="O135" s="78" t="str">
        <f>IFERROR(VLOOKUP(H135,Materialtabell[[#All],[Materialnamn]:[Kommentar A4]],24,0),"")</f>
        <v/>
      </c>
      <c r="P135" s="94" t="str">
        <f>IFERROR(($F135*$J135*$O135*VLOOKUP($H135,Materialtabell[[#All],[Materialnamn]:[Bränsle 
MJ/ton, km]],25,0)*Materiallista!$AF$5)/1000,"")</f>
        <v/>
      </c>
      <c r="Q135" s="94" t="str">
        <f>IFERROR(($F135*$J135*$O135*VLOOKUP($H135,Materialtabell[[#All],[Materialnamn]:[Bränsle 
MJ/ton, km]],25,0)*Materiallista!$AF$6)/1000,"")</f>
        <v/>
      </c>
      <c r="R135" s="162"/>
      <c r="S135" s="3"/>
      <c r="T135" s="3"/>
    </row>
    <row r="136" spans="1:20" x14ac:dyDescent="0.25">
      <c r="A136" s="3"/>
      <c r="B136" s="185">
        <v>131</v>
      </c>
      <c r="C136" s="170"/>
      <c r="D136" s="103"/>
      <c r="E136" s="103"/>
      <c r="F136" s="78"/>
      <c r="G136" s="103"/>
      <c r="H136" s="102"/>
      <c r="I136" s="105" t="str">
        <f>IFERROR(VLOOKUP(KalkylStart[[#This Row],[Klimatmaterial]],Materialtabell[[#All],[Materialnamn]:[Materialtyp]],2,0),"")</f>
        <v/>
      </c>
      <c r="J136" s="104" t="str">
        <f>IFERROR(IF(G136="kg",1,IF(G136="ton",1000,IF(G136=RIGHT(VLOOKUP(H136,Materialtabell[[#All],[Materialnamn]:[Enhet]],4,0),LEN(VLOOKUP(H136,Materialtabell[[#All],[Materialnamn]:[Enhet]],4,0))-3),VLOOKUP(H136,Materialtabell[[#All],[Materialnamn]:[Enhet]],3,0),"Enhetsfel"))),"")</f>
        <v/>
      </c>
      <c r="K136" s="105" t="str">
        <f>IFERROR(IF(G136="kg","kg/kg",IF(G136="ton","kg/ton",IF(RIGHT(VLOOKUP(H136,Materialtabell[[#All],[Materialnamn]:[Enhet]],4,0),LEN(VLOOKUP(H136,Materialtabell[[#All],[Materialnamn]:[Enhet]],4,0))-3)=G136,VLOOKUP(H136,Materialtabell[[#All],[Materialnamn]:[Enhet]],4,0),"kg/ton/"&amp;RIGHT(VLOOKUP(H136,Materialtabell[[#All],[Materialnamn]:[Enhet]],4,0),LEN(VLOOKUP(H136,Materialtabell[[#All],[Materialnamn]:[Enhet]],4,0))-3)))),"")</f>
        <v/>
      </c>
      <c r="L136" s="104" t="str">
        <f>IFERROR(KalkylStart[[#This Row],[Mängd]]*KalkylStart[[#This Row],[Omräknings-faktor]],"")</f>
        <v/>
      </c>
      <c r="M136" s="104" t="str">
        <f>IFERROR(F136*J136*VLOOKUP(H136,Materialtabell[[#All],[Materialnamn]:[Emissionsfaktor 2019
kg CO2e/kg]],5,0),"")</f>
        <v/>
      </c>
      <c r="N136" s="104" t="str">
        <f>IFERROR(F136*J136*VLOOKUP(H136,Materialtabell[[#All],[Materialnamn]:[Emissionsfaktor 2025
kg CO2e/kg]],6,0),"")</f>
        <v/>
      </c>
      <c r="O136" s="78" t="str">
        <f>IFERROR(VLOOKUP(H136,Materialtabell[[#All],[Materialnamn]:[Kommentar A4]],24,0),"")</f>
        <v/>
      </c>
      <c r="P136" s="94" t="str">
        <f>IFERROR(($F136*$J136*$O136*VLOOKUP($H136,Materialtabell[[#All],[Materialnamn]:[Bränsle 
MJ/ton, km]],25,0)*Materiallista!$AF$5)/1000,"")</f>
        <v/>
      </c>
      <c r="Q136" s="94" t="str">
        <f>IFERROR(($F136*$J136*$O136*VLOOKUP($H136,Materialtabell[[#All],[Materialnamn]:[Bränsle 
MJ/ton, km]],25,0)*Materiallista!$AF$6)/1000,"")</f>
        <v/>
      </c>
      <c r="R136" s="162"/>
      <c r="S136" s="3"/>
      <c r="T136" s="3"/>
    </row>
    <row r="137" spans="1:20" x14ac:dyDescent="0.25">
      <c r="A137" s="3"/>
      <c r="B137" s="185">
        <v>132</v>
      </c>
      <c r="C137" s="170"/>
      <c r="D137" s="103"/>
      <c r="E137" s="103"/>
      <c r="F137" s="78"/>
      <c r="G137" s="103"/>
      <c r="H137" s="102"/>
      <c r="I137" s="105" t="str">
        <f>IFERROR(VLOOKUP(KalkylStart[[#This Row],[Klimatmaterial]],Materialtabell[[#All],[Materialnamn]:[Materialtyp]],2,0),"")</f>
        <v/>
      </c>
      <c r="J137" s="104" t="str">
        <f>IFERROR(IF(G137="kg",1,IF(G137="ton",1000,IF(G137=RIGHT(VLOOKUP(H137,Materialtabell[[#All],[Materialnamn]:[Enhet]],4,0),LEN(VLOOKUP(H137,Materialtabell[[#All],[Materialnamn]:[Enhet]],4,0))-3),VLOOKUP(H137,Materialtabell[[#All],[Materialnamn]:[Enhet]],3,0),"Enhetsfel"))),"")</f>
        <v/>
      </c>
      <c r="K137" s="105" t="str">
        <f>IFERROR(IF(G137="kg","kg/kg",IF(G137="ton","kg/ton",IF(RIGHT(VLOOKUP(H137,Materialtabell[[#All],[Materialnamn]:[Enhet]],4,0),LEN(VLOOKUP(H137,Materialtabell[[#All],[Materialnamn]:[Enhet]],4,0))-3)=G137,VLOOKUP(H137,Materialtabell[[#All],[Materialnamn]:[Enhet]],4,0),"kg/ton/"&amp;RIGHT(VLOOKUP(H137,Materialtabell[[#All],[Materialnamn]:[Enhet]],4,0),LEN(VLOOKUP(H137,Materialtabell[[#All],[Materialnamn]:[Enhet]],4,0))-3)))),"")</f>
        <v/>
      </c>
      <c r="L137" s="104" t="str">
        <f>IFERROR(KalkylStart[[#This Row],[Mängd]]*KalkylStart[[#This Row],[Omräknings-faktor]],"")</f>
        <v/>
      </c>
      <c r="M137" s="104" t="str">
        <f>IFERROR(F137*J137*VLOOKUP(H137,Materialtabell[[#All],[Materialnamn]:[Emissionsfaktor 2019
kg CO2e/kg]],5,0),"")</f>
        <v/>
      </c>
      <c r="N137" s="104" t="str">
        <f>IFERROR(F137*J137*VLOOKUP(H137,Materialtabell[[#All],[Materialnamn]:[Emissionsfaktor 2025
kg CO2e/kg]],6,0),"")</f>
        <v/>
      </c>
      <c r="O137" s="78" t="str">
        <f>IFERROR(VLOOKUP(H137,Materialtabell[[#All],[Materialnamn]:[Kommentar A4]],24,0),"")</f>
        <v/>
      </c>
      <c r="P137" s="94" t="str">
        <f>IFERROR(($F137*$J137*$O137*VLOOKUP($H137,Materialtabell[[#All],[Materialnamn]:[Bränsle 
MJ/ton, km]],25,0)*Materiallista!$AF$5)/1000,"")</f>
        <v/>
      </c>
      <c r="Q137" s="94" t="str">
        <f>IFERROR(($F137*$J137*$O137*VLOOKUP($H137,Materialtabell[[#All],[Materialnamn]:[Bränsle 
MJ/ton, km]],25,0)*Materiallista!$AF$6)/1000,"")</f>
        <v/>
      </c>
      <c r="R137" s="162"/>
      <c r="S137" s="3"/>
      <c r="T137" s="3"/>
    </row>
    <row r="138" spans="1:20" x14ac:dyDescent="0.25">
      <c r="A138" s="3"/>
      <c r="B138" s="185">
        <v>133</v>
      </c>
      <c r="C138" s="170"/>
      <c r="D138" s="103"/>
      <c r="E138" s="103"/>
      <c r="F138" s="78"/>
      <c r="G138" s="103"/>
      <c r="H138" s="102"/>
      <c r="I138" s="105" t="str">
        <f>IFERROR(VLOOKUP(KalkylStart[[#This Row],[Klimatmaterial]],Materialtabell[[#All],[Materialnamn]:[Materialtyp]],2,0),"")</f>
        <v/>
      </c>
      <c r="J138" s="104" t="str">
        <f>IFERROR(IF(G138="kg",1,IF(G138="ton",1000,IF(G138=RIGHT(VLOOKUP(H138,Materialtabell[[#All],[Materialnamn]:[Enhet]],4,0),LEN(VLOOKUP(H138,Materialtabell[[#All],[Materialnamn]:[Enhet]],4,0))-3),VLOOKUP(H138,Materialtabell[[#All],[Materialnamn]:[Enhet]],3,0),"Enhetsfel"))),"")</f>
        <v/>
      </c>
      <c r="K138" s="105" t="str">
        <f>IFERROR(IF(G138="kg","kg/kg",IF(G138="ton","kg/ton",IF(RIGHT(VLOOKUP(H138,Materialtabell[[#All],[Materialnamn]:[Enhet]],4,0),LEN(VLOOKUP(H138,Materialtabell[[#All],[Materialnamn]:[Enhet]],4,0))-3)=G138,VLOOKUP(H138,Materialtabell[[#All],[Materialnamn]:[Enhet]],4,0),"kg/ton/"&amp;RIGHT(VLOOKUP(H138,Materialtabell[[#All],[Materialnamn]:[Enhet]],4,0),LEN(VLOOKUP(H138,Materialtabell[[#All],[Materialnamn]:[Enhet]],4,0))-3)))),"")</f>
        <v/>
      </c>
      <c r="L138" s="104" t="str">
        <f>IFERROR(KalkylStart[[#This Row],[Mängd]]*KalkylStart[[#This Row],[Omräknings-faktor]],"")</f>
        <v/>
      </c>
      <c r="M138" s="104" t="str">
        <f>IFERROR(F138*J138*VLOOKUP(H138,Materialtabell[[#All],[Materialnamn]:[Emissionsfaktor 2019
kg CO2e/kg]],5,0),"")</f>
        <v/>
      </c>
      <c r="N138" s="104" t="str">
        <f>IFERROR(F138*J138*VLOOKUP(H138,Materialtabell[[#All],[Materialnamn]:[Emissionsfaktor 2025
kg CO2e/kg]],6,0),"")</f>
        <v/>
      </c>
      <c r="O138" s="78" t="str">
        <f>IFERROR(VLOOKUP(H138,Materialtabell[[#All],[Materialnamn]:[Kommentar A4]],24,0),"")</f>
        <v/>
      </c>
      <c r="P138" s="94" t="str">
        <f>IFERROR(($F138*$J138*$O138*VLOOKUP($H138,Materialtabell[[#All],[Materialnamn]:[Bränsle 
MJ/ton, km]],25,0)*Materiallista!$AF$5)/1000,"")</f>
        <v/>
      </c>
      <c r="Q138" s="94" t="str">
        <f>IFERROR(($F138*$J138*$O138*VLOOKUP($H138,Materialtabell[[#All],[Materialnamn]:[Bränsle 
MJ/ton, km]],25,0)*Materiallista!$AF$6)/1000,"")</f>
        <v/>
      </c>
      <c r="R138" s="162"/>
      <c r="S138" s="3"/>
      <c r="T138" s="3"/>
    </row>
    <row r="139" spans="1:20" x14ac:dyDescent="0.25">
      <c r="A139" s="3"/>
      <c r="B139" s="185">
        <v>134</v>
      </c>
      <c r="C139" s="170"/>
      <c r="D139" s="103"/>
      <c r="E139" s="103"/>
      <c r="F139" s="78"/>
      <c r="G139" s="103"/>
      <c r="H139" s="102"/>
      <c r="I139" s="105" t="str">
        <f>IFERROR(VLOOKUP(KalkylStart[[#This Row],[Klimatmaterial]],Materialtabell[[#All],[Materialnamn]:[Materialtyp]],2,0),"")</f>
        <v/>
      </c>
      <c r="J139" s="104" t="str">
        <f>IFERROR(IF(G139="kg",1,IF(G139="ton",1000,IF(G139=RIGHT(VLOOKUP(H139,Materialtabell[[#All],[Materialnamn]:[Enhet]],4,0),LEN(VLOOKUP(H139,Materialtabell[[#All],[Materialnamn]:[Enhet]],4,0))-3),VLOOKUP(H139,Materialtabell[[#All],[Materialnamn]:[Enhet]],3,0),"Enhetsfel"))),"")</f>
        <v/>
      </c>
      <c r="K139" s="105" t="str">
        <f>IFERROR(IF(G139="kg","kg/kg",IF(G139="ton","kg/ton",IF(RIGHT(VLOOKUP(H139,Materialtabell[[#All],[Materialnamn]:[Enhet]],4,0),LEN(VLOOKUP(H139,Materialtabell[[#All],[Materialnamn]:[Enhet]],4,0))-3)=G139,VLOOKUP(H139,Materialtabell[[#All],[Materialnamn]:[Enhet]],4,0),"kg/ton/"&amp;RIGHT(VLOOKUP(H139,Materialtabell[[#All],[Materialnamn]:[Enhet]],4,0),LEN(VLOOKUP(H139,Materialtabell[[#All],[Materialnamn]:[Enhet]],4,0))-3)))),"")</f>
        <v/>
      </c>
      <c r="L139" s="104" t="str">
        <f>IFERROR(KalkylStart[[#This Row],[Mängd]]*KalkylStart[[#This Row],[Omräknings-faktor]],"")</f>
        <v/>
      </c>
      <c r="M139" s="104" t="str">
        <f>IFERROR(F139*J139*VLOOKUP(H139,Materialtabell[[#All],[Materialnamn]:[Emissionsfaktor 2019
kg CO2e/kg]],5,0),"")</f>
        <v/>
      </c>
      <c r="N139" s="104" t="str">
        <f>IFERROR(F139*J139*VLOOKUP(H139,Materialtabell[[#All],[Materialnamn]:[Emissionsfaktor 2025
kg CO2e/kg]],6,0),"")</f>
        <v/>
      </c>
      <c r="O139" s="78" t="str">
        <f>IFERROR(VLOOKUP(H139,Materialtabell[[#All],[Materialnamn]:[Kommentar A4]],24,0),"")</f>
        <v/>
      </c>
      <c r="P139" s="94" t="str">
        <f>IFERROR(($F139*$J139*$O139*VLOOKUP($H139,Materialtabell[[#All],[Materialnamn]:[Bränsle 
MJ/ton, km]],25,0)*Materiallista!$AF$5)/1000,"")</f>
        <v/>
      </c>
      <c r="Q139" s="94" t="str">
        <f>IFERROR(($F139*$J139*$O139*VLOOKUP($H139,Materialtabell[[#All],[Materialnamn]:[Bränsle 
MJ/ton, km]],25,0)*Materiallista!$AF$6)/1000,"")</f>
        <v/>
      </c>
      <c r="R139" s="162"/>
      <c r="S139" s="3"/>
      <c r="T139" s="3"/>
    </row>
    <row r="140" spans="1:20" x14ac:dyDescent="0.25">
      <c r="A140" s="3"/>
      <c r="B140" s="185">
        <v>135</v>
      </c>
      <c r="C140" s="170"/>
      <c r="D140" s="103"/>
      <c r="E140" s="103"/>
      <c r="F140" s="78"/>
      <c r="G140" s="103"/>
      <c r="H140" s="102"/>
      <c r="I140" s="105" t="str">
        <f>IFERROR(VLOOKUP(KalkylStart[[#This Row],[Klimatmaterial]],Materialtabell[[#All],[Materialnamn]:[Materialtyp]],2,0),"")</f>
        <v/>
      </c>
      <c r="J140" s="104" t="str">
        <f>IFERROR(IF(G140="kg",1,IF(G140="ton",1000,IF(G140=RIGHT(VLOOKUP(H140,Materialtabell[[#All],[Materialnamn]:[Enhet]],4,0),LEN(VLOOKUP(H140,Materialtabell[[#All],[Materialnamn]:[Enhet]],4,0))-3),VLOOKUP(H140,Materialtabell[[#All],[Materialnamn]:[Enhet]],3,0),"Enhetsfel"))),"")</f>
        <v/>
      </c>
      <c r="K140" s="105" t="str">
        <f>IFERROR(IF(G140="kg","kg/kg",IF(G140="ton","kg/ton",IF(RIGHT(VLOOKUP(H140,Materialtabell[[#All],[Materialnamn]:[Enhet]],4,0),LEN(VLOOKUP(H140,Materialtabell[[#All],[Materialnamn]:[Enhet]],4,0))-3)=G140,VLOOKUP(H140,Materialtabell[[#All],[Materialnamn]:[Enhet]],4,0),"kg/ton/"&amp;RIGHT(VLOOKUP(H140,Materialtabell[[#All],[Materialnamn]:[Enhet]],4,0),LEN(VLOOKUP(H140,Materialtabell[[#All],[Materialnamn]:[Enhet]],4,0))-3)))),"")</f>
        <v/>
      </c>
      <c r="L140" s="104" t="str">
        <f>IFERROR(KalkylStart[[#This Row],[Mängd]]*KalkylStart[[#This Row],[Omräknings-faktor]],"")</f>
        <v/>
      </c>
      <c r="M140" s="104" t="str">
        <f>IFERROR(F140*J140*VLOOKUP(H140,Materialtabell[[#All],[Materialnamn]:[Emissionsfaktor 2019
kg CO2e/kg]],5,0),"")</f>
        <v/>
      </c>
      <c r="N140" s="104" t="str">
        <f>IFERROR(F140*J140*VLOOKUP(H140,Materialtabell[[#All],[Materialnamn]:[Emissionsfaktor 2025
kg CO2e/kg]],6,0),"")</f>
        <v/>
      </c>
      <c r="O140" s="78" t="str">
        <f>IFERROR(VLOOKUP(H140,Materialtabell[[#All],[Materialnamn]:[Kommentar A4]],24,0),"")</f>
        <v/>
      </c>
      <c r="P140" s="94" t="str">
        <f>IFERROR(($F140*$J140*$O140*VLOOKUP($H140,Materialtabell[[#All],[Materialnamn]:[Bränsle 
MJ/ton, km]],25,0)*Materiallista!$AF$5)/1000,"")</f>
        <v/>
      </c>
      <c r="Q140" s="94" t="str">
        <f>IFERROR(($F140*$J140*$O140*VLOOKUP($H140,Materialtabell[[#All],[Materialnamn]:[Bränsle 
MJ/ton, km]],25,0)*Materiallista!$AF$6)/1000,"")</f>
        <v/>
      </c>
      <c r="R140" s="162"/>
      <c r="S140" s="3"/>
      <c r="T140" s="3"/>
    </row>
    <row r="141" spans="1:20" x14ac:dyDescent="0.25">
      <c r="A141" s="3"/>
      <c r="B141" s="185">
        <v>136</v>
      </c>
      <c r="C141" s="170"/>
      <c r="D141" s="103"/>
      <c r="E141" s="103"/>
      <c r="F141" s="78"/>
      <c r="G141" s="103"/>
      <c r="H141" s="102"/>
      <c r="I141" s="105" t="str">
        <f>IFERROR(VLOOKUP(KalkylStart[[#This Row],[Klimatmaterial]],Materialtabell[[#All],[Materialnamn]:[Materialtyp]],2,0),"")</f>
        <v/>
      </c>
      <c r="J141" s="104" t="str">
        <f>IFERROR(IF(G141="kg",1,IF(G141="ton",1000,IF(G141=RIGHT(VLOOKUP(H141,Materialtabell[[#All],[Materialnamn]:[Enhet]],4,0),LEN(VLOOKUP(H141,Materialtabell[[#All],[Materialnamn]:[Enhet]],4,0))-3),VLOOKUP(H141,Materialtabell[[#All],[Materialnamn]:[Enhet]],3,0),"Enhetsfel"))),"")</f>
        <v/>
      </c>
      <c r="K141" s="105" t="str">
        <f>IFERROR(IF(G141="kg","kg/kg",IF(G141="ton","kg/ton",IF(RIGHT(VLOOKUP(H141,Materialtabell[[#All],[Materialnamn]:[Enhet]],4,0),LEN(VLOOKUP(H141,Materialtabell[[#All],[Materialnamn]:[Enhet]],4,0))-3)=G141,VLOOKUP(H141,Materialtabell[[#All],[Materialnamn]:[Enhet]],4,0),"kg/ton/"&amp;RIGHT(VLOOKUP(H141,Materialtabell[[#All],[Materialnamn]:[Enhet]],4,0),LEN(VLOOKUP(H141,Materialtabell[[#All],[Materialnamn]:[Enhet]],4,0))-3)))),"")</f>
        <v/>
      </c>
      <c r="L141" s="104" t="str">
        <f>IFERROR(KalkylStart[[#This Row],[Mängd]]*KalkylStart[[#This Row],[Omräknings-faktor]],"")</f>
        <v/>
      </c>
      <c r="M141" s="104" t="str">
        <f>IFERROR(F141*J141*VLOOKUP(H141,Materialtabell[[#All],[Materialnamn]:[Emissionsfaktor 2019
kg CO2e/kg]],5,0),"")</f>
        <v/>
      </c>
      <c r="N141" s="104" t="str">
        <f>IFERROR(F141*J141*VLOOKUP(H141,Materialtabell[[#All],[Materialnamn]:[Emissionsfaktor 2025
kg CO2e/kg]],6,0),"")</f>
        <v/>
      </c>
      <c r="O141" s="78" t="str">
        <f>IFERROR(VLOOKUP(H141,Materialtabell[[#All],[Materialnamn]:[Kommentar A4]],24,0),"")</f>
        <v/>
      </c>
      <c r="P141" s="94" t="str">
        <f>IFERROR(($F141*$J141*$O141*VLOOKUP($H141,Materialtabell[[#All],[Materialnamn]:[Bränsle 
MJ/ton, km]],25,0)*Materiallista!$AF$5)/1000,"")</f>
        <v/>
      </c>
      <c r="Q141" s="94" t="str">
        <f>IFERROR(($F141*$J141*$O141*VLOOKUP($H141,Materialtabell[[#All],[Materialnamn]:[Bränsle 
MJ/ton, km]],25,0)*Materiallista!$AF$6)/1000,"")</f>
        <v/>
      </c>
      <c r="R141" s="162"/>
      <c r="S141" s="3"/>
      <c r="T141" s="3"/>
    </row>
    <row r="142" spans="1:20" x14ac:dyDescent="0.25">
      <c r="A142" s="3"/>
      <c r="B142" s="185">
        <v>137</v>
      </c>
      <c r="C142" s="170"/>
      <c r="D142" s="103"/>
      <c r="E142" s="103"/>
      <c r="F142" s="78"/>
      <c r="G142" s="103"/>
      <c r="H142" s="102"/>
      <c r="I142" s="105" t="str">
        <f>IFERROR(VLOOKUP(KalkylStart[[#This Row],[Klimatmaterial]],Materialtabell[[#All],[Materialnamn]:[Materialtyp]],2,0),"")</f>
        <v/>
      </c>
      <c r="J142" s="104" t="str">
        <f>IFERROR(IF(G142="kg",1,IF(G142="ton",1000,IF(G142=RIGHT(VLOOKUP(H142,Materialtabell[[#All],[Materialnamn]:[Enhet]],4,0),LEN(VLOOKUP(H142,Materialtabell[[#All],[Materialnamn]:[Enhet]],4,0))-3),VLOOKUP(H142,Materialtabell[[#All],[Materialnamn]:[Enhet]],3,0),"Enhetsfel"))),"")</f>
        <v/>
      </c>
      <c r="K142" s="105" t="str">
        <f>IFERROR(IF(G142="kg","kg/kg",IF(G142="ton","kg/ton",IF(RIGHT(VLOOKUP(H142,Materialtabell[[#All],[Materialnamn]:[Enhet]],4,0),LEN(VLOOKUP(H142,Materialtabell[[#All],[Materialnamn]:[Enhet]],4,0))-3)=G142,VLOOKUP(H142,Materialtabell[[#All],[Materialnamn]:[Enhet]],4,0),"kg/ton/"&amp;RIGHT(VLOOKUP(H142,Materialtabell[[#All],[Materialnamn]:[Enhet]],4,0),LEN(VLOOKUP(H142,Materialtabell[[#All],[Materialnamn]:[Enhet]],4,0))-3)))),"")</f>
        <v/>
      </c>
      <c r="L142" s="104" t="str">
        <f>IFERROR(KalkylStart[[#This Row],[Mängd]]*KalkylStart[[#This Row],[Omräknings-faktor]],"")</f>
        <v/>
      </c>
      <c r="M142" s="104" t="str">
        <f>IFERROR(F142*J142*VLOOKUP(H142,Materialtabell[[#All],[Materialnamn]:[Emissionsfaktor 2019
kg CO2e/kg]],5,0),"")</f>
        <v/>
      </c>
      <c r="N142" s="104" t="str">
        <f>IFERROR(F142*J142*VLOOKUP(H142,Materialtabell[[#All],[Materialnamn]:[Emissionsfaktor 2025
kg CO2e/kg]],6,0),"")</f>
        <v/>
      </c>
      <c r="O142" s="78" t="str">
        <f>IFERROR(VLOOKUP(H142,Materialtabell[[#All],[Materialnamn]:[Kommentar A4]],24,0),"")</f>
        <v/>
      </c>
      <c r="P142" s="94" t="str">
        <f>IFERROR(($F142*$J142*$O142*VLOOKUP($H142,Materialtabell[[#All],[Materialnamn]:[Bränsle 
MJ/ton, km]],25,0)*Materiallista!$AF$5)/1000,"")</f>
        <v/>
      </c>
      <c r="Q142" s="94" t="str">
        <f>IFERROR(($F142*$J142*$O142*VLOOKUP($H142,Materialtabell[[#All],[Materialnamn]:[Bränsle 
MJ/ton, km]],25,0)*Materiallista!$AF$6)/1000,"")</f>
        <v/>
      </c>
      <c r="R142" s="162"/>
      <c r="S142" s="3"/>
      <c r="T142" s="3"/>
    </row>
    <row r="143" spans="1:20" x14ac:dyDescent="0.25">
      <c r="A143" s="3"/>
      <c r="B143" s="185">
        <v>138</v>
      </c>
      <c r="C143" s="170"/>
      <c r="D143" s="103"/>
      <c r="E143" s="103"/>
      <c r="F143" s="78"/>
      <c r="G143" s="103"/>
      <c r="H143" s="102"/>
      <c r="I143" s="105" t="str">
        <f>IFERROR(VLOOKUP(KalkylStart[[#This Row],[Klimatmaterial]],Materialtabell[[#All],[Materialnamn]:[Materialtyp]],2,0),"")</f>
        <v/>
      </c>
      <c r="J143" s="104" t="str">
        <f>IFERROR(IF(G143="kg",1,IF(G143="ton",1000,IF(G143=RIGHT(VLOOKUP(H143,Materialtabell[[#All],[Materialnamn]:[Enhet]],4,0),LEN(VLOOKUP(H143,Materialtabell[[#All],[Materialnamn]:[Enhet]],4,0))-3),VLOOKUP(H143,Materialtabell[[#All],[Materialnamn]:[Enhet]],3,0),"Enhetsfel"))),"")</f>
        <v/>
      </c>
      <c r="K143" s="105" t="str">
        <f>IFERROR(IF(G143="kg","kg/kg",IF(G143="ton","kg/ton",IF(RIGHT(VLOOKUP(H143,Materialtabell[[#All],[Materialnamn]:[Enhet]],4,0),LEN(VLOOKUP(H143,Materialtabell[[#All],[Materialnamn]:[Enhet]],4,0))-3)=G143,VLOOKUP(H143,Materialtabell[[#All],[Materialnamn]:[Enhet]],4,0),"kg/ton/"&amp;RIGHT(VLOOKUP(H143,Materialtabell[[#All],[Materialnamn]:[Enhet]],4,0),LEN(VLOOKUP(H143,Materialtabell[[#All],[Materialnamn]:[Enhet]],4,0))-3)))),"")</f>
        <v/>
      </c>
      <c r="L143" s="104" t="str">
        <f>IFERROR(KalkylStart[[#This Row],[Mängd]]*KalkylStart[[#This Row],[Omräknings-faktor]],"")</f>
        <v/>
      </c>
      <c r="M143" s="104" t="str">
        <f>IFERROR(F143*J143*VLOOKUP(H143,Materialtabell[[#All],[Materialnamn]:[Emissionsfaktor 2019
kg CO2e/kg]],5,0),"")</f>
        <v/>
      </c>
      <c r="N143" s="104" t="str">
        <f>IFERROR(F143*J143*VLOOKUP(H143,Materialtabell[[#All],[Materialnamn]:[Emissionsfaktor 2025
kg CO2e/kg]],6,0),"")</f>
        <v/>
      </c>
      <c r="O143" s="78" t="str">
        <f>IFERROR(VLOOKUP(H143,Materialtabell[[#All],[Materialnamn]:[Kommentar A4]],24,0),"")</f>
        <v/>
      </c>
      <c r="P143" s="94" t="str">
        <f>IFERROR(($F143*$J143*$O143*VLOOKUP($H143,Materialtabell[[#All],[Materialnamn]:[Bränsle 
MJ/ton, km]],25,0)*Materiallista!$AF$5)/1000,"")</f>
        <v/>
      </c>
      <c r="Q143" s="94" t="str">
        <f>IFERROR(($F143*$J143*$O143*VLOOKUP($H143,Materialtabell[[#All],[Materialnamn]:[Bränsle 
MJ/ton, km]],25,0)*Materiallista!$AF$6)/1000,"")</f>
        <v/>
      </c>
      <c r="R143" s="162"/>
      <c r="S143" s="3"/>
      <c r="T143" s="3"/>
    </row>
    <row r="144" spans="1:20" x14ac:dyDescent="0.25">
      <c r="A144" s="3"/>
      <c r="B144" s="185">
        <v>139</v>
      </c>
      <c r="C144" s="170"/>
      <c r="D144" s="103"/>
      <c r="E144" s="103"/>
      <c r="F144" s="78"/>
      <c r="G144" s="103"/>
      <c r="H144" s="102"/>
      <c r="I144" s="105" t="str">
        <f>IFERROR(VLOOKUP(KalkylStart[[#This Row],[Klimatmaterial]],Materialtabell[[#All],[Materialnamn]:[Materialtyp]],2,0),"")</f>
        <v/>
      </c>
      <c r="J144" s="104" t="str">
        <f>IFERROR(IF(G144="kg",1,IF(G144="ton",1000,IF(G144=RIGHT(VLOOKUP(H144,Materialtabell[[#All],[Materialnamn]:[Enhet]],4,0),LEN(VLOOKUP(H144,Materialtabell[[#All],[Materialnamn]:[Enhet]],4,0))-3),VLOOKUP(H144,Materialtabell[[#All],[Materialnamn]:[Enhet]],3,0),"Enhetsfel"))),"")</f>
        <v/>
      </c>
      <c r="K144" s="105" t="str">
        <f>IFERROR(IF(G144="kg","kg/kg",IF(G144="ton","kg/ton",IF(RIGHT(VLOOKUP(H144,Materialtabell[[#All],[Materialnamn]:[Enhet]],4,0),LEN(VLOOKUP(H144,Materialtabell[[#All],[Materialnamn]:[Enhet]],4,0))-3)=G144,VLOOKUP(H144,Materialtabell[[#All],[Materialnamn]:[Enhet]],4,0),"kg/ton/"&amp;RIGHT(VLOOKUP(H144,Materialtabell[[#All],[Materialnamn]:[Enhet]],4,0),LEN(VLOOKUP(H144,Materialtabell[[#All],[Materialnamn]:[Enhet]],4,0))-3)))),"")</f>
        <v/>
      </c>
      <c r="L144" s="104" t="str">
        <f>IFERROR(KalkylStart[[#This Row],[Mängd]]*KalkylStart[[#This Row],[Omräknings-faktor]],"")</f>
        <v/>
      </c>
      <c r="M144" s="104" t="str">
        <f>IFERROR(F144*J144*VLOOKUP(H144,Materialtabell[[#All],[Materialnamn]:[Emissionsfaktor 2019
kg CO2e/kg]],5,0),"")</f>
        <v/>
      </c>
      <c r="N144" s="104" t="str">
        <f>IFERROR(F144*J144*VLOOKUP(H144,Materialtabell[[#All],[Materialnamn]:[Emissionsfaktor 2025
kg CO2e/kg]],6,0),"")</f>
        <v/>
      </c>
      <c r="O144" s="78" t="str">
        <f>IFERROR(VLOOKUP(H144,Materialtabell[[#All],[Materialnamn]:[Kommentar A4]],24,0),"")</f>
        <v/>
      </c>
      <c r="P144" s="94" t="str">
        <f>IFERROR(($F144*$J144*$O144*VLOOKUP($H144,Materialtabell[[#All],[Materialnamn]:[Bränsle 
MJ/ton, km]],25,0)*Materiallista!$AF$5)/1000,"")</f>
        <v/>
      </c>
      <c r="Q144" s="94" t="str">
        <f>IFERROR(($F144*$J144*$O144*VLOOKUP($H144,Materialtabell[[#All],[Materialnamn]:[Bränsle 
MJ/ton, km]],25,0)*Materiallista!$AF$6)/1000,"")</f>
        <v/>
      </c>
      <c r="R144" s="162"/>
      <c r="S144" s="3"/>
      <c r="T144" s="3"/>
    </row>
    <row r="145" spans="1:20" x14ac:dyDescent="0.25">
      <c r="A145" s="3"/>
      <c r="B145" s="185">
        <v>140</v>
      </c>
      <c r="C145" s="170"/>
      <c r="D145" s="103"/>
      <c r="E145" s="103"/>
      <c r="F145" s="78"/>
      <c r="G145" s="103"/>
      <c r="H145" s="102"/>
      <c r="I145" s="105" t="str">
        <f>IFERROR(VLOOKUP(KalkylStart[[#This Row],[Klimatmaterial]],Materialtabell[[#All],[Materialnamn]:[Materialtyp]],2,0),"")</f>
        <v/>
      </c>
      <c r="J145" s="104" t="str">
        <f>IFERROR(IF(G145="kg",1,IF(G145="ton",1000,IF(G145=RIGHT(VLOOKUP(H145,Materialtabell[[#All],[Materialnamn]:[Enhet]],4,0),LEN(VLOOKUP(H145,Materialtabell[[#All],[Materialnamn]:[Enhet]],4,0))-3),VLOOKUP(H145,Materialtabell[[#All],[Materialnamn]:[Enhet]],3,0),"Enhetsfel"))),"")</f>
        <v/>
      </c>
      <c r="K145" s="105" t="str">
        <f>IFERROR(IF(G145="kg","kg/kg",IF(G145="ton","kg/ton",IF(RIGHT(VLOOKUP(H145,Materialtabell[[#All],[Materialnamn]:[Enhet]],4,0),LEN(VLOOKUP(H145,Materialtabell[[#All],[Materialnamn]:[Enhet]],4,0))-3)=G145,VLOOKUP(H145,Materialtabell[[#All],[Materialnamn]:[Enhet]],4,0),"kg/ton/"&amp;RIGHT(VLOOKUP(H145,Materialtabell[[#All],[Materialnamn]:[Enhet]],4,0),LEN(VLOOKUP(H145,Materialtabell[[#All],[Materialnamn]:[Enhet]],4,0))-3)))),"")</f>
        <v/>
      </c>
      <c r="L145" s="104" t="str">
        <f>IFERROR(KalkylStart[[#This Row],[Mängd]]*KalkylStart[[#This Row],[Omräknings-faktor]],"")</f>
        <v/>
      </c>
      <c r="M145" s="104" t="str">
        <f>IFERROR(F145*J145*VLOOKUP(H145,Materialtabell[[#All],[Materialnamn]:[Emissionsfaktor 2019
kg CO2e/kg]],5,0),"")</f>
        <v/>
      </c>
      <c r="N145" s="104" t="str">
        <f>IFERROR(F145*J145*VLOOKUP(H145,Materialtabell[[#All],[Materialnamn]:[Emissionsfaktor 2025
kg CO2e/kg]],6,0),"")</f>
        <v/>
      </c>
      <c r="O145" s="78" t="str">
        <f>IFERROR(VLOOKUP(H145,Materialtabell[[#All],[Materialnamn]:[Kommentar A4]],24,0),"")</f>
        <v/>
      </c>
      <c r="P145" s="94" t="str">
        <f>IFERROR(($F145*$J145*$O145*VLOOKUP($H145,Materialtabell[[#All],[Materialnamn]:[Bränsle 
MJ/ton, km]],25,0)*Materiallista!$AF$5)/1000,"")</f>
        <v/>
      </c>
      <c r="Q145" s="94" t="str">
        <f>IFERROR(($F145*$J145*$O145*VLOOKUP($H145,Materialtabell[[#All],[Materialnamn]:[Bränsle 
MJ/ton, km]],25,0)*Materiallista!$AF$6)/1000,"")</f>
        <v/>
      </c>
      <c r="R145" s="162"/>
      <c r="S145" s="3"/>
      <c r="T145" s="3"/>
    </row>
    <row r="146" spans="1:20" x14ac:dyDescent="0.25">
      <c r="A146" s="3"/>
      <c r="B146" s="185">
        <v>141</v>
      </c>
      <c r="C146" s="170"/>
      <c r="D146" s="103"/>
      <c r="E146" s="103"/>
      <c r="F146" s="78"/>
      <c r="G146" s="103"/>
      <c r="H146" s="102"/>
      <c r="I146" s="105" t="str">
        <f>IFERROR(VLOOKUP(KalkylStart[[#This Row],[Klimatmaterial]],Materialtabell[[#All],[Materialnamn]:[Materialtyp]],2,0),"")</f>
        <v/>
      </c>
      <c r="J146" s="104" t="str">
        <f>IFERROR(IF(G146="kg",1,IF(G146="ton",1000,IF(G146=RIGHT(VLOOKUP(H146,Materialtabell[[#All],[Materialnamn]:[Enhet]],4,0),LEN(VLOOKUP(H146,Materialtabell[[#All],[Materialnamn]:[Enhet]],4,0))-3),VLOOKUP(H146,Materialtabell[[#All],[Materialnamn]:[Enhet]],3,0),"Enhetsfel"))),"")</f>
        <v/>
      </c>
      <c r="K146" s="105" t="str">
        <f>IFERROR(IF(G146="kg","kg/kg",IF(G146="ton","kg/ton",IF(RIGHT(VLOOKUP(H146,Materialtabell[[#All],[Materialnamn]:[Enhet]],4,0),LEN(VLOOKUP(H146,Materialtabell[[#All],[Materialnamn]:[Enhet]],4,0))-3)=G146,VLOOKUP(H146,Materialtabell[[#All],[Materialnamn]:[Enhet]],4,0),"kg/ton/"&amp;RIGHT(VLOOKUP(H146,Materialtabell[[#All],[Materialnamn]:[Enhet]],4,0),LEN(VLOOKUP(H146,Materialtabell[[#All],[Materialnamn]:[Enhet]],4,0))-3)))),"")</f>
        <v/>
      </c>
      <c r="L146" s="104" t="str">
        <f>IFERROR(KalkylStart[[#This Row],[Mängd]]*KalkylStart[[#This Row],[Omräknings-faktor]],"")</f>
        <v/>
      </c>
      <c r="M146" s="104" t="str">
        <f>IFERROR(F146*J146*VLOOKUP(H146,Materialtabell[[#All],[Materialnamn]:[Emissionsfaktor 2019
kg CO2e/kg]],5,0),"")</f>
        <v/>
      </c>
      <c r="N146" s="104" t="str">
        <f>IFERROR(F146*J146*VLOOKUP(H146,Materialtabell[[#All],[Materialnamn]:[Emissionsfaktor 2025
kg CO2e/kg]],6,0),"")</f>
        <v/>
      </c>
      <c r="O146" s="78" t="str">
        <f>IFERROR(VLOOKUP(H146,Materialtabell[[#All],[Materialnamn]:[Kommentar A4]],24,0),"")</f>
        <v/>
      </c>
      <c r="P146" s="94" t="str">
        <f>IFERROR(($F146*$J146*$O146*VLOOKUP($H146,Materialtabell[[#All],[Materialnamn]:[Bränsle 
MJ/ton, km]],25,0)*Materiallista!$AF$5)/1000,"")</f>
        <v/>
      </c>
      <c r="Q146" s="94" t="str">
        <f>IFERROR(($F146*$J146*$O146*VLOOKUP($H146,Materialtabell[[#All],[Materialnamn]:[Bränsle 
MJ/ton, km]],25,0)*Materiallista!$AF$6)/1000,"")</f>
        <v/>
      </c>
      <c r="R146" s="162"/>
      <c r="S146" s="3"/>
      <c r="T146" s="3"/>
    </row>
    <row r="147" spans="1:20" x14ac:dyDescent="0.25">
      <c r="A147" s="3"/>
      <c r="B147" s="185">
        <v>142</v>
      </c>
      <c r="C147" s="170"/>
      <c r="D147" s="103"/>
      <c r="E147" s="103"/>
      <c r="F147" s="78"/>
      <c r="G147" s="103"/>
      <c r="H147" s="102"/>
      <c r="I147" s="105" t="str">
        <f>IFERROR(VLOOKUP(KalkylStart[[#This Row],[Klimatmaterial]],Materialtabell[[#All],[Materialnamn]:[Materialtyp]],2,0),"")</f>
        <v/>
      </c>
      <c r="J147" s="104" t="str">
        <f>IFERROR(IF(G147="kg",1,IF(G147="ton",1000,IF(G147=RIGHT(VLOOKUP(H147,Materialtabell[[#All],[Materialnamn]:[Enhet]],4,0),LEN(VLOOKUP(H147,Materialtabell[[#All],[Materialnamn]:[Enhet]],4,0))-3),VLOOKUP(H147,Materialtabell[[#All],[Materialnamn]:[Enhet]],3,0),"Enhetsfel"))),"")</f>
        <v/>
      </c>
      <c r="K147" s="105" t="str">
        <f>IFERROR(IF(G147="kg","kg/kg",IF(G147="ton","kg/ton",IF(RIGHT(VLOOKUP(H147,Materialtabell[[#All],[Materialnamn]:[Enhet]],4,0),LEN(VLOOKUP(H147,Materialtabell[[#All],[Materialnamn]:[Enhet]],4,0))-3)=G147,VLOOKUP(H147,Materialtabell[[#All],[Materialnamn]:[Enhet]],4,0),"kg/ton/"&amp;RIGHT(VLOOKUP(H147,Materialtabell[[#All],[Materialnamn]:[Enhet]],4,0),LEN(VLOOKUP(H147,Materialtabell[[#All],[Materialnamn]:[Enhet]],4,0))-3)))),"")</f>
        <v/>
      </c>
      <c r="L147" s="104" t="str">
        <f>IFERROR(KalkylStart[[#This Row],[Mängd]]*KalkylStart[[#This Row],[Omräknings-faktor]],"")</f>
        <v/>
      </c>
      <c r="M147" s="104" t="str">
        <f>IFERROR(F147*J147*VLOOKUP(H147,Materialtabell[[#All],[Materialnamn]:[Emissionsfaktor 2019
kg CO2e/kg]],5,0),"")</f>
        <v/>
      </c>
      <c r="N147" s="104" t="str">
        <f>IFERROR(F147*J147*VLOOKUP(H147,Materialtabell[[#All],[Materialnamn]:[Emissionsfaktor 2025
kg CO2e/kg]],6,0),"")</f>
        <v/>
      </c>
      <c r="O147" s="78" t="str">
        <f>IFERROR(VLOOKUP(H147,Materialtabell[[#All],[Materialnamn]:[Kommentar A4]],24,0),"")</f>
        <v/>
      </c>
      <c r="P147" s="94" t="str">
        <f>IFERROR(($F147*$J147*$O147*VLOOKUP($H147,Materialtabell[[#All],[Materialnamn]:[Bränsle 
MJ/ton, km]],25,0)*Materiallista!$AF$5)/1000,"")</f>
        <v/>
      </c>
      <c r="Q147" s="94" t="str">
        <f>IFERROR(($F147*$J147*$O147*VLOOKUP($H147,Materialtabell[[#All],[Materialnamn]:[Bränsle 
MJ/ton, km]],25,0)*Materiallista!$AF$6)/1000,"")</f>
        <v/>
      </c>
      <c r="R147" s="162"/>
      <c r="S147" s="3"/>
      <c r="T147" s="3"/>
    </row>
    <row r="148" spans="1:20" x14ac:dyDescent="0.25">
      <c r="A148" s="3"/>
      <c r="B148" s="185">
        <v>143</v>
      </c>
      <c r="C148" s="170"/>
      <c r="D148" s="103"/>
      <c r="E148" s="103"/>
      <c r="F148" s="78"/>
      <c r="G148" s="103"/>
      <c r="H148" s="102"/>
      <c r="I148" s="105" t="str">
        <f>IFERROR(VLOOKUP(KalkylStart[[#This Row],[Klimatmaterial]],Materialtabell[[#All],[Materialnamn]:[Materialtyp]],2,0),"")</f>
        <v/>
      </c>
      <c r="J148" s="104" t="str">
        <f>IFERROR(IF(G148="kg",1,IF(G148="ton",1000,IF(G148=RIGHT(VLOOKUP(H148,Materialtabell[[#All],[Materialnamn]:[Enhet]],4,0),LEN(VLOOKUP(H148,Materialtabell[[#All],[Materialnamn]:[Enhet]],4,0))-3),VLOOKUP(H148,Materialtabell[[#All],[Materialnamn]:[Enhet]],3,0),"Enhetsfel"))),"")</f>
        <v/>
      </c>
      <c r="K148" s="105" t="str">
        <f>IFERROR(IF(G148="kg","kg/kg",IF(G148="ton","kg/ton",IF(RIGHT(VLOOKUP(H148,Materialtabell[[#All],[Materialnamn]:[Enhet]],4,0),LEN(VLOOKUP(H148,Materialtabell[[#All],[Materialnamn]:[Enhet]],4,0))-3)=G148,VLOOKUP(H148,Materialtabell[[#All],[Materialnamn]:[Enhet]],4,0),"kg/ton/"&amp;RIGHT(VLOOKUP(H148,Materialtabell[[#All],[Materialnamn]:[Enhet]],4,0),LEN(VLOOKUP(H148,Materialtabell[[#All],[Materialnamn]:[Enhet]],4,0))-3)))),"")</f>
        <v/>
      </c>
      <c r="L148" s="104" t="str">
        <f>IFERROR(KalkylStart[[#This Row],[Mängd]]*KalkylStart[[#This Row],[Omräknings-faktor]],"")</f>
        <v/>
      </c>
      <c r="M148" s="104" t="str">
        <f>IFERROR(F148*J148*VLOOKUP(H148,Materialtabell[[#All],[Materialnamn]:[Emissionsfaktor 2019
kg CO2e/kg]],5,0),"")</f>
        <v/>
      </c>
      <c r="N148" s="104" t="str">
        <f>IFERROR(F148*J148*VLOOKUP(H148,Materialtabell[[#All],[Materialnamn]:[Emissionsfaktor 2025
kg CO2e/kg]],6,0),"")</f>
        <v/>
      </c>
      <c r="O148" s="78" t="str">
        <f>IFERROR(VLOOKUP(H148,Materialtabell[[#All],[Materialnamn]:[Kommentar A4]],24,0),"")</f>
        <v/>
      </c>
      <c r="P148" s="94" t="str">
        <f>IFERROR(($F148*$J148*$O148*VLOOKUP($H148,Materialtabell[[#All],[Materialnamn]:[Bränsle 
MJ/ton, km]],25,0)*Materiallista!$AF$5)/1000,"")</f>
        <v/>
      </c>
      <c r="Q148" s="94" t="str">
        <f>IFERROR(($F148*$J148*$O148*VLOOKUP($H148,Materialtabell[[#All],[Materialnamn]:[Bränsle 
MJ/ton, km]],25,0)*Materiallista!$AF$6)/1000,"")</f>
        <v/>
      </c>
      <c r="R148" s="162"/>
      <c r="S148" s="3"/>
      <c r="T148" s="3"/>
    </row>
    <row r="149" spans="1:20" x14ac:dyDescent="0.25">
      <c r="A149" s="3"/>
      <c r="B149" s="185">
        <v>144</v>
      </c>
      <c r="C149" s="170"/>
      <c r="D149" s="103"/>
      <c r="E149" s="103"/>
      <c r="F149" s="78"/>
      <c r="G149" s="103"/>
      <c r="H149" s="102"/>
      <c r="I149" s="105" t="str">
        <f>IFERROR(VLOOKUP(KalkylStart[[#This Row],[Klimatmaterial]],Materialtabell[[#All],[Materialnamn]:[Materialtyp]],2,0),"")</f>
        <v/>
      </c>
      <c r="J149" s="104" t="str">
        <f>IFERROR(IF(G149="kg",1,IF(G149="ton",1000,IF(G149=RIGHT(VLOOKUP(H149,Materialtabell[[#All],[Materialnamn]:[Enhet]],4,0),LEN(VLOOKUP(H149,Materialtabell[[#All],[Materialnamn]:[Enhet]],4,0))-3),VLOOKUP(H149,Materialtabell[[#All],[Materialnamn]:[Enhet]],3,0),"Enhetsfel"))),"")</f>
        <v/>
      </c>
      <c r="K149" s="105" t="str">
        <f>IFERROR(IF(G149="kg","kg/kg",IF(G149="ton","kg/ton",IF(RIGHT(VLOOKUP(H149,Materialtabell[[#All],[Materialnamn]:[Enhet]],4,0),LEN(VLOOKUP(H149,Materialtabell[[#All],[Materialnamn]:[Enhet]],4,0))-3)=G149,VLOOKUP(H149,Materialtabell[[#All],[Materialnamn]:[Enhet]],4,0),"kg/ton/"&amp;RIGHT(VLOOKUP(H149,Materialtabell[[#All],[Materialnamn]:[Enhet]],4,0),LEN(VLOOKUP(H149,Materialtabell[[#All],[Materialnamn]:[Enhet]],4,0))-3)))),"")</f>
        <v/>
      </c>
      <c r="L149" s="104" t="str">
        <f>IFERROR(KalkylStart[[#This Row],[Mängd]]*KalkylStart[[#This Row],[Omräknings-faktor]],"")</f>
        <v/>
      </c>
      <c r="M149" s="104" t="str">
        <f>IFERROR(F149*J149*VLOOKUP(H149,Materialtabell[[#All],[Materialnamn]:[Emissionsfaktor 2019
kg CO2e/kg]],5,0),"")</f>
        <v/>
      </c>
      <c r="N149" s="104" t="str">
        <f>IFERROR(F149*J149*VLOOKUP(H149,Materialtabell[[#All],[Materialnamn]:[Emissionsfaktor 2025
kg CO2e/kg]],6,0),"")</f>
        <v/>
      </c>
      <c r="O149" s="78" t="str">
        <f>IFERROR(VLOOKUP(H149,Materialtabell[[#All],[Materialnamn]:[Kommentar A4]],24,0),"")</f>
        <v/>
      </c>
      <c r="P149" s="94" t="str">
        <f>IFERROR(($F149*$J149*$O149*VLOOKUP($H149,Materialtabell[[#All],[Materialnamn]:[Bränsle 
MJ/ton, km]],25,0)*Materiallista!$AF$5)/1000,"")</f>
        <v/>
      </c>
      <c r="Q149" s="94" t="str">
        <f>IFERROR(($F149*$J149*$O149*VLOOKUP($H149,Materialtabell[[#All],[Materialnamn]:[Bränsle 
MJ/ton, km]],25,0)*Materiallista!$AF$6)/1000,"")</f>
        <v/>
      </c>
      <c r="R149" s="162"/>
      <c r="S149" s="3"/>
      <c r="T149" s="3"/>
    </row>
    <row r="150" spans="1:20" x14ac:dyDescent="0.25">
      <c r="A150" s="3"/>
      <c r="B150" s="185">
        <v>145</v>
      </c>
      <c r="C150" s="170"/>
      <c r="D150" s="103"/>
      <c r="E150" s="103"/>
      <c r="F150" s="78"/>
      <c r="G150" s="103"/>
      <c r="H150" s="102"/>
      <c r="I150" s="105" t="str">
        <f>IFERROR(VLOOKUP(KalkylStart[[#This Row],[Klimatmaterial]],Materialtabell[[#All],[Materialnamn]:[Materialtyp]],2,0),"")</f>
        <v/>
      </c>
      <c r="J150" s="104" t="str">
        <f>IFERROR(IF(G150="kg",1,IF(G150="ton",1000,IF(G150=RIGHT(VLOOKUP(H150,Materialtabell[[#All],[Materialnamn]:[Enhet]],4,0),LEN(VLOOKUP(H150,Materialtabell[[#All],[Materialnamn]:[Enhet]],4,0))-3),VLOOKUP(H150,Materialtabell[[#All],[Materialnamn]:[Enhet]],3,0),"Enhetsfel"))),"")</f>
        <v/>
      </c>
      <c r="K150" s="105" t="str">
        <f>IFERROR(IF(G150="kg","kg/kg",IF(G150="ton","kg/ton",IF(RIGHT(VLOOKUP(H150,Materialtabell[[#All],[Materialnamn]:[Enhet]],4,0),LEN(VLOOKUP(H150,Materialtabell[[#All],[Materialnamn]:[Enhet]],4,0))-3)=G150,VLOOKUP(H150,Materialtabell[[#All],[Materialnamn]:[Enhet]],4,0),"kg/ton/"&amp;RIGHT(VLOOKUP(H150,Materialtabell[[#All],[Materialnamn]:[Enhet]],4,0),LEN(VLOOKUP(H150,Materialtabell[[#All],[Materialnamn]:[Enhet]],4,0))-3)))),"")</f>
        <v/>
      </c>
      <c r="L150" s="104" t="str">
        <f>IFERROR(KalkylStart[[#This Row],[Mängd]]*KalkylStart[[#This Row],[Omräknings-faktor]],"")</f>
        <v/>
      </c>
      <c r="M150" s="104" t="str">
        <f>IFERROR(F150*J150*VLOOKUP(H150,Materialtabell[[#All],[Materialnamn]:[Emissionsfaktor 2019
kg CO2e/kg]],5,0),"")</f>
        <v/>
      </c>
      <c r="N150" s="104" t="str">
        <f>IFERROR(F150*J150*VLOOKUP(H150,Materialtabell[[#All],[Materialnamn]:[Emissionsfaktor 2025
kg CO2e/kg]],6,0),"")</f>
        <v/>
      </c>
      <c r="O150" s="78" t="str">
        <f>IFERROR(VLOOKUP(H150,Materialtabell[[#All],[Materialnamn]:[Kommentar A4]],24,0),"")</f>
        <v/>
      </c>
      <c r="P150" s="94" t="str">
        <f>IFERROR(($F150*$J150*$O150*VLOOKUP($H150,Materialtabell[[#All],[Materialnamn]:[Bränsle 
MJ/ton, km]],25,0)*Materiallista!$AF$5)/1000,"")</f>
        <v/>
      </c>
      <c r="Q150" s="94" t="str">
        <f>IFERROR(($F150*$J150*$O150*VLOOKUP($H150,Materialtabell[[#All],[Materialnamn]:[Bränsle 
MJ/ton, km]],25,0)*Materiallista!$AF$6)/1000,"")</f>
        <v/>
      </c>
      <c r="R150" s="162"/>
      <c r="S150" s="3"/>
      <c r="T150" s="3"/>
    </row>
    <row r="151" spans="1:20" x14ac:dyDescent="0.25">
      <c r="A151" s="3"/>
      <c r="B151" s="185">
        <v>146</v>
      </c>
      <c r="C151" s="170"/>
      <c r="D151" s="103"/>
      <c r="E151" s="103"/>
      <c r="F151" s="78"/>
      <c r="G151" s="103"/>
      <c r="H151" s="102"/>
      <c r="I151" s="105" t="str">
        <f>IFERROR(VLOOKUP(KalkylStart[[#This Row],[Klimatmaterial]],Materialtabell[[#All],[Materialnamn]:[Materialtyp]],2,0),"")</f>
        <v/>
      </c>
      <c r="J151" s="104" t="str">
        <f>IFERROR(IF(G151="kg",1,IF(G151="ton",1000,IF(G151=RIGHT(VLOOKUP(H151,Materialtabell[[#All],[Materialnamn]:[Enhet]],4,0),LEN(VLOOKUP(H151,Materialtabell[[#All],[Materialnamn]:[Enhet]],4,0))-3),VLOOKUP(H151,Materialtabell[[#All],[Materialnamn]:[Enhet]],3,0),"Enhetsfel"))),"")</f>
        <v/>
      </c>
      <c r="K151" s="105" t="str">
        <f>IFERROR(IF(G151="kg","kg/kg",IF(G151="ton","kg/ton",IF(RIGHT(VLOOKUP(H151,Materialtabell[[#All],[Materialnamn]:[Enhet]],4,0),LEN(VLOOKUP(H151,Materialtabell[[#All],[Materialnamn]:[Enhet]],4,0))-3)=G151,VLOOKUP(H151,Materialtabell[[#All],[Materialnamn]:[Enhet]],4,0),"kg/ton/"&amp;RIGHT(VLOOKUP(H151,Materialtabell[[#All],[Materialnamn]:[Enhet]],4,0),LEN(VLOOKUP(H151,Materialtabell[[#All],[Materialnamn]:[Enhet]],4,0))-3)))),"")</f>
        <v/>
      </c>
      <c r="L151" s="104" t="str">
        <f>IFERROR(KalkylStart[[#This Row],[Mängd]]*KalkylStart[[#This Row],[Omräknings-faktor]],"")</f>
        <v/>
      </c>
      <c r="M151" s="104" t="str">
        <f>IFERROR(F151*J151*VLOOKUP(H151,Materialtabell[[#All],[Materialnamn]:[Emissionsfaktor 2019
kg CO2e/kg]],5,0),"")</f>
        <v/>
      </c>
      <c r="N151" s="104" t="str">
        <f>IFERROR(F151*J151*VLOOKUP(H151,Materialtabell[[#All],[Materialnamn]:[Emissionsfaktor 2025
kg CO2e/kg]],6,0),"")</f>
        <v/>
      </c>
      <c r="O151" s="78" t="str">
        <f>IFERROR(VLOOKUP(H151,Materialtabell[[#All],[Materialnamn]:[Kommentar A4]],24,0),"")</f>
        <v/>
      </c>
      <c r="P151" s="94" t="str">
        <f>IFERROR(($F151*$J151*$O151*VLOOKUP($H151,Materialtabell[[#All],[Materialnamn]:[Bränsle 
MJ/ton, km]],25,0)*Materiallista!$AF$5)/1000,"")</f>
        <v/>
      </c>
      <c r="Q151" s="94" t="str">
        <f>IFERROR(($F151*$J151*$O151*VLOOKUP($H151,Materialtabell[[#All],[Materialnamn]:[Bränsle 
MJ/ton, km]],25,0)*Materiallista!$AF$6)/1000,"")</f>
        <v/>
      </c>
      <c r="R151" s="162"/>
      <c r="S151" s="3"/>
      <c r="T151" s="3"/>
    </row>
    <row r="152" spans="1:20" x14ac:dyDescent="0.25">
      <c r="A152" s="3"/>
      <c r="B152" s="185">
        <v>147</v>
      </c>
      <c r="C152" s="170"/>
      <c r="D152" s="103"/>
      <c r="E152" s="103"/>
      <c r="F152" s="78"/>
      <c r="G152" s="103"/>
      <c r="H152" s="102"/>
      <c r="I152" s="105" t="str">
        <f>IFERROR(VLOOKUP(KalkylStart[[#This Row],[Klimatmaterial]],Materialtabell[[#All],[Materialnamn]:[Materialtyp]],2,0),"")</f>
        <v/>
      </c>
      <c r="J152" s="104" t="str">
        <f>IFERROR(IF(G152="kg",1,IF(G152="ton",1000,IF(G152=RIGHT(VLOOKUP(H152,Materialtabell[[#All],[Materialnamn]:[Enhet]],4,0),LEN(VLOOKUP(H152,Materialtabell[[#All],[Materialnamn]:[Enhet]],4,0))-3),VLOOKUP(H152,Materialtabell[[#All],[Materialnamn]:[Enhet]],3,0),"Enhetsfel"))),"")</f>
        <v/>
      </c>
      <c r="K152" s="105" t="str">
        <f>IFERROR(IF(G152="kg","kg/kg",IF(G152="ton","kg/ton",IF(RIGHT(VLOOKUP(H152,Materialtabell[[#All],[Materialnamn]:[Enhet]],4,0),LEN(VLOOKUP(H152,Materialtabell[[#All],[Materialnamn]:[Enhet]],4,0))-3)=G152,VLOOKUP(H152,Materialtabell[[#All],[Materialnamn]:[Enhet]],4,0),"kg/ton/"&amp;RIGHT(VLOOKUP(H152,Materialtabell[[#All],[Materialnamn]:[Enhet]],4,0),LEN(VLOOKUP(H152,Materialtabell[[#All],[Materialnamn]:[Enhet]],4,0))-3)))),"")</f>
        <v/>
      </c>
      <c r="L152" s="104" t="str">
        <f>IFERROR(KalkylStart[[#This Row],[Mängd]]*KalkylStart[[#This Row],[Omräknings-faktor]],"")</f>
        <v/>
      </c>
      <c r="M152" s="104" t="str">
        <f>IFERROR(F152*J152*VLOOKUP(H152,Materialtabell[[#All],[Materialnamn]:[Emissionsfaktor 2019
kg CO2e/kg]],5,0),"")</f>
        <v/>
      </c>
      <c r="N152" s="104" t="str">
        <f>IFERROR(F152*J152*VLOOKUP(H152,Materialtabell[[#All],[Materialnamn]:[Emissionsfaktor 2025
kg CO2e/kg]],6,0),"")</f>
        <v/>
      </c>
      <c r="O152" s="78" t="str">
        <f>IFERROR(VLOOKUP(H152,Materialtabell[[#All],[Materialnamn]:[Kommentar A4]],24,0),"")</f>
        <v/>
      </c>
      <c r="P152" s="94" t="str">
        <f>IFERROR(($F152*$J152*$O152*VLOOKUP($H152,Materialtabell[[#All],[Materialnamn]:[Bränsle 
MJ/ton, km]],25,0)*Materiallista!$AF$5)/1000,"")</f>
        <v/>
      </c>
      <c r="Q152" s="94" t="str">
        <f>IFERROR(($F152*$J152*$O152*VLOOKUP($H152,Materialtabell[[#All],[Materialnamn]:[Bränsle 
MJ/ton, km]],25,0)*Materiallista!$AF$6)/1000,"")</f>
        <v/>
      </c>
      <c r="R152" s="162"/>
      <c r="S152" s="3"/>
      <c r="T152" s="3"/>
    </row>
    <row r="153" spans="1:20" x14ac:dyDescent="0.25">
      <c r="A153" s="3"/>
      <c r="B153" s="185">
        <v>148</v>
      </c>
      <c r="C153" s="170"/>
      <c r="D153" s="103"/>
      <c r="E153" s="103"/>
      <c r="F153" s="78"/>
      <c r="G153" s="103"/>
      <c r="H153" s="102"/>
      <c r="I153" s="105" t="str">
        <f>IFERROR(VLOOKUP(KalkylStart[[#This Row],[Klimatmaterial]],Materialtabell[[#All],[Materialnamn]:[Materialtyp]],2,0),"")</f>
        <v/>
      </c>
      <c r="J153" s="104" t="str">
        <f>IFERROR(IF(G153="kg",1,IF(G153="ton",1000,IF(G153=RIGHT(VLOOKUP(H153,Materialtabell[[#All],[Materialnamn]:[Enhet]],4,0),LEN(VLOOKUP(H153,Materialtabell[[#All],[Materialnamn]:[Enhet]],4,0))-3),VLOOKUP(H153,Materialtabell[[#All],[Materialnamn]:[Enhet]],3,0),"Enhetsfel"))),"")</f>
        <v/>
      </c>
      <c r="K153" s="105" t="str">
        <f>IFERROR(IF(G153="kg","kg/kg",IF(G153="ton","kg/ton",IF(RIGHT(VLOOKUP(H153,Materialtabell[[#All],[Materialnamn]:[Enhet]],4,0),LEN(VLOOKUP(H153,Materialtabell[[#All],[Materialnamn]:[Enhet]],4,0))-3)=G153,VLOOKUP(H153,Materialtabell[[#All],[Materialnamn]:[Enhet]],4,0),"kg/ton/"&amp;RIGHT(VLOOKUP(H153,Materialtabell[[#All],[Materialnamn]:[Enhet]],4,0),LEN(VLOOKUP(H153,Materialtabell[[#All],[Materialnamn]:[Enhet]],4,0))-3)))),"")</f>
        <v/>
      </c>
      <c r="L153" s="104" t="str">
        <f>IFERROR(KalkylStart[[#This Row],[Mängd]]*KalkylStart[[#This Row],[Omräknings-faktor]],"")</f>
        <v/>
      </c>
      <c r="M153" s="104" t="str">
        <f>IFERROR(F153*J153*VLOOKUP(H153,Materialtabell[[#All],[Materialnamn]:[Emissionsfaktor 2019
kg CO2e/kg]],5,0),"")</f>
        <v/>
      </c>
      <c r="N153" s="104" t="str">
        <f>IFERROR(F153*J153*VLOOKUP(H153,Materialtabell[[#All],[Materialnamn]:[Emissionsfaktor 2025
kg CO2e/kg]],6,0),"")</f>
        <v/>
      </c>
      <c r="O153" s="78" t="str">
        <f>IFERROR(VLOOKUP(H153,Materialtabell[[#All],[Materialnamn]:[Kommentar A4]],24,0),"")</f>
        <v/>
      </c>
      <c r="P153" s="94" t="str">
        <f>IFERROR(($F153*$J153*$O153*VLOOKUP($H153,Materialtabell[[#All],[Materialnamn]:[Bränsle 
MJ/ton, km]],25,0)*Materiallista!$AF$5)/1000,"")</f>
        <v/>
      </c>
      <c r="Q153" s="94" t="str">
        <f>IFERROR(($F153*$J153*$O153*VLOOKUP($H153,Materialtabell[[#All],[Materialnamn]:[Bränsle 
MJ/ton, km]],25,0)*Materiallista!$AF$6)/1000,"")</f>
        <v/>
      </c>
      <c r="R153" s="162"/>
      <c r="S153" s="3"/>
      <c r="T153" s="3"/>
    </row>
    <row r="154" spans="1:20" x14ac:dyDescent="0.25">
      <c r="A154" s="3"/>
      <c r="B154" s="185">
        <v>149</v>
      </c>
      <c r="C154" s="170"/>
      <c r="D154" s="103"/>
      <c r="E154" s="103"/>
      <c r="F154" s="78"/>
      <c r="G154" s="103"/>
      <c r="H154" s="102"/>
      <c r="I154" s="105" t="str">
        <f>IFERROR(VLOOKUP(KalkylStart[[#This Row],[Klimatmaterial]],Materialtabell[[#All],[Materialnamn]:[Materialtyp]],2,0),"")</f>
        <v/>
      </c>
      <c r="J154" s="104" t="str">
        <f>IFERROR(IF(G154="kg",1,IF(G154="ton",1000,IF(G154=RIGHT(VLOOKUP(H154,Materialtabell[[#All],[Materialnamn]:[Enhet]],4,0),LEN(VLOOKUP(H154,Materialtabell[[#All],[Materialnamn]:[Enhet]],4,0))-3),VLOOKUP(H154,Materialtabell[[#All],[Materialnamn]:[Enhet]],3,0),"Enhetsfel"))),"")</f>
        <v/>
      </c>
      <c r="K154" s="105" t="str">
        <f>IFERROR(IF(G154="kg","kg/kg",IF(G154="ton","kg/ton",IF(RIGHT(VLOOKUP(H154,Materialtabell[[#All],[Materialnamn]:[Enhet]],4,0),LEN(VLOOKUP(H154,Materialtabell[[#All],[Materialnamn]:[Enhet]],4,0))-3)=G154,VLOOKUP(H154,Materialtabell[[#All],[Materialnamn]:[Enhet]],4,0),"kg/ton/"&amp;RIGHT(VLOOKUP(H154,Materialtabell[[#All],[Materialnamn]:[Enhet]],4,0),LEN(VLOOKUP(H154,Materialtabell[[#All],[Materialnamn]:[Enhet]],4,0))-3)))),"")</f>
        <v/>
      </c>
      <c r="L154" s="104" t="str">
        <f>IFERROR(KalkylStart[[#This Row],[Mängd]]*KalkylStart[[#This Row],[Omräknings-faktor]],"")</f>
        <v/>
      </c>
      <c r="M154" s="104" t="str">
        <f>IFERROR(F154*J154*VLOOKUP(H154,Materialtabell[[#All],[Materialnamn]:[Emissionsfaktor 2019
kg CO2e/kg]],5,0),"")</f>
        <v/>
      </c>
      <c r="N154" s="104" t="str">
        <f>IFERROR(F154*J154*VLOOKUP(H154,Materialtabell[[#All],[Materialnamn]:[Emissionsfaktor 2025
kg CO2e/kg]],6,0),"")</f>
        <v/>
      </c>
      <c r="O154" s="78" t="str">
        <f>IFERROR(VLOOKUP(H154,Materialtabell[[#All],[Materialnamn]:[Kommentar A4]],24,0),"")</f>
        <v/>
      </c>
      <c r="P154" s="94" t="str">
        <f>IFERROR(($F154*$J154*$O154*VLOOKUP($H154,Materialtabell[[#All],[Materialnamn]:[Bränsle 
MJ/ton, km]],25,0)*Materiallista!$AF$5)/1000,"")</f>
        <v/>
      </c>
      <c r="Q154" s="94" t="str">
        <f>IFERROR(($F154*$J154*$O154*VLOOKUP($H154,Materialtabell[[#All],[Materialnamn]:[Bränsle 
MJ/ton, km]],25,0)*Materiallista!$AF$6)/1000,"")</f>
        <v/>
      </c>
      <c r="R154" s="162"/>
      <c r="S154" s="3"/>
      <c r="T154" s="3"/>
    </row>
    <row r="155" spans="1:20" x14ac:dyDescent="0.25">
      <c r="A155" s="3"/>
      <c r="B155" s="185">
        <v>150</v>
      </c>
      <c r="C155" s="170"/>
      <c r="D155" s="103"/>
      <c r="E155" s="103"/>
      <c r="F155" s="78"/>
      <c r="G155" s="103"/>
      <c r="H155" s="102"/>
      <c r="I155" s="105" t="str">
        <f>IFERROR(VLOOKUP(KalkylStart[[#This Row],[Klimatmaterial]],Materialtabell[[#All],[Materialnamn]:[Materialtyp]],2,0),"")</f>
        <v/>
      </c>
      <c r="J155" s="104" t="str">
        <f>IFERROR(IF(G155="kg",1,IF(G155="ton",1000,IF(G155=RIGHT(VLOOKUP(H155,Materialtabell[[#All],[Materialnamn]:[Enhet]],4,0),LEN(VLOOKUP(H155,Materialtabell[[#All],[Materialnamn]:[Enhet]],4,0))-3),VLOOKUP(H155,Materialtabell[[#All],[Materialnamn]:[Enhet]],3,0),"Enhetsfel"))),"")</f>
        <v/>
      </c>
      <c r="K155" s="105" t="str">
        <f>IFERROR(IF(G155="kg","kg/kg",IF(G155="ton","kg/ton",IF(RIGHT(VLOOKUP(H155,Materialtabell[[#All],[Materialnamn]:[Enhet]],4,0),LEN(VLOOKUP(H155,Materialtabell[[#All],[Materialnamn]:[Enhet]],4,0))-3)=G155,VLOOKUP(H155,Materialtabell[[#All],[Materialnamn]:[Enhet]],4,0),"kg/ton/"&amp;RIGHT(VLOOKUP(H155,Materialtabell[[#All],[Materialnamn]:[Enhet]],4,0),LEN(VLOOKUP(H155,Materialtabell[[#All],[Materialnamn]:[Enhet]],4,0))-3)))),"")</f>
        <v/>
      </c>
      <c r="L155" s="104" t="str">
        <f>IFERROR(KalkylStart[[#This Row],[Mängd]]*KalkylStart[[#This Row],[Omräknings-faktor]],"")</f>
        <v/>
      </c>
      <c r="M155" s="104" t="str">
        <f>IFERROR(F155*J155*VLOOKUP(H155,Materialtabell[[#All],[Materialnamn]:[Emissionsfaktor 2019
kg CO2e/kg]],5,0),"")</f>
        <v/>
      </c>
      <c r="N155" s="104" t="str">
        <f>IFERROR(F155*J155*VLOOKUP(H155,Materialtabell[[#All],[Materialnamn]:[Emissionsfaktor 2025
kg CO2e/kg]],6,0),"")</f>
        <v/>
      </c>
      <c r="O155" s="78" t="str">
        <f>IFERROR(VLOOKUP(H155,Materialtabell[[#All],[Materialnamn]:[Kommentar A4]],24,0),"")</f>
        <v/>
      </c>
      <c r="P155" s="94" t="str">
        <f>IFERROR(($F155*$J155*$O155*VLOOKUP($H155,Materialtabell[[#All],[Materialnamn]:[Bränsle 
MJ/ton, km]],25,0)*Materiallista!$AF$5)/1000,"")</f>
        <v/>
      </c>
      <c r="Q155" s="94" t="str">
        <f>IFERROR(($F155*$J155*$O155*VLOOKUP($H155,Materialtabell[[#All],[Materialnamn]:[Bränsle 
MJ/ton, km]],25,0)*Materiallista!$AF$6)/1000,"")</f>
        <v/>
      </c>
      <c r="R155" s="162"/>
      <c r="S155" s="3"/>
      <c r="T155" s="3"/>
    </row>
    <row r="156" spans="1:20" x14ac:dyDescent="0.25">
      <c r="A156" s="3"/>
      <c r="B156" s="185">
        <v>151</v>
      </c>
      <c r="C156" s="170"/>
      <c r="D156" s="103"/>
      <c r="E156" s="103"/>
      <c r="F156" s="78"/>
      <c r="G156" s="103"/>
      <c r="H156" s="102"/>
      <c r="I156" s="105" t="str">
        <f>IFERROR(VLOOKUP(KalkylStart[[#This Row],[Klimatmaterial]],Materialtabell[[#All],[Materialnamn]:[Materialtyp]],2,0),"")</f>
        <v/>
      </c>
      <c r="J156" s="104" t="str">
        <f>IFERROR(IF(G156="kg",1,IF(G156="ton",1000,IF(G156=RIGHT(VLOOKUP(H156,Materialtabell[[#All],[Materialnamn]:[Enhet]],4,0),LEN(VLOOKUP(H156,Materialtabell[[#All],[Materialnamn]:[Enhet]],4,0))-3),VLOOKUP(H156,Materialtabell[[#All],[Materialnamn]:[Enhet]],3,0),"Enhetsfel"))),"")</f>
        <v/>
      </c>
      <c r="K156" s="105" t="str">
        <f>IFERROR(IF(G156="kg","kg/kg",IF(G156="ton","kg/ton",IF(RIGHT(VLOOKUP(H156,Materialtabell[[#All],[Materialnamn]:[Enhet]],4,0),LEN(VLOOKUP(H156,Materialtabell[[#All],[Materialnamn]:[Enhet]],4,0))-3)=G156,VLOOKUP(H156,Materialtabell[[#All],[Materialnamn]:[Enhet]],4,0),"kg/ton/"&amp;RIGHT(VLOOKUP(H156,Materialtabell[[#All],[Materialnamn]:[Enhet]],4,0),LEN(VLOOKUP(H156,Materialtabell[[#All],[Materialnamn]:[Enhet]],4,0))-3)))),"")</f>
        <v/>
      </c>
      <c r="L156" s="104" t="str">
        <f>IFERROR(KalkylStart[[#This Row],[Mängd]]*KalkylStart[[#This Row],[Omräknings-faktor]],"")</f>
        <v/>
      </c>
      <c r="M156" s="104" t="str">
        <f>IFERROR(F156*J156*VLOOKUP(H156,Materialtabell[[#All],[Materialnamn]:[Emissionsfaktor 2019
kg CO2e/kg]],5,0),"")</f>
        <v/>
      </c>
      <c r="N156" s="104" t="str">
        <f>IFERROR(F156*J156*VLOOKUP(H156,Materialtabell[[#All],[Materialnamn]:[Emissionsfaktor 2025
kg CO2e/kg]],6,0),"")</f>
        <v/>
      </c>
      <c r="O156" s="78" t="str">
        <f>IFERROR(VLOOKUP(H156,Materialtabell[[#All],[Materialnamn]:[Kommentar A4]],24,0),"")</f>
        <v/>
      </c>
      <c r="P156" s="94" t="str">
        <f>IFERROR(($F156*$J156*$O156*VLOOKUP($H156,Materialtabell[[#All],[Materialnamn]:[Bränsle 
MJ/ton, km]],25,0)*Materiallista!$AF$5)/1000,"")</f>
        <v/>
      </c>
      <c r="Q156" s="94" t="str">
        <f>IFERROR(($F156*$J156*$O156*VLOOKUP($H156,Materialtabell[[#All],[Materialnamn]:[Bränsle 
MJ/ton, km]],25,0)*Materiallista!$AF$6)/1000,"")</f>
        <v/>
      </c>
      <c r="R156" s="162"/>
      <c r="S156" s="3"/>
      <c r="T156" s="3"/>
    </row>
    <row r="157" spans="1:20" x14ac:dyDescent="0.25">
      <c r="A157" s="3"/>
      <c r="B157" s="185">
        <v>152</v>
      </c>
      <c r="C157" s="170"/>
      <c r="D157" s="103"/>
      <c r="E157" s="103"/>
      <c r="F157" s="78"/>
      <c r="G157" s="103"/>
      <c r="H157" s="102"/>
      <c r="I157" s="105" t="str">
        <f>IFERROR(VLOOKUP(KalkylStart[[#This Row],[Klimatmaterial]],Materialtabell[[#All],[Materialnamn]:[Materialtyp]],2,0),"")</f>
        <v/>
      </c>
      <c r="J157" s="104" t="str">
        <f>IFERROR(IF(G157="kg",1,IF(G157="ton",1000,IF(G157=RIGHT(VLOOKUP(H157,Materialtabell[[#All],[Materialnamn]:[Enhet]],4,0),LEN(VLOOKUP(H157,Materialtabell[[#All],[Materialnamn]:[Enhet]],4,0))-3),VLOOKUP(H157,Materialtabell[[#All],[Materialnamn]:[Enhet]],3,0),"Enhetsfel"))),"")</f>
        <v/>
      </c>
      <c r="K157" s="105" t="str">
        <f>IFERROR(IF(G157="kg","kg/kg",IF(G157="ton","kg/ton",IF(RIGHT(VLOOKUP(H157,Materialtabell[[#All],[Materialnamn]:[Enhet]],4,0),LEN(VLOOKUP(H157,Materialtabell[[#All],[Materialnamn]:[Enhet]],4,0))-3)=G157,VLOOKUP(H157,Materialtabell[[#All],[Materialnamn]:[Enhet]],4,0),"kg/ton/"&amp;RIGHT(VLOOKUP(H157,Materialtabell[[#All],[Materialnamn]:[Enhet]],4,0),LEN(VLOOKUP(H157,Materialtabell[[#All],[Materialnamn]:[Enhet]],4,0))-3)))),"")</f>
        <v/>
      </c>
      <c r="L157" s="104" t="str">
        <f>IFERROR(KalkylStart[[#This Row],[Mängd]]*KalkylStart[[#This Row],[Omräknings-faktor]],"")</f>
        <v/>
      </c>
      <c r="M157" s="104" t="str">
        <f>IFERROR(F157*J157*VLOOKUP(H157,Materialtabell[[#All],[Materialnamn]:[Emissionsfaktor 2019
kg CO2e/kg]],5,0),"")</f>
        <v/>
      </c>
      <c r="N157" s="104" t="str">
        <f>IFERROR(F157*J157*VLOOKUP(H157,Materialtabell[[#All],[Materialnamn]:[Emissionsfaktor 2025
kg CO2e/kg]],6,0),"")</f>
        <v/>
      </c>
      <c r="O157" s="78" t="str">
        <f>IFERROR(VLOOKUP(H157,Materialtabell[[#All],[Materialnamn]:[Kommentar A4]],24,0),"")</f>
        <v/>
      </c>
      <c r="P157" s="94" t="str">
        <f>IFERROR(($F157*$J157*$O157*VLOOKUP($H157,Materialtabell[[#All],[Materialnamn]:[Bränsle 
MJ/ton, km]],25,0)*Materiallista!$AF$5)/1000,"")</f>
        <v/>
      </c>
      <c r="Q157" s="94" t="str">
        <f>IFERROR(($F157*$J157*$O157*VLOOKUP($H157,Materialtabell[[#All],[Materialnamn]:[Bränsle 
MJ/ton, km]],25,0)*Materiallista!$AF$6)/1000,"")</f>
        <v/>
      </c>
      <c r="R157" s="162"/>
      <c r="S157" s="3"/>
      <c r="T157" s="3"/>
    </row>
    <row r="158" spans="1:20" x14ac:dyDescent="0.25">
      <c r="A158" s="3"/>
      <c r="B158" s="185">
        <v>153</v>
      </c>
      <c r="C158" s="170"/>
      <c r="D158" s="103"/>
      <c r="E158" s="103"/>
      <c r="F158" s="78"/>
      <c r="G158" s="103"/>
      <c r="H158" s="102"/>
      <c r="I158" s="105" t="str">
        <f>IFERROR(VLOOKUP(KalkylStart[[#This Row],[Klimatmaterial]],Materialtabell[[#All],[Materialnamn]:[Materialtyp]],2,0),"")</f>
        <v/>
      </c>
      <c r="J158" s="104" t="str">
        <f>IFERROR(IF(G158="kg",1,IF(G158="ton",1000,IF(G158=RIGHT(VLOOKUP(H158,Materialtabell[[#All],[Materialnamn]:[Enhet]],4,0),LEN(VLOOKUP(H158,Materialtabell[[#All],[Materialnamn]:[Enhet]],4,0))-3),VLOOKUP(H158,Materialtabell[[#All],[Materialnamn]:[Enhet]],3,0),"Enhetsfel"))),"")</f>
        <v/>
      </c>
      <c r="K158" s="105" t="str">
        <f>IFERROR(IF(G158="kg","kg/kg",IF(G158="ton","kg/ton",IF(RIGHT(VLOOKUP(H158,Materialtabell[[#All],[Materialnamn]:[Enhet]],4,0),LEN(VLOOKUP(H158,Materialtabell[[#All],[Materialnamn]:[Enhet]],4,0))-3)=G158,VLOOKUP(H158,Materialtabell[[#All],[Materialnamn]:[Enhet]],4,0),"kg/ton/"&amp;RIGHT(VLOOKUP(H158,Materialtabell[[#All],[Materialnamn]:[Enhet]],4,0),LEN(VLOOKUP(H158,Materialtabell[[#All],[Materialnamn]:[Enhet]],4,0))-3)))),"")</f>
        <v/>
      </c>
      <c r="L158" s="104" t="str">
        <f>IFERROR(KalkylStart[[#This Row],[Mängd]]*KalkylStart[[#This Row],[Omräknings-faktor]],"")</f>
        <v/>
      </c>
      <c r="M158" s="104" t="str">
        <f>IFERROR(F158*J158*VLOOKUP(H158,Materialtabell[[#All],[Materialnamn]:[Emissionsfaktor 2019
kg CO2e/kg]],5,0),"")</f>
        <v/>
      </c>
      <c r="N158" s="104" t="str">
        <f>IFERROR(F158*J158*VLOOKUP(H158,Materialtabell[[#All],[Materialnamn]:[Emissionsfaktor 2025
kg CO2e/kg]],6,0),"")</f>
        <v/>
      </c>
      <c r="O158" s="78" t="str">
        <f>IFERROR(VLOOKUP(H158,Materialtabell[[#All],[Materialnamn]:[Kommentar A4]],24,0),"")</f>
        <v/>
      </c>
      <c r="P158" s="94" t="str">
        <f>IFERROR(($F158*$J158*$O158*VLOOKUP($H158,Materialtabell[[#All],[Materialnamn]:[Bränsle 
MJ/ton, km]],25,0)*Materiallista!$AF$5)/1000,"")</f>
        <v/>
      </c>
      <c r="Q158" s="94" t="str">
        <f>IFERROR(($F158*$J158*$O158*VLOOKUP($H158,Materialtabell[[#All],[Materialnamn]:[Bränsle 
MJ/ton, km]],25,0)*Materiallista!$AF$6)/1000,"")</f>
        <v/>
      </c>
      <c r="R158" s="162"/>
      <c r="S158" s="3"/>
      <c r="T158" s="3"/>
    </row>
    <row r="159" spans="1:20" x14ac:dyDescent="0.25">
      <c r="A159" s="3"/>
      <c r="B159" s="185">
        <v>154</v>
      </c>
      <c r="C159" s="170"/>
      <c r="D159" s="103"/>
      <c r="E159" s="103"/>
      <c r="F159" s="78"/>
      <c r="G159" s="103"/>
      <c r="H159" s="102"/>
      <c r="I159" s="105" t="str">
        <f>IFERROR(VLOOKUP(KalkylStart[[#This Row],[Klimatmaterial]],Materialtabell[[#All],[Materialnamn]:[Materialtyp]],2,0),"")</f>
        <v/>
      </c>
      <c r="J159" s="104" t="str">
        <f>IFERROR(IF(G159="kg",1,IF(G159="ton",1000,IF(G159=RIGHT(VLOOKUP(H159,Materialtabell[[#All],[Materialnamn]:[Enhet]],4,0),LEN(VLOOKUP(H159,Materialtabell[[#All],[Materialnamn]:[Enhet]],4,0))-3),VLOOKUP(H159,Materialtabell[[#All],[Materialnamn]:[Enhet]],3,0),"Enhetsfel"))),"")</f>
        <v/>
      </c>
      <c r="K159" s="105" t="str">
        <f>IFERROR(IF(G159="kg","kg/kg",IF(G159="ton","kg/ton",IF(RIGHT(VLOOKUP(H159,Materialtabell[[#All],[Materialnamn]:[Enhet]],4,0),LEN(VLOOKUP(H159,Materialtabell[[#All],[Materialnamn]:[Enhet]],4,0))-3)=G159,VLOOKUP(H159,Materialtabell[[#All],[Materialnamn]:[Enhet]],4,0),"kg/ton/"&amp;RIGHT(VLOOKUP(H159,Materialtabell[[#All],[Materialnamn]:[Enhet]],4,0),LEN(VLOOKUP(H159,Materialtabell[[#All],[Materialnamn]:[Enhet]],4,0))-3)))),"")</f>
        <v/>
      </c>
      <c r="L159" s="104" t="str">
        <f>IFERROR(KalkylStart[[#This Row],[Mängd]]*KalkylStart[[#This Row],[Omräknings-faktor]],"")</f>
        <v/>
      </c>
      <c r="M159" s="104" t="str">
        <f>IFERROR(F159*J159*VLOOKUP(H159,Materialtabell[[#All],[Materialnamn]:[Emissionsfaktor 2019
kg CO2e/kg]],5,0),"")</f>
        <v/>
      </c>
      <c r="N159" s="104" t="str">
        <f>IFERROR(F159*J159*VLOOKUP(H159,Materialtabell[[#All],[Materialnamn]:[Emissionsfaktor 2025
kg CO2e/kg]],6,0),"")</f>
        <v/>
      </c>
      <c r="O159" s="78" t="str">
        <f>IFERROR(VLOOKUP(H159,Materialtabell[[#All],[Materialnamn]:[Kommentar A4]],24,0),"")</f>
        <v/>
      </c>
      <c r="P159" s="94" t="str">
        <f>IFERROR(($F159*$J159*$O159*VLOOKUP($H159,Materialtabell[[#All],[Materialnamn]:[Bränsle 
MJ/ton, km]],25,0)*Materiallista!$AF$5)/1000,"")</f>
        <v/>
      </c>
      <c r="Q159" s="94" t="str">
        <f>IFERROR(($F159*$J159*$O159*VLOOKUP($H159,Materialtabell[[#All],[Materialnamn]:[Bränsle 
MJ/ton, km]],25,0)*Materiallista!$AF$6)/1000,"")</f>
        <v/>
      </c>
      <c r="R159" s="162"/>
      <c r="S159" s="3"/>
      <c r="T159" s="3"/>
    </row>
    <row r="160" spans="1:20" x14ac:dyDescent="0.25">
      <c r="A160" s="3"/>
      <c r="B160" s="185">
        <v>155</v>
      </c>
      <c r="C160" s="170"/>
      <c r="D160" s="103"/>
      <c r="E160" s="103"/>
      <c r="F160" s="78"/>
      <c r="G160" s="103"/>
      <c r="H160" s="102"/>
      <c r="I160" s="105" t="str">
        <f>IFERROR(VLOOKUP(KalkylStart[[#This Row],[Klimatmaterial]],Materialtabell[[#All],[Materialnamn]:[Materialtyp]],2,0),"")</f>
        <v/>
      </c>
      <c r="J160" s="104" t="str">
        <f>IFERROR(IF(G160="kg",1,IF(G160="ton",1000,IF(G160=RIGHT(VLOOKUP(H160,Materialtabell[[#All],[Materialnamn]:[Enhet]],4,0),LEN(VLOOKUP(H160,Materialtabell[[#All],[Materialnamn]:[Enhet]],4,0))-3),VLOOKUP(H160,Materialtabell[[#All],[Materialnamn]:[Enhet]],3,0),"Enhetsfel"))),"")</f>
        <v/>
      </c>
      <c r="K160" s="105" t="str">
        <f>IFERROR(IF(G160="kg","kg/kg",IF(G160="ton","kg/ton",IF(RIGHT(VLOOKUP(H160,Materialtabell[[#All],[Materialnamn]:[Enhet]],4,0),LEN(VLOOKUP(H160,Materialtabell[[#All],[Materialnamn]:[Enhet]],4,0))-3)=G160,VLOOKUP(H160,Materialtabell[[#All],[Materialnamn]:[Enhet]],4,0),"kg/ton/"&amp;RIGHT(VLOOKUP(H160,Materialtabell[[#All],[Materialnamn]:[Enhet]],4,0),LEN(VLOOKUP(H160,Materialtabell[[#All],[Materialnamn]:[Enhet]],4,0))-3)))),"")</f>
        <v/>
      </c>
      <c r="L160" s="104" t="str">
        <f>IFERROR(KalkylStart[[#This Row],[Mängd]]*KalkylStart[[#This Row],[Omräknings-faktor]],"")</f>
        <v/>
      </c>
      <c r="M160" s="104" t="str">
        <f>IFERROR(F160*J160*VLOOKUP(H160,Materialtabell[[#All],[Materialnamn]:[Emissionsfaktor 2019
kg CO2e/kg]],5,0),"")</f>
        <v/>
      </c>
      <c r="N160" s="104" t="str">
        <f>IFERROR(F160*J160*VLOOKUP(H160,Materialtabell[[#All],[Materialnamn]:[Emissionsfaktor 2025
kg CO2e/kg]],6,0),"")</f>
        <v/>
      </c>
      <c r="O160" s="78" t="str">
        <f>IFERROR(VLOOKUP(H160,Materialtabell[[#All],[Materialnamn]:[Kommentar A4]],24,0),"")</f>
        <v/>
      </c>
      <c r="P160" s="94" t="str">
        <f>IFERROR(($F160*$J160*$O160*VLOOKUP($H160,Materialtabell[[#All],[Materialnamn]:[Bränsle 
MJ/ton, km]],25,0)*Materiallista!$AF$5)/1000,"")</f>
        <v/>
      </c>
      <c r="Q160" s="94" t="str">
        <f>IFERROR(($F160*$J160*$O160*VLOOKUP($H160,Materialtabell[[#All],[Materialnamn]:[Bränsle 
MJ/ton, km]],25,0)*Materiallista!$AF$6)/1000,"")</f>
        <v/>
      </c>
      <c r="R160" s="162"/>
      <c r="S160" s="3"/>
      <c r="T160" s="3"/>
    </row>
    <row r="161" spans="1:20" x14ac:dyDescent="0.25">
      <c r="A161" s="3"/>
      <c r="B161" s="185">
        <v>156</v>
      </c>
      <c r="C161" s="170"/>
      <c r="D161" s="103"/>
      <c r="E161" s="103"/>
      <c r="F161" s="78"/>
      <c r="G161" s="103"/>
      <c r="H161" s="102"/>
      <c r="I161" s="105" t="str">
        <f>IFERROR(VLOOKUP(KalkylStart[[#This Row],[Klimatmaterial]],Materialtabell[[#All],[Materialnamn]:[Materialtyp]],2,0),"")</f>
        <v/>
      </c>
      <c r="J161" s="104" t="str">
        <f>IFERROR(IF(G161="kg",1,IF(G161="ton",1000,IF(G161=RIGHT(VLOOKUP(H161,Materialtabell[[#All],[Materialnamn]:[Enhet]],4,0),LEN(VLOOKUP(H161,Materialtabell[[#All],[Materialnamn]:[Enhet]],4,0))-3),VLOOKUP(H161,Materialtabell[[#All],[Materialnamn]:[Enhet]],3,0),"Enhetsfel"))),"")</f>
        <v/>
      </c>
      <c r="K161" s="105" t="str">
        <f>IFERROR(IF(G161="kg","kg/kg",IF(G161="ton","kg/ton",IF(RIGHT(VLOOKUP(H161,Materialtabell[[#All],[Materialnamn]:[Enhet]],4,0),LEN(VLOOKUP(H161,Materialtabell[[#All],[Materialnamn]:[Enhet]],4,0))-3)=G161,VLOOKUP(H161,Materialtabell[[#All],[Materialnamn]:[Enhet]],4,0),"kg/ton/"&amp;RIGHT(VLOOKUP(H161,Materialtabell[[#All],[Materialnamn]:[Enhet]],4,0),LEN(VLOOKUP(H161,Materialtabell[[#All],[Materialnamn]:[Enhet]],4,0))-3)))),"")</f>
        <v/>
      </c>
      <c r="L161" s="104" t="str">
        <f>IFERROR(KalkylStart[[#This Row],[Mängd]]*KalkylStart[[#This Row],[Omräknings-faktor]],"")</f>
        <v/>
      </c>
      <c r="M161" s="104" t="str">
        <f>IFERROR(F161*J161*VLOOKUP(H161,Materialtabell[[#All],[Materialnamn]:[Emissionsfaktor 2019
kg CO2e/kg]],5,0),"")</f>
        <v/>
      </c>
      <c r="N161" s="104" t="str">
        <f>IFERROR(F161*J161*VLOOKUP(H161,Materialtabell[[#All],[Materialnamn]:[Emissionsfaktor 2025
kg CO2e/kg]],6,0),"")</f>
        <v/>
      </c>
      <c r="O161" s="78" t="str">
        <f>IFERROR(VLOOKUP(H161,Materialtabell[[#All],[Materialnamn]:[Kommentar A4]],24,0),"")</f>
        <v/>
      </c>
      <c r="P161" s="94" t="str">
        <f>IFERROR(($F161*$J161*$O161*VLOOKUP($H161,Materialtabell[[#All],[Materialnamn]:[Bränsle 
MJ/ton, km]],25,0)*Materiallista!$AF$5)/1000,"")</f>
        <v/>
      </c>
      <c r="Q161" s="94" t="str">
        <f>IFERROR(($F161*$J161*$O161*VLOOKUP($H161,Materialtabell[[#All],[Materialnamn]:[Bränsle 
MJ/ton, km]],25,0)*Materiallista!$AF$6)/1000,"")</f>
        <v/>
      </c>
      <c r="R161" s="162"/>
      <c r="S161" s="3"/>
      <c r="T161" s="3"/>
    </row>
    <row r="162" spans="1:20" x14ac:dyDescent="0.25">
      <c r="A162" s="3"/>
      <c r="B162" s="185">
        <v>157</v>
      </c>
      <c r="C162" s="170"/>
      <c r="D162" s="103"/>
      <c r="E162" s="103"/>
      <c r="F162" s="78"/>
      <c r="G162" s="103"/>
      <c r="H162" s="102"/>
      <c r="I162" s="105" t="str">
        <f>IFERROR(VLOOKUP(KalkylStart[[#This Row],[Klimatmaterial]],Materialtabell[[#All],[Materialnamn]:[Materialtyp]],2,0),"")</f>
        <v/>
      </c>
      <c r="J162" s="104" t="str">
        <f>IFERROR(IF(G162="kg",1,IF(G162="ton",1000,IF(G162=RIGHT(VLOOKUP(H162,Materialtabell[[#All],[Materialnamn]:[Enhet]],4,0),LEN(VLOOKUP(H162,Materialtabell[[#All],[Materialnamn]:[Enhet]],4,0))-3),VLOOKUP(H162,Materialtabell[[#All],[Materialnamn]:[Enhet]],3,0),"Enhetsfel"))),"")</f>
        <v/>
      </c>
      <c r="K162" s="105" t="str">
        <f>IFERROR(IF(G162="kg","kg/kg",IF(G162="ton","kg/ton",IF(RIGHT(VLOOKUP(H162,Materialtabell[[#All],[Materialnamn]:[Enhet]],4,0),LEN(VLOOKUP(H162,Materialtabell[[#All],[Materialnamn]:[Enhet]],4,0))-3)=G162,VLOOKUP(H162,Materialtabell[[#All],[Materialnamn]:[Enhet]],4,0),"kg/ton/"&amp;RIGHT(VLOOKUP(H162,Materialtabell[[#All],[Materialnamn]:[Enhet]],4,0),LEN(VLOOKUP(H162,Materialtabell[[#All],[Materialnamn]:[Enhet]],4,0))-3)))),"")</f>
        <v/>
      </c>
      <c r="L162" s="104" t="str">
        <f>IFERROR(KalkylStart[[#This Row],[Mängd]]*KalkylStart[[#This Row],[Omräknings-faktor]],"")</f>
        <v/>
      </c>
      <c r="M162" s="104" t="str">
        <f>IFERROR(F162*J162*VLOOKUP(H162,Materialtabell[[#All],[Materialnamn]:[Emissionsfaktor 2019
kg CO2e/kg]],5,0),"")</f>
        <v/>
      </c>
      <c r="N162" s="104" t="str">
        <f>IFERROR(F162*J162*VLOOKUP(H162,Materialtabell[[#All],[Materialnamn]:[Emissionsfaktor 2025
kg CO2e/kg]],6,0),"")</f>
        <v/>
      </c>
      <c r="O162" s="78" t="str">
        <f>IFERROR(VLOOKUP(H162,Materialtabell[[#All],[Materialnamn]:[Kommentar A4]],24,0),"")</f>
        <v/>
      </c>
      <c r="P162" s="94" t="str">
        <f>IFERROR(($F162*$J162*$O162*VLOOKUP($H162,Materialtabell[[#All],[Materialnamn]:[Bränsle 
MJ/ton, km]],25,0)*Materiallista!$AF$5)/1000,"")</f>
        <v/>
      </c>
      <c r="Q162" s="94" t="str">
        <f>IFERROR(($F162*$J162*$O162*VLOOKUP($H162,Materialtabell[[#All],[Materialnamn]:[Bränsle 
MJ/ton, km]],25,0)*Materiallista!$AF$6)/1000,"")</f>
        <v/>
      </c>
      <c r="R162" s="162"/>
      <c r="S162" s="3"/>
      <c r="T162" s="3"/>
    </row>
    <row r="163" spans="1:20" x14ac:dyDescent="0.25">
      <c r="A163" s="3"/>
      <c r="B163" s="185">
        <v>158</v>
      </c>
      <c r="C163" s="170"/>
      <c r="D163" s="103"/>
      <c r="E163" s="103"/>
      <c r="F163" s="78"/>
      <c r="G163" s="103"/>
      <c r="H163" s="102"/>
      <c r="I163" s="105" t="str">
        <f>IFERROR(VLOOKUP(KalkylStart[[#This Row],[Klimatmaterial]],Materialtabell[[#All],[Materialnamn]:[Materialtyp]],2,0),"")</f>
        <v/>
      </c>
      <c r="J163" s="104" t="str">
        <f>IFERROR(IF(G163="kg",1,IF(G163="ton",1000,IF(G163=RIGHT(VLOOKUP(H163,Materialtabell[[#All],[Materialnamn]:[Enhet]],4,0),LEN(VLOOKUP(H163,Materialtabell[[#All],[Materialnamn]:[Enhet]],4,0))-3),VLOOKUP(H163,Materialtabell[[#All],[Materialnamn]:[Enhet]],3,0),"Enhetsfel"))),"")</f>
        <v/>
      </c>
      <c r="K163" s="105" t="str">
        <f>IFERROR(IF(G163="kg","kg/kg",IF(G163="ton","kg/ton",IF(RIGHT(VLOOKUP(H163,Materialtabell[[#All],[Materialnamn]:[Enhet]],4,0),LEN(VLOOKUP(H163,Materialtabell[[#All],[Materialnamn]:[Enhet]],4,0))-3)=G163,VLOOKUP(H163,Materialtabell[[#All],[Materialnamn]:[Enhet]],4,0),"kg/ton/"&amp;RIGHT(VLOOKUP(H163,Materialtabell[[#All],[Materialnamn]:[Enhet]],4,0),LEN(VLOOKUP(H163,Materialtabell[[#All],[Materialnamn]:[Enhet]],4,0))-3)))),"")</f>
        <v/>
      </c>
      <c r="L163" s="104" t="str">
        <f>IFERROR(KalkylStart[[#This Row],[Mängd]]*KalkylStart[[#This Row],[Omräknings-faktor]],"")</f>
        <v/>
      </c>
      <c r="M163" s="104" t="str">
        <f>IFERROR(F163*J163*VLOOKUP(H163,Materialtabell[[#All],[Materialnamn]:[Emissionsfaktor 2019
kg CO2e/kg]],5,0),"")</f>
        <v/>
      </c>
      <c r="N163" s="104" t="str">
        <f>IFERROR(F163*J163*VLOOKUP(H163,Materialtabell[[#All],[Materialnamn]:[Emissionsfaktor 2025
kg CO2e/kg]],6,0),"")</f>
        <v/>
      </c>
      <c r="O163" s="78" t="str">
        <f>IFERROR(VLOOKUP(H163,Materialtabell[[#All],[Materialnamn]:[Kommentar A4]],24,0),"")</f>
        <v/>
      </c>
      <c r="P163" s="94" t="str">
        <f>IFERROR(($F163*$J163*$O163*VLOOKUP($H163,Materialtabell[[#All],[Materialnamn]:[Bränsle 
MJ/ton, km]],25,0)*Materiallista!$AF$5)/1000,"")</f>
        <v/>
      </c>
      <c r="Q163" s="94" t="str">
        <f>IFERROR(($F163*$J163*$O163*VLOOKUP($H163,Materialtabell[[#All],[Materialnamn]:[Bränsle 
MJ/ton, km]],25,0)*Materiallista!$AF$6)/1000,"")</f>
        <v/>
      </c>
      <c r="R163" s="162"/>
      <c r="S163" s="3"/>
      <c r="T163" s="3"/>
    </row>
    <row r="164" spans="1:20" x14ac:dyDescent="0.25">
      <c r="A164" s="3"/>
      <c r="B164" s="185">
        <v>159</v>
      </c>
      <c r="C164" s="170"/>
      <c r="D164" s="103"/>
      <c r="E164" s="103"/>
      <c r="F164" s="78"/>
      <c r="G164" s="103"/>
      <c r="H164" s="102"/>
      <c r="I164" s="105" t="str">
        <f>IFERROR(VLOOKUP(KalkylStart[[#This Row],[Klimatmaterial]],Materialtabell[[#All],[Materialnamn]:[Materialtyp]],2,0),"")</f>
        <v/>
      </c>
      <c r="J164" s="104" t="str">
        <f>IFERROR(IF(G164="kg",1,IF(G164="ton",1000,IF(G164=RIGHT(VLOOKUP(H164,Materialtabell[[#All],[Materialnamn]:[Enhet]],4,0),LEN(VLOOKUP(H164,Materialtabell[[#All],[Materialnamn]:[Enhet]],4,0))-3),VLOOKUP(H164,Materialtabell[[#All],[Materialnamn]:[Enhet]],3,0),"Enhetsfel"))),"")</f>
        <v/>
      </c>
      <c r="K164" s="105" t="str">
        <f>IFERROR(IF(G164="kg","kg/kg",IF(G164="ton","kg/ton",IF(RIGHT(VLOOKUP(H164,Materialtabell[[#All],[Materialnamn]:[Enhet]],4,0),LEN(VLOOKUP(H164,Materialtabell[[#All],[Materialnamn]:[Enhet]],4,0))-3)=G164,VLOOKUP(H164,Materialtabell[[#All],[Materialnamn]:[Enhet]],4,0),"kg/ton/"&amp;RIGHT(VLOOKUP(H164,Materialtabell[[#All],[Materialnamn]:[Enhet]],4,0),LEN(VLOOKUP(H164,Materialtabell[[#All],[Materialnamn]:[Enhet]],4,0))-3)))),"")</f>
        <v/>
      </c>
      <c r="L164" s="104" t="str">
        <f>IFERROR(KalkylStart[[#This Row],[Mängd]]*KalkylStart[[#This Row],[Omräknings-faktor]],"")</f>
        <v/>
      </c>
      <c r="M164" s="104" t="str">
        <f>IFERROR(F164*J164*VLOOKUP(H164,Materialtabell[[#All],[Materialnamn]:[Emissionsfaktor 2019
kg CO2e/kg]],5,0),"")</f>
        <v/>
      </c>
      <c r="N164" s="104" t="str">
        <f>IFERROR(F164*J164*VLOOKUP(H164,Materialtabell[[#All],[Materialnamn]:[Emissionsfaktor 2025
kg CO2e/kg]],6,0),"")</f>
        <v/>
      </c>
      <c r="O164" s="78" t="str">
        <f>IFERROR(VLOOKUP(H164,Materialtabell[[#All],[Materialnamn]:[Kommentar A4]],24,0),"")</f>
        <v/>
      </c>
      <c r="P164" s="94" t="str">
        <f>IFERROR(($F164*$J164*$O164*VLOOKUP($H164,Materialtabell[[#All],[Materialnamn]:[Bränsle 
MJ/ton, km]],25,0)*Materiallista!$AF$5)/1000,"")</f>
        <v/>
      </c>
      <c r="Q164" s="94" t="str">
        <f>IFERROR(($F164*$J164*$O164*VLOOKUP($H164,Materialtabell[[#All],[Materialnamn]:[Bränsle 
MJ/ton, km]],25,0)*Materiallista!$AF$6)/1000,"")</f>
        <v/>
      </c>
      <c r="R164" s="162"/>
      <c r="S164" s="3"/>
      <c r="T164" s="3"/>
    </row>
    <row r="165" spans="1:20" x14ac:dyDescent="0.25">
      <c r="A165" s="3"/>
      <c r="B165" s="185">
        <v>160</v>
      </c>
      <c r="C165" s="170"/>
      <c r="D165" s="103"/>
      <c r="E165" s="103"/>
      <c r="F165" s="78"/>
      <c r="G165" s="103"/>
      <c r="H165" s="102"/>
      <c r="I165" s="105" t="str">
        <f>IFERROR(VLOOKUP(KalkylStart[[#This Row],[Klimatmaterial]],Materialtabell[[#All],[Materialnamn]:[Materialtyp]],2,0),"")</f>
        <v/>
      </c>
      <c r="J165" s="104" t="str">
        <f>IFERROR(IF(G165="kg",1,IF(G165="ton",1000,IF(G165=RIGHT(VLOOKUP(H165,Materialtabell[[#All],[Materialnamn]:[Enhet]],4,0),LEN(VLOOKUP(H165,Materialtabell[[#All],[Materialnamn]:[Enhet]],4,0))-3),VLOOKUP(H165,Materialtabell[[#All],[Materialnamn]:[Enhet]],3,0),"Enhetsfel"))),"")</f>
        <v/>
      </c>
      <c r="K165" s="105" t="str">
        <f>IFERROR(IF(G165="kg","kg/kg",IF(G165="ton","kg/ton",IF(RIGHT(VLOOKUP(H165,Materialtabell[[#All],[Materialnamn]:[Enhet]],4,0),LEN(VLOOKUP(H165,Materialtabell[[#All],[Materialnamn]:[Enhet]],4,0))-3)=G165,VLOOKUP(H165,Materialtabell[[#All],[Materialnamn]:[Enhet]],4,0),"kg/ton/"&amp;RIGHT(VLOOKUP(H165,Materialtabell[[#All],[Materialnamn]:[Enhet]],4,0),LEN(VLOOKUP(H165,Materialtabell[[#All],[Materialnamn]:[Enhet]],4,0))-3)))),"")</f>
        <v/>
      </c>
      <c r="L165" s="104" t="str">
        <f>IFERROR(KalkylStart[[#This Row],[Mängd]]*KalkylStart[[#This Row],[Omräknings-faktor]],"")</f>
        <v/>
      </c>
      <c r="M165" s="104" t="str">
        <f>IFERROR(F165*J165*VLOOKUP(H165,Materialtabell[[#All],[Materialnamn]:[Emissionsfaktor 2019
kg CO2e/kg]],5,0),"")</f>
        <v/>
      </c>
      <c r="N165" s="104" t="str">
        <f>IFERROR(F165*J165*VLOOKUP(H165,Materialtabell[[#All],[Materialnamn]:[Emissionsfaktor 2025
kg CO2e/kg]],6,0),"")</f>
        <v/>
      </c>
      <c r="O165" s="78" t="str">
        <f>IFERROR(VLOOKUP(H165,Materialtabell[[#All],[Materialnamn]:[Kommentar A4]],24,0),"")</f>
        <v/>
      </c>
      <c r="P165" s="94" t="str">
        <f>IFERROR(($F165*$J165*$O165*VLOOKUP($H165,Materialtabell[[#All],[Materialnamn]:[Bränsle 
MJ/ton, km]],25,0)*Materiallista!$AF$5)/1000,"")</f>
        <v/>
      </c>
      <c r="Q165" s="94" t="str">
        <f>IFERROR(($F165*$J165*$O165*VLOOKUP($H165,Materialtabell[[#All],[Materialnamn]:[Bränsle 
MJ/ton, km]],25,0)*Materiallista!$AF$6)/1000,"")</f>
        <v/>
      </c>
      <c r="R165" s="162"/>
      <c r="S165" s="3"/>
      <c r="T165" s="3"/>
    </row>
    <row r="166" spans="1:20" x14ac:dyDescent="0.25">
      <c r="A166" s="3"/>
      <c r="B166" s="185">
        <v>161</v>
      </c>
      <c r="C166" s="170"/>
      <c r="D166" s="103"/>
      <c r="E166" s="103"/>
      <c r="F166" s="78"/>
      <c r="G166" s="103"/>
      <c r="H166" s="102"/>
      <c r="I166" s="105" t="str">
        <f>IFERROR(VLOOKUP(KalkylStart[[#This Row],[Klimatmaterial]],Materialtabell[[#All],[Materialnamn]:[Materialtyp]],2,0),"")</f>
        <v/>
      </c>
      <c r="J166" s="104" t="str">
        <f>IFERROR(IF(G166="kg",1,IF(G166="ton",1000,IF(G166=RIGHT(VLOOKUP(H166,Materialtabell[[#All],[Materialnamn]:[Enhet]],4,0),LEN(VLOOKUP(H166,Materialtabell[[#All],[Materialnamn]:[Enhet]],4,0))-3),VLOOKUP(H166,Materialtabell[[#All],[Materialnamn]:[Enhet]],3,0),"Enhetsfel"))),"")</f>
        <v/>
      </c>
      <c r="K166" s="105" t="str">
        <f>IFERROR(IF(G166="kg","kg/kg",IF(G166="ton","kg/ton",IF(RIGHT(VLOOKUP(H166,Materialtabell[[#All],[Materialnamn]:[Enhet]],4,0),LEN(VLOOKUP(H166,Materialtabell[[#All],[Materialnamn]:[Enhet]],4,0))-3)=G166,VLOOKUP(H166,Materialtabell[[#All],[Materialnamn]:[Enhet]],4,0),"kg/ton/"&amp;RIGHT(VLOOKUP(H166,Materialtabell[[#All],[Materialnamn]:[Enhet]],4,0),LEN(VLOOKUP(H166,Materialtabell[[#All],[Materialnamn]:[Enhet]],4,0))-3)))),"")</f>
        <v/>
      </c>
      <c r="L166" s="104" t="str">
        <f>IFERROR(KalkylStart[[#This Row],[Mängd]]*KalkylStart[[#This Row],[Omräknings-faktor]],"")</f>
        <v/>
      </c>
      <c r="M166" s="104" t="str">
        <f>IFERROR(F166*J166*VLOOKUP(H166,Materialtabell[[#All],[Materialnamn]:[Emissionsfaktor 2019
kg CO2e/kg]],5,0),"")</f>
        <v/>
      </c>
      <c r="N166" s="104" t="str">
        <f>IFERROR(F166*J166*VLOOKUP(H166,Materialtabell[[#All],[Materialnamn]:[Emissionsfaktor 2025
kg CO2e/kg]],6,0),"")</f>
        <v/>
      </c>
      <c r="O166" s="78" t="str">
        <f>IFERROR(VLOOKUP(H166,Materialtabell[[#All],[Materialnamn]:[Kommentar A4]],24,0),"")</f>
        <v/>
      </c>
      <c r="P166" s="94" t="str">
        <f>IFERROR(($F166*$J166*$O166*VLOOKUP($H166,Materialtabell[[#All],[Materialnamn]:[Bränsle 
MJ/ton, km]],25,0)*Materiallista!$AF$5)/1000,"")</f>
        <v/>
      </c>
      <c r="Q166" s="94" t="str">
        <f>IFERROR(($F166*$J166*$O166*VLOOKUP($H166,Materialtabell[[#All],[Materialnamn]:[Bränsle 
MJ/ton, km]],25,0)*Materiallista!$AF$6)/1000,"")</f>
        <v/>
      </c>
      <c r="R166" s="162"/>
      <c r="S166" s="3"/>
      <c r="T166" s="3"/>
    </row>
    <row r="167" spans="1:20" x14ac:dyDescent="0.25">
      <c r="A167" s="3"/>
      <c r="B167" s="185">
        <v>162</v>
      </c>
      <c r="C167" s="170"/>
      <c r="D167" s="103"/>
      <c r="E167" s="103"/>
      <c r="F167" s="78"/>
      <c r="G167" s="103"/>
      <c r="H167" s="102"/>
      <c r="I167" s="105" t="str">
        <f>IFERROR(VLOOKUP(KalkylStart[[#This Row],[Klimatmaterial]],Materialtabell[[#All],[Materialnamn]:[Materialtyp]],2,0),"")</f>
        <v/>
      </c>
      <c r="J167" s="104" t="str">
        <f>IFERROR(IF(G167="kg",1,IF(G167="ton",1000,IF(G167=RIGHT(VLOOKUP(H167,Materialtabell[[#All],[Materialnamn]:[Enhet]],4,0),LEN(VLOOKUP(H167,Materialtabell[[#All],[Materialnamn]:[Enhet]],4,0))-3),VLOOKUP(H167,Materialtabell[[#All],[Materialnamn]:[Enhet]],3,0),"Enhetsfel"))),"")</f>
        <v/>
      </c>
      <c r="K167" s="105" t="str">
        <f>IFERROR(IF(G167="kg","kg/kg",IF(G167="ton","kg/ton",IF(RIGHT(VLOOKUP(H167,Materialtabell[[#All],[Materialnamn]:[Enhet]],4,0),LEN(VLOOKUP(H167,Materialtabell[[#All],[Materialnamn]:[Enhet]],4,0))-3)=G167,VLOOKUP(H167,Materialtabell[[#All],[Materialnamn]:[Enhet]],4,0),"kg/ton/"&amp;RIGHT(VLOOKUP(H167,Materialtabell[[#All],[Materialnamn]:[Enhet]],4,0),LEN(VLOOKUP(H167,Materialtabell[[#All],[Materialnamn]:[Enhet]],4,0))-3)))),"")</f>
        <v/>
      </c>
      <c r="L167" s="104" t="str">
        <f>IFERROR(KalkylStart[[#This Row],[Mängd]]*KalkylStart[[#This Row],[Omräknings-faktor]],"")</f>
        <v/>
      </c>
      <c r="M167" s="104" t="str">
        <f>IFERROR(F167*J167*VLOOKUP(H167,Materialtabell[[#All],[Materialnamn]:[Emissionsfaktor 2019
kg CO2e/kg]],5,0),"")</f>
        <v/>
      </c>
      <c r="N167" s="104" t="str">
        <f>IFERROR(F167*J167*VLOOKUP(H167,Materialtabell[[#All],[Materialnamn]:[Emissionsfaktor 2025
kg CO2e/kg]],6,0),"")</f>
        <v/>
      </c>
      <c r="O167" s="78" t="str">
        <f>IFERROR(VLOOKUP(H167,Materialtabell[[#All],[Materialnamn]:[Kommentar A4]],24,0),"")</f>
        <v/>
      </c>
      <c r="P167" s="94" t="str">
        <f>IFERROR(($F167*$J167*$O167*VLOOKUP($H167,Materialtabell[[#All],[Materialnamn]:[Bränsle 
MJ/ton, km]],25,0)*Materiallista!$AF$5)/1000,"")</f>
        <v/>
      </c>
      <c r="Q167" s="94" t="str">
        <f>IFERROR(($F167*$J167*$O167*VLOOKUP($H167,Materialtabell[[#All],[Materialnamn]:[Bränsle 
MJ/ton, km]],25,0)*Materiallista!$AF$6)/1000,"")</f>
        <v/>
      </c>
      <c r="R167" s="162"/>
      <c r="S167" s="3"/>
      <c r="T167" s="3"/>
    </row>
    <row r="168" spans="1:20" x14ac:dyDescent="0.25">
      <c r="A168" s="3"/>
      <c r="B168" s="185">
        <v>163</v>
      </c>
      <c r="C168" s="170"/>
      <c r="D168" s="103"/>
      <c r="E168" s="103"/>
      <c r="F168" s="78"/>
      <c r="G168" s="103"/>
      <c r="H168" s="102"/>
      <c r="I168" s="105" t="str">
        <f>IFERROR(VLOOKUP(KalkylStart[[#This Row],[Klimatmaterial]],Materialtabell[[#All],[Materialnamn]:[Materialtyp]],2,0),"")</f>
        <v/>
      </c>
      <c r="J168" s="104" t="str">
        <f>IFERROR(IF(G168="kg",1,IF(G168="ton",1000,IF(G168=RIGHT(VLOOKUP(H168,Materialtabell[[#All],[Materialnamn]:[Enhet]],4,0),LEN(VLOOKUP(H168,Materialtabell[[#All],[Materialnamn]:[Enhet]],4,0))-3),VLOOKUP(H168,Materialtabell[[#All],[Materialnamn]:[Enhet]],3,0),"Enhetsfel"))),"")</f>
        <v/>
      </c>
      <c r="K168" s="105" t="str">
        <f>IFERROR(IF(G168="kg","kg/kg",IF(G168="ton","kg/ton",IF(RIGHT(VLOOKUP(H168,Materialtabell[[#All],[Materialnamn]:[Enhet]],4,0),LEN(VLOOKUP(H168,Materialtabell[[#All],[Materialnamn]:[Enhet]],4,0))-3)=G168,VLOOKUP(H168,Materialtabell[[#All],[Materialnamn]:[Enhet]],4,0),"kg/ton/"&amp;RIGHT(VLOOKUP(H168,Materialtabell[[#All],[Materialnamn]:[Enhet]],4,0),LEN(VLOOKUP(H168,Materialtabell[[#All],[Materialnamn]:[Enhet]],4,0))-3)))),"")</f>
        <v/>
      </c>
      <c r="L168" s="104" t="str">
        <f>IFERROR(KalkylStart[[#This Row],[Mängd]]*KalkylStart[[#This Row],[Omräknings-faktor]],"")</f>
        <v/>
      </c>
      <c r="M168" s="104" t="str">
        <f>IFERROR(F168*J168*VLOOKUP(H168,Materialtabell[[#All],[Materialnamn]:[Emissionsfaktor 2019
kg CO2e/kg]],5,0),"")</f>
        <v/>
      </c>
      <c r="N168" s="104" t="str">
        <f>IFERROR(F168*J168*VLOOKUP(H168,Materialtabell[[#All],[Materialnamn]:[Emissionsfaktor 2025
kg CO2e/kg]],6,0),"")</f>
        <v/>
      </c>
      <c r="O168" s="78" t="str">
        <f>IFERROR(VLOOKUP(H168,Materialtabell[[#All],[Materialnamn]:[Kommentar A4]],24,0),"")</f>
        <v/>
      </c>
      <c r="P168" s="94" t="str">
        <f>IFERROR(($F168*$J168*$O168*VLOOKUP($H168,Materialtabell[[#All],[Materialnamn]:[Bränsle 
MJ/ton, km]],25,0)*Materiallista!$AF$5)/1000,"")</f>
        <v/>
      </c>
      <c r="Q168" s="94" t="str">
        <f>IFERROR(($F168*$J168*$O168*VLOOKUP($H168,Materialtabell[[#All],[Materialnamn]:[Bränsle 
MJ/ton, km]],25,0)*Materiallista!$AF$6)/1000,"")</f>
        <v/>
      </c>
      <c r="R168" s="162"/>
      <c r="S168" s="3"/>
      <c r="T168" s="3"/>
    </row>
    <row r="169" spans="1:20" x14ac:dyDescent="0.25">
      <c r="A169" s="3"/>
      <c r="B169" s="185">
        <v>164</v>
      </c>
      <c r="C169" s="170"/>
      <c r="D169" s="103"/>
      <c r="E169" s="103"/>
      <c r="F169" s="78"/>
      <c r="G169" s="103"/>
      <c r="H169" s="102"/>
      <c r="I169" s="105" t="str">
        <f>IFERROR(VLOOKUP(KalkylStart[[#This Row],[Klimatmaterial]],Materialtabell[[#All],[Materialnamn]:[Materialtyp]],2,0),"")</f>
        <v/>
      </c>
      <c r="J169" s="104" t="str">
        <f>IFERROR(IF(G169="kg",1,IF(G169="ton",1000,IF(G169=RIGHT(VLOOKUP(H169,Materialtabell[[#All],[Materialnamn]:[Enhet]],4,0),LEN(VLOOKUP(H169,Materialtabell[[#All],[Materialnamn]:[Enhet]],4,0))-3),VLOOKUP(H169,Materialtabell[[#All],[Materialnamn]:[Enhet]],3,0),"Enhetsfel"))),"")</f>
        <v/>
      </c>
      <c r="K169" s="105" t="str">
        <f>IFERROR(IF(G169="kg","kg/kg",IF(G169="ton","kg/ton",IF(RIGHT(VLOOKUP(H169,Materialtabell[[#All],[Materialnamn]:[Enhet]],4,0),LEN(VLOOKUP(H169,Materialtabell[[#All],[Materialnamn]:[Enhet]],4,0))-3)=G169,VLOOKUP(H169,Materialtabell[[#All],[Materialnamn]:[Enhet]],4,0),"kg/ton/"&amp;RIGHT(VLOOKUP(H169,Materialtabell[[#All],[Materialnamn]:[Enhet]],4,0),LEN(VLOOKUP(H169,Materialtabell[[#All],[Materialnamn]:[Enhet]],4,0))-3)))),"")</f>
        <v/>
      </c>
      <c r="L169" s="104" t="str">
        <f>IFERROR(KalkylStart[[#This Row],[Mängd]]*KalkylStart[[#This Row],[Omräknings-faktor]],"")</f>
        <v/>
      </c>
      <c r="M169" s="104" t="str">
        <f>IFERROR(F169*J169*VLOOKUP(H169,Materialtabell[[#All],[Materialnamn]:[Emissionsfaktor 2019
kg CO2e/kg]],5,0),"")</f>
        <v/>
      </c>
      <c r="N169" s="104" t="str">
        <f>IFERROR(F169*J169*VLOOKUP(H169,Materialtabell[[#All],[Materialnamn]:[Emissionsfaktor 2025
kg CO2e/kg]],6,0),"")</f>
        <v/>
      </c>
      <c r="O169" s="78" t="str">
        <f>IFERROR(VLOOKUP(H169,Materialtabell[[#All],[Materialnamn]:[Kommentar A4]],24,0),"")</f>
        <v/>
      </c>
      <c r="P169" s="94" t="str">
        <f>IFERROR(($F169*$J169*$O169*VLOOKUP($H169,Materialtabell[[#All],[Materialnamn]:[Bränsle 
MJ/ton, km]],25,0)*Materiallista!$AF$5)/1000,"")</f>
        <v/>
      </c>
      <c r="Q169" s="94" t="str">
        <f>IFERROR(($F169*$J169*$O169*VLOOKUP($H169,Materialtabell[[#All],[Materialnamn]:[Bränsle 
MJ/ton, km]],25,0)*Materiallista!$AF$6)/1000,"")</f>
        <v/>
      </c>
      <c r="R169" s="162"/>
      <c r="S169" s="3"/>
      <c r="T169" s="3"/>
    </row>
    <row r="170" spans="1:20" x14ac:dyDescent="0.25">
      <c r="A170" s="3"/>
      <c r="B170" s="185">
        <v>165</v>
      </c>
      <c r="C170" s="170"/>
      <c r="D170" s="103"/>
      <c r="E170" s="103"/>
      <c r="F170" s="78"/>
      <c r="G170" s="103"/>
      <c r="H170" s="102"/>
      <c r="I170" s="105" t="str">
        <f>IFERROR(VLOOKUP(KalkylStart[[#This Row],[Klimatmaterial]],Materialtabell[[#All],[Materialnamn]:[Materialtyp]],2,0),"")</f>
        <v/>
      </c>
      <c r="J170" s="104" t="str">
        <f>IFERROR(IF(G170="kg",1,IF(G170="ton",1000,IF(G170=RIGHT(VLOOKUP(H170,Materialtabell[[#All],[Materialnamn]:[Enhet]],4,0),LEN(VLOOKUP(H170,Materialtabell[[#All],[Materialnamn]:[Enhet]],4,0))-3),VLOOKUP(H170,Materialtabell[[#All],[Materialnamn]:[Enhet]],3,0),"Enhetsfel"))),"")</f>
        <v/>
      </c>
      <c r="K170" s="105" t="str">
        <f>IFERROR(IF(G170="kg","kg/kg",IF(G170="ton","kg/ton",IF(RIGHT(VLOOKUP(H170,Materialtabell[[#All],[Materialnamn]:[Enhet]],4,0),LEN(VLOOKUP(H170,Materialtabell[[#All],[Materialnamn]:[Enhet]],4,0))-3)=G170,VLOOKUP(H170,Materialtabell[[#All],[Materialnamn]:[Enhet]],4,0),"kg/ton/"&amp;RIGHT(VLOOKUP(H170,Materialtabell[[#All],[Materialnamn]:[Enhet]],4,0),LEN(VLOOKUP(H170,Materialtabell[[#All],[Materialnamn]:[Enhet]],4,0))-3)))),"")</f>
        <v/>
      </c>
      <c r="L170" s="104" t="str">
        <f>IFERROR(KalkylStart[[#This Row],[Mängd]]*KalkylStart[[#This Row],[Omräknings-faktor]],"")</f>
        <v/>
      </c>
      <c r="M170" s="104" t="str">
        <f>IFERROR(F170*J170*VLOOKUP(H170,Materialtabell[[#All],[Materialnamn]:[Emissionsfaktor 2019
kg CO2e/kg]],5,0),"")</f>
        <v/>
      </c>
      <c r="N170" s="104" t="str">
        <f>IFERROR(F170*J170*VLOOKUP(H170,Materialtabell[[#All],[Materialnamn]:[Emissionsfaktor 2025
kg CO2e/kg]],6,0),"")</f>
        <v/>
      </c>
      <c r="O170" s="78" t="str">
        <f>IFERROR(VLOOKUP(H170,Materialtabell[[#All],[Materialnamn]:[Kommentar A4]],24,0),"")</f>
        <v/>
      </c>
      <c r="P170" s="94" t="str">
        <f>IFERROR(($F170*$J170*$O170*VLOOKUP($H170,Materialtabell[[#All],[Materialnamn]:[Bränsle 
MJ/ton, km]],25,0)*Materiallista!$AF$5)/1000,"")</f>
        <v/>
      </c>
      <c r="Q170" s="94" t="str">
        <f>IFERROR(($F170*$J170*$O170*VLOOKUP($H170,Materialtabell[[#All],[Materialnamn]:[Bränsle 
MJ/ton, km]],25,0)*Materiallista!$AF$6)/1000,"")</f>
        <v/>
      </c>
      <c r="R170" s="162"/>
      <c r="S170" s="3"/>
      <c r="T170" s="3"/>
    </row>
    <row r="171" spans="1:20" x14ac:dyDescent="0.25">
      <c r="A171" s="3"/>
      <c r="B171" s="185">
        <v>166</v>
      </c>
      <c r="C171" s="170"/>
      <c r="D171" s="103"/>
      <c r="E171" s="103"/>
      <c r="F171" s="78"/>
      <c r="G171" s="103"/>
      <c r="H171" s="102"/>
      <c r="I171" s="105" t="str">
        <f>IFERROR(VLOOKUP(KalkylStart[[#This Row],[Klimatmaterial]],Materialtabell[[#All],[Materialnamn]:[Materialtyp]],2,0),"")</f>
        <v/>
      </c>
      <c r="J171" s="104" t="str">
        <f>IFERROR(IF(G171="kg",1,IF(G171="ton",1000,IF(G171=RIGHT(VLOOKUP(H171,Materialtabell[[#All],[Materialnamn]:[Enhet]],4,0),LEN(VLOOKUP(H171,Materialtabell[[#All],[Materialnamn]:[Enhet]],4,0))-3),VLOOKUP(H171,Materialtabell[[#All],[Materialnamn]:[Enhet]],3,0),"Enhetsfel"))),"")</f>
        <v/>
      </c>
      <c r="K171" s="105" t="str">
        <f>IFERROR(IF(G171="kg","kg/kg",IF(G171="ton","kg/ton",IF(RIGHT(VLOOKUP(H171,Materialtabell[[#All],[Materialnamn]:[Enhet]],4,0),LEN(VLOOKUP(H171,Materialtabell[[#All],[Materialnamn]:[Enhet]],4,0))-3)=G171,VLOOKUP(H171,Materialtabell[[#All],[Materialnamn]:[Enhet]],4,0),"kg/ton/"&amp;RIGHT(VLOOKUP(H171,Materialtabell[[#All],[Materialnamn]:[Enhet]],4,0),LEN(VLOOKUP(H171,Materialtabell[[#All],[Materialnamn]:[Enhet]],4,0))-3)))),"")</f>
        <v/>
      </c>
      <c r="L171" s="104" t="str">
        <f>IFERROR(KalkylStart[[#This Row],[Mängd]]*KalkylStart[[#This Row],[Omräknings-faktor]],"")</f>
        <v/>
      </c>
      <c r="M171" s="104" t="str">
        <f>IFERROR(F171*J171*VLOOKUP(H171,Materialtabell[[#All],[Materialnamn]:[Emissionsfaktor 2019
kg CO2e/kg]],5,0),"")</f>
        <v/>
      </c>
      <c r="N171" s="104" t="str">
        <f>IFERROR(F171*J171*VLOOKUP(H171,Materialtabell[[#All],[Materialnamn]:[Emissionsfaktor 2025
kg CO2e/kg]],6,0),"")</f>
        <v/>
      </c>
      <c r="O171" s="78" t="str">
        <f>IFERROR(VLOOKUP(H171,Materialtabell[[#All],[Materialnamn]:[Kommentar A4]],24,0),"")</f>
        <v/>
      </c>
      <c r="P171" s="94" t="str">
        <f>IFERROR(($F171*$J171*$O171*VLOOKUP($H171,Materialtabell[[#All],[Materialnamn]:[Bränsle 
MJ/ton, km]],25,0)*Materiallista!$AF$5)/1000,"")</f>
        <v/>
      </c>
      <c r="Q171" s="94" t="str">
        <f>IFERROR(($F171*$J171*$O171*VLOOKUP($H171,Materialtabell[[#All],[Materialnamn]:[Bränsle 
MJ/ton, km]],25,0)*Materiallista!$AF$6)/1000,"")</f>
        <v/>
      </c>
      <c r="R171" s="162"/>
      <c r="S171" s="3"/>
      <c r="T171" s="3"/>
    </row>
    <row r="172" spans="1:20" x14ac:dyDescent="0.25">
      <c r="A172" s="3"/>
      <c r="B172" s="185">
        <v>167</v>
      </c>
      <c r="C172" s="170"/>
      <c r="D172" s="103"/>
      <c r="E172" s="103"/>
      <c r="F172" s="78"/>
      <c r="G172" s="103"/>
      <c r="H172" s="102"/>
      <c r="I172" s="105" t="str">
        <f>IFERROR(VLOOKUP(KalkylStart[[#This Row],[Klimatmaterial]],Materialtabell[[#All],[Materialnamn]:[Materialtyp]],2,0),"")</f>
        <v/>
      </c>
      <c r="J172" s="104" t="str">
        <f>IFERROR(IF(G172="kg",1,IF(G172="ton",1000,IF(G172=RIGHT(VLOOKUP(H172,Materialtabell[[#All],[Materialnamn]:[Enhet]],4,0),LEN(VLOOKUP(H172,Materialtabell[[#All],[Materialnamn]:[Enhet]],4,0))-3),VLOOKUP(H172,Materialtabell[[#All],[Materialnamn]:[Enhet]],3,0),"Enhetsfel"))),"")</f>
        <v/>
      </c>
      <c r="K172" s="105" t="str">
        <f>IFERROR(IF(G172="kg","kg/kg",IF(G172="ton","kg/ton",IF(RIGHT(VLOOKUP(H172,Materialtabell[[#All],[Materialnamn]:[Enhet]],4,0),LEN(VLOOKUP(H172,Materialtabell[[#All],[Materialnamn]:[Enhet]],4,0))-3)=G172,VLOOKUP(H172,Materialtabell[[#All],[Materialnamn]:[Enhet]],4,0),"kg/ton/"&amp;RIGHT(VLOOKUP(H172,Materialtabell[[#All],[Materialnamn]:[Enhet]],4,0),LEN(VLOOKUP(H172,Materialtabell[[#All],[Materialnamn]:[Enhet]],4,0))-3)))),"")</f>
        <v/>
      </c>
      <c r="L172" s="104" t="str">
        <f>IFERROR(KalkylStart[[#This Row],[Mängd]]*KalkylStart[[#This Row],[Omräknings-faktor]],"")</f>
        <v/>
      </c>
      <c r="M172" s="104" t="str">
        <f>IFERROR(F172*J172*VLOOKUP(H172,Materialtabell[[#All],[Materialnamn]:[Emissionsfaktor 2019
kg CO2e/kg]],5,0),"")</f>
        <v/>
      </c>
      <c r="N172" s="104" t="str">
        <f>IFERROR(F172*J172*VLOOKUP(H172,Materialtabell[[#All],[Materialnamn]:[Emissionsfaktor 2025
kg CO2e/kg]],6,0),"")</f>
        <v/>
      </c>
      <c r="O172" s="78" t="str">
        <f>IFERROR(VLOOKUP(H172,Materialtabell[[#All],[Materialnamn]:[Kommentar A4]],24,0),"")</f>
        <v/>
      </c>
      <c r="P172" s="94" t="str">
        <f>IFERROR(($F172*$J172*$O172*VLOOKUP($H172,Materialtabell[[#All],[Materialnamn]:[Bränsle 
MJ/ton, km]],25,0)*Materiallista!$AF$5)/1000,"")</f>
        <v/>
      </c>
      <c r="Q172" s="94" t="str">
        <f>IFERROR(($F172*$J172*$O172*VLOOKUP($H172,Materialtabell[[#All],[Materialnamn]:[Bränsle 
MJ/ton, km]],25,0)*Materiallista!$AF$6)/1000,"")</f>
        <v/>
      </c>
      <c r="R172" s="162"/>
      <c r="S172" s="3"/>
      <c r="T172" s="3"/>
    </row>
    <row r="173" spans="1:20" x14ac:dyDescent="0.25">
      <c r="A173" s="3"/>
      <c r="B173" s="185">
        <v>168</v>
      </c>
      <c r="C173" s="170"/>
      <c r="D173" s="103"/>
      <c r="E173" s="103"/>
      <c r="F173" s="78"/>
      <c r="G173" s="103"/>
      <c r="H173" s="102"/>
      <c r="I173" s="105" t="str">
        <f>IFERROR(VLOOKUP(KalkylStart[[#This Row],[Klimatmaterial]],Materialtabell[[#All],[Materialnamn]:[Materialtyp]],2,0),"")</f>
        <v/>
      </c>
      <c r="J173" s="104" t="str">
        <f>IFERROR(IF(G173="kg",1,IF(G173="ton",1000,IF(G173=RIGHT(VLOOKUP(H173,Materialtabell[[#All],[Materialnamn]:[Enhet]],4,0),LEN(VLOOKUP(H173,Materialtabell[[#All],[Materialnamn]:[Enhet]],4,0))-3),VLOOKUP(H173,Materialtabell[[#All],[Materialnamn]:[Enhet]],3,0),"Enhetsfel"))),"")</f>
        <v/>
      </c>
      <c r="K173" s="105" t="str">
        <f>IFERROR(IF(G173="kg","kg/kg",IF(G173="ton","kg/ton",IF(RIGHT(VLOOKUP(H173,Materialtabell[[#All],[Materialnamn]:[Enhet]],4,0),LEN(VLOOKUP(H173,Materialtabell[[#All],[Materialnamn]:[Enhet]],4,0))-3)=G173,VLOOKUP(H173,Materialtabell[[#All],[Materialnamn]:[Enhet]],4,0),"kg/ton/"&amp;RIGHT(VLOOKUP(H173,Materialtabell[[#All],[Materialnamn]:[Enhet]],4,0),LEN(VLOOKUP(H173,Materialtabell[[#All],[Materialnamn]:[Enhet]],4,0))-3)))),"")</f>
        <v/>
      </c>
      <c r="L173" s="104" t="str">
        <f>IFERROR(KalkylStart[[#This Row],[Mängd]]*KalkylStart[[#This Row],[Omräknings-faktor]],"")</f>
        <v/>
      </c>
      <c r="M173" s="104" t="str">
        <f>IFERROR(F173*J173*VLOOKUP(H173,Materialtabell[[#All],[Materialnamn]:[Emissionsfaktor 2019
kg CO2e/kg]],5,0),"")</f>
        <v/>
      </c>
      <c r="N173" s="104" t="str">
        <f>IFERROR(F173*J173*VLOOKUP(H173,Materialtabell[[#All],[Materialnamn]:[Emissionsfaktor 2025
kg CO2e/kg]],6,0),"")</f>
        <v/>
      </c>
      <c r="O173" s="78" t="str">
        <f>IFERROR(VLOOKUP(H173,Materialtabell[[#All],[Materialnamn]:[Kommentar A4]],24,0),"")</f>
        <v/>
      </c>
      <c r="P173" s="94" t="str">
        <f>IFERROR(($F173*$J173*$O173*VLOOKUP($H173,Materialtabell[[#All],[Materialnamn]:[Bränsle 
MJ/ton, km]],25,0)*Materiallista!$AF$5)/1000,"")</f>
        <v/>
      </c>
      <c r="Q173" s="94" t="str">
        <f>IFERROR(($F173*$J173*$O173*VLOOKUP($H173,Materialtabell[[#All],[Materialnamn]:[Bränsle 
MJ/ton, km]],25,0)*Materiallista!$AF$6)/1000,"")</f>
        <v/>
      </c>
      <c r="R173" s="162"/>
      <c r="S173" s="3"/>
      <c r="T173" s="3"/>
    </row>
    <row r="174" spans="1:20" x14ac:dyDescent="0.25">
      <c r="A174" s="3"/>
      <c r="B174" s="185">
        <v>169</v>
      </c>
      <c r="C174" s="170"/>
      <c r="D174" s="103"/>
      <c r="E174" s="103"/>
      <c r="F174" s="78"/>
      <c r="G174" s="103"/>
      <c r="H174" s="102"/>
      <c r="I174" s="105" t="str">
        <f>IFERROR(VLOOKUP(KalkylStart[[#This Row],[Klimatmaterial]],Materialtabell[[#All],[Materialnamn]:[Materialtyp]],2,0),"")</f>
        <v/>
      </c>
      <c r="J174" s="104" t="str">
        <f>IFERROR(IF(G174="kg",1,IF(G174="ton",1000,IF(G174=RIGHT(VLOOKUP(H174,Materialtabell[[#All],[Materialnamn]:[Enhet]],4,0),LEN(VLOOKUP(H174,Materialtabell[[#All],[Materialnamn]:[Enhet]],4,0))-3),VLOOKUP(H174,Materialtabell[[#All],[Materialnamn]:[Enhet]],3,0),"Enhetsfel"))),"")</f>
        <v/>
      </c>
      <c r="K174" s="105" t="str">
        <f>IFERROR(IF(G174="kg","kg/kg",IF(G174="ton","kg/ton",IF(RIGHT(VLOOKUP(H174,Materialtabell[[#All],[Materialnamn]:[Enhet]],4,0),LEN(VLOOKUP(H174,Materialtabell[[#All],[Materialnamn]:[Enhet]],4,0))-3)=G174,VLOOKUP(H174,Materialtabell[[#All],[Materialnamn]:[Enhet]],4,0),"kg/ton/"&amp;RIGHT(VLOOKUP(H174,Materialtabell[[#All],[Materialnamn]:[Enhet]],4,0),LEN(VLOOKUP(H174,Materialtabell[[#All],[Materialnamn]:[Enhet]],4,0))-3)))),"")</f>
        <v/>
      </c>
      <c r="L174" s="104" t="str">
        <f>IFERROR(KalkylStart[[#This Row],[Mängd]]*KalkylStart[[#This Row],[Omräknings-faktor]],"")</f>
        <v/>
      </c>
      <c r="M174" s="104" t="str">
        <f>IFERROR(F174*J174*VLOOKUP(H174,Materialtabell[[#All],[Materialnamn]:[Emissionsfaktor 2019
kg CO2e/kg]],5,0),"")</f>
        <v/>
      </c>
      <c r="N174" s="104" t="str">
        <f>IFERROR(F174*J174*VLOOKUP(H174,Materialtabell[[#All],[Materialnamn]:[Emissionsfaktor 2025
kg CO2e/kg]],6,0),"")</f>
        <v/>
      </c>
      <c r="O174" s="78" t="str">
        <f>IFERROR(VLOOKUP(H174,Materialtabell[[#All],[Materialnamn]:[Kommentar A4]],24,0),"")</f>
        <v/>
      </c>
      <c r="P174" s="94" t="str">
        <f>IFERROR(($F174*$J174*$O174*VLOOKUP($H174,Materialtabell[[#All],[Materialnamn]:[Bränsle 
MJ/ton, km]],25,0)*Materiallista!$AF$5)/1000,"")</f>
        <v/>
      </c>
      <c r="Q174" s="94" t="str">
        <f>IFERROR(($F174*$J174*$O174*VLOOKUP($H174,Materialtabell[[#All],[Materialnamn]:[Bränsle 
MJ/ton, km]],25,0)*Materiallista!$AF$6)/1000,"")</f>
        <v/>
      </c>
      <c r="R174" s="162"/>
      <c r="S174" s="3"/>
      <c r="T174" s="3"/>
    </row>
    <row r="175" spans="1:20" x14ac:dyDescent="0.25">
      <c r="A175" s="3"/>
      <c r="B175" s="185">
        <v>170</v>
      </c>
      <c r="C175" s="170"/>
      <c r="D175" s="103"/>
      <c r="E175" s="103"/>
      <c r="F175" s="78"/>
      <c r="G175" s="103"/>
      <c r="H175" s="102"/>
      <c r="I175" s="105" t="str">
        <f>IFERROR(VLOOKUP(KalkylStart[[#This Row],[Klimatmaterial]],Materialtabell[[#All],[Materialnamn]:[Materialtyp]],2,0),"")</f>
        <v/>
      </c>
      <c r="J175" s="104" t="str">
        <f>IFERROR(IF(G175="kg",1,IF(G175="ton",1000,IF(G175=RIGHT(VLOOKUP(H175,Materialtabell[[#All],[Materialnamn]:[Enhet]],4,0),LEN(VLOOKUP(H175,Materialtabell[[#All],[Materialnamn]:[Enhet]],4,0))-3),VLOOKUP(H175,Materialtabell[[#All],[Materialnamn]:[Enhet]],3,0),"Enhetsfel"))),"")</f>
        <v/>
      </c>
      <c r="K175" s="105" t="str">
        <f>IFERROR(IF(G175="kg","kg/kg",IF(G175="ton","kg/ton",IF(RIGHT(VLOOKUP(H175,Materialtabell[[#All],[Materialnamn]:[Enhet]],4,0),LEN(VLOOKUP(H175,Materialtabell[[#All],[Materialnamn]:[Enhet]],4,0))-3)=G175,VLOOKUP(H175,Materialtabell[[#All],[Materialnamn]:[Enhet]],4,0),"kg/ton/"&amp;RIGHT(VLOOKUP(H175,Materialtabell[[#All],[Materialnamn]:[Enhet]],4,0),LEN(VLOOKUP(H175,Materialtabell[[#All],[Materialnamn]:[Enhet]],4,0))-3)))),"")</f>
        <v/>
      </c>
      <c r="L175" s="104" t="str">
        <f>IFERROR(KalkylStart[[#This Row],[Mängd]]*KalkylStart[[#This Row],[Omräknings-faktor]],"")</f>
        <v/>
      </c>
      <c r="M175" s="104" t="str">
        <f>IFERROR(F175*J175*VLOOKUP(H175,Materialtabell[[#All],[Materialnamn]:[Emissionsfaktor 2019
kg CO2e/kg]],5,0),"")</f>
        <v/>
      </c>
      <c r="N175" s="104" t="str">
        <f>IFERROR(F175*J175*VLOOKUP(H175,Materialtabell[[#All],[Materialnamn]:[Emissionsfaktor 2025
kg CO2e/kg]],6,0),"")</f>
        <v/>
      </c>
      <c r="O175" s="78" t="str">
        <f>IFERROR(VLOOKUP(H175,Materialtabell[[#All],[Materialnamn]:[Kommentar A4]],24,0),"")</f>
        <v/>
      </c>
      <c r="P175" s="94" t="str">
        <f>IFERROR(($F175*$J175*$O175*VLOOKUP($H175,Materialtabell[[#All],[Materialnamn]:[Bränsle 
MJ/ton, km]],25,0)*Materiallista!$AF$5)/1000,"")</f>
        <v/>
      </c>
      <c r="Q175" s="94" t="str">
        <f>IFERROR(($F175*$J175*$O175*VLOOKUP($H175,Materialtabell[[#All],[Materialnamn]:[Bränsle 
MJ/ton, km]],25,0)*Materiallista!$AF$6)/1000,"")</f>
        <v/>
      </c>
      <c r="R175" s="162"/>
      <c r="S175" s="3"/>
      <c r="T175" s="3"/>
    </row>
    <row r="176" spans="1:20" x14ac:dyDescent="0.25">
      <c r="A176" s="3"/>
      <c r="B176" s="185">
        <v>171</v>
      </c>
      <c r="C176" s="170"/>
      <c r="D176" s="103"/>
      <c r="E176" s="103"/>
      <c r="F176" s="78"/>
      <c r="G176" s="103"/>
      <c r="H176" s="102"/>
      <c r="I176" s="105" t="str">
        <f>IFERROR(VLOOKUP(KalkylStart[[#This Row],[Klimatmaterial]],Materialtabell[[#All],[Materialnamn]:[Materialtyp]],2,0),"")</f>
        <v/>
      </c>
      <c r="J176" s="104" t="str">
        <f>IFERROR(IF(G176="kg",1,IF(G176="ton",1000,IF(G176=RIGHT(VLOOKUP(H176,Materialtabell[[#All],[Materialnamn]:[Enhet]],4,0),LEN(VLOOKUP(H176,Materialtabell[[#All],[Materialnamn]:[Enhet]],4,0))-3),VLOOKUP(H176,Materialtabell[[#All],[Materialnamn]:[Enhet]],3,0),"Enhetsfel"))),"")</f>
        <v/>
      </c>
      <c r="K176" s="105" t="str">
        <f>IFERROR(IF(G176="kg","kg/kg",IF(G176="ton","kg/ton",IF(RIGHT(VLOOKUP(H176,Materialtabell[[#All],[Materialnamn]:[Enhet]],4,0),LEN(VLOOKUP(H176,Materialtabell[[#All],[Materialnamn]:[Enhet]],4,0))-3)=G176,VLOOKUP(H176,Materialtabell[[#All],[Materialnamn]:[Enhet]],4,0),"kg/ton/"&amp;RIGHT(VLOOKUP(H176,Materialtabell[[#All],[Materialnamn]:[Enhet]],4,0),LEN(VLOOKUP(H176,Materialtabell[[#All],[Materialnamn]:[Enhet]],4,0))-3)))),"")</f>
        <v/>
      </c>
      <c r="L176" s="104" t="str">
        <f>IFERROR(KalkylStart[[#This Row],[Mängd]]*KalkylStart[[#This Row],[Omräknings-faktor]],"")</f>
        <v/>
      </c>
      <c r="M176" s="104" t="str">
        <f>IFERROR(F176*J176*VLOOKUP(H176,Materialtabell[[#All],[Materialnamn]:[Emissionsfaktor 2019
kg CO2e/kg]],5,0),"")</f>
        <v/>
      </c>
      <c r="N176" s="104" t="str">
        <f>IFERROR(F176*J176*VLOOKUP(H176,Materialtabell[[#All],[Materialnamn]:[Emissionsfaktor 2025
kg CO2e/kg]],6,0),"")</f>
        <v/>
      </c>
      <c r="O176" s="78" t="str">
        <f>IFERROR(VLOOKUP(H176,Materialtabell[[#All],[Materialnamn]:[Kommentar A4]],24,0),"")</f>
        <v/>
      </c>
      <c r="P176" s="94" t="str">
        <f>IFERROR(($F176*$J176*$O176*VLOOKUP($H176,Materialtabell[[#All],[Materialnamn]:[Bränsle 
MJ/ton, km]],25,0)*Materiallista!$AF$5)/1000,"")</f>
        <v/>
      </c>
      <c r="Q176" s="94" t="str">
        <f>IFERROR(($F176*$J176*$O176*VLOOKUP($H176,Materialtabell[[#All],[Materialnamn]:[Bränsle 
MJ/ton, km]],25,0)*Materiallista!$AF$6)/1000,"")</f>
        <v/>
      </c>
      <c r="R176" s="162"/>
      <c r="S176" s="3"/>
      <c r="T176" s="3"/>
    </row>
    <row r="177" spans="1:20" x14ac:dyDescent="0.25">
      <c r="A177" s="3"/>
      <c r="B177" s="185">
        <v>172</v>
      </c>
      <c r="C177" s="170"/>
      <c r="D177" s="103"/>
      <c r="E177" s="103"/>
      <c r="F177" s="78"/>
      <c r="G177" s="103"/>
      <c r="H177" s="102"/>
      <c r="I177" s="105" t="str">
        <f>IFERROR(VLOOKUP(KalkylStart[[#This Row],[Klimatmaterial]],Materialtabell[[#All],[Materialnamn]:[Materialtyp]],2,0),"")</f>
        <v/>
      </c>
      <c r="J177" s="104" t="str">
        <f>IFERROR(IF(G177="kg",1,IF(G177="ton",1000,IF(G177=RIGHT(VLOOKUP(H177,Materialtabell[[#All],[Materialnamn]:[Enhet]],4,0),LEN(VLOOKUP(H177,Materialtabell[[#All],[Materialnamn]:[Enhet]],4,0))-3),VLOOKUP(H177,Materialtabell[[#All],[Materialnamn]:[Enhet]],3,0),"Enhetsfel"))),"")</f>
        <v/>
      </c>
      <c r="K177" s="105" t="str">
        <f>IFERROR(IF(G177="kg","kg/kg",IF(G177="ton","kg/ton",IF(RIGHT(VLOOKUP(H177,Materialtabell[[#All],[Materialnamn]:[Enhet]],4,0),LEN(VLOOKUP(H177,Materialtabell[[#All],[Materialnamn]:[Enhet]],4,0))-3)=G177,VLOOKUP(H177,Materialtabell[[#All],[Materialnamn]:[Enhet]],4,0),"kg/ton/"&amp;RIGHT(VLOOKUP(H177,Materialtabell[[#All],[Materialnamn]:[Enhet]],4,0),LEN(VLOOKUP(H177,Materialtabell[[#All],[Materialnamn]:[Enhet]],4,0))-3)))),"")</f>
        <v/>
      </c>
      <c r="L177" s="104" t="str">
        <f>IFERROR(KalkylStart[[#This Row],[Mängd]]*KalkylStart[[#This Row],[Omräknings-faktor]],"")</f>
        <v/>
      </c>
      <c r="M177" s="104" t="str">
        <f>IFERROR(F177*J177*VLOOKUP(H177,Materialtabell[[#All],[Materialnamn]:[Emissionsfaktor 2019
kg CO2e/kg]],5,0),"")</f>
        <v/>
      </c>
      <c r="N177" s="104" t="str">
        <f>IFERROR(F177*J177*VLOOKUP(H177,Materialtabell[[#All],[Materialnamn]:[Emissionsfaktor 2025
kg CO2e/kg]],6,0),"")</f>
        <v/>
      </c>
      <c r="O177" s="78" t="str">
        <f>IFERROR(VLOOKUP(H177,Materialtabell[[#All],[Materialnamn]:[Kommentar A4]],24,0),"")</f>
        <v/>
      </c>
      <c r="P177" s="94" t="str">
        <f>IFERROR(($F177*$J177*$O177*VLOOKUP($H177,Materialtabell[[#All],[Materialnamn]:[Bränsle 
MJ/ton, km]],25,0)*Materiallista!$AF$5)/1000,"")</f>
        <v/>
      </c>
      <c r="Q177" s="94" t="str">
        <f>IFERROR(($F177*$J177*$O177*VLOOKUP($H177,Materialtabell[[#All],[Materialnamn]:[Bränsle 
MJ/ton, km]],25,0)*Materiallista!$AF$6)/1000,"")</f>
        <v/>
      </c>
      <c r="R177" s="162"/>
      <c r="S177" s="3"/>
      <c r="T177" s="3"/>
    </row>
    <row r="178" spans="1:20" x14ac:dyDescent="0.25">
      <c r="A178" s="3"/>
      <c r="B178" s="185">
        <v>173</v>
      </c>
      <c r="C178" s="170"/>
      <c r="D178" s="103"/>
      <c r="E178" s="103"/>
      <c r="F178" s="78"/>
      <c r="G178" s="103"/>
      <c r="H178" s="102"/>
      <c r="I178" s="105" t="str">
        <f>IFERROR(VLOOKUP(KalkylStart[[#This Row],[Klimatmaterial]],Materialtabell[[#All],[Materialnamn]:[Materialtyp]],2,0),"")</f>
        <v/>
      </c>
      <c r="J178" s="104" t="str">
        <f>IFERROR(IF(G178="kg",1,IF(G178="ton",1000,IF(G178=RIGHT(VLOOKUP(H178,Materialtabell[[#All],[Materialnamn]:[Enhet]],4,0),LEN(VLOOKUP(H178,Materialtabell[[#All],[Materialnamn]:[Enhet]],4,0))-3),VLOOKUP(H178,Materialtabell[[#All],[Materialnamn]:[Enhet]],3,0),"Enhetsfel"))),"")</f>
        <v/>
      </c>
      <c r="K178" s="105" t="str">
        <f>IFERROR(IF(G178="kg","kg/kg",IF(G178="ton","kg/ton",IF(RIGHT(VLOOKUP(H178,Materialtabell[[#All],[Materialnamn]:[Enhet]],4,0),LEN(VLOOKUP(H178,Materialtabell[[#All],[Materialnamn]:[Enhet]],4,0))-3)=G178,VLOOKUP(H178,Materialtabell[[#All],[Materialnamn]:[Enhet]],4,0),"kg/ton/"&amp;RIGHT(VLOOKUP(H178,Materialtabell[[#All],[Materialnamn]:[Enhet]],4,0),LEN(VLOOKUP(H178,Materialtabell[[#All],[Materialnamn]:[Enhet]],4,0))-3)))),"")</f>
        <v/>
      </c>
      <c r="L178" s="104" t="str">
        <f>IFERROR(KalkylStart[[#This Row],[Mängd]]*KalkylStart[[#This Row],[Omräknings-faktor]],"")</f>
        <v/>
      </c>
      <c r="M178" s="104" t="str">
        <f>IFERROR(F178*J178*VLOOKUP(H178,Materialtabell[[#All],[Materialnamn]:[Emissionsfaktor 2019
kg CO2e/kg]],5,0),"")</f>
        <v/>
      </c>
      <c r="N178" s="104" t="str">
        <f>IFERROR(F178*J178*VLOOKUP(H178,Materialtabell[[#All],[Materialnamn]:[Emissionsfaktor 2025
kg CO2e/kg]],6,0),"")</f>
        <v/>
      </c>
      <c r="O178" s="78" t="str">
        <f>IFERROR(VLOOKUP(H178,Materialtabell[[#All],[Materialnamn]:[Kommentar A4]],24,0),"")</f>
        <v/>
      </c>
      <c r="P178" s="94" t="str">
        <f>IFERROR(($F178*$J178*$O178*VLOOKUP($H178,Materialtabell[[#All],[Materialnamn]:[Bränsle 
MJ/ton, km]],25,0)*Materiallista!$AF$5)/1000,"")</f>
        <v/>
      </c>
      <c r="Q178" s="94" t="str">
        <f>IFERROR(($F178*$J178*$O178*VLOOKUP($H178,Materialtabell[[#All],[Materialnamn]:[Bränsle 
MJ/ton, km]],25,0)*Materiallista!$AF$6)/1000,"")</f>
        <v/>
      </c>
      <c r="R178" s="162"/>
      <c r="S178" s="3"/>
      <c r="T178" s="3"/>
    </row>
    <row r="179" spans="1:20" x14ac:dyDescent="0.25">
      <c r="A179" s="3"/>
      <c r="B179" s="185">
        <v>174</v>
      </c>
      <c r="C179" s="170"/>
      <c r="D179" s="103"/>
      <c r="E179" s="103"/>
      <c r="F179" s="78"/>
      <c r="G179" s="103"/>
      <c r="H179" s="102"/>
      <c r="I179" s="105" t="str">
        <f>IFERROR(VLOOKUP(KalkylStart[[#This Row],[Klimatmaterial]],Materialtabell[[#All],[Materialnamn]:[Materialtyp]],2,0),"")</f>
        <v/>
      </c>
      <c r="J179" s="104" t="str">
        <f>IFERROR(IF(G179="kg",1,IF(G179="ton",1000,IF(G179=RIGHT(VLOOKUP(H179,Materialtabell[[#All],[Materialnamn]:[Enhet]],4,0),LEN(VLOOKUP(H179,Materialtabell[[#All],[Materialnamn]:[Enhet]],4,0))-3),VLOOKUP(H179,Materialtabell[[#All],[Materialnamn]:[Enhet]],3,0),"Enhetsfel"))),"")</f>
        <v/>
      </c>
      <c r="K179" s="105" t="str">
        <f>IFERROR(IF(G179="kg","kg/kg",IF(G179="ton","kg/ton",IF(RIGHT(VLOOKUP(H179,Materialtabell[[#All],[Materialnamn]:[Enhet]],4,0),LEN(VLOOKUP(H179,Materialtabell[[#All],[Materialnamn]:[Enhet]],4,0))-3)=G179,VLOOKUP(H179,Materialtabell[[#All],[Materialnamn]:[Enhet]],4,0),"kg/ton/"&amp;RIGHT(VLOOKUP(H179,Materialtabell[[#All],[Materialnamn]:[Enhet]],4,0),LEN(VLOOKUP(H179,Materialtabell[[#All],[Materialnamn]:[Enhet]],4,0))-3)))),"")</f>
        <v/>
      </c>
      <c r="L179" s="104" t="str">
        <f>IFERROR(KalkylStart[[#This Row],[Mängd]]*KalkylStart[[#This Row],[Omräknings-faktor]],"")</f>
        <v/>
      </c>
      <c r="M179" s="104" t="str">
        <f>IFERROR(F179*J179*VLOOKUP(H179,Materialtabell[[#All],[Materialnamn]:[Emissionsfaktor 2019
kg CO2e/kg]],5,0),"")</f>
        <v/>
      </c>
      <c r="N179" s="104" t="str">
        <f>IFERROR(F179*J179*VLOOKUP(H179,Materialtabell[[#All],[Materialnamn]:[Emissionsfaktor 2025
kg CO2e/kg]],6,0),"")</f>
        <v/>
      </c>
      <c r="O179" s="78" t="str">
        <f>IFERROR(VLOOKUP(H179,Materialtabell[[#All],[Materialnamn]:[Kommentar A4]],24,0),"")</f>
        <v/>
      </c>
      <c r="P179" s="94" t="str">
        <f>IFERROR(($F179*$J179*$O179*VLOOKUP($H179,Materialtabell[[#All],[Materialnamn]:[Bränsle 
MJ/ton, km]],25,0)*Materiallista!$AF$5)/1000,"")</f>
        <v/>
      </c>
      <c r="Q179" s="94" t="str">
        <f>IFERROR(($F179*$J179*$O179*VLOOKUP($H179,Materialtabell[[#All],[Materialnamn]:[Bränsle 
MJ/ton, km]],25,0)*Materiallista!$AF$6)/1000,"")</f>
        <v/>
      </c>
      <c r="R179" s="162"/>
      <c r="S179" s="3"/>
      <c r="T179" s="3"/>
    </row>
    <row r="180" spans="1:20" x14ac:dyDescent="0.25">
      <c r="A180" s="3"/>
      <c r="B180" s="185">
        <v>175</v>
      </c>
      <c r="C180" s="170"/>
      <c r="D180" s="103"/>
      <c r="E180" s="103"/>
      <c r="F180" s="78"/>
      <c r="G180" s="103"/>
      <c r="H180" s="102"/>
      <c r="I180" s="105" t="str">
        <f>IFERROR(VLOOKUP(KalkylStart[[#This Row],[Klimatmaterial]],Materialtabell[[#All],[Materialnamn]:[Materialtyp]],2,0),"")</f>
        <v/>
      </c>
      <c r="J180" s="104" t="str">
        <f>IFERROR(IF(G180="kg",1,IF(G180="ton",1000,IF(G180=RIGHT(VLOOKUP(H180,Materialtabell[[#All],[Materialnamn]:[Enhet]],4,0),LEN(VLOOKUP(H180,Materialtabell[[#All],[Materialnamn]:[Enhet]],4,0))-3),VLOOKUP(H180,Materialtabell[[#All],[Materialnamn]:[Enhet]],3,0),"Enhetsfel"))),"")</f>
        <v/>
      </c>
      <c r="K180" s="105" t="str">
        <f>IFERROR(IF(G180="kg","kg/kg",IF(G180="ton","kg/ton",IF(RIGHT(VLOOKUP(H180,Materialtabell[[#All],[Materialnamn]:[Enhet]],4,0),LEN(VLOOKUP(H180,Materialtabell[[#All],[Materialnamn]:[Enhet]],4,0))-3)=G180,VLOOKUP(H180,Materialtabell[[#All],[Materialnamn]:[Enhet]],4,0),"kg/ton/"&amp;RIGHT(VLOOKUP(H180,Materialtabell[[#All],[Materialnamn]:[Enhet]],4,0),LEN(VLOOKUP(H180,Materialtabell[[#All],[Materialnamn]:[Enhet]],4,0))-3)))),"")</f>
        <v/>
      </c>
      <c r="L180" s="104" t="str">
        <f>IFERROR(KalkylStart[[#This Row],[Mängd]]*KalkylStart[[#This Row],[Omräknings-faktor]],"")</f>
        <v/>
      </c>
      <c r="M180" s="104" t="str">
        <f>IFERROR(F180*J180*VLOOKUP(H180,Materialtabell[[#All],[Materialnamn]:[Emissionsfaktor 2019
kg CO2e/kg]],5,0),"")</f>
        <v/>
      </c>
      <c r="N180" s="104" t="str">
        <f>IFERROR(F180*J180*VLOOKUP(H180,Materialtabell[[#All],[Materialnamn]:[Emissionsfaktor 2025
kg CO2e/kg]],6,0),"")</f>
        <v/>
      </c>
      <c r="O180" s="78" t="str">
        <f>IFERROR(VLOOKUP(H180,Materialtabell[[#All],[Materialnamn]:[Kommentar A4]],24,0),"")</f>
        <v/>
      </c>
      <c r="P180" s="94" t="str">
        <f>IFERROR(($F180*$J180*$O180*VLOOKUP($H180,Materialtabell[[#All],[Materialnamn]:[Bränsle 
MJ/ton, km]],25,0)*Materiallista!$AF$5)/1000,"")</f>
        <v/>
      </c>
      <c r="Q180" s="94" t="str">
        <f>IFERROR(($F180*$J180*$O180*VLOOKUP($H180,Materialtabell[[#All],[Materialnamn]:[Bränsle 
MJ/ton, km]],25,0)*Materiallista!$AF$6)/1000,"")</f>
        <v/>
      </c>
      <c r="R180" s="162"/>
      <c r="S180" s="3"/>
      <c r="T180" s="3"/>
    </row>
    <row r="181" spans="1:20" x14ac:dyDescent="0.25">
      <c r="A181" s="3"/>
      <c r="B181" s="185">
        <v>176</v>
      </c>
      <c r="C181" s="170"/>
      <c r="D181" s="103"/>
      <c r="E181" s="103"/>
      <c r="F181" s="78"/>
      <c r="G181" s="103"/>
      <c r="H181" s="102"/>
      <c r="I181" s="105" t="str">
        <f>IFERROR(VLOOKUP(KalkylStart[[#This Row],[Klimatmaterial]],Materialtabell[[#All],[Materialnamn]:[Materialtyp]],2,0),"")</f>
        <v/>
      </c>
      <c r="J181" s="104" t="str">
        <f>IFERROR(IF(G181="kg",1,IF(G181="ton",1000,IF(G181=RIGHT(VLOOKUP(H181,Materialtabell[[#All],[Materialnamn]:[Enhet]],4,0),LEN(VLOOKUP(H181,Materialtabell[[#All],[Materialnamn]:[Enhet]],4,0))-3),VLOOKUP(H181,Materialtabell[[#All],[Materialnamn]:[Enhet]],3,0),"Enhetsfel"))),"")</f>
        <v/>
      </c>
      <c r="K181" s="105" t="str">
        <f>IFERROR(IF(G181="kg","kg/kg",IF(G181="ton","kg/ton",IF(RIGHT(VLOOKUP(H181,Materialtabell[[#All],[Materialnamn]:[Enhet]],4,0),LEN(VLOOKUP(H181,Materialtabell[[#All],[Materialnamn]:[Enhet]],4,0))-3)=G181,VLOOKUP(H181,Materialtabell[[#All],[Materialnamn]:[Enhet]],4,0),"kg/ton/"&amp;RIGHT(VLOOKUP(H181,Materialtabell[[#All],[Materialnamn]:[Enhet]],4,0),LEN(VLOOKUP(H181,Materialtabell[[#All],[Materialnamn]:[Enhet]],4,0))-3)))),"")</f>
        <v/>
      </c>
      <c r="L181" s="104" t="str">
        <f>IFERROR(KalkylStart[[#This Row],[Mängd]]*KalkylStart[[#This Row],[Omräknings-faktor]],"")</f>
        <v/>
      </c>
      <c r="M181" s="104" t="str">
        <f>IFERROR(F181*J181*VLOOKUP(H181,Materialtabell[[#All],[Materialnamn]:[Emissionsfaktor 2019
kg CO2e/kg]],5,0),"")</f>
        <v/>
      </c>
      <c r="N181" s="104" t="str">
        <f>IFERROR(F181*J181*VLOOKUP(H181,Materialtabell[[#All],[Materialnamn]:[Emissionsfaktor 2025
kg CO2e/kg]],6,0),"")</f>
        <v/>
      </c>
      <c r="O181" s="78" t="str">
        <f>IFERROR(VLOOKUP(H181,Materialtabell[[#All],[Materialnamn]:[Kommentar A4]],24,0),"")</f>
        <v/>
      </c>
      <c r="P181" s="94" t="str">
        <f>IFERROR(($F181*$J181*$O181*VLOOKUP($H181,Materialtabell[[#All],[Materialnamn]:[Bränsle 
MJ/ton, km]],25,0)*Materiallista!$AF$5)/1000,"")</f>
        <v/>
      </c>
      <c r="Q181" s="94" t="str">
        <f>IFERROR(($F181*$J181*$O181*VLOOKUP($H181,Materialtabell[[#All],[Materialnamn]:[Bränsle 
MJ/ton, km]],25,0)*Materiallista!$AF$6)/1000,"")</f>
        <v/>
      </c>
      <c r="R181" s="162"/>
      <c r="S181" s="3"/>
      <c r="T181" s="3"/>
    </row>
    <row r="182" spans="1:20" x14ac:dyDescent="0.25">
      <c r="A182" s="3"/>
      <c r="B182" s="185">
        <v>177</v>
      </c>
      <c r="C182" s="170"/>
      <c r="D182" s="103"/>
      <c r="E182" s="103"/>
      <c r="F182" s="78"/>
      <c r="G182" s="103"/>
      <c r="H182" s="102"/>
      <c r="I182" s="105" t="str">
        <f>IFERROR(VLOOKUP(KalkylStart[[#This Row],[Klimatmaterial]],Materialtabell[[#All],[Materialnamn]:[Materialtyp]],2,0),"")</f>
        <v/>
      </c>
      <c r="J182" s="104" t="str">
        <f>IFERROR(IF(G182="kg",1,IF(G182="ton",1000,IF(G182=RIGHT(VLOOKUP(H182,Materialtabell[[#All],[Materialnamn]:[Enhet]],4,0),LEN(VLOOKUP(H182,Materialtabell[[#All],[Materialnamn]:[Enhet]],4,0))-3),VLOOKUP(H182,Materialtabell[[#All],[Materialnamn]:[Enhet]],3,0),"Enhetsfel"))),"")</f>
        <v/>
      </c>
      <c r="K182" s="105" t="str">
        <f>IFERROR(IF(G182="kg","kg/kg",IF(G182="ton","kg/ton",IF(RIGHT(VLOOKUP(H182,Materialtabell[[#All],[Materialnamn]:[Enhet]],4,0),LEN(VLOOKUP(H182,Materialtabell[[#All],[Materialnamn]:[Enhet]],4,0))-3)=G182,VLOOKUP(H182,Materialtabell[[#All],[Materialnamn]:[Enhet]],4,0),"kg/ton/"&amp;RIGHT(VLOOKUP(H182,Materialtabell[[#All],[Materialnamn]:[Enhet]],4,0),LEN(VLOOKUP(H182,Materialtabell[[#All],[Materialnamn]:[Enhet]],4,0))-3)))),"")</f>
        <v/>
      </c>
      <c r="L182" s="104" t="str">
        <f>IFERROR(KalkylStart[[#This Row],[Mängd]]*KalkylStart[[#This Row],[Omräknings-faktor]],"")</f>
        <v/>
      </c>
      <c r="M182" s="104" t="str">
        <f>IFERROR(F182*J182*VLOOKUP(H182,Materialtabell[[#All],[Materialnamn]:[Emissionsfaktor 2019
kg CO2e/kg]],5,0),"")</f>
        <v/>
      </c>
      <c r="N182" s="104" t="str">
        <f>IFERROR(F182*J182*VLOOKUP(H182,Materialtabell[[#All],[Materialnamn]:[Emissionsfaktor 2025
kg CO2e/kg]],6,0),"")</f>
        <v/>
      </c>
      <c r="O182" s="78" t="str">
        <f>IFERROR(VLOOKUP(H182,Materialtabell[[#All],[Materialnamn]:[Kommentar A4]],24,0),"")</f>
        <v/>
      </c>
      <c r="P182" s="94" t="str">
        <f>IFERROR(($F182*$J182*$O182*VLOOKUP($H182,Materialtabell[[#All],[Materialnamn]:[Bränsle 
MJ/ton, km]],25,0)*Materiallista!$AF$5)/1000,"")</f>
        <v/>
      </c>
      <c r="Q182" s="94" t="str">
        <f>IFERROR(($F182*$J182*$O182*VLOOKUP($H182,Materialtabell[[#All],[Materialnamn]:[Bränsle 
MJ/ton, km]],25,0)*Materiallista!$AF$6)/1000,"")</f>
        <v/>
      </c>
      <c r="R182" s="162"/>
      <c r="S182" s="3"/>
      <c r="T182" s="3"/>
    </row>
    <row r="183" spans="1:20" x14ac:dyDescent="0.25">
      <c r="A183" s="3"/>
      <c r="B183" s="185">
        <v>178</v>
      </c>
      <c r="C183" s="170"/>
      <c r="D183" s="103"/>
      <c r="E183" s="103"/>
      <c r="F183" s="78"/>
      <c r="G183" s="103"/>
      <c r="H183" s="102"/>
      <c r="I183" s="105" t="str">
        <f>IFERROR(VLOOKUP(KalkylStart[[#This Row],[Klimatmaterial]],Materialtabell[[#All],[Materialnamn]:[Materialtyp]],2,0),"")</f>
        <v/>
      </c>
      <c r="J183" s="104" t="str">
        <f>IFERROR(IF(G183="kg",1,IF(G183="ton",1000,IF(G183=RIGHT(VLOOKUP(H183,Materialtabell[[#All],[Materialnamn]:[Enhet]],4,0),LEN(VLOOKUP(H183,Materialtabell[[#All],[Materialnamn]:[Enhet]],4,0))-3),VLOOKUP(H183,Materialtabell[[#All],[Materialnamn]:[Enhet]],3,0),"Enhetsfel"))),"")</f>
        <v/>
      </c>
      <c r="K183" s="105" t="str">
        <f>IFERROR(IF(G183="kg","kg/kg",IF(G183="ton","kg/ton",IF(RIGHT(VLOOKUP(H183,Materialtabell[[#All],[Materialnamn]:[Enhet]],4,0),LEN(VLOOKUP(H183,Materialtabell[[#All],[Materialnamn]:[Enhet]],4,0))-3)=G183,VLOOKUP(H183,Materialtabell[[#All],[Materialnamn]:[Enhet]],4,0),"kg/ton/"&amp;RIGHT(VLOOKUP(H183,Materialtabell[[#All],[Materialnamn]:[Enhet]],4,0),LEN(VLOOKUP(H183,Materialtabell[[#All],[Materialnamn]:[Enhet]],4,0))-3)))),"")</f>
        <v/>
      </c>
      <c r="L183" s="104" t="str">
        <f>IFERROR(KalkylStart[[#This Row],[Mängd]]*KalkylStart[[#This Row],[Omräknings-faktor]],"")</f>
        <v/>
      </c>
      <c r="M183" s="104" t="str">
        <f>IFERROR(F183*J183*VLOOKUP(H183,Materialtabell[[#All],[Materialnamn]:[Emissionsfaktor 2019
kg CO2e/kg]],5,0),"")</f>
        <v/>
      </c>
      <c r="N183" s="104" t="str">
        <f>IFERROR(F183*J183*VLOOKUP(H183,Materialtabell[[#All],[Materialnamn]:[Emissionsfaktor 2025
kg CO2e/kg]],6,0),"")</f>
        <v/>
      </c>
      <c r="O183" s="78" t="str">
        <f>IFERROR(VLOOKUP(H183,Materialtabell[[#All],[Materialnamn]:[Kommentar A4]],24,0),"")</f>
        <v/>
      </c>
      <c r="P183" s="94" t="str">
        <f>IFERROR(($F183*$J183*$O183*VLOOKUP($H183,Materialtabell[[#All],[Materialnamn]:[Bränsle 
MJ/ton, km]],25,0)*Materiallista!$AF$5)/1000,"")</f>
        <v/>
      </c>
      <c r="Q183" s="94" t="str">
        <f>IFERROR(($F183*$J183*$O183*VLOOKUP($H183,Materialtabell[[#All],[Materialnamn]:[Bränsle 
MJ/ton, km]],25,0)*Materiallista!$AF$6)/1000,"")</f>
        <v/>
      </c>
      <c r="R183" s="162"/>
      <c r="S183" s="3"/>
      <c r="T183" s="3"/>
    </row>
    <row r="184" spans="1:20" x14ac:dyDescent="0.25">
      <c r="A184" s="3"/>
      <c r="B184" s="185">
        <v>179</v>
      </c>
      <c r="C184" s="170"/>
      <c r="D184" s="103"/>
      <c r="E184" s="103"/>
      <c r="F184" s="78"/>
      <c r="G184" s="103"/>
      <c r="H184" s="102"/>
      <c r="I184" s="105" t="str">
        <f>IFERROR(VLOOKUP(KalkylStart[[#This Row],[Klimatmaterial]],Materialtabell[[#All],[Materialnamn]:[Materialtyp]],2,0),"")</f>
        <v/>
      </c>
      <c r="J184" s="104" t="str">
        <f>IFERROR(IF(G184="kg",1,IF(G184="ton",1000,IF(G184=RIGHT(VLOOKUP(H184,Materialtabell[[#All],[Materialnamn]:[Enhet]],4,0),LEN(VLOOKUP(H184,Materialtabell[[#All],[Materialnamn]:[Enhet]],4,0))-3),VLOOKUP(H184,Materialtabell[[#All],[Materialnamn]:[Enhet]],3,0),"Enhetsfel"))),"")</f>
        <v/>
      </c>
      <c r="K184" s="105" t="str">
        <f>IFERROR(IF(G184="kg","kg/kg",IF(G184="ton","kg/ton",IF(RIGHT(VLOOKUP(H184,Materialtabell[[#All],[Materialnamn]:[Enhet]],4,0),LEN(VLOOKUP(H184,Materialtabell[[#All],[Materialnamn]:[Enhet]],4,0))-3)=G184,VLOOKUP(H184,Materialtabell[[#All],[Materialnamn]:[Enhet]],4,0),"kg/ton/"&amp;RIGHT(VLOOKUP(H184,Materialtabell[[#All],[Materialnamn]:[Enhet]],4,0),LEN(VLOOKUP(H184,Materialtabell[[#All],[Materialnamn]:[Enhet]],4,0))-3)))),"")</f>
        <v/>
      </c>
      <c r="L184" s="104" t="str">
        <f>IFERROR(KalkylStart[[#This Row],[Mängd]]*KalkylStart[[#This Row],[Omräknings-faktor]],"")</f>
        <v/>
      </c>
      <c r="M184" s="104" t="str">
        <f>IFERROR(F184*J184*VLOOKUP(H184,Materialtabell[[#All],[Materialnamn]:[Emissionsfaktor 2019
kg CO2e/kg]],5,0),"")</f>
        <v/>
      </c>
      <c r="N184" s="104" t="str">
        <f>IFERROR(F184*J184*VLOOKUP(H184,Materialtabell[[#All],[Materialnamn]:[Emissionsfaktor 2025
kg CO2e/kg]],6,0),"")</f>
        <v/>
      </c>
      <c r="O184" s="78" t="str">
        <f>IFERROR(VLOOKUP(H184,Materialtabell[[#All],[Materialnamn]:[Kommentar A4]],24,0),"")</f>
        <v/>
      </c>
      <c r="P184" s="94" t="str">
        <f>IFERROR(($F184*$J184*$O184*VLOOKUP($H184,Materialtabell[[#All],[Materialnamn]:[Bränsle 
MJ/ton, km]],25,0)*Materiallista!$AF$5)/1000,"")</f>
        <v/>
      </c>
      <c r="Q184" s="94" t="str">
        <f>IFERROR(($F184*$J184*$O184*VLOOKUP($H184,Materialtabell[[#All],[Materialnamn]:[Bränsle 
MJ/ton, km]],25,0)*Materiallista!$AF$6)/1000,"")</f>
        <v/>
      </c>
      <c r="R184" s="162"/>
      <c r="S184" s="3"/>
      <c r="T184" s="3"/>
    </row>
    <row r="185" spans="1:20" x14ac:dyDescent="0.25">
      <c r="A185" s="3"/>
      <c r="B185" s="185">
        <v>180</v>
      </c>
      <c r="C185" s="170"/>
      <c r="D185" s="103"/>
      <c r="E185" s="103"/>
      <c r="F185" s="78"/>
      <c r="G185" s="103"/>
      <c r="H185" s="102"/>
      <c r="I185" s="105" t="str">
        <f>IFERROR(VLOOKUP(KalkylStart[[#This Row],[Klimatmaterial]],Materialtabell[[#All],[Materialnamn]:[Materialtyp]],2,0),"")</f>
        <v/>
      </c>
      <c r="J185" s="104" t="str">
        <f>IFERROR(IF(G185="kg",1,IF(G185="ton",1000,IF(G185=RIGHT(VLOOKUP(H185,Materialtabell[[#All],[Materialnamn]:[Enhet]],4,0),LEN(VLOOKUP(H185,Materialtabell[[#All],[Materialnamn]:[Enhet]],4,0))-3),VLOOKUP(H185,Materialtabell[[#All],[Materialnamn]:[Enhet]],3,0),"Enhetsfel"))),"")</f>
        <v/>
      </c>
      <c r="K185" s="105" t="str">
        <f>IFERROR(IF(G185="kg","kg/kg",IF(G185="ton","kg/ton",IF(RIGHT(VLOOKUP(H185,Materialtabell[[#All],[Materialnamn]:[Enhet]],4,0),LEN(VLOOKUP(H185,Materialtabell[[#All],[Materialnamn]:[Enhet]],4,0))-3)=G185,VLOOKUP(H185,Materialtabell[[#All],[Materialnamn]:[Enhet]],4,0),"kg/ton/"&amp;RIGHT(VLOOKUP(H185,Materialtabell[[#All],[Materialnamn]:[Enhet]],4,0),LEN(VLOOKUP(H185,Materialtabell[[#All],[Materialnamn]:[Enhet]],4,0))-3)))),"")</f>
        <v/>
      </c>
      <c r="L185" s="104" t="str">
        <f>IFERROR(KalkylStart[[#This Row],[Mängd]]*KalkylStart[[#This Row],[Omräknings-faktor]],"")</f>
        <v/>
      </c>
      <c r="M185" s="104" t="str">
        <f>IFERROR(F185*J185*VLOOKUP(H185,Materialtabell[[#All],[Materialnamn]:[Emissionsfaktor 2019
kg CO2e/kg]],5,0),"")</f>
        <v/>
      </c>
      <c r="N185" s="104" t="str">
        <f>IFERROR(F185*J185*VLOOKUP(H185,Materialtabell[[#All],[Materialnamn]:[Emissionsfaktor 2025
kg CO2e/kg]],6,0),"")</f>
        <v/>
      </c>
      <c r="O185" s="78" t="str">
        <f>IFERROR(VLOOKUP(H185,Materialtabell[[#All],[Materialnamn]:[Kommentar A4]],24,0),"")</f>
        <v/>
      </c>
      <c r="P185" s="94" t="str">
        <f>IFERROR(($F185*$J185*$O185*VLOOKUP($H185,Materialtabell[[#All],[Materialnamn]:[Bränsle 
MJ/ton, km]],25,0)*Materiallista!$AF$5)/1000,"")</f>
        <v/>
      </c>
      <c r="Q185" s="94" t="str">
        <f>IFERROR(($F185*$J185*$O185*VLOOKUP($H185,Materialtabell[[#All],[Materialnamn]:[Bränsle 
MJ/ton, km]],25,0)*Materiallista!$AF$6)/1000,"")</f>
        <v/>
      </c>
      <c r="R185" s="162"/>
      <c r="S185" s="3"/>
      <c r="T185" s="3"/>
    </row>
    <row r="186" spans="1:20" x14ac:dyDescent="0.25">
      <c r="A186" s="3"/>
      <c r="B186" s="185">
        <v>181</v>
      </c>
      <c r="C186" s="170"/>
      <c r="D186" s="103"/>
      <c r="E186" s="103"/>
      <c r="F186" s="78"/>
      <c r="G186" s="103"/>
      <c r="H186" s="102"/>
      <c r="I186" s="105" t="str">
        <f>IFERROR(VLOOKUP(KalkylStart[[#This Row],[Klimatmaterial]],Materialtabell[[#All],[Materialnamn]:[Materialtyp]],2,0),"")</f>
        <v/>
      </c>
      <c r="J186" s="104" t="str">
        <f>IFERROR(IF(G186="kg",1,IF(G186="ton",1000,IF(G186=RIGHT(VLOOKUP(H186,Materialtabell[[#All],[Materialnamn]:[Enhet]],4,0),LEN(VLOOKUP(H186,Materialtabell[[#All],[Materialnamn]:[Enhet]],4,0))-3),VLOOKUP(H186,Materialtabell[[#All],[Materialnamn]:[Enhet]],3,0),"Enhetsfel"))),"")</f>
        <v/>
      </c>
      <c r="K186" s="105" t="str">
        <f>IFERROR(IF(G186="kg","kg/kg",IF(G186="ton","kg/ton",IF(RIGHT(VLOOKUP(H186,Materialtabell[[#All],[Materialnamn]:[Enhet]],4,0),LEN(VLOOKUP(H186,Materialtabell[[#All],[Materialnamn]:[Enhet]],4,0))-3)=G186,VLOOKUP(H186,Materialtabell[[#All],[Materialnamn]:[Enhet]],4,0),"kg/ton/"&amp;RIGHT(VLOOKUP(H186,Materialtabell[[#All],[Materialnamn]:[Enhet]],4,0),LEN(VLOOKUP(H186,Materialtabell[[#All],[Materialnamn]:[Enhet]],4,0))-3)))),"")</f>
        <v/>
      </c>
      <c r="L186" s="104" t="str">
        <f>IFERROR(KalkylStart[[#This Row],[Mängd]]*KalkylStart[[#This Row],[Omräknings-faktor]],"")</f>
        <v/>
      </c>
      <c r="M186" s="104" t="str">
        <f>IFERROR(F186*J186*VLOOKUP(H186,Materialtabell[[#All],[Materialnamn]:[Emissionsfaktor 2019
kg CO2e/kg]],5,0),"")</f>
        <v/>
      </c>
      <c r="N186" s="104" t="str">
        <f>IFERROR(F186*J186*VLOOKUP(H186,Materialtabell[[#All],[Materialnamn]:[Emissionsfaktor 2025
kg CO2e/kg]],6,0),"")</f>
        <v/>
      </c>
      <c r="O186" s="78" t="str">
        <f>IFERROR(VLOOKUP(H186,Materialtabell[[#All],[Materialnamn]:[Kommentar A4]],24,0),"")</f>
        <v/>
      </c>
      <c r="P186" s="94" t="str">
        <f>IFERROR(($F186*$J186*$O186*VLOOKUP($H186,Materialtabell[[#All],[Materialnamn]:[Bränsle 
MJ/ton, km]],25,0)*Materiallista!$AF$5)/1000,"")</f>
        <v/>
      </c>
      <c r="Q186" s="94" t="str">
        <f>IFERROR(($F186*$J186*$O186*VLOOKUP($H186,Materialtabell[[#All],[Materialnamn]:[Bränsle 
MJ/ton, km]],25,0)*Materiallista!$AF$6)/1000,"")</f>
        <v/>
      </c>
      <c r="R186" s="162"/>
      <c r="S186" s="3"/>
      <c r="T186" s="3"/>
    </row>
    <row r="187" spans="1:20" x14ac:dyDescent="0.25">
      <c r="A187" s="3"/>
      <c r="B187" s="185">
        <v>182</v>
      </c>
      <c r="C187" s="170"/>
      <c r="D187" s="103"/>
      <c r="E187" s="103"/>
      <c r="F187" s="78"/>
      <c r="G187" s="103"/>
      <c r="H187" s="102"/>
      <c r="I187" s="105" t="str">
        <f>IFERROR(VLOOKUP(KalkylStart[[#This Row],[Klimatmaterial]],Materialtabell[[#All],[Materialnamn]:[Materialtyp]],2,0),"")</f>
        <v/>
      </c>
      <c r="J187" s="104" t="str">
        <f>IFERROR(IF(G187="kg",1,IF(G187="ton",1000,IF(G187=RIGHT(VLOOKUP(H187,Materialtabell[[#All],[Materialnamn]:[Enhet]],4,0),LEN(VLOOKUP(H187,Materialtabell[[#All],[Materialnamn]:[Enhet]],4,0))-3),VLOOKUP(H187,Materialtabell[[#All],[Materialnamn]:[Enhet]],3,0),"Enhetsfel"))),"")</f>
        <v/>
      </c>
      <c r="K187" s="105" t="str">
        <f>IFERROR(IF(G187="kg","kg/kg",IF(G187="ton","kg/ton",IF(RIGHT(VLOOKUP(H187,Materialtabell[[#All],[Materialnamn]:[Enhet]],4,0),LEN(VLOOKUP(H187,Materialtabell[[#All],[Materialnamn]:[Enhet]],4,0))-3)=G187,VLOOKUP(H187,Materialtabell[[#All],[Materialnamn]:[Enhet]],4,0),"kg/ton/"&amp;RIGHT(VLOOKUP(H187,Materialtabell[[#All],[Materialnamn]:[Enhet]],4,0),LEN(VLOOKUP(H187,Materialtabell[[#All],[Materialnamn]:[Enhet]],4,0))-3)))),"")</f>
        <v/>
      </c>
      <c r="L187" s="104" t="str">
        <f>IFERROR(KalkylStart[[#This Row],[Mängd]]*KalkylStart[[#This Row],[Omräknings-faktor]],"")</f>
        <v/>
      </c>
      <c r="M187" s="104" t="str">
        <f>IFERROR(F187*J187*VLOOKUP(H187,Materialtabell[[#All],[Materialnamn]:[Emissionsfaktor 2019
kg CO2e/kg]],5,0),"")</f>
        <v/>
      </c>
      <c r="N187" s="104" t="str">
        <f>IFERROR(F187*J187*VLOOKUP(H187,Materialtabell[[#All],[Materialnamn]:[Emissionsfaktor 2025
kg CO2e/kg]],6,0),"")</f>
        <v/>
      </c>
      <c r="O187" s="78" t="str">
        <f>IFERROR(VLOOKUP(H187,Materialtabell[[#All],[Materialnamn]:[Kommentar A4]],24,0),"")</f>
        <v/>
      </c>
      <c r="P187" s="94" t="str">
        <f>IFERROR(($F187*$J187*$O187*VLOOKUP($H187,Materialtabell[[#All],[Materialnamn]:[Bränsle 
MJ/ton, km]],25,0)*Materiallista!$AF$5)/1000,"")</f>
        <v/>
      </c>
      <c r="Q187" s="94" t="str">
        <f>IFERROR(($F187*$J187*$O187*VLOOKUP($H187,Materialtabell[[#All],[Materialnamn]:[Bränsle 
MJ/ton, km]],25,0)*Materiallista!$AF$6)/1000,"")</f>
        <v/>
      </c>
      <c r="R187" s="162"/>
      <c r="S187" s="3"/>
      <c r="T187" s="3"/>
    </row>
    <row r="188" spans="1:20" x14ac:dyDescent="0.25">
      <c r="A188" s="3"/>
      <c r="B188" s="185">
        <v>183</v>
      </c>
      <c r="C188" s="170"/>
      <c r="D188" s="103"/>
      <c r="E188" s="103"/>
      <c r="F188" s="78"/>
      <c r="G188" s="103"/>
      <c r="H188" s="102"/>
      <c r="I188" s="105" t="str">
        <f>IFERROR(VLOOKUP(KalkylStart[[#This Row],[Klimatmaterial]],Materialtabell[[#All],[Materialnamn]:[Materialtyp]],2,0),"")</f>
        <v/>
      </c>
      <c r="J188" s="104" t="str">
        <f>IFERROR(IF(G188="kg",1,IF(G188="ton",1000,IF(G188=RIGHT(VLOOKUP(H188,Materialtabell[[#All],[Materialnamn]:[Enhet]],4,0),LEN(VLOOKUP(H188,Materialtabell[[#All],[Materialnamn]:[Enhet]],4,0))-3),VLOOKUP(H188,Materialtabell[[#All],[Materialnamn]:[Enhet]],3,0),"Enhetsfel"))),"")</f>
        <v/>
      </c>
      <c r="K188" s="105" t="str">
        <f>IFERROR(IF(G188="kg","kg/kg",IF(G188="ton","kg/ton",IF(RIGHT(VLOOKUP(H188,Materialtabell[[#All],[Materialnamn]:[Enhet]],4,0),LEN(VLOOKUP(H188,Materialtabell[[#All],[Materialnamn]:[Enhet]],4,0))-3)=G188,VLOOKUP(H188,Materialtabell[[#All],[Materialnamn]:[Enhet]],4,0),"kg/ton/"&amp;RIGHT(VLOOKUP(H188,Materialtabell[[#All],[Materialnamn]:[Enhet]],4,0),LEN(VLOOKUP(H188,Materialtabell[[#All],[Materialnamn]:[Enhet]],4,0))-3)))),"")</f>
        <v/>
      </c>
      <c r="L188" s="104" t="str">
        <f>IFERROR(KalkylStart[[#This Row],[Mängd]]*KalkylStart[[#This Row],[Omräknings-faktor]],"")</f>
        <v/>
      </c>
      <c r="M188" s="104" t="str">
        <f>IFERROR(F188*J188*VLOOKUP(H188,Materialtabell[[#All],[Materialnamn]:[Emissionsfaktor 2019
kg CO2e/kg]],5,0),"")</f>
        <v/>
      </c>
      <c r="N188" s="104" t="str">
        <f>IFERROR(F188*J188*VLOOKUP(H188,Materialtabell[[#All],[Materialnamn]:[Emissionsfaktor 2025
kg CO2e/kg]],6,0),"")</f>
        <v/>
      </c>
      <c r="O188" s="78" t="str">
        <f>IFERROR(VLOOKUP(H188,Materialtabell[[#All],[Materialnamn]:[Kommentar A4]],24,0),"")</f>
        <v/>
      </c>
      <c r="P188" s="94" t="str">
        <f>IFERROR(($F188*$J188*$O188*VLOOKUP($H188,Materialtabell[[#All],[Materialnamn]:[Bränsle 
MJ/ton, km]],25,0)*Materiallista!$AF$5)/1000,"")</f>
        <v/>
      </c>
      <c r="Q188" s="94" t="str">
        <f>IFERROR(($F188*$J188*$O188*VLOOKUP($H188,Materialtabell[[#All],[Materialnamn]:[Bränsle 
MJ/ton, km]],25,0)*Materiallista!$AF$6)/1000,"")</f>
        <v/>
      </c>
      <c r="R188" s="162"/>
      <c r="S188" s="3"/>
      <c r="T188" s="3"/>
    </row>
    <row r="189" spans="1:20" x14ac:dyDescent="0.25">
      <c r="A189" s="3"/>
      <c r="B189" s="185">
        <v>184</v>
      </c>
      <c r="C189" s="170"/>
      <c r="D189" s="103"/>
      <c r="E189" s="103"/>
      <c r="F189" s="78"/>
      <c r="G189" s="103"/>
      <c r="H189" s="102"/>
      <c r="I189" s="105" t="str">
        <f>IFERROR(VLOOKUP(KalkylStart[[#This Row],[Klimatmaterial]],Materialtabell[[#All],[Materialnamn]:[Materialtyp]],2,0),"")</f>
        <v/>
      </c>
      <c r="J189" s="104" t="str">
        <f>IFERROR(IF(G189="kg",1,IF(G189="ton",1000,IF(G189=RIGHT(VLOOKUP(H189,Materialtabell[[#All],[Materialnamn]:[Enhet]],4,0),LEN(VLOOKUP(H189,Materialtabell[[#All],[Materialnamn]:[Enhet]],4,0))-3),VLOOKUP(H189,Materialtabell[[#All],[Materialnamn]:[Enhet]],3,0),"Enhetsfel"))),"")</f>
        <v/>
      </c>
      <c r="K189" s="105" t="str">
        <f>IFERROR(IF(G189="kg","kg/kg",IF(G189="ton","kg/ton",IF(RIGHT(VLOOKUP(H189,Materialtabell[[#All],[Materialnamn]:[Enhet]],4,0),LEN(VLOOKUP(H189,Materialtabell[[#All],[Materialnamn]:[Enhet]],4,0))-3)=G189,VLOOKUP(H189,Materialtabell[[#All],[Materialnamn]:[Enhet]],4,0),"kg/ton/"&amp;RIGHT(VLOOKUP(H189,Materialtabell[[#All],[Materialnamn]:[Enhet]],4,0),LEN(VLOOKUP(H189,Materialtabell[[#All],[Materialnamn]:[Enhet]],4,0))-3)))),"")</f>
        <v/>
      </c>
      <c r="L189" s="104" t="str">
        <f>IFERROR(KalkylStart[[#This Row],[Mängd]]*KalkylStart[[#This Row],[Omräknings-faktor]],"")</f>
        <v/>
      </c>
      <c r="M189" s="104" t="str">
        <f>IFERROR(F189*J189*VLOOKUP(H189,Materialtabell[[#All],[Materialnamn]:[Emissionsfaktor 2019
kg CO2e/kg]],5,0),"")</f>
        <v/>
      </c>
      <c r="N189" s="104" t="str">
        <f>IFERROR(F189*J189*VLOOKUP(H189,Materialtabell[[#All],[Materialnamn]:[Emissionsfaktor 2025
kg CO2e/kg]],6,0),"")</f>
        <v/>
      </c>
      <c r="O189" s="78" t="str">
        <f>IFERROR(VLOOKUP(H189,Materialtabell[[#All],[Materialnamn]:[Kommentar A4]],24,0),"")</f>
        <v/>
      </c>
      <c r="P189" s="94" t="str">
        <f>IFERROR(($F189*$J189*$O189*VLOOKUP($H189,Materialtabell[[#All],[Materialnamn]:[Bränsle 
MJ/ton, km]],25,0)*Materiallista!$AF$5)/1000,"")</f>
        <v/>
      </c>
      <c r="Q189" s="94" t="str">
        <f>IFERROR(($F189*$J189*$O189*VLOOKUP($H189,Materialtabell[[#All],[Materialnamn]:[Bränsle 
MJ/ton, km]],25,0)*Materiallista!$AF$6)/1000,"")</f>
        <v/>
      </c>
      <c r="R189" s="162"/>
      <c r="S189" s="3"/>
      <c r="T189" s="3"/>
    </row>
    <row r="190" spans="1:20" x14ac:dyDescent="0.25">
      <c r="A190" s="3"/>
      <c r="B190" s="185">
        <v>185</v>
      </c>
      <c r="C190" s="170"/>
      <c r="D190" s="103"/>
      <c r="E190" s="103"/>
      <c r="F190" s="78"/>
      <c r="G190" s="103"/>
      <c r="H190" s="102"/>
      <c r="I190" s="105" t="str">
        <f>IFERROR(VLOOKUP(KalkylStart[[#This Row],[Klimatmaterial]],Materialtabell[[#All],[Materialnamn]:[Materialtyp]],2,0),"")</f>
        <v/>
      </c>
      <c r="J190" s="104" t="str">
        <f>IFERROR(IF(G190="kg",1,IF(G190="ton",1000,IF(G190=RIGHT(VLOOKUP(H190,Materialtabell[[#All],[Materialnamn]:[Enhet]],4,0),LEN(VLOOKUP(H190,Materialtabell[[#All],[Materialnamn]:[Enhet]],4,0))-3),VLOOKUP(H190,Materialtabell[[#All],[Materialnamn]:[Enhet]],3,0),"Enhetsfel"))),"")</f>
        <v/>
      </c>
      <c r="K190" s="105" t="str">
        <f>IFERROR(IF(G190="kg","kg/kg",IF(G190="ton","kg/ton",IF(RIGHT(VLOOKUP(H190,Materialtabell[[#All],[Materialnamn]:[Enhet]],4,0),LEN(VLOOKUP(H190,Materialtabell[[#All],[Materialnamn]:[Enhet]],4,0))-3)=G190,VLOOKUP(H190,Materialtabell[[#All],[Materialnamn]:[Enhet]],4,0),"kg/ton/"&amp;RIGHT(VLOOKUP(H190,Materialtabell[[#All],[Materialnamn]:[Enhet]],4,0),LEN(VLOOKUP(H190,Materialtabell[[#All],[Materialnamn]:[Enhet]],4,0))-3)))),"")</f>
        <v/>
      </c>
      <c r="L190" s="104" t="str">
        <f>IFERROR(KalkylStart[[#This Row],[Mängd]]*KalkylStart[[#This Row],[Omräknings-faktor]],"")</f>
        <v/>
      </c>
      <c r="M190" s="104" t="str">
        <f>IFERROR(F190*J190*VLOOKUP(H190,Materialtabell[[#All],[Materialnamn]:[Emissionsfaktor 2019
kg CO2e/kg]],5,0),"")</f>
        <v/>
      </c>
      <c r="N190" s="104" t="str">
        <f>IFERROR(F190*J190*VLOOKUP(H190,Materialtabell[[#All],[Materialnamn]:[Emissionsfaktor 2025
kg CO2e/kg]],6,0),"")</f>
        <v/>
      </c>
      <c r="O190" s="78" t="str">
        <f>IFERROR(VLOOKUP(H190,Materialtabell[[#All],[Materialnamn]:[Kommentar A4]],24,0),"")</f>
        <v/>
      </c>
      <c r="P190" s="94" t="str">
        <f>IFERROR(($F190*$J190*$O190*VLOOKUP($H190,Materialtabell[[#All],[Materialnamn]:[Bränsle 
MJ/ton, km]],25,0)*Materiallista!$AF$5)/1000,"")</f>
        <v/>
      </c>
      <c r="Q190" s="94" t="str">
        <f>IFERROR(($F190*$J190*$O190*VLOOKUP($H190,Materialtabell[[#All],[Materialnamn]:[Bränsle 
MJ/ton, km]],25,0)*Materiallista!$AF$6)/1000,"")</f>
        <v/>
      </c>
      <c r="R190" s="162"/>
      <c r="S190" s="3"/>
      <c r="T190" s="3"/>
    </row>
    <row r="191" spans="1:20" x14ac:dyDescent="0.25">
      <c r="A191" s="3"/>
      <c r="B191" s="185">
        <v>186</v>
      </c>
      <c r="C191" s="170"/>
      <c r="D191" s="103"/>
      <c r="E191" s="103"/>
      <c r="F191" s="78"/>
      <c r="G191" s="103"/>
      <c r="H191" s="102"/>
      <c r="I191" s="105" t="str">
        <f>IFERROR(VLOOKUP(KalkylStart[[#This Row],[Klimatmaterial]],Materialtabell[[#All],[Materialnamn]:[Materialtyp]],2,0),"")</f>
        <v/>
      </c>
      <c r="J191" s="104" t="str">
        <f>IFERROR(IF(G191="kg",1,IF(G191="ton",1000,IF(G191=RIGHT(VLOOKUP(H191,Materialtabell[[#All],[Materialnamn]:[Enhet]],4,0),LEN(VLOOKUP(H191,Materialtabell[[#All],[Materialnamn]:[Enhet]],4,0))-3),VLOOKUP(H191,Materialtabell[[#All],[Materialnamn]:[Enhet]],3,0),"Enhetsfel"))),"")</f>
        <v/>
      </c>
      <c r="K191" s="105" t="str">
        <f>IFERROR(IF(G191="kg","kg/kg",IF(G191="ton","kg/ton",IF(RIGHT(VLOOKUP(H191,Materialtabell[[#All],[Materialnamn]:[Enhet]],4,0),LEN(VLOOKUP(H191,Materialtabell[[#All],[Materialnamn]:[Enhet]],4,0))-3)=G191,VLOOKUP(H191,Materialtabell[[#All],[Materialnamn]:[Enhet]],4,0),"kg/ton/"&amp;RIGHT(VLOOKUP(H191,Materialtabell[[#All],[Materialnamn]:[Enhet]],4,0),LEN(VLOOKUP(H191,Materialtabell[[#All],[Materialnamn]:[Enhet]],4,0))-3)))),"")</f>
        <v/>
      </c>
      <c r="L191" s="104" t="str">
        <f>IFERROR(KalkylStart[[#This Row],[Mängd]]*KalkylStart[[#This Row],[Omräknings-faktor]],"")</f>
        <v/>
      </c>
      <c r="M191" s="104" t="str">
        <f>IFERROR(F191*J191*VLOOKUP(H191,Materialtabell[[#All],[Materialnamn]:[Emissionsfaktor 2019
kg CO2e/kg]],5,0),"")</f>
        <v/>
      </c>
      <c r="N191" s="104" t="str">
        <f>IFERROR(F191*J191*VLOOKUP(H191,Materialtabell[[#All],[Materialnamn]:[Emissionsfaktor 2025
kg CO2e/kg]],6,0),"")</f>
        <v/>
      </c>
      <c r="O191" s="78" t="str">
        <f>IFERROR(VLOOKUP(H191,Materialtabell[[#All],[Materialnamn]:[Kommentar A4]],24,0),"")</f>
        <v/>
      </c>
      <c r="P191" s="94" t="str">
        <f>IFERROR(($F191*$J191*$O191*VLOOKUP($H191,Materialtabell[[#All],[Materialnamn]:[Bränsle 
MJ/ton, km]],25,0)*Materiallista!$AF$5)/1000,"")</f>
        <v/>
      </c>
      <c r="Q191" s="94" t="str">
        <f>IFERROR(($F191*$J191*$O191*VLOOKUP($H191,Materialtabell[[#All],[Materialnamn]:[Bränsle 
MJ/ton, km]],25,0)*Materiallista!$AF$6)/1000,"")</f>
        <v/>
      </c>
      <c r="R191" s="162"/>
      <c r="S191" s="3"/>
      <c r="T191" s="3"/>
    </row>
    <row r="192" spans="1:20" x14ac:dyDescent="0.25">
      <c r="A192" s="3"/>
      <c r="B192" s="185">
        <v>187</v>
      </c>
      <c r="C192" s="170"/>
      <c r="D192" s="103"/>
      <c r="E192" s="103"/>
      <c r="F192" s="78"/>
      <c r="G192" s="103"/>
      <c r="H192" s="102"/>
      <c r="I192" s="105" t="str">
        <f>IFERROR(VLOOKUP(KalkylStart[[#This Row],[Klimatmaterial]],Materialtabell[[#All],[Materialnamn]:[Materialtyp]],2,0),"")</f>
        <v/>
      </c>
      <c r="J192" s="104" t="str">
        <f>IFERROR(IF(G192="kg",1,IF(G192="ton",1000,IF(G192=RIGHT(VLOOKUP(H192,Materialtabell[[#All],[Materialnamn]:[Enhet]],4,0),LEN(VLOOKUP(H192,Materialtabell[[#All],[Materialnamn]:[Enhet]],4,0))-3),VLOOKUP(H192,Materialtabell[[#All],[Materialnamn]:[Enhet]],3,0),"Enhetsfel"))),"")</f>
        <v/>
      </c>
      <c r="K192" s="105" t="str">
        <f>IFERROR(IF(G192="kg","kg/kg",IF(G192="ton","kg/ton",IF(RIGHT(VLOOKUP(H192,Materialtabell[[#All],[Materialnamn]:[Enhet]],4,0),LEN(VLOOKUP(H192,Materialtabell[[#All],[Materialnamn]:[Enhet]],4,0))-3)=G192,VLOOKUP(H192,Materialtabell[[#All],[Materialnamn]:[Enhet]],4,0),"kg/ton/"&amp;RIGHT(VLOOKUP(H192,Materialtabell[[#All],[Materialnamn]:[Enhet]],4,0),LEN(VLOOKUP(H192,Materialtabell[[#All],[Materialnamn]:[Enhet]],4,0))-3)))),"")</f>
        <v/>
      </c>
      <c r="L192" s="104" t="str">
        <f>IFERROR(KalkylStart[[#This Row],[Mängd]]*KalkylStart[[#This Row],[Omräknings-faktor]],"")</f>
        <v/>
      </c>
      <c r="M192" s="104" t="str">
        <f>IFERROR(F192*J192*VLOOKUP(H192,Materialtabell[[#All],[Materialnamn]:[Emissionsfaktor 2019
kg CO2e/kg]],5,0),"")</f>
        <v/>
      </c>
      <c r="N192" s="104" t="str">
        <f>IFERROR(F192*J192*VLOOKUP(H192,Materialtabell[[#All],[Materialnamn]:[Emissionsfaktor 2025
kg CO2e/kg]],6,0),"")</f>
        <v/>
      </c>
      <c r="O192" s="78" t="str">
        <f>IFERROR(VLOOKUP(H192,Materialtabell[[#All],[Materialnamn]:[Kommentar A4]],24,0),"")</f>
        <v/>
      </c>
      <c r="P192" s="94" t="str">
        <f>IFERROR(($F192*$J192*$O192*VLOOKUP($H192,Materialtabell[[#All],[Materialnamn]:[Bränsle 
MJ/ton, km]],25,0)*Materiallista!$AF$5)/1000,"")</f>
        <v/>
      </c>
      <c r="Q192" s="94" t="str">
        <f>IFERROR(($F192*$J192*$O192*VLOOKUP($H192,Materialtabell[[#All],[Materialnamn]:[Bränsle 
MJ/ton, km]],25,0)*Materiallista!$AF$6)/1000,"")</f>
        <v/>
      </c>
      <c r="R192" s="162"/>
      <c r="S192" s="3"/>
      <c r="T192" s="3"/>
    </row>
    <row r="193" spans="1:20" x14ac:dyDescent="0.25">
      <c r="A193" s="3"/>
      <c r="B193" s="185">
        <v>188</v>
      </c>
      <c r="C193" s="170"/>
      <c r="D193" s="103"/>
      <c r="E193" s="103"/>
      <c r="F193" s="78"/>
      <c r="G193" s="103"/>
      <c r="H193" s="102"/>
      <c r="I193" s="105" t="str">
        <f>IFERROR(VLOOKUP(KalkylStart[[#This Row],[Klimatmaterial]],Materialtabell[[#All],[Materialnamn]:[Materialtyp]],2,0),"")</f>
        <v/>
      </c>
      <c r="J193" s="104" t="str">
        <f>IFERROR(IF(G193="kg",1,IF(G193="ton",1000,IF(G193=RIGHT(VLOOKUP(H193,Materialtabell[[#All],[Materialnamn]:[Enhet]],4,0),LEN(VLOOKUP(H193,Materialtabell[[#All],[Materialnamn]:[Enhet]],4,0))-3),VLOOKUP(H193,Materialtabell[[#All],[Materialnamn]:[Enhet]],3,0),"Enhetsfel"))),"")</f>
        <v/>
      </c>
      <c r="K193" s="105" t="str">
        <f>IFERROR(IF(G193="kg","kg/kg",IF(G193="ton","kg/ton",IF(RIGHT(VLOOKUP(H193,Materialtabell[[#All],[Materialnamn]:[Enhet]],4,0),LEN(VLOOKUP(H193,Materialtabell[[#All],[Materialnamn]:[Enhet]],4,0))-3)=G193,VLOOKUP(H193,Materialtabell[[#All],[Materialnamn]:[Enhet]],4,0),"kg/ton/"&amp;RIGHT(VLOOKUP(H193,Materialtabell[[#All],[Materialnamn]:[Enhet]],4,0),LEN(VLOOKUP(H193,Materialtabell[[#All],[Materialnamn]:[Enhet]],4,0))-3)))),"")</f>
        <v/>
      </c>
      <c r="L193" s="104" t="str">
        <f>IFERROR(KalkylStart[[#This Row],[Mängd]]*KalkylStart[[#This Row],[Omräknings-faktor]],"")</f>
        <v/>
      </c>
      <c r="M193" s="104" t="str">
        <f>IFERROR(F193*J193*VLOOKUP(H193,Materialtabell[[#All],[Materialnamn]:[Emissionsfaktor 2019
kg CO2e/kg]],5,0),"")</f>
        <v/>
      </c>
      <c r="N193" s="104" t="str">
        <f>IFERROR(F193*J193*VLOOKUP(H193,Materialtabell[[#All],[Materialnamn]:[Emissionsfaktor 2025
kg CO2e/kg]],6,0),"")</f>
        <v/>
      </c>
      <c r="O193" s="78" t="str">
        <f>IFERROR(VLOOKUP(H193,Materialtabell[[#All],[Materialnamn]:[Kommentar A4]],24,0),"")</f>
        <v/>
      </c>
      <c r="P193" s="94" t="str">
        <f>IFERROR(($F193*$J193*$O193*VLOOKUP($H193,Materialtabell[[#All],[Materialnamn]:[Bränsle 
MJ/ton, km]],25,0)*Materiallista!$AF$5)/1000,"")</f>
        <v/>
      </c>
      <c r="Q193" s="94" t="str">
        <f>IFERROR(($F193*$J193*$O193*VLOOKUP($H193,Materialtabell[[#All],[Materialnamn]:[Bränsle 
MJ/ton, km]],25,0)*Materiallista!$AF$6)/1000,"")</f>
        <v/>
      </c>
      <c r="R193" s="162"/>
      <c r="S193" s="3"/>
      <c r="T193" s="3"/>
    </row>
    <row r="194" spans="1:20" x14ac:dyDescent="0.25">
      <c r="A194" s="3"/>
      <c r="B194" s="185">
        <v>189</v>
      </c>
      <c r="C194" s="170"/>
      <c r="D194" s="103"/>
      <c r="E194" s="103"/>
      <c r="F194" s="78"/>
      <c r="G194" s="103"/>
      <c r="H194" s="102"/>
      <c r="I194" s="105" t="str">
        <f>IFERROR(VLOOKUP(KalkylStart[[#This Row],[Klimatmaterial]],Materialtabell[[#All],[Materialnamn]:[Materialtyp]],2,0),"")</f>
        <v/>
      </c>
      <c r="J194" s="104" t="str">
        <f>IFERROR(IF(G194="kg",1,IF(G194="ton",1000,IF(G194=RIGHT(VLOOKUP(H194,Materialtabell[[#All],[Materialnamn]:[Enhet]],4,0),LEN(VLOOKUP(H194,Materialtabell[[#All],[Materialnamn]:[Enhet]],4,0))-3),VLOOKUP(H194,Materialtabell[[#All],[Materialnamn]:[Enhet]],3,0),"Enhetsfel"))),"")</f>
        <v/>
      </c>
      <c r="K194" s="105" t="str">
        <f>IFERROR(IF(G194="kg","kg/kg",IF(G194="ton","kg/ton",IF(RIGHT(VLOOKUP(H194,Materialtabell[[#All],[Materialnamn]:[Enhet]],4,0),LEN(VLOOKUP(H194,Materialtabell[[#All],[Materialnamn]:[Enhet]],4,0))-3)=G194,VLOOKUP(H194,Materialtabell[[#All],[Materialnamn]:[Enhet]],4,0),"kg/ton/"&amp;RIGHT(VLOOKUP(H194,Materialtabell[[#All],[Materialnamn]:[Enhet]],4,0),LEN(VLOOKUP(H194,Materialtabell[[#All],[Materialnamn]:[Enhet]],4,0))-3)))),"")</f>
        <v/>
      </c>
      <c r="L194" s="104" t="str">
        <f>IFERROR(KalkylStart[[#This Row],[Mängd]]*KalkylStart[[#This Row],[Omräknings-faktor]],"")</f>
        <v/>
      </c>
      <c r="M194" s="104" t="str">
        <f>IFERROR(F194*J194*VLOOKUP(H194,Materialtabell[[#All],[Materialnamn]:[Emissionsfaktor 2019
kg CO2e/kg]],5,0),"")</f>
        <v/>
      </c>
      <c r="N194" s="104" t="str">
        <f>IFERROR(F194*J194*VLOOKUP(H194,Materialtabell[[#All],[Materialnamn]:[Emissionsfaktor 2025
kg CO2e/kg]],6,0),"")</f>
        <v/>
      </c>
      <c r="O194" s="78" t="str">
        <f>IFERROR(VLOOKUP(H194,Materialtabell[[#All],[Materialnamn]:[Kommentar A4]],24,0),"")</f>
        <v/>
      </c>
      <c r="P194" s="94" t="str">
        <f>IFERROR(($F194*$J194*$O194*VLOOKUP($H194,Materialtabell[[#All],[Materialnamn]:[Bränsle 
MJ/ton, km]],25,0)*Materiallista!$AF$5)/1000,"")</f>
        <v/>
      </c>
      <c r="Q194" s="94" t="str">
        <f>IFERROR(($F194*$J194*$O194*VLOOKUP($H194,Materialtabell[[#All],[Materialnamn]:[Bränsle 
MJ/ton, km]],25,0)*Materiallista!$AF$6)/1000,"")</f>
        <v/>
      </c>
      <c r="R194" s="162"/>
      <c r="S194" s="3"/>
      <c r="T194" s="3"/>
    </row>
    <row r="195" spans="1:20" x14ac:dyDescent="0.25">
      <c r="A195" s="3"/>
      <c r="B195" s="185">
        <v>190</v>
      </c>
      <c r="C195" s="170"/>
      <c r="D195" s="103"/>
      <c r="E195" s="103"/>
      <c r="F195" s="78"/>
      <c r="G195" s="103"/>
      <c r="H195" s="102"/>
      <c r="I195" s="105" t="str">
        <f>IFERROR(VLOOKUP(KalkylStart[[#This Row],[Klimatmaterial]],Materialtabell[[#All],[Materialnamn]:[Materialtyp]],2,0),"")</f>
        <v/>
      </c>
      <c r="J195" s="104" t="str">
        <f>IFERROR(IF(G195="kg",1,IF(G195="ton",1000,IF(G195=RIGHT(VLOOKUP(H195,Materialtabell[[#All],[Materialnamn]:[Enhet]],4,0),LEN(VLOOKUP(H195,Materialtabell[[#All],[Materialnamn]:[Enhet]],4,0))-3),VLOOKUP(H195,Materialtabell[[#All],[Materialnamn]:[Enhet]],3,0),"Enhetsfel"))),"")</f>
        <v/>
      </c>
      <c r="K195" s="105" t="str">
        <f>IFERROR(IF(G195="kg","kg/kg",IF(G195="ton","kg/ton",IF(RIGHT(VLOOKUP(H195,Materialtabell[[#All],[Materialnamn]:[Enhet]],4,0),LEN(VLOOKUP(H195,Materialtabell[[#All],[Materialnamn]:[Enhet]],4,0))-3)=G195,VLOOKUP(H195,Materialtabell[[#All],[Materialnamn]:[Enhet]],4,0),"kg/ton/"&amp;RIGHT(VLOOKUP(H195,Materialtabell[[#All],[Materialnamn]:[Enhet]],4,0),LEN(VLOOKUP(H195,Materialtabell[[#All],[Materialnamn]:[Enhet]],4,0))-3)))),"")</f>
        <v/>
      </c>
      <c r="L195" s="104" t="str">
        <f>IFERROR(KalkylStart[[#This Row],[Mängd]]*KalkylStart[[#This Row],[Omräknings-faktor]],"")</f>
        <v/>
      </c>
      <c r="M195" s="104" t="str">
        <f>IFERROR(F195*J195*VLOOKUP(H195,Materialtabell[[#All],[Materialnamn]:[Emissionsfaktor 2019
kg CO2e/kg]],5,0),"")</f>
        <v/>
      </c>
      <c r="N195" s="104" t="str">
        <f>IFERROR(F195*J195*VLOOKUP(H195,Materialtabell[[#All],[Materialnamn]:[Emissionsfaktor 2025
kg CO2e/kg]],6,0),"")</f>
        <v/>
      </c>
      <c r="O195" s="78" t="str">
        <f>IFERROR(VLOOKUP(H195,Materialtabell[[#All],[Materialnamn]:[Kommentar A4]],24,0),"")</f>
        <v/>
      </c>
      <c r="P195" s="94" t="str">
        <f>IFERROR(($F195*$J195*$O195*VLOOKUP($H195,Materialtabell[[#All],[Materialnamn]:[Bränsle 
MJ/ton, km]],25,0)*Materiallista!$AF$5)/1000,"")</f>
        <v/>
      </c>
      <c r="Q195" s="94" t="str">
        <f>IFERROR(($F195*$J195*$O195*VLOOKUP($H195,Materialtabell[[#All],[Materialnamn]:[Bränsle 
MJ/ton, km]],25,0)*Materiallista!$AF$6)/1000,"")</f>
        <v/>
      </c>
      <c r="R195" s="162"/>
      <c r="S195" s="3"/>
      <c r="T195" s="3"/>
    </row>
    <row r="196" spans="1:20" x14ac:dyDescent="0.25">
      <c r="A196" s="3"/>
      <c r="B196" s="185">
        <v>191</v>
      </c>
      <c r="C196" s="170"/>
      <c r="D196" s="103"/>
      <c r="E196" s="103"/>
      <c r="F196" s="78"/>
      <c r="G196" s="103"/>
      <c r="H196" s="102"/>
      <c r="I196" s="105" t="str">
        <f>IFERROR(VLOOKUP(KalkylStart[[#This Row],[Klimatmaterial]],Materialtabell[[#All],[Materialnamn]:[Materialtyp]],2,0),"")</f>
        <v/>
      </c>
      <c r="J196" s="104" t="str">
        <f>IFERROR(IF(G196="kg",1,IF(G196="ton",1000,IF(G196=RIGHT(VLOOKUP(H196,Materialtabell[[#All],[Materialnamn]:[Enhet]],4,0),LEN(VLOOKUP(H196,Materialtabell[[#All],[Materialnamn]:[Enhet]],4,0))-3),VLOOKUP(H196,Materialtabell[[#All],[Materialnamn]:[Enhet]],3,0),"Enhetsfel"))),"")</f>
        <v/>
      </c>
      <c r="K196" s="105" t="str">
        <f>IFERROR(IF(G196="kg","kg/kg",IF(G196="ton","kg/ton",IF(RIGHT(VLOOKUP(H196,Materialtabell[[#All],[Materialnamn]:[Enhet]],4,0),LEN(VLOOKUP(H196,Materialtabell[[#All],[Materialnamn]:[Enhet]],4,0))-3)=G196,VLOOKUP(H196,Materialtabell[[#All],[Materialnamn]:[Enhet]],4,0),"kg/ton/"&amp;RIGHT(VLOOKUP(H196,Materialtabell[[#All],[Materialnamn]:[Enhet]],4,0),LEN(VLOOKUP(H196,Materialtabell[[#All],[Materialnamn]:[Enhet]],4,0))-3)))),"")</f>
        <v/>
      </c>
      <c r="L196" s="104" t="str">
        <f>IFERROR(KalkylStart[[#This Row],[Mängd]]*KalkylStart[[#This Row],[Omräknings-faktor]],"")</f>
        <v/>
      </c>
      <c r="M196" s="104" t="str">
        <f>IFERROR(F196*J196*VLOOKUP(H196,Materialtabell[[#All],[Materialnamn]:[Emissionsfaktor 2019
kg CO2e/kg]],5,0),"")</f>
        <v/>
      </c>
      <c r="N196" s="104" t="str">
        <f>IFERROR(F196*J196*VLOOKUP(H196,Materialtabell[[#All],[Materialnamn]:[Emissionsfaktor 2025
kg CO2e/kg]],6,0),"")</f>
        <v/>
      </c>
      <c r="O196" s="78" t="str">
        <f>IFERROR(VLOOKUP(H196,Materialtabell[[#All],[Materialnamn]:[Kommentar A4]],24,0),"")</f>
        <v/>
      </c>
      <c r="P196" s="94" t="str">
        <f>IFERROR(($F196*$J196*$O196*VLOOKUP($H196,Materialtabell[[#All],[Materialnamn]:[Bränsle 
MJ/ton, km]],25,0)*Materiallista!$AF$5)/1000,"")</f>
        <v/>
      </c>
      <c r="Q196" s="94" t="str">
        <f>IFERROR(($F196*$J196*$O196*VLOOKUP($H196,Materialtabell[[#All],[Materialnamn]:[Bränsle 
MJ/ton, km]],25,0)*Materiallista!$AF$6)/1000,"")</f>
        <v/>
      </c>
      <c r="R196" s="162"/>
      <c r="S196" s="3"/>
      <c r="T196" s="3"/>
    </row>
    <row r="197" spans="1:20" x14ac:dyDescent="0.25">
      <c r="A197" s="3"/>
      <c r="B197" s="185">
        <v>192</v>
      </c>
      <c r="C197" s="170"/>
      <c r="D197" s="103"/>
      <c r="E197" s="103"/>
      <c r="F197" s="78"/>
      <c r="G197" s="103"/>
      <c r="H197" s="102"/>
      <c r="I197" s="105" t="str">
        <f>IFERROR(VLOOKUP(KalkylStart[[#This Row],[Klimatmaterial]],Materialtabell[[#All],[Materialnamn]:[Materialtyp]],2,0),"")</f>
        <v/>
      </c>
      <c r="J197" s="104" t="str">
        <f>IFERROR(IF(G197="kg",1,IF(G197="ton",1000,IF(G197=RIGHT(VLOOKUP(H197,Materialtabell[[#All],[Materialnamn]:[Enhet]],4,0),LEN(VLOOKUP(H197,Materialtabell[[#All],[Materialnamn]:[Enhet]],4,0))-3),VLOOKUP(H197,Materialtabell[[#All],[Materialnamn]:[Enhet]],3,0),"Enhetsfel"))),"")</f>
        <v/>
      </c>
      <c r="K197" s="105" t="str">
        <f>IFERROR(IF(G197="kg","kg/kg",IF(G197="ton","kg/ton",IF(RIGHT(VLOOKUP(H197,Materialtabell[[#All],[Materialnamn]:[Enhet]],4,0),LEN(VLOOKUP(H197,Materialtabell[[#All],[Materialnamn]:[Enhet]],4,0))-3)=G197,VLOOKUP(H197,Materialtabell[[#All],[Materialnamn]:[Enhet]],4,0),"kg/ton/"&amp;RIGHT(VLOOKUP(H197,Materialtabell[[#All],[Materialnamn]:[Enhet]],4,0),LEN(VLOOKUP(H197,Materialtabell[[#All],[Materialnamn]:[Enhet]],4,0))-3)))),"")</f>
        <v/>
      </c>
      <c r="L197" s="104" t="str">
        <f>IFERROR(KalkylStart[[#This Row],[Mängd]]*KalkylStart[[#This Row],[Omräknings-faktor]],"")</f>
        <v/>
      </c>
      <c r="M197" s="104" t="str">
        <f>IFERROR(F197*J197*VLOOKUP(H197,Materialtabell[[#All],[Materialnamn]:[Emissionsfaktor 2019
kg CO2e/kg]],5,0),"")</f>
        <v/>
      </c>
      <c r="N197" s="104" t="str">
        <f>IFERROR(F197*J197*VLOOKUP(H197,Materialtabell[[#All],[Materialnamn]:[Emissionsfaktor 2025
kg CO2e/kg]],6,0),"")</f>
        <v/>
      </c>
      <c r="O197" s="78" t="str">
        <f>IFERROR(VLOOKUP(H197,Materialtabell[[#All],[Materialnamn]:[Kommentar A4]],24,0),"")</f>
        <v/>
      </c>
      <c r="P197" s="94" t="str">
        <f>IFERROR(($F197*$J197*$O197*VLOOKUP($H197,Materialtabell[[#All],[Materialnamn]:[Bränsle 
MJ/ton, km]],25,0)*Materiallista!$AF$5)/1000,"")</f>
        <v/>
      </c>
      <c r="Q197" s="94" t="str">
        <f>IFERROR(($F197*$J197*$O197*VLOOKUP($H197,Materialtabell[[#All],[Materialnamn]:[Bränsle 
MJ/ton, km]],25,0)*Materiallista!$AF$6)/1000,"")</f>
        <v/>
      </c>
      <c r="R197" s="162"/>
      <c r="S197" s="3"/>
      <c r="T197" s="3"/>
    </row>
    <row r="198" spans="1:20" x14ac:dyDescent="0.25">
      <c r="A198" s="3"/>
      <c r="B198" s="185">
        <v>193</v>
      </c>
      <c r="C198" s="170"/>
      <c r="D198" s="103"/>
      <c r="E198" s="103"/>
      <c r="F198" s="78"/>
      <c r="G198" s="103"/>
      <c r="H198" s="102"/>
      <c r="I198" s="105" t="str">
        <f>IFERROR(VLOOKUP(KalkylStart[[#This Row],[Klimatmaterial]],Materialtabell[[#All],[Materialnamn]:[Materialtyp]],2,0),"")</f>
        <v/>
      </c>
      <c r="J198" s="104" t="str">
        <f>IFERROR(IF(G198="kg",1,IF(G198="ton",1000,IF(G198=RIGHT(VLOOKUP(H198,Materialtabell[[#All],[Materialnamn]:[Enhet]],4,0),LEN(VLOOKUP(H198,Materialtabell[[#All],[Materialnamn]:[Enhet]],4,0))-3),VLOOKUP(H198,Materialtabell[[#All],[Materialnamn]:[Enhet]],3,0),"Enhetsfel"))),"")</f>
        <v/>
      </c>
      <c r="K198" s="105" t="str">
        <f>IFERROR(IF(G198="kg","kg/kg",IF(G198="ton","kg/ton",IF(RIGHT(VLOOKUP(H198,Materialtabell[[#All],[Materialnamn]:[Enhet]],4,0),LEN(VLOOKUP(H198,Materialtabell[[#All],[Materialnamn]:[Enhet]],4,0))-3)=G198,VLOOKUP(H198,Materialtabell[[#All],[Materialnamn]:[Enhet]],4,0),"kg/ton/"&amp;RIGHT(VLOOKUP(H198,Materialtabell[[#All],[Materialnamn]:[Enhet]],4,0),LEN(VLOOKUP(H198,Materialtabell[[#All],[Materialnamn]:[Enhet]],4,0))-3)))),"")</f>
        <v/>
      </c>
      <c r="L198" s="104" t="str">
        <f>IFERROR(KalkylStart[[#This Row],[Mängd]]*KalkylStart[[#This Row],[Omräknings-faktor]],"")</f>
        <v/>
      </c>
      <c r="M198" s="104" t="str">
        <f>IFERROR(F198*J198*VLOOKUP(H198,Materialtabell[[#All],[Materialnamn]:[Emissionsfaktor 2019
kg CO2e/kg]],5,0),"")</f>
        <v/>
      </c>
      <c r="N198" s="104" t="str">
        <f>IFERROR(F198*J198*VLOOKUP(H198,Materialtabell[[#All],[Materialnamn]:[Emissionsfaktor 2025
kg CO2e/kg]],6,0),"")</f>
        <v/>
      </c>
      <c r="O198" s="78" t="str">
        <f>IFERROR(VLOOKUP(H198,Materialtabell[[#All],[Materialnamn]:[Kommentar A4]],24,0),"")</f>
        <v/>
      </c>
      <c r="P198" s="94" t="str">
        <f>IFERROR(($F198*$J198*$O198*VLOOKUP($H198,Materialtabell[[#All],[Materialnamn]:[Bränsle 
MJ/ton, km]],25,0)*Materiallista!$AF$5)/1000,"")</f>
        <v/>
      </c>
      <c r="Q198" s="94" t="str">
        <f>IFERROR(($F198*$J198*$O198*VLOOKUP($H198,Materialtabell[[#All],[Materialnamn]:[Bränsle 
MJ/ton, km]],25,0)*Materiallista!$AF$6)/1000,"")</f>
        <v/>
      </c>
      <c r="R198" s="162"/>
      <c r="S198" s="3"/>
      <c r="T198" s="3"/>
    </row>
    <row r="199" spans="1:20" x14ac:dyDescent="0.25">
      <c r="A199" s="3"/>
      <c r="B199" s="185">
        <v>194</v>
      </c>
      <c r="C199" s="170"/>
      <c r="D199" s="103"/>
      <c r="E199" s="103"/>
      <c r="F199" s="78"/>
      <c r="G199" s="103"/>
      <c r="H199" s="102"/>
      <c r="I199" s="105" t="str">
        <f>IFERROR(VLOOKUP(KalkylStart[[#This Row],[Klimatmaterial]],Materialtabell[[#All],[Materialnamn]:[Materialtyp]],2,0),"")</f>
        <v/>
      </c>
      <c r="J199" s="104" t="str">
        <f>IFERROR(IF(G199="kg",1,IF(G199="ton",1000,IF(G199=RIGHT(VLOOKUP(H199,Materialtabell[[#All],[Materialnamn]:[Enhet]],4,0),LEN(VLOOKUP(H199,Materialtabell[[#All],[Materialnamn]:[Enhet]],4,0))-3),VLOOKUP(H199,Materialtabell[[#All],[Materialnamn]:[Enhet]],3,0),"Enhetsfel"))),"")</f>
        <v/>
      </c>
      <c r="K199" s="105" t="str">
        <f>IFERROR(IF(G199="kg","kg/kg",IF(G199="ton","kg/ton",IF(RIGHT(VLOOKUP(H199,Materialtabell[[#All],[Materialnamn]:[Enhet]],4,0),LEN(VLOOKUP(H199,Materialtabell[[#All],[Materialnamn]:[Enhet]],4,0))-3)=G199,VLOOKUP(H199,Materialtabell[[#All],[Materialnamn]:[Enhet]],4,0),"kg/ton/"&amp;RIGHT(VLOOKUP(H199,Materialtabell[[#All],[Materialnamn]:[Enhet]],4,0),LEN(VLOOKUP(H199,Materialtabell[[#All],[Materialnamn]:[Enhet]],4,0))-3)))),"")</f>
        <v/>
      </c>
      <c r="L199" s="104" t="str">
        <f>IFERROR(KalkylStart[[#This Row],[Mängd]]*KalkylStart[[#This Row],[Omräknings-faktor]],"")</f>
        <v/>
      </c>
      <c r="M199" s="104" t="str">
        <f>IFERROR(F199*J199*VLOOKUP(H199,Materialtabell[[#All],[Materialnamn]:[Emissionsfaktor 2019
kg CO2e/kg]],5,0),"")</f>
        <v/>
      </c>
      <c r="N199" s="104" t="str">
        <f>IFERROR(F199*J199*VLOOKUP(H199,Materialtabell[[#All],[Materialnamn]:[Emissionsfaktor 2025
kg CO2e/kg]],6,0),"")</f>
        <v/>
      </c>
      <c r="O199" s="78" t="str">
        <f>IFERROR(VLOOKUP(H199,Materialtabell[[#All],[Materialnamn]:[Kommentar A4]],24,0),"")</f>
        <v/>
      </c>
      <c r="P199" s="94" t="str">
        <f>IFERROR(($F199*$J199*$O199*VLOOKUP($H199,Materialtabell[[#All],[Materialnamn]:[Bränsle 
MJ/ton, km]],25,0)*Materiallista!$AF$5)/1000,"")</f>
        <v/>
      </c>
      <c r="Q199" s="94" t="str">
        <f>IFERROR(($F199*$J199*$O199*VLOOKUP($H199,Materialtabell[[#All],[Materialnamn]:[Bränsle 
MJ/ton, km]],25,0)*Materiallista!$AF$6)/1000,"")</f>
        <v/>
      </c>
      <c r="R199" s="162"/>
      <c r="S199" s="3"/>
      <c r="T199" s="3"/>
    </row>
    <row r="200" spans="1:20" x14ac:dyDescent="0.25">
      <c r="A200" s="3"/>
      <c r="B200" s="185">
        <v>195</v>
      </c>
      <c r="C200" s="170"/>
      <c r="D200" s="103"/>
      <c r="E200" s="103"/>
      <c r="F200" s="78"/>
      <c r="G200" s="103"/>
      <c r="H200" s="102"/>
      <c r="I200" s="105" t="str">
        <f>IFERROR(VLOOKUP(KalkylStart[[#This Row],[Klimatmaterial]],Materialtabell[[#All],[Materialnamn]:[Materialtyp]],2,0),"")</f>
        <v/>
      </c>
      <c r="J200" s="104" t="str">
        <f>IFERROR(IF(G200="kg",1,IF(G200="ton",1000,IF(G200=RIGHT(VLOOKUP(H200,Materialtabell[[#All],[Materialnamn]:[Enhet]],4,0),LEN(VLOOKUP(H200,Materialtabell[[#All],[Materialnamn]:[Enhet]],4,0))-3),VLOOKUP(H200,Materialtabell[[#All],[Materialnamn]:[Enhet]],3,0),"Enhetsfel"))),"")</f>
        <v/>
      </c>
      <c r="K200" s="105" t="str">
        <f>IFERROR(IF(G200="kg","kg/kg",IF(G200="ton","kg/ton",IF(RIGHT(VLOOKUP(H200,Materialtabell[[#All],[Materialnamn]:[Enhet]],4,0),LEN(VLOOKUP(H200,Materialtabell[[#All],[Materialnamn]:[Enhet]],4,0))-3)=G200,VLOOKUP(H200,Materialtabell[[#All],[Materialnamn]:[Enhet]],4,0),"kg/ton/"&amp;RIGHT(VLOOKUP(H200,Materialtabell[[#All],[Materialnamn]:[Enhet]],4,0),LEN(VLOOKUP(H200,Materialtabell[[#All],[Materialnamn]:[Enhet]],4,0))-3)))),"")</f>
        <v/>
      </c>
      <c r="L200" s="104" t="str">
        <f>IFERROR(KalkylStart[[#This Row],[Mängd]]*KalkylStart[[#This Row],[Omräknings-faktor]],"")</f>
        <v/>
      </c>
      <c r="M200" s="104" t="str">
        <f>IFERROR(F200*J200*VLOOKUP(H200,Materialtabell[[#All],[Materialnamn]:[Emissionsfaktor 2019
kg CO2e/kg]],5,0),"")</f>
        <v/>
      </c>
      <c r="N200" s="104" t="str">
        <f>IFERROR(F200*J200*VLOOKUP(H200,Materialtabell[[#All],[Materialnamn]:[Emissionsfaktor 2025
kg CO2e/kg]],6,0),"")</f>
        <v/>
      </c>
      <c r="O200" s="78" t="str">
        <f>IFERROR(VLOOKUP(H200,Materialtabell[[#All],[Materialnamn]:[Kommentar A4]],24,0),"")</f>
        <v/>
      </c>
      <c r="P200" s="94" t="str">
        <f>IFERROR(($F200*$J200*$O200*VLOOKUP($H200,Materialtabell[[#All],[Materialnamn]:[Bränsle 
MJ/ton, km]],25,0)*Materiallista!$AF$5)/1000,"")</f>
        <v/>
      </c>
      <c r="Q200" s="94" t="str">
        <f>IFERROR(($F200*$J200*$O200*VLOOKUP($H200,Materialtabell[[#All],[Materialnamn]:[Bränsle 
MJ/ton, km]],25,0)*Materiallista!$AF$6)/1000,"")</f>
        <v/>
      </c>
      <c r="R200" s="162"/>
      <c r="S200" s="3"/>
      <c r="T200" s="3"/>
    </row>
    <row r="201" spans="1:20" x14ac:dyDescent="0.25">
      <c r="A201" s="3"/>
      <c r="B201" s="185">
        <v>196</v>
      </c>
      <c r="C201" s="170"/>
      <c r="D201" s="103"/>
      <c r="E201" s="103"/>
      <c r="F201" s="78"/>
      <c r="G201" s="103"/>
      <c r="H201" s="102"/>
      <c r="I201" s="105" t="str">
        <f>IFERROR(VLOOKUP(KalkylStart[[#This Row],[Klimatmaterial]],Materialtabell[[#All],[Materialnamn]:[Materialtyp]],2,0),"")</f>
        <v/>
      </c>
      <c r="J201" s="104" t="str">
        <f>IFERROR(IF(G201="kg",1,IF(G201="ton",1000,IF(G201=RIGHT(VLOOKUP(H201,Materialtabell[[#All],[Materialnamn]:[Enhet]],4,0),LEN(VLOOKUP(H201,Materialtabell[[#All],[Materialnamn]:[Enhet]],4,0))-3),VLOOKUP(H201,Materialtabell[[#All],[Materialnamn]:[Enhet]],3,0),"Enhetsfel"))),"")</f>
        <v/>
      </c>
      <c r="K201" s="105" t="str">
        <f>IFERROR(IF(G201="kg","kg/kg",IF(G201="ton","kg/ton",IF(RIGHT(VLOOKUP(H201,Materialtabell[[#All],[Materialnamn]:[Enhet]],4,0),LEN(VLOOKUP(H201,Materialtabell[[#All],[Materialnamn]:[Enhet]],4,0))-3)=G201,VLOOKUP(H201,Materialtabell[[#All],[Materialnamn]:[Enhet]],4,0),"kg/ton/"&amp;RIGHT(VLOOKUP(H201,Materialtabell[[#All],[Materialnamn]:[Enhet]],4,0),LEN(VLOOKUP(H201,Materialtabell[[#All],[Materialnamn]:[Enhet]],4,0))-3)))),"")</f>
        <v/>
      </c>
      <c r="L201" s="104" t="str">
        <f>IFERROR(KalkylStart[[#This Row],[Mängd]]*KalkylStart[[#This Row],[Omräknings-faktor]],"")</f>
        <v/>
      </c>
      <c r="M201" s="104" t="str">
        <f>IFERROR(F201*J201*VLOOKUP(H201,Materialtabell[[#All],[Materialnamn]:[Emissionsfaktor 2019
kg CO2e/kg]],5,0),"")</f>
        <v/>
      </c>
      <c r="N201" s="104" t="str">
        <f>IFERROR(F201*J201*VLOOKUP(H201,Materialtabell[[#All],[Materialnamn]:[Emissionsfaktor 2025
kg CO2e/kg]],6,0),"")</f>
        <v/>
      </c>
      <c r="O201" s="78" t="str">
        <f>IFERROR(VLOOKUP(H201,Materialtabell[[#All],[Materialnamn]:[Kommentar A4]],24,0),"")</f>
        <v/>
      </c>
      <c r="P201" s="94" t="str">
        <f>IFERROR(($F201*$J201*$O201*VLOOKUP($H201,Materialtabell[[#All],[Materialnamn]:[Bränsle 
MJ/ton, km]],25,0)*Materiallista!$AF$5)/1000,"")</f>
        <v/>
      </c>
      <c r="Q201" s="94" t="str">
        <f>IFERROR(($F201*$J201*$O201*VLOOKUP($H201,Materialtabell[[#All],[Materialnamn]:[Bränsle 
MJ/ton, km]],25,0)*Materiallista!$AF$6)/1000,"")</f>
        <v/>
      </c>
      <c r="R201" s="162"/>
      <c r="S201" s="3"/>
      <c r="T201" s="3"/>
    </row>
    <row r="202" spans="1:20" x14ac:dyDescent="0.25">
      <c r="A202" s="3"/>
      <c r="B202" s="185">
        <v>197</v>
      </c>
      <c r="C202" s="170"/>
      <c r="D202" s="103"/>
      <c r="E202" s="103"/>
      <c r="F202" s="78"/>
      <c r="G202" s="103"/>
      <c r="H202" s="102"/>
      <c r="I202" s="105" t="str">
        <f>IFERROR(VLOOKUP(KalkylStart[[#This Row],[Klimatmaterial]],Materialtabell[[#All],[Materialnamn]:[Materialtyp]],2,0),"")</f>
        <v/>
      </c>
      <c r="J202" s="104" t="str">
        <f>IFERROR(IF(G202="kg",1,IF(G202="ton",1000,IF(G202=RIGHT(VLOOKUP(H202,Materialtabell[[#All],[Materialnamn]:[Enhet]],4,0),LEN(VLOOKUP(H202,Materialtabell[[#All],[Materialnamn]:[Enhet]],4,0))-3),VLOOKUP(H202,Materialtabell[[#All],[Materialnamn]:[Enhet]],3,0),"Enhetsfel"))),"")</f>
        <v/>
      </c>
      <c r="K202" s="105" t="str">
        <f>IFERROR(IF(G202="kg","kg/kg",IF(G202="ton","kg/ton",IF(RIGHT(VLOOKUP(H202,Materialtabell[[#All],[Materialnamn]:[Enhet]],4,0),LEN(VLOOKUP(H202,Materialtabell[[#All],[Materialnamn]:[Enhet]],4,0))-3)=G202,VLOOKUP(H202,Materialtabell[[#All],[Materialnamn]:[Enhet]],4,0),"kg/ton/"&amp;RIGHT(VLOOKUP(H202,Materialtabell[[#All],[Materialnamn]:[Enhet]],4,0),LEN(VLOOKUP(H202,Materialtabell[[#All],[Materialnamn]:[Enhet]],4,0))-3)))),"")</f>
        <v/>
      </c>
      <c r="L202" s="104" t="str">
        <f>IFERROR(KalkylStart[[#This Row],[Mängd]]*KalkylStart[[#This Row],[Omräknings-faktor]],"")</f>
        <v/>
      </c>
      <c r="M202" s="104" t="str">
        <f>IFERROR(F202*J202*VLOOKUP(H202,Materialtabell[[#All],[Materialnamn]:[Emissionsfaktor 2019
kg CO2e/kg]],5,0),"")</f>
        <v/>
      </c>
      <c r="N202" s="104" t="str">
        <f>IFERROR(F202*J202*VLOOKUP(H202,Materialtabell[[#All],[Materialnamn]:[Emissionsfaktor 2025
kg CO2e/kg]],6,0),"")</f>
        <v/>
      </c>
      <c r="O202" s="78" t="str">
        <f>IFERROR(VLOOKUP(H202,Materialtabell[[#All],[Materialnamn]:[Kommentar A4]],24,0),"")</f>
        <v/>
      </c>
      <c r="P202" s="94" t="str">
        <f>IFERROR(($F202*$J202*$O202*VLOOKUP($H202,Materialtabell[[#All],[Materialnamn]:[Bränsle 
MJ/ton, km]],25,0)*Materiallista!$AF$5)/1000,"")</f>
        <v/>
      </c>
      <c r="Q202" s="94" t="str">
        <f>IFERROR(($F202*$J202*$O202*VLOOKUP($H202,Materialtabell[[#All],[Materialnamn]:[Bränsle 
MJ/ton, km]],25,0)*Materiallista!$AF$6)/1000,"")</f>
        <v/>
      </c>
      <c r="R202" s="162"/>
      <c r="S202" s="3"/>
      <c r="T202" s="3"/>
    </row>
    <row r="203" spans="1:20" x14ac:dyDescent="0.25">
      <c r="A203" s="3"/>
      <c r="B203" s="185">
        <v>198</v>
      </c>
      <c r="C203" s="170"/>
      <c r="D203" s="103"/>
      <c r="E203" s="103"/>
      <c r="F203" s="78"/>
      <c r="G203" s="103"/>
      <c r="H203" s="102"/>
      <c r="I203" s="105" t="str">
        <f>IFERROR(VLOOKUP(KalkylStart[[#This Row],[Klimatmaterial]],Materialtabell[[#All],[Materialnamn]:[Materialtyp]],2,0),"")</f>
        <v/>
      </c>
      <c r="J203" s="104" t="str">
        <f>IFERROR(IF(G203="kg",1,IF(G203="ton",1000,IF(G203=RIGHT(VLOOKUP(H203,Materialtabell[[#All],[Materialnamn]:[Enhet]],4,0),LEN(VLOOKUP(H203,Materialtabell[[#All],[Materialnamn]:[Enhet]],4,0))-3),VLOOKUP(H203,Materialtabell[[#All],[Materialnamn]:[Enhet]],3,0),"Enhetsfel"))),"")</f>
        <v/>
      </c>
      <c r="K203" s="105" t="str">
        <f>IFERROR(IF(G203="kg","kg/kg",IF(G203="ton","kg/ton",IF(RIGHT(VLOOKUP(H203,Materialtabell[[#All],[Materialnamn]:[Enhet]],4,0),LEN(VLOOKUP(H203,Materialtabell[[#All],[Materialnamn]:[Enhet]],4,0))-3)=G203,VLOOKUP(H203,Materialtabell[[#All],[Materialnamn]:[Enhet]],4,0),"kg/ton/"&amp;RIGHT(VLOOKUP(H203,Materialtabell[[#All],[Materialnamn]:[Enhet]],4,0),LEN(VLOOKUP(H203,Materialtabell[[#All],[Materialnamn]:[Enhet]],4,0))-3)))),"")</f>
        <v/>
      </c>
      <c r="L203" s="104" t="str">
        <f>IFERROR(KalkylStart[[#This Row],[Mängd]]*KalkylStart[[#This Row],[Omräknings-faktor]],"")</f>
        <v/>
      </c>
      <c r="M203" s="104" t="str">
        <f>IFERROR(F203*J203*VLOOKUP(H203,Materialtabell[[#All],[Materialnamn]:[Emissionsfaktor 2019
kg CO2e/kg]],5,0),"")</f>
        <v/>
      </c>
      <c r="N203" s="104" t="str">
        <f>IFERROR(F203*J203*VLOOKUP(H203,Materialtabell[[#All],[Materialnamn]:[Emissionsfaktor 2025
kg CO2e/kg]],6,0),"")</f>
        <v/>
      </c>
      <c r="O203" s="78" t="str">
        <f>IFERROR(VLOOKUP(H203,Materialtabell[[#All],[Materialnamn]:[Kommentar A4]],24,0),"")</f>
        <v/>
      </c>
      <c r="P203" s="94" t="str">
        <f>IFERROR(($F203*$J203*$O203*VLOOKUP($H203,Materialtabell[[#All],[Materialnamn]:[Bränsle 
MJ/ton, km]],25,0)*Materiallista!$AF$5)/1000,"")</f>
        <v/>
      </c>
      <c r="Q203" s="94" t="str">
        <f>IFERROR(($F203*$J203*$O203*VLOOKUP($H203,Materialtabell[[#All],[Materialnamn]:[Bränsle 
MJ/ton, km]],25,0)*Materiallista!$AF$6)/1000,"")</f>
        <v/>
      </c>
      <c r="R203" s="162"/>
      <c r="S203" s="3"/>
      <c r="T203" s="3"/>
    </row>
    <row r="204" spans="1:20" x14ac:dyDescent="0.25">
      <c r="A204" s="3"/>
      <c r="B204" s="185">
        <v>199</v>
      </c>
      <c r="C204" s="170"/>
      <c r="D204" s="103"/>
      <c r="E204" s="103"/>
      <c r="F204" s="78"/>
      <c r="G204" s="103"/>
      <c r="H204" s="102"/>
      <c r="I204" s="105" t="str">
        <f>IFERROR(VLOOKUP(KalkylStart[[#This Row],[Klimatmaterial]],Materialtabell[[#All],[Materialnamn]:[Materialtyp]],2,0),"")</f>
        <v/>
      </c>
      <c r="J204" s="104" t="str">
        <f>IFERROR(IF(G204="kg",1,IF(G204="ton",1000,IF(G204=RIGHT(VLOOKUP(H204,Materialtabell[[#All],[Materialnamn]:[Enhet]],4,0),LEN(VLOOKUP(H204,Materialtabell[[#All],[Materialnamn]:[Enhet]],4,0))-3),VLOOKUP(H204,Materialtabell[[#All],[Materialnamn]:[Enhet]],3,0),"Enhetsfel"))),"")</f>
        <v/>
      </c>
      <c r="K204" s="105" t="str">
        <f>IFERROR(IF(G204="kg","kg/kg",IF(G204="ton","kg/ton",IF(RIGHT(VLOOKUP(H204,Materialtabell[[#All],[Materialnamn]:[Enhet]],4,0),LEN(VLOOKUP(H204,Materialtabell[[#All],[Materialnamn]:[Enhet]],4,0))-3)=G204,VLOOKUP(H204,Materialtabell[[#All],[Materialnamn]:[Enhet]],4,0),"kg/ton/"&amp;RIGHT(VLOOKUP(H204,Materialtabell[[#All],[Materialnamn]:[Enhet]],4,0),LEN(VLOOKUP(H204,Materialtabell[[#All],[Materialnamn]:[Enhet]],4,0))-3)))),"")</f>
        <v/>
      </c>
      <c r="L204" s="104" t="str">
        <f>IFERROR(KalkylStart[[#This Row],[Mängd]]*KalkylStart[[#This Row],[Omräknings-faktor]],"")</f>
        <v/>
      </c>
      <c r="M204" s="104" t="str">
        <f>IFERROR(F204*J204*VLOOKUP(H204,Materialtabell[[#All],[Materialnamn]:[Emissionsfaktor 2019
kg CO2e/kg]],5,0),"")</f>
        <v/>
      </c>
      <c r="N204" s="104" t="str">
        <f>IFERROR(F204*J204*VLOOKUP(H204,Materialtabell[[#All],[Materialnamn]:[Emissionsfaktor 2025
kg CO2e/kg]],6,0),"")</f>
        <v/>
      </c>
      <c r="O204" s="78" t="str">
        <f>IFERROR(VLOOKUP(H204,Materialtabell[[#All],[Materialnamn]:[Kommentar A4]],24,0),"")</f>
        <v/>
      </c>
      <c r="P204" s="94" t="str">
        <f>IFERROR(($F204*$J204*$O204*VLOOKUP($H204,Materialtabell[[#All],[Materialnamn]:[Bränsle 
MJ/ton, km]],25,0)*Materiallista!$AF$5)/1000,"")</f>
        <v/>
      </c>
      <c r="Q204" s="94" t="str">
        <f>IFERROR(($F204*$J204*$O204*VLOOKUP($H204,Materialtabell[[#All],[Materialnamn]:[Bränsle 
MJ/ton, km]],25,0)*Materiallista!$AF$6)/1000,"")</f>
        <v/>
      </c>
      <c r="R204" s="162"/>
      <c r="S204" s="3"/>
      <c r="T204" s="3"/>
    </row>
    <row r="205" spans="1:20" x14ac:dyDescent="0.25">
      <c r="A205" s="3"/>
      <c r="B205" s="185">
        <v>200</v>
      </c>
      <c r="C205" s="171"/>
      <c r="D205" s="164"/>
      <c r="E205" s="164"/>
      <c r="F205" s="165"/>
      <c r="G205" s="164"/>
      <c r="H205" s="163"/>
      <c r="I205" s="166" t="str">
        <f>IFERROR(VLOOKUP(KalkylStart[[#This Row],[Klimatmaterial]],Materialtabell[[#All],[Materialnamn]:[Materialtyp]],2,0),"")</f>
        <v/>
      </c>
      <c r="J205" s="167" t="str">
        <f>IFERROR(IF(G205="kg",1,IF(G205="ton",1000,IF(G205=RIGHT(VLOOKUP(H205,Materialtabell[[#All],[Materialnamn]:[Enhet]],4,0),LEN(VLOOKUP(H205,Materialtabell[[#All],[Materialnamn]:[Enhet]],4,0))-3),VLOOKUP(H205,Materialtabell[[#All],[Materialnamn]:[Enhet]],3,0),"Enhetsfel"))),"")</f>
        <v/>
      </c>
      <c r="K205" s="166" t="str">
        <f>IFERROR(IF(G205="kg","kg/kg",IF(G205="ton","kg/ton",IF(RIGHT(VLOOKUP(H205,Materialtabell[[#All],[Materialnamn]:[Enhet]],4,0),LEN(VLOOKUP(H205,Materialtabell[[#All],[Materialnamn]:[Enhet]],4,0))-3)=G205,VLOOKUP(H205,Materialtabell[[#All],[Materialnamn]:[Enhet]],4,0),"kg/ton/"&amp;RIGHT(VLOOKUP(H205,Materialtabell[[#All],[Materialnamn]:[Enhet]],4,0),LEN(VLOOKUP(H205,Materialtabell[[#All],[Materialnamn]:[Enhet]],4,0))-3)))),"")</f>
        <v/>
      </c>
      <c r="L205" s="167" t="str">
        <f>IFERROR(KalkylStart[[#This Row],[Mängd]]*KalkylStart[[#This Row],[Omräknings-faktor]],"")</f>
        <v/>
      </c>
      <c r="M205" s="167" t="str">
        <f>IFERROR(F205*J205*VLOOKUP(H205,Materialtabell[[#All],[Materialnamn]:[Emissionsfaktor 2019
kg CO2e/kg]],5,0),"")</f>
        <v/>
      </c>
      <c r="N205" s="167" t="str">
        <f>IFERROR(F205*J205*VLOOKUP(H205,Materialtabell[[#All],[Materialnamn]:[Emissionsfaktor 2025
kg CO2e/kg]],6,0),"")</f>
        <v/>
      </c>
      <c r="O205" s="165" t="str">
        <f>IFERROR(VLOOKUP(H205,Materialtabell[[#All],[Materialnamn]:[Kommentar A4]],24,0),"")</f>
        <v/>
      </c>
      <c r="P205" s="168" t="str">
        <f>IFERROR(($F205*$J205*$O205*VLOOKUP($H205,Materialtabell[[#All],[Materialnamn]:[Bränsle 
MJ/ton, km]],25,0)*Materiallista!$AF$5)/1000,"")</f>
        <v/>
      </c>
      <c r="Q205" s="168" t="str">
        <f>IFERROR(($F205*$J205*$O205*VLOOKUP($H205,Materialtabell[[#All],[Materialnamn]:[Bränsle 
MJ/ton, km]],25,0)*Materiallista!$AF$6)/1000,"")</f>
        <v/>
      </c>
      <c r="R205" s="169"/>
      <c r="S205" s="3"/>
      <c r="T205" s="3"/>
    </row>
    <row r="206" spans="1:20" x14ac:dyDescent="0.25">
      <c r="A206" s="3"/>
      <c r="B206" s="185">
        <v>201</v>
      </c>
      <c r="C206" s="170"/>
      <c r="D206" s="103"/>
      <c r="E206" s="103"/>
      <c r="F206" s="78"/>
      <c r="G206" s="103"/>
      <c r="H206" s="102"/>
      <c r="I206" s="105" t="str">
        <f>IFERROR(VLOOKUP(KalkylStart[[#This Row],[Klimatmaterial]],Materialtabell[[#All],[Materialnamn]:[Materialtyp]],2,0),"")</f>
        <v/>
      </c>
      <c r="J206" s="104" t="str">
        <f>IFERROR(IF(G206="kg",1,IF(G206="ton",1000,IF(G206=RIGHT(VLOOKUP(H206,Materialtabell[[#All],[Materialnamn]:[Enhet]],4,0),LEN(VLOOKUP(H206,Materialtabell[[#All],[Materialnamn]:[Enhet]],4,0))-3),VLOOKUP(H206,Materialtabell[[#All],[Materialnamn]:[Enhet]],3,0),"Enhetsfel"))),"")</f>
        <v/>
      </c>
      <c r="K206" s="105" t="str">
        <f>IFERROR(IF(G206="kg","kg/kg",IF(G206="ton","kg/ton",IF(RIGHT(VLOOKUP(H206,Materialtabell[[#All],[Materialnamn]:[Enhet]],4,0),LEN(VLOOKUP(H206,Materialtabell[[#All],[Materialnamn]:[Enhet]],4,0))-3)=G206,VLOOKUP(H206,Materialtabell[[#All],[Materialnamn]:[Enhet]],4,0),"kg/ton/"&amp;RIGHT(VLOOKUP(H206,Materialtabell[[#All],[Materialnamn]:[Enhet]],4,0),LEN(VLOOKUP(H206,Materialtabell[[#All],[Materialnamn]:[Enhet]],4,0))-3)))),"")</f>
        <v/>
      </c>
      <c r="L206" s="104" t="str">
        <f>IFERROR(KalkylStart[[#This Row],[Mängd]]*KalkylStart[[#This Row],[Omräknings-faktor]],"")</f>
        <v/>
      </c>
      <c r="M206" s="104" t="str">
        <f>IFERROR(F206*J206*VLOOKUP(H206,Materialtabell[[#All],[Materialnamn]:[Emissionsfaktor 2019
kg CO2e/kg]],5,0),"")</f>
        <v/>
      </c>
      <c r="N206" s="104" t="str">
        <f>IFERROR(F206*J206*VLOOKUP(H206,Materialtabell[[#All],[Materialnamn]:[Emissionsfaktor 2025
kg CO2e/kg]],6,0),"")</f>
        <v/>
      </c>
      <c r="O206" s="78" t="str">
        <f>IFERROR(VLOOKUP(H206,Materialtabell[[#All],[Materialnamn]:[Kommentar A4]],24,0),"")</f>
        <v/>
      </c>
      <c r="P206" s="94" t="str">
        <f>IFERROR(($F206*$J206*$O206*VLOOKUP($H206,Materialtabell[[#All],[Materialnamn]:[Bränsle 
MJ/ton, km]],25,0)*Materiallista!$AF$5)/1000,"")</f>
        <v/>
      </c>
      <c r="Q206" s="94" t="str">
        <f>IFERROR(($F206*$J206*$O206*VLOOKUP($H206,Materialtabell[[#All],[Materialnamn]:[Bränsle 
MJ/ton, km]],25,0)*Materiallista!$AF$6)/1000,"")</f>
        <v/>
      </c>
      <c r="R206" s="162"/>
      <c r="S206" s="3"/>
      <c r="T206" s="3"/>
    </row>
    <row r="207" spans="1:20" x14ac:dyDescent="0.25">
      <c r="A207" s="3"/>
      <c r="B207" s="185">
        <v>202</v>
      </c>
      <c r="C207" s="170"/>
      <c r="D207" s="103"/>
      <c r="E207" s="103"/>
      <c r="F207" s="78"/>
      <c r="G207" s="103"/>
      <c r="H207" s="102"/>
      <c r="I207" s="105" t="str">
        <f>IFERROR(VLOOKUP(KalkylStart[[#This Row],[Klimatmaterial]],Materialtabell[[#All],[Materialnamn]:[Materialtyp]],2,0),"")</f>
        <v/>
      </c>
      <c r="J207" s="104" t="str">
        <f>IFERROR(IF(G207="kg",1,IF(G207="ton",1000,IF(G207=RIGHT(VLOOKUP(H207,Materialtabell[[#All],[Materialnamn]:[Enhet]],4,0),LEN(VLOOKUP(H207,Materialtabell[[#All],[Materialnamn]:[Enhet]],4,0))-3),VLOOKUP(H207,Materialtabell[[#All],[Materialnamn]:[Enhet]],3,0),"Enhetsfel"))),"")</f>
        <v/>
      </c>
      <c r="K207" s="105" t="str">
        <f>IFERROR(IF(G207="kg","kg/kg",IF(G207="ton","kg/ton",IF(RIGHT(VLOOKUP(H207,Materialtabell[[#All],[Materialnamn]:[Enhet]],4,0),LEN(VLOOKUP(H207,Materialtabell[[#All],[Materialnamn]:[Enhet]],4,0))-3)=G207,VLOOKUP(H207,Materialtabell[[#All],[Materialnamn]:[Enhet]],4,0),"kg/ton/"&amp;RIGHT(VLOOKUP(H207,Materialtabell[[#All],[Materialnamn]:[Enhet]],4,0),LEN(VLOOKUP(H207,Materialtabell[[#All],[Materialnamn]:[Enhet]],4,0))-3)))),"")</f>
        <v/>
      </c>
      <c r="L207" s="104" t="str">
        <f>IFERROR(KalkylStart[[#This Row],[Mängd]]*KalkylStart[[#This Row],[Omräknings-faktor]],"")</f>
        <v/>
      </c>
      <c r="M207" s="104" t="str">
        <f>IFERROR(F207*J207*VLOOKUP(H207,Materialtabell[[#All],[Materialnamn]:[Emissionsfaktor 2019
kg CO2e/kg]],5,0),"")</f>
        <v/>
      </c>
      <c r="N207" s="104" t="str">
        <f>IFERROR(F207*J207*VLOOKUP(H207,Materialtabell[[#All],[Materialnamn]:[Emissionsfaktor 2025
kg CO2e/kg]],6,0),"")</f>
        <v/>
      </c>
      <c r="O207" s="78" t="str">
        <f>IFERROR(VLOOKUP(H207,Materialtabell[[#All],[Materialnamn]:[Kommentar A4]],24,0),"")</f>
        <v/>
      </c>
      <c r="P207" s="94" t="str">
        <f>IFERROR(($F207*$J207*$O207*VLOOKUP($H207,Materialtabell[[#All],[Materialnamn]:[Bränsle 
MJ/ton, km]],25,0)*Materiallista!$AF$5)/1000,"")</f>
        <v/>
      </c>
      <c r="Q207" s="94" t="str">
        <f>IFERROR(($F207*$J207*$O207*VLOOKUP($H207,Materialtabell[[#All],[Materialnamn]:[Bränsle 
MJ/ton, km]],25,0)*Materiallista!$AF$6)/1000,"")</f>
        <v/>
      </c>
      <c r="R207" s="162"/>
      <c r="S207" s="3"/>
      <c r="T207" s="3"/>
    </row>
    <row r="208" spans="1:20" x14ac:dyDescent="0.25">
      <c r="A208" s="3"/>
      <c r="B208" s="185">
        <v>203</v>
      </c>
      <c r="C208" s="170"/>
      <c r="D208" s="103"/>
      <c r="E208" s="103"/>
      <c r="F208" s="78"/>
      <c r="G208" s="103"/>
      <c r="H208" s="102"/>
      <c r="I208" s="105" t="str">
        <f>IFERROR(VLOOKUP(KalkylStart[[#This Row],[Klimatmaterial]],Materialtabell[[#All],[Materialnamn]:[Materialtyp]],2,0),"")</f>
        <v/>
      </c>
      <c r="J208" s="104" t="str">
        <f>IFERROR(IF(G208="kg",1,IF(G208="ton",1000,IF(G208=RIGHT(VLOOKUP(H208,Materialtabell[[#All],[Materialnamn]:[Enhet]],4,0),LEN(VLOOKUP(H208,Materialtabell[[#All],[Materialnamn]:[Enhet]],4,0))-3),VLOOKUP(H208,Materialtabell[[#All],[Materialnamn]:[Enhet]],3,0),"Enhetsfel"))),"")</f>
        <v/>
      </c>
      <c r="K208" s="105" t="str">
        <f>IFERROR(IF(G208="kg","kg/kg",IF(G208="ton","kg/ton",IF(RIGHT(VLOOKUP(H208,Materialtabell[[#All],[Materialnamn]:[Enhet]],4,0),LEN(VLOOKUP(H208,Materialtabell[[#All],[Materialnamn]:[Enhet]],4,0))-3)=G208,VLOOKUP(H208,Materialtabell[[#All],[Materialnamn]:[Enhet]],4,0),"kg/ton/"&amp;RIGHT(VLOOKUP(H208,Materialtabell[[#All],[Materialnamn]:[Enhet]],4,0),LEN(VLOOKUP(H208,Materialtabell[[#All],[Materialnamn]:[Enhet]],4,0))-3)))),"")</f>
        <v/>
      </c>
      <c r="L208" s="104" t="str">
        <f>IFERROR(KalkylStart[[#This Row],[Mängd]]*KalkylStart[[#This Row],[Omräknings-faktor]],"")</f>
        <v/>
      </c>
      <c r="M208" s="104" t="str">
        <f>IFERROR(F208*J208*VLOOKUP(H208,Materialtabell[[#All],[Materialnamn]:[Emissionsfaktor 2019
kg CO2e/kg]],5,0),"")</f>
        <v/>
      </c>
      <c r="N208" s="104" t="str">
        <f>IFERROR(F208*J208*VLOOKUP(H208,Materialtabell[[#All],[Materialnamn]:[Emissionsfaktor 2025
kg CO2e/kg]],6,0),"")</f>
        <v/>
      </c>
      <c r="O208" s="78" t="str">
        <f>IFERROR(VLOOKUP(H208,Materialtabell[[#All],[Materialnamn]:[Kommentar A4]],24,0),"")</f>
        <v/>
      </c>
      <c r="P208" s="94" t="str">
        <f>IFERROR(($F208*$J208*$O208*VLOOKUP($H208,Materialtabell[[#All],[Materialnamn]:[Bränsle 
MJ/ton, km]],25,0)*Materiallista!$AF$5)/1000,"")</f>
        <v/>
      </c>
      <c r="Q208" s="94" t="str">
        <f>IFERROR(($F208*$J208*$O208*VLOOKUP($H208,Materialtabell[[#All],[Materialnamn]:[Bränsle 
MJ/ton, km]],25,0)*Materiallista!$AF$6)/1000,"")</f>
        <v/>
      </c>
      <c r="R208" s="162"/>
      <c r="S208" s="3"/>
      <c r="T208" s="3"/>
    </row>
    <row r="209" spans="1:20" x14ac:dyDescent="0.25">
      <c r="A209" s="3"/>
      <c r="B209" s="185">
        <v>204</v>
      </c>
      <c r="C209" s="170"/>
      <c r="D209" s="103"/>
      <c r="E209" s="103"/>
      <c r="F209" s="78"/>
      <c r="G209" s="103"/>
      <c r="H209" s="102"/>
      <c r="I209" s="105" t="str">
        <f>IFERROR(VLOOKUP(KalkylStart[[#This Row],[Klimatmaterial]],Materialtabell[[#All],[Materialnamn]:[Materialtyp]],2,0),"")</f>
        <v/>
      </c>
      <c r="J209" s="104" t="str">
        <f>IFERROR(IF(G209="kg",1,IF(G209="ton",1000,IF(G209=RIGHT(VLOOKUP(H209,Materialtabell[[#All],[Materialnamn]:[Enhet]],4,0),LEN(VLOOKUP(H209,Materialtabell[[#All],[Materialnamn]:[Enhet]],4,0))-3),VLOOKUP(H209,Materialtabell[[#All],[Materialnamn]:[Enhet]],3,0),"Enhetsfel"))),"")</f>
        <v/>
      </c>
      <c r="K209" s="105" t="str">
        <f>IFERROR(IF(G209="kg","kg/kg",IF(G209="ton","kg/ton",IF(RIGHT(VLOOKUP(H209,Materialtabell[[#All],[Materialnamn]:[Enhet]],4,0),LEN(VLOOKUP(H209,Materialtabell[[#All],[Materialnamn]:[Enhet]],4,0))-3)=G209,VLOOKUP(H209,Materialtabell[[#All],[Materialnamn]:[Enhet]],4,0),"kg/ton/"&amp;RIGHT(VLOOKUP(H209,Materialtabell[[#All],[Materialnamn]:[Enhet]],4,0),LEN(VLOOKUP(H209,Materialtabell[[#All],[Materialnamn]:[Enhet]],4,0))-3)))),"")</f>
        <v/>
      </c>
      <c r="L209" s="104" t="str">
        <f>IFERROR(KalkylStart[[#This Row],[Mängd]]*KalkylStart[[#This Row],[Omräknings-faktor]],"")</f>
        <v/>
      </c>
      <c r="M209" s="104" t="str">
        <f>IFERROR(F209*J209*VLOOKUP(H209,Materialtabell[[#All],[Materialnamn]:[Emissionsfaktor 2019
kg CO2e/kg]],5,0),"")</f>
        <v/>
      </c>
      <c r="N209" s="104" t="str">
        <f>IFERROR(F209*J209*VLOOKUP(H209,Materialtabell[[#All],[Materialnamn]:[Emissionsfaktor 2025
kg CO2e/kg]],6,0),"")</f>
        <v/>
      </c>
      <c r="O209" s="78" t="str">
        <f>IFERROR(VLOOKUP(H209,Materialtabell[[#All],[Materialnamn]:[Kommentar A4]],24,0),"")</f>
        <v/>
      </c>
      <c r="P209" s="94" t="str">
        <f>IFERROR(($F209*$J209*$O209*VLOOKUP($H209,Materialtabell[[#All],[Materialnamn]:[Bränsle 
MJ/ton, km]],25,0)*Materiallista!$AF$5)/1000,"")</f>
        <v/>
      </c>
      <c r="Q209" s="94" t="str">
        <f>IFERROR(($F209*$J209*$O209*VLOOKUP($H209,Materialtabell[[#All],[Materialnamn]:[Bränsle 
MJ/ton, km]],25,0)*Materiallista!$AF$6)/1000,"")</f>
        <v/>
      </c>
      <c r="R209" s="162"/>
      <c r="S209" s="3"/>
      <c r="T209" s="3"/>
    </row>
    <row r="210" spans="1:20" x14ac:dyDescent="0.25">
      <c r="A210" s="3"/>
      <c r="B210" s="185">
        <v>205</v>
      </c>
      <c r="C210" s="170"/>
      <c r="D210" s="103"/>
      <c r="E210" s="103"/>
      <c r="F210" s="78"/>
      <c r="G210" s="103"/>
      <c r="H210" s="102"/>
      <c r="I210" s="105" t="str">
        <f>IFERROR(VLOOKUP(KalkylStart[[#This Row],[Klimatmaterial]],Materialtabell[[#All],[Materialnamn]:[Materialtyp]],2,0),"")</f>
        <v/>
      </c>
      <c r="J210" s="104" t="str">
        <f>IFERROR(IF(G210="kg",1,IF(G210="ton",1000,IF(G210=RIGHT(VLOOKUP(H210,Materialtabell[[#All],[Materialnamn]:[Enhet]],4,0),LEN(VLOOKUP(H210,Materialtabell[[#All],[Materialnamn]:[Enhet]],4,0))-3),VLOOKUP(H210,Materialtabell[[#All],[Materialnamn]:[Enhet]],3,0),"Enhetsfel"))),"")</f>
        <v/>
      </c>
      <c r="K210" s="105" t="str">
        <f>IFERROR(IF(G210="kg","kg/kg",IF(G210="ton","kg/ton",IF(RIGHT(VLOOKUP(H210,Materialtabell[[#All],[Materialnamn]:[Enhet]],4,0),LEN(VLOOKUP(H210,Materialtabell[[#All],[Materialnamn]:[Enhet]],4,0))-3)=G210,VLOOKUP(H210,Materialtabell[[#All],[Materialnamn]:[Enhet]],4,0),"kg/ton/"&amp;RIGHT(VLOOKUP(H210,Materialtabell[[#All],[Materialnamn]:[Enhet]],4,0),LEN(VLOOKUP(H210,Materialtabell[[#All],[Materialnamn]:[Enhet]],4,0))-3)))),"")</f>
        <v/>
      </c>
      <c r="L210" s="104" t="str">
        <f>IFERROR(KalkylStart[[#This Row],[Mängd]]*KalkylStart[[#This Row],[Omräknings-faktor]],"")</f>
        <v/>
      </c>
      <c r="M210" s="104" t="str">
        <f>IFERROR(F210*J210*VLOOKUP(H210,Materialtabell[[#All],[Materialnamn]:[Emissionsfaktor 2019
kg CO2e/kg]],5,0),"")</f>
        <v/>
      </c>
      <c r="N210" s="104" t="str">
        <f>IFERROR(F210*J210*VLOOKUP(H210,Materialtabell[[#All],[Materialnamn]:[Emissionsfaktor 2025
kg CO2e/kg]],6,0),"")</f>
        <v/>
      </c>
      <c r="O210" s="78" t="str">
        <f>IFERROR(VLOOKUP(H210,Materialtabell[[#All],[Materialnamn]:[Kommentar A4]],24,0),"")</f>
        <v/>
      </c>
      <c r="P210" s="94" t="str">
        <f>IFERROR(($F210*$J210*$O210*VLOOKUP($H210,Materialtabell[[#All],[Materialnamn]:[Bränsle 
MJ/ton, km]],25,0)*Materiallista!$AF$5)/1000,"")</f>
        <v/>
      </c>
      <c r="Q210" s="94" t="str">
        <f>IFERROR(($F210*$J210*$O210*VLOOKUP($H210,Materialtabell[[#All],[Materialnamn]:[Bränsle 
MJ/ton, km]],25,0)*Materiallista!$AF$6)/1000,"")</f>
        <v/>
      </c>
      <c r="R210" s="162"/>
      <c r="S210" s="3"/>
      <c r="T210" s="3"/>
    </row>
    <row r="211" spans="1:20" x14ac:dyDescent="0.25">
      <c r="A211" s="3"/>
      <c r="B211" s="185">
        <v>206</v>
      </c>
      <c r="C211" s="170"/>
      <c r="D211" s="103"/>
      <c r="E211" s="103"/>
      <c r="F211" s="78"/>
      <c r="G211" s="103"/>
      <c r="H211" s="102"/>
      <c r="I211" s="105" t="str">
        <f>IFERROR(VLOOKUP(KalkylStart[[#This Row],[Klimatmaterial]],Materialtabell[[#All],[Materialnamn]:[Materialtyp]],2,0),"")</f>
        <v/>
      </c>
      <c r="J211" s="104" t="str">
        <f>IFERROR(IF(G211="kg",1,IF(G211="ton",1000,IF(G211=RIGHT(VLOOKUP(H211,Materialtabell[[#All],[Materialnamn]:[Enhet]],4,0),LEN(VLOOKUP(H211,Materialtabell[[#All],[Materialnamn]:[Enhet]],4,0))-3),VLOOKUP(H211,Materialtabell[[#All],[Materialnamn]:[Enhet]],3,0),"Enhetsfel"))),"")</f>
        <v/>
      </c>
      <c r="K211" s="105" t="str">
        <f>IFERROR(IF(G211="kg","kg/kg",IF(G211="ton","kg/ton",IF(RIGHT(VLOOKUP(H211,Materialtabell[[#All],[Materialnamn]:[Enhet]],4,0),LEN(VLOOKUP(H211,Materialtabell[[#All],[Materialnamn]:[Enhet]],4,0))-3)=G211,VLOOKUP(H211,Materialtabell[[#All],[Materialnamn]:[Enhet]],4,0),"kg/ton/"&amp;RIGHT(VLOOKUP(H211,Materialtabell[[#All],[Materialnamn]:[Enhet]],4,0),LEN(VLOOKUP(H211,Materialtabell[[#All],[Materialnamn]:[Enhet]],4,0))-3)))),"")</f>
        <v/>
      </c>
      <c r="L211" s="104" t="str">
        <f>IFERROR(KalkylStart[[#This Row],[Mängd]]*KalkylStart[[#This Row],[Omräknings-faktor]],"")</f>
        <v/>
      </c>
      <c r="M211" s="104" t="str">
        <f>IFERROR(F211*J211*VLOOKUP(H211,Materialtabell[[#All],[Materialnamn]:[Emissionsfaktor 2019
kg CO2e/kg]],5,0),"")</f>
        <v/>
      </c>
      <c r="N211" s="104" t="str">
        <f>IFERROR(F211*J211*VLOOKUP(H211,Materialtabell[[#All],[Materialnamn]:[Emissionsfaktor 2025
kg CO2e/kg]],6,0),"")</f>
        <v/>
      </c>
      <c r="O211" s="78" t="str">
        <f>IFERROR(VLOOKUP(H211,Materialtabell[[#All],[Materialnamn]:[Kommentar A4]],24,0),"")</f>
        <v/>
      </c>
      <c r="P211" s="94" t="str">
        <f>IFERROR(($F211*$J211*$O211*VLOOKUP($H211,Materialtabell[[#All],[Materialnamn]:[Bränsle 
MJ/ton, km]],25,0)*Materiallista!$AF$5)/1000,"")</f>
        <v/>
      </c>
      <c r="Q211" s="94" t="str">
        <f>IFERROR(($F211*$J211*$O211*VLOOKUP($H211,Materialtabell[[#All],[Materialnamn]:[Bränsle 
MJ/ton, km]],25,0)*Materiallista!$AF$6)/1000,"")</f>
        <v/>
      </c>
      <c r="R211" s="162"/>
      <c r="S211" s="3"/>
      <c r="T211" s="3"/>
    </row>
    <row r="212" spans="1:20" x14ac:dyDescent="0.25">
      <c r="A212" s="3"/>
      <c r="B212" s="185">
        <v>207</v>
      </c>
      <c r="C212" s="170"/>
      <c r="D212" s="103"/>
      <c r="E212" s="103"/>
      <c r="F212" s="78"/>
      <c r="G212" s="103"/>
      <c r="H212" s="102"/>
      <c r="I212" s="105" t="str">
        <f>IFERROR(VLOOKUP(KalkylStart[[#This Row],[Klimatmaterial]],Materialtabell[[#All],[Materialnamn]:[Materialtyp]],2,0),"")</f>
        <v/>
      </c>
      <c r="J212" s="104" t="str">
        <f>IFERROR(IF(G212="kg",1,IF(G212="ton",1000,IF(G212=RIGHT(VLOOKUP(H212,Materialtabell[[#All],[Materialnamn]:[Enhet]],4,0),LEN(VLOOKUP(H212,Materialtabell[[#All],[Materialnamn]:[Enhet]],4,0))-3),VLOOKUP(H212,Materialtabell[[#All],[Materialnamn]:[Enhet]],3,0),"Enhetsfel"))),"")</f>
        <v/>
      </c>
      <c r="K212" s="105" t="str">
        <f>IFERROR(IF(G212="kg","kg/kg",IF(G212="ton","kg/ton",IF(RIGHT(VLOOKUP(H212,Materialtabell[[#All],[Materialnamn]:[Enhet]],4,0),LEN(VLOOKUP(H212,Materialtabell[[#All],[Materialnamn]:[Enhet]],4,0))-3)=G212,VLOOKUP(H212,Materialtabell[[#All],[Materialnamn]:[Enhet]],4,0),"kg/ton/"&amp;RIGHT(VLOOKUP(H212,Materialtabell[[#All],[Materialnamn]:[Enhet]],4,0),LEN(VLOOKUP(H212,Materialtabell[[#All],[Materialnamn]:[Enhet]],4,0))-3)))),"")</f>
        <v/>
      </c>
      <c r="L212" s="104" t="str">
        <f>IFERROR(KalkylStart[[#This Row],[Mängd]]*KalkylStart[[#This Row],[Omräknings-faktor]],"")</f>
        <v/>
      </c>
      <c r="M212" s="104" t="str">
        <f>IFERROR(F212*J212*VLOOKUP(H212,Materialtabell[[#All],[Materialnamn]:[Emissionsfaktor 2019
kg CO2e/kg]],5,0),"")</f>
        <v/>
      </c>
      <c r="N212" s="104" t="str">
        <f>IFERROR(F212*J212*VLOOKUP(H212,Materialtabell[[#All],[Materialnamn]:[Emissionsfaktor 2025
kg CO2e/kg]],6,0),"")</f>
        <v/>
      </c>
      <c r="O212" s="78" t="str">
        <f>IFERROR(VLOOKUP(H212,Materialtabell[[#All],[Materialnamn]:[Kommentar A4]],24,0),"")</f>
        <v/>
      </c>
      <c r="P212" s="94" t="str">
        <f>IFERROR(($F212*$J212*$O212*VLOOKUP($H212,Materialtabell[[#All],[Materialnamn]:[Bränsle 
MJ/ton, km]],25,0)*Materiallista!$AF$5)/1000,"")</f>
        <v/>
      </c>
      <c r="Q212" s="94" t="str">
        <f>IFERROR(($F212*$J212*$O212*VLOOKUP($H212,Materialtabell[[#All],[Materialnamn]:[Bränsle 
MJ/ton, km]],25,0)*Materiallista!$AF$6)/1000,"")</f>
        <v/>
      </c>
      <c r="R212" s="162"/>
      <c r="S212" s="3"/>
      <c r="T212" s="3"/>
    </row>
    <row r="213" spans="1:20" x14ac:dyDescent="0.25">
      <c r="A213" s="3"/>
      <c r="B213" s="185">
        <v>208</v>
      </c>
      <c r="C213" s="170"/>
      <c r="D213" s="103"/>
      <c r="E213" s="103"/>
      <c r="F213" s="78"/>
      <c r="G213" s="103"/>
      <c r="H213" s="102"/>
      <c r="I213" s="105" t="str">
        <f>IFERROR(VLOOKUP(KalkylStart[[#This Row],[Klimatmaterial]],Materialtabell[[#All],[Materialnamn]:[Materialtyp]],2,0),"")</f>
        <v/>
      </c>
      <c r="J213" s="104" t="str">
        <f>IFERROR(IF(G213="kg",1,IF(G213="ton",1000,IF(G213=RIGHT(VLOOKUP(H213,Materialtabell[[#All],[Materialnamn]:[Enhet]],4,0),LEN(VLOOKUP(H213,Materialtabell[[#All],[Materialnamn]:[Enhet]],4,0))-3),VLOOKUP(H213,Materialtabell[[#All],[Materialnamn]:[Enhet]],3,0),"Enhetsfel"))),"")</f>
        <v/>
      </c>
      <c r="K213" s="105" t="str">
        <f>IFERROR(IF(G213="kg","kg/kg",IF(G213="ton","kg/ton",IF(RIGHT(VLOOKUP(H213,Materialtabell[[#All],[Materialnamn]:[Enhet]],4,0),LEN(VLOOKUP(H213,Materialtabell[[#All],[Materialnamn]:[Enhet]],4,0))-3)=G213,VLOOKUP(H213,Materialtabell[[#All],[Materialnamn]:[Enhet]],4,0),"kg/ton/"&amp;RIGHT(VLOOKUP(H213,Materialtabell[[#All],[Materialnamn]:[Enhet]],4,0),LEN(VLOOKUP(H213,Materialtabell[[#All],[Materialnamn]:[Enhet]],4,0))-3)))),"")</f>
        <v/>
      </c>
      <c r="L213" s="104" t="str">
        <f>IFERROR(KalkylStart[[#This Row],[Mängd]]*KalkylStart[[#This Row],[Omräknings-faktor]],"")</f>
        <v/>
      </c>
      <c r="M213" s="104" t="str">
        <f>IFERROR(F213*J213*VLOOKUP(H213,Materialtabell[[#All],[Materialnamn]:[Emissionsfaktor 2019
kg CO2e/kg]],5,0),"")</f>
        <v/>
      </c>
      <c r="N213" s="104" t="str">
        <f>IFERROR(F213*J213*VLOOKUP(H213,Materialtabell[[#All],[Materialnamn]:[Emissionsfaktor 2025
kg CO2e/kg]],6,0),"")</f>
        <v/>
      </c>
      <c r="O213" s="78" t="str">
        <f>IFERROR(VLOOKUP(H213,Materialtabell[[#All],[Materialnamn]:[Kommentar A4]],24,0),"")</f>
        <v/>
      </c>
      <c r="P213" s="94" t="str">
        <f>IFERROR(($F213*$J213*$O213*VLOOKUP($H213,Materialtabell[[#All],[Materialnamn]:[Bränsle 
MJ/ton, km]],25,0)*Materiallista!$AF$5)/1000,"")</f>
        <v/>
      </c>
      <c r="Q213" s="94" t="str">
        <f>IFERROR(($F213*$J213*$O213*VLOOKUP($H213,Materialtabell[[#All],[Materialnamn]:[Bränsle 
MJ/ton, km]],25,0)*Materiallista!$AF$6)/1000,"")</f>
        <v/>
      </c>
      <c r="R213" s="162"/>
      <c r="S213" s="3"/>
      <c r="T213" s="3"/>
    </row>
    <row r="214" spans="1:20" x14ac:dyDescent="0.25">
      <c r="A214" s="3"/>
      <c r="B214" s="185">
        <v>209</v>
      </c>
      <c r="C214" s="170"/>
      <c r="D214" s="103"/>
      <c r="E214" s="103"/>
      <c r="F214" s="78"/>
      <c r="G214" s="103"/>
      <c r="H214" s="102"/>
      <c r="I214" s="105" t="str">
        <f>IFERROR(VLOOKUP(KalkylStart[[#This Row],[Klimatmaterial]],Materialtabell[[#All],[Materialnamn]:[Materialtyp]],2,0),"")</f>
        <v/>
      </c>
      <c r="J214" s="104" t="str">
        <f>IFERROR(IF(G214="kg",1,IF(G214="ton",1000,IF(G214=RIGHT(VLOOKUP(H214,Materialtabell[[#All],[Materialnamn]:[Enhet]],4,0),LEN(VLOOKUP(H214,Materialtabell[[#All],[Materialnamn]:[Enhet]],4,0))-3),VLOOKUP(H214,Materialtabell[[#All],[Materialnamn]:[Enhet]],3,0),"Enhetsfel"))),"")</f>
        <v/>
      </c>
      <c r="K214" s="105" t="str">
        <f>IFERROR(IF(G214="kg","kg/kg",IF(G214="ton","kg/ton",IF(RIGHT(VLOOKUP(H214,Materialtabell[[#All],[Materialnamn]:[Enhet]],4,0),LEN(VLOOKUP(H214,Materialtabell[[#All],[Materialnamn]:[Enhet]],4,0))-3)=G214,VLOOKUP(H214,Materialtabell[[#All],[Materialnamn]:[Enhet]],4,0),"kg/ton/"&amp;RIGHT(VLOOKUP(H214,Materialtabell[[#All],[Materialnamn]:[Enhet]],4,0),LEN(VLOOKUP(H214,Materialtabell[[#All],[Materialnamn]:[Enhet]],4,0))-3)))),"")</f>
        <v/>
      </c>
      <c r="L214" s="104" t="str">
        <f>IFERROR(KalkylStart[[#This Row],[Mängd]]*KalkylStart[[#This Row],[Omräknings-faktor]],"")</f>
        <v/>
      </c>
      <c r="M214" s="104" t="str">
        <f>IFERROR(F214*J214*VLOOKUP(H214,Materialtabell[[#All],[Materialnamn]:[Emissionsfaktor 2019
kg CO2e/kg]],5,0),"")</f>
        <v/>
      </c>
      <c r="N214" s="104" t="str">
        <f>IFERROR(F214*J214*VLOOKUP(H214,Materialtabell[[#All],[Materialnamn]:[Emissionsfaktor 2025
kg CO2e/kg]],6,0),"")</f>
        <v/>
      </c>
      <c r="O214" s="78" t="str">
        <f>IFERROR(VLOOKUP(H214,Materialtabell[[#All],[Materialnamn]:[Kommentar A4]],24,0),"")</f>
        <v/>
      </c>
      <c r="P214" s="94" t="str">
        <f>IFERROR(($F214*$J214*$O214*VLOOKUP($H214,Materialtabell[[#All],[Materialnamn]:[Bränsle 
MJ/ton, km]],25,0)*Materiallista!$AF$5)/1000,"")</f>
        <v/>
      </c>
      <c r="Q214" s="94" t="str">
        <f>IFERROR(($F214*$J214*$O214*VLOOKUP($H214,Materialtabell[[#All],[Materialnamn]:[Bränsle 
MJ/ton, km]],25,0)*Materiallista!$AF$6)/1000,"")</f>
        <v/>
      </c>
      <c r="R214" s="162"/>
      <c r="S214" s="3"/>
      <c r="T214" s="3"/>
    </row>
    <row r="215" spans="1:20" x14ac:dyDescent="0.25">
      <c r="A215" s="3"/>
      <c r="B215" s="185">
        <v>210</v>
      </c>
      <c r="C215" s="170"/>
      <c r="D215" s="103"/>
      <c r="E215" s="103"/>
      <c r="F215" s="78"/>
      <c r="G215" s="103"/>
      <c r="H215" s="102"/>
      <c r="I215" s="105" t="str">
        <f>IFERROR(VLOOKUP(KalkylStart[[#This Row],[Klimatmaterial]],Materialtabell[[#All],[Materialnamn]:[Materialtyp]],2,0),"")</f>
        <v/>
      </c>
      <c r="J215" s="104" t="str">
        <f>IFERROR(IF(G215="kg",1,IF(G215="ton",1000,IF(G215=RIGHT(VLOOKUP(H215,Materialtabell[[#All],[Materialnamn]:[Enhet]],4,0),LEN(VLOOKUP(H215,Materialtabell[[#All],[Materialnamn]:[Enhet]],4,0))-3),VLOOKUP(H215,Materialtabell[[#All],[Materialnamn]:[Enhet]],3,0),"Enhetsfel"))),"")</f>
        <v/>
      </c>
      <c r="K215" s="105" t="str">
        <f>IFERROR(IF(G215="kg","kg/kg",IF(G215="ton","kg/ton",IF(RIGHT(VLOOKUP(H215,Materialtabell[[#All],[Materialnamn]:[Enhet]],4,0),LEN(VLOOKUP(H215,Materialtabell[[#All],[Materialnamn]:[Enhet]],4,0))-3)=G215,VLOOKUP(H215,Materialtabell[[#All],[Materialnamn]:[Enhet]],4,0),"kg/ton/"&amp;RIGHT(VLOOKUP(H215,Materialtabell[[#All],[Materialnamn]:[Enhet]],4,0),LEN(VLOOKUP(H215,Materialtabell[[#All],[Materialnamn]:[Enhet]],4,0))-3)))),"")</f>
        <v/>
      </c>
      <c r="L215" s="104" t="str">
        <f>IFERROR(KalkylStart[[#This Row],[Mängd]]*KalkylStart[[#This Row],[Omräknings-faktor]],"")</f>
        <v/>
      </c>
      <c r="M215" s="104" t="str">
        <f>IFERROR(F215*J215*VLOOKUP(H215,Materialtabell[[#All],[Materialnamn]:[Emissionsfaktor 2019
kg CO2e/kg]],5,0),"")</f>
        <v/>
      </c>
      <c r="N215" s="104" t="str">
        <f>IFERROR(F215*J215*VLOOKUP(H215,Materialtabell[[#All],[Materialnamn]:[Emissionsfaktor 2025
kg CO2e/kg]],6,0),"")</f>
        <v/>
      </c>
      <c r="O215" s="78" t="str">
        <f>IFERROR(VLOOKUP(H215,Materialtabell[[#All],[Materialnamn]:[Kommentar A4]],24,0),"")</f>
        <v/>
      </c>
      <c r="P215" s="94" t="str">
        <f>IFERROR(($F215*$J215*$O215*VLOOKUP($H215,Materialtabell[[#All],[Materialnamn]:[Bränsle 
MJ/ton, km]],25,0)*Materiallista!$AF$5)/1000,"")</f>
        <v/>
      </c>
      <c r="Q215" s="94" t="str">
        <f>IFERROR(($F215*$J215*$O215*VLOOKUP($H215,Materialtabell[[#All],[Materialnamn]:[Bränsle 
MJ/ton, km]],25,0)*Materiallista!$AF$6)/1000,"")</f>
        <v/>
      </c>
      <c r="R215" s="162"/>
      <c r="S215" s="3"/>
      <c r="T215" s="3"/>
    </row>
    <row r="216" spans="1:20" x14ac:dyDescent="0.25">
      <c r="A216" s="3"/>
      <c r="B216" s="185">
        <v>211</v>
      </c>
      <c r="C216" s="170"/>
      <c r="D216" s="103"/>
      <c r="E216" s="103"/>
      <c r="F216" s="78"/>
      <c r="G216" s="103"/>
      <c r="H216" s="102"/>
      <c r="I216" s="105" t="str">
        <f>IFERROR(VLOOKUP(KalkylStart[[#This Row],[Klimatmaterial]],Materialtabell[[#All],[Materialnamn]:[Materialtyp]],2,0),"")</f>
        <v/>
      </c>
      <c r="J216" s="104" t="str">
        <f>IFERROR(IF(G216="kg",1,IF(G216="ton",1000,IF(G216=RIGHT(VLOOKUP(H216,Materialtabell[[#All],[Materialnamn]:[Enhet]],4,0),LEN(VLOOKUP(H216,Materialtabell[[#All],[Materialnamn]:[Enhet]],4,0))-3),VLOOKUP(H216,Materialtabell[[#All],[Materialnamn]:[Enhet]],3,0),"Enhetsfel"))),"")</f>
        <v/>
      </c>
      <c r="K216" s="105" t="str">
        <f>IFERROR(IF(G216="kg","kg/kg",IF(G216="ton","kg/ton",IF(RIGHT(VLOOKUP(H216,Materialtabell[[#All],[Materialnamn]:[Enhet]],4,0),LEN(VLOOKUP(H216,Materialtabell[[#All],[Materialnamn]:[Enhet]],4,0))-3)=G216,VLOOKUP(H216,Materialtabell[[#All],[Materialnamn]:[Enhet]],4,0),"kg/ton/"&amp;RIGHT(VLOOKUP(H216,Materialtabell[[#All],[Materialnamn]:[Enhet]],4,0),LEN(VLOOKUP(H216,Materialtabell[[#All],[Materialnamn]:[Enhet]],4,0))-3)))),"")</f>
        <v/>
      </c>
      <c r="L216" s="104" t="str">
        <f>IFERROR(KalkylStart[[#This Row],[Mängd]]*KalkylStart[[#This Row],[Omräknings-faktor]],"")</f>
        <v/>
      </c>
      <c r="M216" s="104" t="str">
        <f>IFERROR(F216*J216*VLOOKUP(H216,Materialtabell[[#All],[Materialnamn]:[Emissionsfaktor 2019
kg CO2e/kg]],5,0),"")</f>
        <v/>
      </c>
      <c r="N216" s="104" t="str">
        <f>IFERROR(F216*J216*VLOOKUP(H216,Materialtabell[[#All],[Materialnamn]:[Emissionsfaktor 2025
kg CO2e/kg]],6,0),"")</f>
        <v/>
      </c>
      <c r="O216" s="78" t="str">
        <f>IFERROR(VLOOKUP(H216,Materialtabell[[#All],[Materialnamn]:[Kommentar A4]],24,0),"")</f>
        <v/>
      </c>
      <c r="P216" s="94" t="str">
        <f>IFERROR(($F216*$J216*$O216*VLOOKUP($H216,Materialtabell[[#All],[Materialnamn]:[Bränsle 
MJ/ton, km]],25,0)*Materiallista!$AF$5)/1000,"")</f>
        <v/>
      </c>
      <c r="Q216" s="94" t="str">
        <f>IFERROR(($F216*$J216*$O216*VLOOKUP($H216,Materialtabell[[#All],[Materialnamn]:[Bränsle 
MJ/ton, km]],25,0)*Materiallista!$AF$6)/1000,"")</f>
        <v/>
      </c>
      <c r="R216" s="162"/>
      <c r="S216" s="3"/>
      <c r="T216" s="3"/>
    </row>
    <row r="217" spans="1:20" x14ac:dyDescent="0.25">
      <c r="A217" s="3"/>
      <c r="B217" s="185">
        <v>212</v>
      </c>
      <c r="C217" s="170"/>
      <c r="D217" s="103"/>
      <c r="E217" s="103"/>
      <c r="F217" s="78"/>
      <c r="G217" s="103"/>
      <c r="H217" s="102"/>
      <c r="I217" s="105" t="str">
        <f>IFERROR(VLOOKUP(KalkylStart[[#This Row],[Klimatmaterial]],Materialtabell[[#All],[Materialnamn]:[Materialtyp]],2,0),"")</f>
        <v/>
      </c>
      <c r="J217" s="104" t="str">
        <f>IFERROR(IF(G217="kg",1,IF(G217="ton",1000,IF(G217=RIGHT(VLOOKUP(H217,Materialtabell[[#All],[Materialnamn]:[Enhet]],4,0),LEN(VLOOKUP(H217,Materialtabell[[#All],[Materialnamn]:[Enhet]],4,0))-3),VLOOKUP(H217,Materialtabell[[#All],[Materialnamn]:[Enhet]],3,0),"Enhetsfel"))),"")</f>
        <v/>
      </c>
      <c r="K217" s="105" t="str">
        <f>IFERROR(IF(G217="kg","kg/kg",IF(G217="ton","kg/ton",IF(RIGHT(VLOOKUP(H217,Materialtabell[[#All],[Materialnamn]:[Enhet]],4,0),LEN(VLOOKUP(H217,Materialtabell[[#All],[Materialnamn]:[Enhet]],4,0))-3)=G217,VLOOKUP(H217,Materialtabell[[#All],[Materialnamn]:[Enhet]],4,0),"kg/ton/"&amp;RIGHT(VLOOKUP(H217,Materialtabell[[#All],[Materialnamn]:[Enhet]],4,0),LEN(VLOOKUP(H217,Materialtabell[[#All],[Materialnamn]:[Enhet]],4,0))-3)))),"")</f>
        <v/>
      </c>
      <c r="L217" s="104" t="str">
        <f>IFERROR(KalkylStart[[#This Row],[Mängd]]*KalkylStart[[#This Row],[Omräknings-faktor]],"")</f>
        <v/>
      </c>
      <c r="M217" s="104" t="str">
        <f>IFERROR(F217*J217*VLOOKUP(H217,Materialtabell[[#All],[Materialnamn]:[Emissionsfaktor 2019
kg CO2e/kg]],5,0),"")</f>
        <v/>
      </c>
      <c r="N217" s="104" t="str">
        <f>IFERROR(F217*J217*VLOOKUP(H217,Materialtabell[[#All],[Materialnamn]:[Emissionsfaktor 2025
kg CO2e/kg]],6,0),"")</f>
        <v/>
      </c>
      <c r="O217" s="78" t="str">
        <f>IFERROR(VLOOKUP(H217,Materialtabell[[#All],[Materialnamn]:[Kommentar A4]],24,0),"")</f>
        <v/>
      </c>
      <c r="P217" s="94" t="str">
        <f>IFERROR(($F217*$J217*$O217*VLOOKUP($H217,Materialtabell[[#All],[Materialnamn]:[Bränsle 
MJ/ton, km]],25,0)*Materiallista!$AF$5)/1000,"")</f>
        <v/>
      </c>
      <c r="Q217" s="94" t="str">
        <f>IFERROR(($F217*$J217*$O217*VLOOKUP($H217,Materialtabell[[#All],[Materialnamn]:[Bränsle 
MJ/ton, km]],25,0)*Materiallista!$AF$6)/1000,"")</f>
        <v/>
      </c>
      <c r="R217" s="162"/>
      <c r="S217" s="3"/>
      <c r="T217" s="3"/>
    </row>
    <row r="218" spans="1:20" x14ac:dyDescent="0.25">
      <c r="A218" s="3"/>
      <c r="B218" s="185">
        <v>213</v>
      </c>
      <c r="C218" s="170"/>
      <c r="D218" s="103"/>
      <c r="E218" s="103"/>
      <c r="F218" s="78"/>
      <c r="G218" s="103"/>
      <c r="H218" s="102"/>
      <c r="I218" s="105" t="str">
        <f>IFERROR(VLOOKUP(KalkylStart[[#This Row],[Klimatmaterial]],Materialtabell[[#All],[Materialnamn]:[Materialtyp]],2,0),"")</f>
        <v/>
      </c>
      <c r="J218" s="104" t="str">
        <f>IFERROR(IF(G218="kg",1,IF(G218="ton",1000,IF(G218=RIGHT(VLOOKUP(H218,Materialtabell[[#All],[Materialnamn]:[Enhet]],4,0),LEN(VLOOKUP(H218,Materialtabell[[#All],[Materialnamn]:[Enhet]],4,0))-3),VLOOKUP(H218,Materialtabell[[#All],[Materialnamn]:[Enhet]],3,0),"Enhetsfel"))),"")</f>
        <v/>
      </c>
      <c r="K218" s="105" t="str">
        <f>IFERROR(IF(G218="kg","kg/kg",IF(G218="ton","kg/ton",IF(RIGHT(VLOOKUP(H218,Materialtabell[[#All],[Materialnamn]:[Enhet]],4,0),LEN(VLOOKUP(H218,Materialtabell[[#All],[Materialnamn]:[Enhet]],4,0))-3)=G218,VLOOKUP(H218,Materialtabell[[#All],[Materialnamn]:[Enhet]],4,0),"kg/ton/"&amp;RIGHT(VLOOKUP(H218,Materialtabell[[#All],[Materialnamn]:[Enhet]],4,0),LEN(VLOOKUP(H218,Materialtabell[[#All],[Materialnamn]:[Enhet]],4,0))-3)))),"")</f>
        <v/>
      </c>
      <c r="L218" s="104" t="str">
        <f>IFERROR(KalkylStart[[#This Row],[Mängd]]*KalkylStart[[#This Row],[Omräknings-faktor]],"")</f>
        <v/>
      </c>
      <c r="M218" s="104" t="str">
        <f>IFERROR(F218*J218*VLOOKUP(H218,Materialtabell[[#All],[Materialnamn]:[Emissionsfaktor 2019
kg CO2e/kg]],5,0),"")</f>
        <v/>
      </c>
      <c r="N218" s="104" t="str">
        <f>IFERROR(F218*J218*VLOOKUP(H218,Materialtabell[[#All],[Materialnamn]:[Emissionsfaktor 2025
kg CO2e/kg]],6,0),"")</f>
        <v/>
      </c>
      <c r="O218" s="78" t="str">
        <f>IFERROR(VLOOKUP(H218,Materialtabell[[#All],[Materialnamn]:[Kommentar A4]],24,0),"")</f>
        <v/>
      </c>
      <c r="P218" s="94" t="str">
        <f>IFERROR(($F218*$J218*$O218*VLOOKUP($H218,Materialtabell[[#All],[Materialnamn]:[Bränsle 
MJ/ton, km]],25,0)*Materiallista!$AF$5)/1000,"")</f>
        <v/>
      </c>
      <c r="Q218" s="94" t="str">
        <f>IFERROR(($F218*$J218*$O218*VLOOKUP($H218,Materialtabell[[#All],[Materialnamn]:[Bränsle 
MJ/ton, km]],25,0)*Materiallista!$AF$6)/1000,"")</f>
        <v/>
      </c>
      <c r="R218" s="162"/>
      <c r="S218" s="3"/>
      <c r="T218" s="3"/>
    </row>
    <row r="219" spans="1:20" x14ac:dyDescent="0.25">
      <c r="A219" s="3"/>
      <c r="B219" s="185">
        <v>214</v>
      </c>
      <c r="C219" s="170"/>
      <c r="D219" s="103"/>
      <c r="E219" s="103"/>
      <c r="F219" s="78"/>
      <c r="G219" s="103"/>
      <c r="H219" s="102"/>
      <c r="I219" s="105" t="str">
        <f>IFERROR(VLOOKUP(KalkylStart[[#This Row],[Klimatmaterial]],Materialtabell[[#All],[Materialnamn]:[Materialtyp]],2,0),"")</f>
        <v/>
      </c>
      <c r="J219" s="104" t="str">
        <f>IFERROR(IF(G219="kg",1,IF(G219="ton",1000,IF(G219=RIGHT(VLOOKUP(H219,Materialtabell[[#All],[Materialnamn]:[Enhet]],4,0),LEN(VLOOKUP(H219,Materialtabell[[#All],[Materialnamn]:[Enhet]],4,0))-3),VLOOKUP(H219,Materialtabell[[#All],[Materialnamn]:[Enhet]],3,0),"Enhetsfel"))),"")</f>
        <v/>
      </c>
      <c r="K219" s="105" t="str">
        <f>IFERROR(IF(G219="kg","kg/kg",IF(G219="ton","kg/ton",IF(RIGHT(VLOOKUP(H219,Materialtabell[[#All],[Materialnamn]:[Enhet]],4,0),LEN(VLOOKUP(H219,Materialtabell[[#All],[Materialnamn]:[Enhet]],4,0))-3)=G219,VLOOKUP(H219,Materialtabell[[#All],[Materialnamn]:[Enhet]],4,0),"kg/ton/"&amp;RIGHT(VLOOKUP(H219,Materialtabell[[#All],[Materialnamn]:[Enhet]],4,0),LEN(VLOOKUP(H219,Materialtabell[[#All],[Materialnamn]:[Enhet]],4,0))-3)))),"")</f>
        <v/>
      </c>
      <c r="L219" s="104" t="str">
        <f>IFERROR(KalkylStart[[#This Row],[Mängd]]*KalkylStart[[#This Row],[Omräknings-faktor]],"")</f>
        <v/>
      </c>
      <c r="M219" s="104" t="str">
        <f>IFERROR(F219*J219*VLOOKUP(H219,Materialtabell[[#All],[Materialnamn]:[Emissionsfaktor 2019
kg CO2e/kg]],5,0),"")</f>
        <v/>
      </c>
      <c r="N219" s="104" t="str">
        <f>IFERROR(F219*J219*VLOOKUP(H219,Materialtabell[[#All],[Materialnamn]:[Emissionsfaktor 2025
kg CO2e/kg]],6,0),"")</f>
        <v/>
      </c>
      <c r="O219" s="78" t="str">
        <f>IFERROR(VLOOKUP(H219,Materialtabell[[#All],[Materialnamn]:[Kommentar A4]],24,0),"")</f>
        <v/>
      </c>
      <c r="P219" s="94" t="str">
        <f>IFERROR(($F219*$J219*$O219*VLOOKUP($H219,Materialtabell[[#All],[Materialnamn]:[Bränsle 
MJ/ton, km]],25,0)*Materiallista!$AF$5)/1000,"")</f>
        <v/>
      </c>
      <c r="Q219" s="94" t="str">
        <f>IFERROR(($F219*$J219*$O219*VLOOKUP($H219,Materialtabell[[#All],[Materialnamn]:[Bränsle 
MJ/ton, km]],25,0)*Materiallista!$AF$6)/1000,"")</f>
        <v/>
      </c>
      <c r="R219" s="162"/>
      <c r="S219" s="3"/>
      <c r="T219" s="3"/>
    </row>
    <row r="220" spans="1:20" x14ac:dyDescent="0.25">
      <c r="A220" s="3"/>
      <c r="B220" s="185">
        <v>215</v>
      </c>
      <c r="C220" s="170"/>
      <c r="D220" s="103"/>
      <c r="E220" s="103"/>
      <c r="F220" s="78"/>
      <c r="G220" s="103"/>
      <c r="H220" s="102"/>
      <c r="I220" s="105" t="str">
        <f>IFERROR(VLOOKUP(KalkylStart[[#This Row],[Klimatmaterial]],Materialtabell[[#All],[Materialnamn]:[Materialtyp]],2,0),"")</f>
        <v/>
      </c>
      <c r="J220" s="104" t="str">
        <f>IFERROR(IF(G220="kg",1,IF(G220="ton",1000,IF(G220=RIGHT(VLOOKUP(H220,Materialtabell[[#All],[Materialnamn]:[Enhet]],4,0),LEN(VLOOKUP(H220,Materialtabell[[#All],[Materialnamn]:[Enhet]],4,0))-3),VLOOKUP(H220,Materialtabell[[#All],[Materialnamn]:[Enhet]],3,0),"Enhetsfel"))),"")</f>
        <v/>
      </c>
      <c r="K220" s="105" t="str">
        <f>IFERROR(IF(G220="kg","kg/kg",IF(G220="ton","kg/ton",IF(RIGHT(VLOOKUP(H220,Materialtabell[[#All],[Materialnamn]:[Enhet]],4,0),LEN(VLOOKUP(H220,Materialtabell[[#All],[Materialnamn]:[Enhet]],4,0))-3)=G220,VLOOKUP(H220,Materialtabell[[#All],[Materialnamn]:[Enhet]],4,0),"kg/ton/"&amp;RIGHT(VLOOKUP(H220,Materialtabell[[#All],[Materialnamn]:[Enhet]],4,0),LEN(VLOOKUP(H220,Materialtabell[[#All],[Materialnamn]:[Enhet]],4,0))-3)))),"")</f>
        <v/>
      </c>
      <c r="L220" s="104" t="str">
        <f>IFERROR(KalkylStart[[#This Row],[Mängd]]*KalkylStart[[#This Row],[Omräknings-faktor]],"")</f>
        <v/>
      </c>
      <c r="M220" s="104" t="str">
        <f>IFERROR(F220*J220*VLOOKUP(H220,Materialtabell[[#All],[Materialnamn]:[Emissionsfaktor 2019
kg CO2e/kg]],5,0),"")</f>
        <v/>
      </c>
      <c r="N220" s="104" t="str">
        <f>IFERROR(F220*J220*VLOOKUP(H220,Materialtabell[[#All],[Materialnamn]:[Emissionsfaktor 2025
kg CO2e/kg]],6,0),"")</f>
        <v/>
      </c>
      <c r="O220" s="78" t="str">
        <f>IFERROR(VLOOKUP(H220,Materialtabell[[#All],[Materialnamn]:[Kommentar A4]],24,0),"")</f>
        <v/>
      </c>
      <c r="P220" s="94" t="str">
        <f>IFERROR(($F220*$J220*$O220*VLOOKUP($H220,Materialtabell[[#All],[Materialnamn]:[Bränsle 
MJ/ton, km]],25,0)*Materiallista!$AF$5)/1000,"")</f>
        <v/>
      </c>
      <c r="Q220" s="94" t="str">
        <f>IFERROR(($F220*$J220*$O220*VLOOKUP($H220,Materialtabell[[#All],[Materialnamn]:[Bränsle 
MJ/ton, km]],25,0)*Materiallista!$AF$6)/1000,"")</f>
        <v/>
      </c>
      <c r="R220" s="162"/>
      <c r="S220" s="3"/>
      <c r="T220" s="3"/>
    </row>
    <row r="221" spans="1:20" x14ac:dyDescent="0.25">
      <c r="A221" s="3"/>
      <c r="B221" s="185">
        <v>216</v>
      </c>
      <c r="C221" s="170"/>
      <c r="D221" s="103"/>
      <c r="E221" s="103"/>
      <c r="F221" s="78"/>
      <c r="G221" s="103"/>
      <c r="H221" s="102"/>
      <c r="I221" s="105" t="str">
        <f>IFERROR(VLOOKUP(KalkylStart[[#This Row],[Klimatmaterial]],Materialtabell[[#All],[Materialnamn]:[Materialtyp]],2,0),"")</f>
        <v/>
      </c>
      <c r="J221" s="104" t="str">
        <f>IFERROR(IF(G221="kg",1,IF(G221="ton",1000,IF(G221=RIGHT(VLOOKUP(H221,Materialtabell[[#All],[Materialnamn]:[Enhet]],4,0),LEN(VLOOKUP(H221,Materialtabell[[#All],[Materialnamn]:[Enhet]],4,0))-3),VLOOKUP(H221,Materialtabell[[#All],[Materialnamn]:[Enhet]],3,0),"Enhetsfel"))),"")</f>
        <v/>
      </c>
      <c r="K221" s="105" t="str">
        <f>IFERROR(IF(G221="kg","kg/kg",IF(G221="ton","kg/ton",IF(RIGHT(VLOOKUP(H221,Materialtabell[[#All],[Materialnamn]:[Enhet]],4,0),LEN(VLOOKUP(H221,Materialtabell[[#All],[Materialnamn]:[Enhet]],4,0))-3)=G221,VLOOKUP(H221,Materialtabell[[#All],[Materialnamn]:[Enhet]],4,0),"kg/ton/"&amp;RIGHT(VLOOKUP(H221,Materialtabell[[#All],[Materialnamn]:[Enhet]],4,0),LEN(VLOOKUP(H221,Materialtabell[[#All],[Materialnamn]:[Enhet]],4,0))-3)))),"")</f>
        <v/>
      </c>
      <c r="L221" s="104" t="str">
        <f>IFERROR(KalkylStart[[#This Row],[Mängd]]*KalkylStart[[#This Row],[Omräknings-faktor]],"")</f>
        <v/>
      </c>
      <c r="M221" s="104" t="str">
        <f>IFERROR(F221*J221*VLOOKUP(H221,Materialtabell[[#All],[Materialnamn]:[Emissionsfaktor 2019
kg CO2e/kg]],5,0),"")</f>
        <v/>
      </c>
      <c r="N221" s="104" t="str">
        <f>IFERROR(F221*J221*VLOOKUP(H221,Materialtabell[[#All],[Materialnamn]:[Emissionsfaktor 2025
kg CO2e/kg]],6,0),"")</f>
        <v/>
      </c>
      <c r="O221" s="78" t="str">
        <f>IFERROR(VLOOKUP(H221,Materialtabell[[#All],[Materialnamn]:[Kommentar A4]],24,0),"")</f>
        <v/>
      </c>
      <c r="P221" s="94" t="str">
        <f>IFERROR(($F221*$J221*$O221*VLOOKUP($H221,Materialtabell[[#All],[Materialnamn]:[Bränsle 
MJ/ton, km]],25,0)*Materiallista!$AF$5)/1000,"")</f>
        <v/>
      </c>
      <c r="Q221" s="94" t="str">
        <f>IFERROR(($F221*$J221*$O221*VLOOKUP($H221,Materialtabell[[#All],[Materialnamn]:[Bränsle 
MJ/ton, km]],25,0)*Materiallista!$AF$6)/1000,"")</f>
        <v/>
      </c>
      <c r="R221" s="162"/>
      <c r="S221" s="3"/>
      <c r="T221" s="3"/>
    </row>
    <row r="222" spans="1:20" x14ac:dyDescent="0.25">
      <c r="A222" s="3"/>
      <c r="B222" s="185">
        <v>217</v>
      </c>
      <c r="C222" s="170"/>
      <c r="D222" s="103"/>
      <c r="E222" s="103"/>
      <c r="F222" s="78"/>
      <c r="G222" s="103"/>
      <c r="H222" s="102"/>
      <c r="I222" s="105" t="str">
        <f>IFERROR(VLOOKUP(KalkylStart[[#This Row],[Klimatmaterial]],Materialtabell[[#All],[Materialnamn]:[Materialtyp]],2,0),"")</f>
        <v/>
      </c>
      <c r="J222" s="104" t="str">
        <f>IFERROR(IF(G222="kg",1,IF(G222="ton",1000,IF(G222=RIGHT(VLOOKUP(H222,Materialtabell[[#All],[Materialnamn]:[Enhet]],4,0),LEN(VLOOKUP(H222,Materialtabell[[#All],[Materialnamn]:[Enhet]],4,0))-3),VLOOKUP(H222,Materialtabell[[#All],[Materialnamn]:[Enhet]],3,0),"Enhetsfel"))),"")</f>
        <v/>
      </c>
      <c r="K222" s="105" t="str">
        <f>IFERROR(IF(G222="kg","kg/kg",IF(G222="ton","kg/ton",IF(RIGHT(VLOOKUP(H222,Materialtabell[[#All],[Materialnamn]:[Enhet]],4,0),LEN(VLOOKUP(H222,Materialtabell[[#All],[Materialnamn]:[Enhet]],4,0))-3)=G222,VLOOKUP(H222,Materialtabell[[#All],[Materialnamn]:[Enhet]],4,0),"kg/ton/"&amp;RIGHT(VLOOKUP(H222,Materialtabell[[#All],[Materialnamn]:[Enhet]],4,0),LEN(VLOOKUP(H222,Materialtabell[[#All],[Materialnamn]:[Enhet]],4,0))-3)))),"")</f>
        <v/>
      </c>
      <c r="L222" s="104" t="str">
        <f>IFERROR(KalkylStart[[#This Row],[Mängd]]*KalkylStart[[#This Row],[Omräknings-faktor]],"")</f>
        <v/>
      </c>
      <c r="M222" s="104" t="str">
        <f>IFERROR(F222*J222*VLOOKUP(H222,Materialtabell[[#All],[Materialnamn]:[Emissionsfaktor 2019
kg CO2e/kg]],5,0),"")</f>
        <v/>
      </c>
      <c r="N222" s="104" t="str">
        <f>IFERROR(F222*J222*VLOOKUP(H222,Materialtabell[[#All],[Materialnamn]:[Emissionsfaktor 2025
kg CO2e/kg]],6,0),"")</f>
        <v/>
      </c>
      <c r="O222" s="78" t="str">
        <f>IFERROR(VLOOKUP(H222,Materialtabell[[#All],[Materialnamn]:[Kommentar A4]],24,0),"")</f>
        <v/>
      </c>
      <c r="P222" s="94" t="str">
        <f>IFERROR(($F222*$J222*$O222*VLOOKUP($H222,Materialtabell[[#All],[Materialnamn]:[Bränsle 
MJ/ton, km]],25,0)*Materiallista!$AF$5)/1000,"")</f>
        <v/>
      </c>
      <c r="Q222" s="94" t="str">
        <f>IFERROR(($F222*$J222*$O222*VLOOKUP($H222,Materialtabell[[#All],[Materialnamn]:[Bränsle 
MJ/ton, km]],25,0)*Materiallista!$AF$6)/1000,"")</f>
        <v/>
      </c>
      <c r="R222" s="162"/>
      <c r="S222" s="3"/>
      <c r="T222" s="3"/>
    </row>
    <row r="223" spans="1:20" x14ac:dyDescent="0.25">
      <c r="A223" s="3"/>
      <c r="B223" s="185">
        <v>218</v>
      </c>
      <c r="C223" s="170"/>
      <c r="D223" s="103"/>
      <c r="E223" s="103"/>
      <c r="F223" s="78"/>
      <c r="G223" s="103"/>
      <c r="H223" s="102"/>
      <c r="I223" s="105" t="str">
        <f>IFERROR(VLOOKUP(KalkylStart[[#This Row],[Klimatmaterial]],Materialtabell[[#All],[Materialnamn]:[Materialtyp]],2,0),"")</f>
        <v/>
      </c>
      <c r="J223" s="104" t="str">
        <f>IFERROR(IF(G223="kg",1,IF(G223="ton",1000,IF(G223=RIGHT(VLOOKUP(H223,Materialtabell[[#All],[Materialnamn]:[Enhet]],4,0),LEN(VLOOKUP(H223,Materialtabell[[#All],[Materialnamn]:[Enhet]],4,0))-3),VLOOKUP(H223,Materialtabell[[#All],[Materialnamn]:[Enhet]],3,0),"Enhetsfel"))),"")</f>
        <v/>
      </c>
      <c r="K223" s="105" t="str">
        <f>IFERROR(IF(G223="kg","kg/kg",IF(G223="ton","kg/ton",IF(RIGHT(VLOOKUP(H223,Materialtabell[[#All],[Materialnamn]:[Enhet]],4,0),LEN(VLOOKUP(H223,Materialtabell[[#All],[Materialnamn]:[Enhet]],4,0))-3)=G223,VLOOKUP(H223,Materialtabell[[#All],[Materialnamn]:[Enhet]],4,0),"kg/ton/"&amp;RIGHT(VLOOKUP(H223,Materialtabell[[#All],[Materialnamn]:[Enhet]],4,0),LEN(VLOOKUP(H223,Materialtabell[[#All],[Materialnamn]:[Enhet]],4,0))-3)))),"")</f>
        <v/>
      </c>
      <c r="L223" s="104" t="str">
        <f>IFERROR(KalkylStart[[#This Row],[Mängd]]*KalkylStart[[#This Row],[Omräknings-faktor]],"")</f>
        <v/>
      </c>
      <c r="M223" s="104" t="str">
        <f>IFERROR(F223*J223*VLOOKUP(H223,Materialtabell[[#All],[Materialnamn]:[Emissionsfaktor 2019
kg CO2e/kg]],5,0),"")</f>
        <v/>
      </c>
      <c r="N223" s="104" t="str">
        <f>IFERROR(F223*J223*VLOOKUP(H223,Materialtabell[[#All],[Materialnamn]:[Emissionsfaktor 2025
kg CO2e/kg]],6,0),"")</f>
        <v/>
      </c>
      <c r="O223" s="78" t="str">
        <f>IFERROR(VLOOKUP(H223,Materialtabell[[#All],[Materialnamn]:[Kommentar A4]],24,0),"")</f>
        <v/>
      </c>
      <c r="P223" s="94" t="str">
        <f>IFERROR(($F223*$J223*$O223*VLOOKUP($H223,Materialtabell[[#All],[Materialnamn]:[Bränsle 
MJ/ton, km]],25,0)*Materiallista!$AF$5)/1000,"")</f>
        <v/>
      </c>
      <c r="Q223" s="94" t="str">
        <f>IFERROR(($F223*$J223*$O223*VLOOKUP($H223,Materialtabell[[#All],[Materialnamn]:[Bränsle 
MJ/ton, km]],25,0)*Materiallista!$AF$6)/1000,"")</f>
        <v/>
      </c>
      <c r="R223" s="162"/>
      <c r="S223" s="3"/>
      <c r="T223" s="3"/>
    </row>
    <row r="224" spans="1:20" x14ac:dyDescent="0.25">
      <c r="A224" s="3"/>
      <c r="B224" s="185">
        <v>219</v>
      </c>
      <c r="C224" s="170"/>
      <c r="D224" s="103"/>
      <c r="E224" s="103"/>
      <c r="F224" s="78"/>
      <c r="G224" s="103"/>
      <c r="H224" s="102"/>
      <c r="I224" s="105" t="str">
        <f>IFERROR(VLOOKUP(KalkylStart[[#This Row],[Klimatmaterial]],Materialtabell[[#All],[Materialnamn]:[Materialtyp]],2,0),"")</f>
        <v/>
      </c>
      <c r="J224" s="104" t="str">
        <f>IFERROR(IF(G224="kg",1,IF(G224="ton",1000,IF(G224=RIGHT(VLOOKUP(H224,Materialtabell[[#All],[Materialnamn]:[Enhet]],4,0),LEN(VLOOKUP(H224,Materialtabell[[#All],[Materialnamn]:[Enhet]],4,0))-3),VLOOKUP(H224,Materialtabell[[#All],[Materialnamn]:[Enhet]],3,0),"Enhetsfel"))),"")</f>
        <v/>
      </c>
      <c r="K224" s="105" t="str">
        <f>IFERROR(IF(G224="kg","kg/kg",IF(G224="ton","kg/ton",IF(RIGHT(VLOOKUP(H224,Materialtabell[[#All],[Materialnamn]:[Enhet]],4,0),LEN(VLOOKUP(H224,Materialtabell[[#All],[Materialnamn]:[Enhet]],4,0))-3)=G224,VLOOKUP(H224,Materialtabell[[#All],[Materialnamn]:[Enhet]],4,0),"kg/ton/"&amp;RIGHT(VLOOKUP(H224,Materialtabell[[#All],[Materialnamn]:[Enhet]],4,0),LEN(VLOOKUP(H224,Materialtabell[[#All],[Materialnamn]:[Enhet]],4,0))-3)))),"")</f>
        <v/>
      </c>
      <c r="L224" s="104" t="str">
        <f>IFERROR(KalkylStart[[#This Row],[Mängd]]*KalkylStart[[#This Row],[Omräknings-faktor]],"")</f>
        <v/>
      </c>
      <c r="M224" s="104" t="str">
        <f>IFERROR(F224*J224*VLOOKUP(H224,Materialtabell[[#All],[Materialnamn]:[Emissionsfaktor 2019
kg CO2e/kg]],5,0),"")</f>
        <v/>
      </c>
      <c r="N224" s="104" t="str">
        <f>IFERROR(F224*J224*VLOOKUP(H224,Materialtabell[[#All],[Materialnamn]:[Emissionsfaktor 2025
kg CO2e/kg]],6,0),"")</f>
        <v/>
      </c>
      <c r="O224" s="78" t="str">
        <f>IFERROR(VLOOKUP(H224,Materialtabell[[#All],[Materialnamn]:[Kommentar A4]],24,0),"")</f>
        <v/>
      </c>
      <c r="P224" s="94" t="str">
        <f>IFERROR(($F224*$J224*$O224*VLOOKUP($H224,Materialtabell[[#All],[Materialnamn]:[Bränsle 
MJ/ton, km]],25,0)*Materiallista!$AF$5)/1000,"")</f>
        <v/>
      </c>
      <c r="Q224" s="94" t="str">
        <f>IFERROR(($F224*$J224*$O224*VLOOKUP($H224,Materialtabell[[#All],[Materialnamn]:[Bränsle 
MJ/ton, km]],25,0)*Materiallista!$AF$6)/1000,"")</f>
        <v/>
      </c>
      <c r="R224" s="162"/>
      <c r="S224" s="3"/>
      <c r="T224" s="3"/>
    </row>
    <row r="225" spans="1:20" x14ac:dyDescent="0.25">
      <c r="A225" s="3"/>
      <c r="B225" s="185">
        <v>220</v>
      </c>
      <c r="C225" s="170"/>
      <c r="D225" s="103"/>
      <c r="E225" s="103"/>
      <c r="F225" s="78"/>
      <c r="G225" s="103"/>
      <c r="H225" s="102"/>
      <c r="I225" s="105" t="str">
        <f>IFERROR(VLOOKUP(KalkylStart[[#This Row],[Klimatmaterial]],Materialtabell[[#All],[Materialnamn]:[Materialtyp]],2,0),"")</f>
        <v/>
      </c>
      <c r="J225" s="104" t="str">
        <f>IFERROR(IF(G225="kg",1,IF(G225="ton",1000,IF(G225=RIGHT(VLOOKUP(H225,Materialtabell[[#All],[Materialnamn]:[Enhet]],4,0),LEN(VLOOKUP(H225,Materialtabell[[#All],[Materialnamn]:[Enhet]],4,0))-3),VLOOKUP(H225,Materialtabell[[#All],[Materialnamn]:[Enhet]],3,0),"Enhetsfel"))),"")</f>
        <v/>
      </c>
      <c r="K225" s="105" t="str">
        <f>IFERROR(IF(G225="kg","kg/kg",IF(G225="ton","kg/ton",IF(RIGHT(VLOOKUP(H225,Materialtabell[[#All],[Materialnamn]:[Enhet]],4,0),LEN(VLOOKUP(H225,Materialtabell[[#All],[Materialnamn]:[Enhet]],4,0))-3)=G225,VLOOKUP(H225,Materialtabell[[#All],[Materialnamn]:[Enhet]],4,0),"kg/ton/"&amp;RIGHT(VLOOKUP(H225,Materialtabell[[#All],[Materialnamn]:[Enhet]],4,0),LEN(VLOOKUP(H225,Materialtabell[[#All],[Materialnamn]:[Enhet]],4,0))-3)))),"")</f>
        <v/>
      </c>
      <c r="L225" s="104" t="str">
        <f>IFERROR(KalkylStart[[#This Row],[Mängd]]*KalkylStart[[#This Row],[Omräknings-faktor]],"")</f>
        <v/>
      </c>
      <c r="M225" s="104" t="str">
        <f>IFERROR(F225*J225*VLOOKUP(H225,Materialtabell[[#All],[Materialnamn]:[Emissionsfaktor 2019
kg CO2e/kg]],5,0),"")</f>
        <v/>
      </c>
      <c r="N225" s="104" t="str">
        <f>IFERROR(F225*J225*VLOOKUP(H225,Materialtabell[[#All],[Materialnamn]:[Emissionsfaktor 2025
kg CO2e/kg]],6,0),"")</f>
        <v/>
      </c>
      <c r="O225" s="78" t="str">
        <f>IFERROR(VLOOKUP(H225,Materialtabell[[#All],[Materialnamn]:[Kommentar A4]],24,0),"")</f>
        <v/>
      </c>
      <c r="P225" s="94" t="str">
        <f>IFERROR(($F225*$J225*$O225*VLOOKUP($H225,Materialtabell[[#All],[Materialnamn]:[Bränsle 
MJ/ton, km]],25,0)*Materiallista!$AF$5)/1000,"")</f>
        <v/>
      </c>
      <c r="Q225" s="94" t="str">
        <f>IFERROR(($F225*$J225*$O225*VLOOKUP($H225,Materialtabell[[#All],[Materialnamn]:[Bränsle 
MJ/ton, km]],25,0)*Materiallista!$AF$6)/1000,"")</f>
        <v/>
      </c>
      <c r="R225" s="162"/>
      <c r="S225" s="3"/>
      <c r="T225" s="3"/>
    </row>
    <row r="226" spans="1:20" x14ac:dyDescent="0.25">
      <c r="A226" s="3"/>
      <c r="B226" s="185">
        <v>221</v>
      </c>
      <c r="C226" s="170"/>
      <c r="D226" s="103"/>
      <c r="E226" s="103"/>
      <c r="F226" s="78"/>
      <c r="G226" s="103"/>
      <c r="H226" s="102"/>
      <c r="I226" s="105" t="str">
        <f>IFERROR(VLOOKUP(KalkylStart[[#This Row],[Klimatmaterial]],Materialtabell[[#All],[Materialnamn]:[Materialtyp]],2,0),"")</f>
        <v/>
      </c>
      <c r="J226" s="104" t="str">
        <f>IFERROR(IF(G226="kg",1,IF(G226="ton",1000,IF(G226=RIGHT(VLOOKUP(H226,Materialtabell[[#All],[Materialnamn]:[Enhet]],4,0),LEN(VLOOKUP(H226,Materialtabell[[#All],[Materialnamn]:[Enhet]],4,0))-3),VLOOKUP(H226,Materialtabell[[#All],[Materialnamn]:[Enhet]],3,0),"Enhetsfel"))),"")</f>
        <v/>
      </c>
      <c r="K226" s="105" t="str">
        <f>IFERROR(IF(G226="kg","kg/kg",IF(G226="ton","kg/ton",IF(RIGHT(VLOOKUP(H226,Materialtabell[[#All],[Materialnamn]:[Enhet]],4,0),LEN(VLOOKUP(H226,Materialtabell[[#All],[Materialnamn]:[Enhet]],4,0))-3)=G226,VLOOKUP(H226,Materialtabell[[#All],[Materialnamn]:[Enhet]],4,0),"kg/ton/"&amp;RIGHT(VLOOKUP(H226,Materialtabell[[#All],[Materialnamn]:[Enhet]],4,0),LEN(VLOOKUP(H226,Materialtabell[[#All],[Materialnamn]:[Enhet]],4,0))-3)))),"")</f>
        <v/>
      </c>
      <c r="L226" s="104" t="str">
        <f>IFERROR(KalkylStart[[#This Row],[Mängd]]*KalkylStart[[#This Row],[Omräknings-faktor]],"")</f>
        <v/>
      </c>
      <c r="M226" s="104" t="str">
        <f>IFERROR(F226*J226*VLOOKUP(H226,Materialtabell[[#All],[Materialnamn]:[Emissionsfaktor 2019
kg CO2e/kg]],5,0),"")</f>
        <v/>
      </c>
      <c r="N226" s="104" t="str">
        <f>IFERROR(F226*J226*VLOOKUP(H226,Materialtabell[[#All],[Materialnamn]:[Emissionsfaktor 2025
kg CO2e/kg]],6,0),"")</f>
        <v/>
      </c>
      <c r="O226" s="78" t="str">
        <f>IFERROR(VLOOKUP(H226,Materialtabell[[#All],[Materialnamn]:[Kommentar A4]],24,0),"")</f>
        <v/>
      </c>
      <c r="P226" s="94" t="str">
        <f>IFERROR(($F226*$J226*$O226*VLOOKUP($H226,Materialtabell[[#All],[Materialnamn]:[Bränsle 
MJ/ton, km]],25,0)*Materiallista!$AF$5)/1000,"")</f>
        <v/>
      </c>
      <c r="Q226" s="94" t="str">
        <f>IFERROR(($F226*$J226*$O226*VLOOKUP($H226,Materialtabell[[#All],[Materialnamn]:[Bränsle 
MJ/ton, km]],25,0)*Materiallista!$AF$6)/1000,"")</f>
        <v/>
      </c>
      <c r="R226" s="162"/>
      <c r="S226" s="3"/>
      <c r="T226" s="3"/>
    </row>
    <row r="227" spans="1:20" x14ac:dyDescent="0.25">
      <c r="A227" s="3"/>
      <c r="B227" s="185">
        <v>222</v>
      </c>
      <c r="C227" s="170"/>
      <c r="D227" s="103"/>
      <c r="E227" s="103"/>
      <c r="F227" s="78"/>
      <c r="G227" s="103"/>
      <c r="H227" s="102"/>
      <c r="I227" s="105" t="str">
        <f>IFERROR(VLOOKUP(KalkylStart[[#This Row],[Klimatmaterial]],Materialtabell[[#All],[Materialnamn]:[Materialtyp]],2,0),"")</f>
        <v/>
      </c>
      <c r="J227" s="104" t="str">
        <f>IFERROR(IF(G227="kg",1,IF(G227="ton",1000,IF(G227=RIGHT(VLOOKUP(H227,Materialtabell[[#All],[Materialnamn]:[Enhet]],4,0),LEN(VLOOKUP(H227,Materialtabell[[#All],[Materialnamn]:[Enhet]],4,0))-3),VLOOKUP(H227,Materialtabell[[#All],[Materialnamn]:[Enhet]],3,0),"Enhetsfel"))),"")</f>
        <v/>
      </c>
      <c r="K227" s="105" t="str">
        <f>IFERROR(IF(G227="kg","kg/kg",IF(G227="ton","kg/ton",IF(RIGHT(VLOOKUP(H227,Materialtabell[[#All],[Materialnamn]:[Enhet]],4,0),LEN(VLOOKUP(H227,Materialtabell[[#All],[Materialnamn]:[Enhet]],4,0))-3)=G227,VLOOKUP(H227,Materialtabell[[#All],[Materialnamn]:[Enhet]],4,0),"kg/ton/"&amp;RIGHT(VLOOKUP(H227,Materialtabell[[#All],[Materialnamn]:[Enhet]],4,0),LEN(VLOOKUP(H227,Materialtabell[[#All],[Materialnamn]:[Enhet]],4,0))-3)))),"")</f>
        <v/>
      </c>
      <c r="L227" s="104" t="str">
        <f>IFERROR(KalkylStart[[#This Row],[Mängd]]*KalkylStart[[#This Row],[Omräknings-faktor]],"")</f>
        <v/>
      </c>
      <c r="M227" s="104" t="str">
        <f>IFERROR(F227*J227*VLOOKUP(H227,Materialtabell[[#All],[Materialnamn]:[Emissionsfaktor 2019
kg CO2e/kg]],5,0),"")</f>
        <v/>
      </c>
      <c r="N227" s="104" t="str">
        <f>IFERROR(F227*J227*VLOOKUP(H227,Materialtabell[[#All],[Materialnamn]:[Emissionsfaktor 2025
kg CO2e/kg]],6,0),"")</f>
        <v/>
      </c>
      <c r="O227" s="78" t="str">
        <f>IFERROR(VLOOKUP(H227,Materialtabell[[#All],[Materialnamn]:[Kommentar A4]],24,0),"")</f>
        <v/>
      </c>
      <c r="P227" s="94" t="str">
        <f>IFERROR(($F227*$J227*$O227*VLOOKUP($H227,Materialtabell[[#All],[Materialnamn]:[Bränsle 
MJ/ton, km]],25,0)*Materiallista!$AF$5)/1000,"")</f>
        <v/>
      </c>
      <c r="Q227" s="94" t="str">
        <f>IFERROR(($F227*$J227*$O227*VLOOKUP($H227,Materialtabell[[#All],[Materialnamn]:[Bränsle 
MJ/ton, km]],25,0)*Materiallista!$AF$6)/1000,"")</f>
        <v/>
      </c>
      <c r="R227" s="162"/>
      <c r="S227" s="3"/>
      <c r="T227" s="3"/>
    </row>
    <row r="228" spans="1:20" x14ac:dyDescent="0.25">
      <c r="A228" s="3"/>
      <c r="B228" s="185">
        <v>223</v>
      </c>
      <c r="C228" s="170"/>
      <c r="D228" s="103"/>
      <c r="E228" s="103"/>
      <c r="F228" s="78"/>
      <c r="G228" s="103"/>
      <c r="H228" s="102"/>
      <c r="I228" s="105" t="str">
        <f>IFERROR(VLOOKUP(KalkylStart[[#This Row],[Klimatmaterial]],Materialtabell[[#All],[Materialnamn]:[Materialtyp]],2,0),"")</f>
        <v/>
      </c>
      <c r="J228" s="104" t="str">
        <f>IFERROR(IF(G228="kg",1,IF(G228="ton",1000,IF(G228=RIGHT(VLOOKUP(H228,Materialtabell[[#All],[Materialnamn]:[Enhet]],4,0),LEN(VLOOKUP(H228,Materialtabell[[#All],[Materialnamn]:[Enhet]],4,0))-3),VLOOKUP(H228,Materialtabell[[#All],[Materialnamn]:[Enhet]],3,0),"Enhetsfel"))),"")</f>
        <v/>
      </c>
      <c r="K228" s="105" t="str">
        <f>IFERROR(IF(G228="kg","kg/kg",IF(G228="ton","kg/ton",IF(RIGHT(VLOOKUP(H228,Materialtabell[[#All],[Materialnamn]:[Enhet]],4,0),LEN(VLOOKUP(H228,Materialtabell[[#All],[Materialnamn]:[Enhet]],4,0))-3)=G228,VLOOKUP(H228,Materialtabell[[#All],[Materialnamn]:[Enhet]],4,0),"kg/ton/"&amp;RIGHT(VLOOKUP(H228,Materialtabell[[#All],[Materialnamn]:[Enhet]],4,0),LEN(VLOOKUP(H228,Materialtabell[[#All],[Materialnamn]:[Enhet]],4,0))-3)))),"")</f>
        <v/>
      </c>
      <c r="L228" s="104" t="str">
        <f>IFERROR(KalkylStart[[#This Row],[Mängd]]*KalkylStart[[#This Row],[Omräknings-faktor]],"")</f>
        <v/>
      </c>
      <c r="M228" s="104" t="str">
        <f>IFERROR(F228*J228*VLOOKUP(H228,Materialtabell[[#All],[Materialnamn]:[Emissionsfaktor 2019
kg CO2e/kg]],5,0),"")</f>
        <v/>
      </c>
      <c r="N228" s="104" t="str">
        <f>IFERROR(F228*J228*VLOOKUP(H228,Materialtabell[[#All],[Materialnamn]:[Emissionsfaktor 2025
kg CO2e/kg]],6,0),"")</f>
        <v/>
      </c>
      <c r="O228" s="78" t="str">
        <f>IFERROR(VLOOKUP(H228,Materialtabell[[#All],[Materialnamn]:[Kommentar A4]],24,0),"")</f>
        <v/>
      </c>
      <c r="P228" s="94" t="str">
        <f>IFERROR(($F228*$J228*$O228*VLOOKUP($H228,Materialtabell[[#All],[Materialnamn]:[Bränsle 
MJ/ton, km]],25,0)*Materiallista!$AF$5)/1000,"")</f>
        <v/>
      </c>
      <c r="Q228" s="94" t="str">
        <f>IFERROR(($F228*$J228*$O228*VLOOKUP($H228,Materialtabell[[#All],[Materialnamn]:[Bränsle 
MJ/ton, km]],25,0)*Materiallista!$AF$6)/1000,"")</f>
        <v/>
      </c>
      <c r="R228" s="162"/>
      <c r="S228" s="3"/>
      <c r="T228" s="3"/>
    </row>
    <row r="229" spans="1:20" x14ac:dyDescent="0.25">
      <c r="A229" s="3"/>
      <c r="B229" s="185">
        <v>224</v>
      </c>
      <c r="C229" s="170"/>
      <c r="D229" s="103"/>
      <c r="E229" s="103"/>
      <c r="F229" s="78"/>
      <c r="G229" s="103"/>
      <c r="H229" s="102"/>
      <c r="I229" s="105" t="str">
        <f>IFERROR(VLOOKUP(KalkylStart[[#This Row],[Klimatmaterial]],Materialtabell[[#All],[Materialnamn]:[Materialtyp]],2,0),"")</f>
        <v/>
      </c>
      <c r="J229" s="104" t="str">
        <f>IFERROR(IF(G229="kg",1,IF(G229="ton",1000,IF(G229=RIGHT(VLOOKUP(H229,Materialtabell[[#All],[Materialnamn]:[Enhet]],4,0),LEN(VLOOKUP(H229,Materialtabell[[#All],[Materialnamn]:[Enhet]],4,0))-3),VLOOKUP(H229,Materialtabell[[#All],[Materialnamn]:[Enhet]],3,0),"Enhetsfel"))),"")</f>
        <v/>
      </c>
      <c r="K229" s="105" t="str">
        <f>IFERROR(IF(G229="kg","kg/kg",IF(G229="ton","kg/ton",IF(RIGHT(VLOOKUP(H229,Materialtabell[[#All],[Materialnamn]:[Enhet]],4,0),LEN(VLOOKUP(H229,Materialtabell[[#All],[Materialnamn]:[Enhet]],4,0))-3)=G229,VLOOKUP(H229,Materialtabell[[#All],[Materialnamn]:[Enhet]],4,0),"kg/ton/"&amp;RIGHT(VLOOKUP(H229,Materialtabell[[#All],[Materialnamn]:[Enhet]],4,0),LEN(VLOOKUP(H229,Materialtabell[[#All],[Materialnamn]:[Enhet]],4,0))-3)))),"")</f>
        <v/>
      </c>
      <c r="L229" s="104" t="str">
        <f>IFERROR(KalkylStart[[#This Row],[Mängd]]*KalkylStart[[#This Row],[Omräknings-faktor]],"")</f>
        <v/>
      </c>
      <c r="M229" s="104" t="str">
        <f>IFERROR(F229*J229*VLOOKUP(H229,Materialtabell[[#All],[Materialnamn]:[Emissionsfaktor 2019
kg CO2e/kg]],5,0),"")</f>
        <v/>
      </c>
      <c r="N229" s="104" t="str">
        <f>IFERROR(F229*J229*VLOOKUP(H229,Materialtabell[[#All],[Materialnamn]:[Emissionsfaktor 2025
kg CO2e/kg]],6,0),"")</f>
        <v/>
      </c>
      <c r="O229" s="78" t="str">
        <f>IFERROR(VLOOKUP(H229,Materialtabell[[#All],[Materialnamn]:[Kommentar A4]],24,0),"")</f>
        <v/>
      </c>
      <c r="P229" s="94" t="str">
        <f>IFERROR(($F229*$J229*$O229*VLOOKUP($H229,Materialtabell[[#All],[Materialnamn]:[Bränsle 
MJ/ton, km]],25,0)*Materiallista!$AF$5)/1000,"")</f>
        <v/>
      </c>
      <c r="Q229" s="94" t="str">
        <f>IFERROR(($F229*$J229*$O229*VLOOKUP($H229,Materialtabell[[#All],[Materialnamn]:[Bränsle 
MJ/ton, km]],25,0)*Materiallista!$AF$6)/1000,"")</f>
        <v/>
      </c>
      <c r="R229" s="162"/>
      <c r="S229" s="3"/>
      <c r="T229" s="3"/>
    </row>
    <row r="230" spans="1:20" x14ac:dyDescent="0.25">
      <c r="A230" s="3"/>
      <c r="B230" s="185">
        <v>225</v>
      </c>
      <c r="C230" s="170"/>
      <c r="D230" s="103"/>
      <c r="E230" s="103"/>
      <c r="F230" s="78"/>
      <c r="G230" s="103"/>
      <c r="H230" s="102"/>
      <c r="I230" s="105" t="str">
        <f>IFERROR(VLOOKUP(KalkylStart[[#This Row],[Klimatmaterial]],Materialtabell[[#All],[Materialnamn]:[Materialtyp]],2,0),"")</f>
        <v/>
      </c>
      <c r="J230" s="104" t="str">
        <f>IFERROR(IF(G230="kg",1,IF(G230="ton",1000,IF(G230=RIGHT(VLOOKUP(H230,Materialtabell[[#All],[Materialnamn]:[Enhet]],4,0),LEN(VLOOKUP(H230,Materialtabell[[#All],[Materialnamn]:[Enhet]],4,0))-3),VLOOKUP(H230,Materialtabell[[#All],[Materialnamn]:[Enhet]],3,0),"Enhetsfel"))),"")</f>
        <v/>
      </c>
      <c r="K230" s="105" t="str">
        <f>IFERROR(IF(G230="kg","kg/kg",IF(G230="ton","kg/ton",IF(RIGHT(VLOOKUP(H230,Materialtabell[[#All],[Materialnamn]:[Enhet]],4,0),LEN(VLOOKUP(H230,Materialtabell[[#All],[Materialnamn]:[Enhet]],4,0))-3)=G230,VLOOKUP(H230,Materialtabell[[#All],[Materialnamn]:[Enhet]],4,0),"kg/ton/"&amp;RIGHT(VLOOKUP(H230,Materialtabell[[#All],[Materialnamn]:[Enhet]],4,0),LEN(VLOOKUP(H230,Materialtabell[[#All],[Materialnamn]:[Enhet]],4,0))-3)))),"")</f>
        <v/>
      </c>
      <c r="L230" s="104" t="str">
        <f>IFERROR(KalkylStart[[#This Row],[Mängd]]*KalkylStart[[#This Row],[Omräknings-faktor]],"")</f>
        <v/>
      </c>
      <c r="M230" s="104" t="str">
        <f>IFERROR(F230*J230*VLOOKUP(H230,Materialtabell[[#All],[Materialnamn]:[Emissionsfaktor 2019
kg CO2e/kg]],5,0),"")</f>
        <v/>
      </c>
      <c r="N230" s="104" t="str">
        <f>IFERROR(F230*J230*VLOOKUP(H230,Materialtabell[[#All],[Materialnamn]:[Emissionsfaktor 2025
kg CO2e/kg]],6,0),"")</f>
        <v/>
      </c>
      <c r="O230" s="78" t="str">
        <f>IFERROR(VLOOKUP(H230,Materialtabell[[#All],[Materialnamn]:[Kommentar A4]],24,0),"")</f>
        <v/>
      </c>
      <c r="P230" s="94" t="str">
        <f>IFERROR(($F230*$J230*$O230*VLOOKUP($H230,Materialtabell[[#All],[Materialnamn]:[Bränsle 
MJ/ton, km]],25,0)*Materiallista!$AF$5)/1000,"")</f>
        <v/>
      </c>
      <c r="Q230" s="94" t="str">
        <f>IFERROR(($F230*$J230*$O230*VLOOKUP($H230,Materialtabell[[#All],[Materialnamn]:[Bränsle 
MJ/ton, km]],25,0)*Materiallista!$AF$6)/1000,"")</f>
        <v/>
      </c>
      <c r="R230" s="162"/>
      <c r="S230" s="3"/>
      <c r="T230" s="3"/>
    </row>
    <row r="231" spans="1:20" x14ac:dyDescent="0.25">
      <c r="A231" s="3"/>
      <c r="B231" s="185">
        <v>226</v>
      </c>
      <c r="C231" s="170"/>
      <c r="D231" s="103"/>
      <c r="E231" s="103"/>
      <c r="F231" s="78"/>
      <c r="G231" s="103"/>
      <c r="H231" s="102"/>
      <c r="I231" s="105" t="str">
        <f>IFERROR(VLOOKUP(KalkylStart[[#This Row],[Klimatmaterial]],Materialtabell[[#All],[Materialnamn]:[Materialtyp]],2,0),"")</f>
        <v/>
      </c>
      <c r="J231" s="104" t="str">
        <f>IFERROR(IF(G231="kg",1,IF(G231="ton",1000,IF(G231=RIGHT(VLOOKUP(H231,Materialtabell[[#All],[Materialnamn]:[Enhet]],4,0),LEN(VLOOKUP(H231,Materialtabell[[#All],[Materialnamn]:[Enhet]],4,0))-3),VLOOKUP(H231,Materialtabell[[#All],[Materialnamn]:[Enhet]],3,0),"Enhetsfel"))),"")</f>
        <v/>
      </c>
      <c r="K231" s="105" t="str">
        <f>IFERROR(IF(G231="kg","kg/kg",IF(G231="ton","kg/ton",IF(RIGHT(VLOOKUP(H231,Materialtabell[[#All],[Materialnamn]:[Enhet]],4,0),LEN(VLOOKUP(H231,Materialtabell[[#All],[Materialnamn]:[Enhet]],4,0))-3)=G231,VLOOKUP(H231,Materialtabell[[#All],[Materialnamn]:[Enhet]],4,0),"kg/ton/"&amp;RIGHT(VLOOKUP(H231,Materialtabell[[#All],[Materialnamn]:[Enhet]],4,0),LEN(VLOOKUP(H231,Materialtabell[[#All],[Materialnamn]:[Enhet]],4,0))-3)))),"")</f>
        <v/>
      </c>
      <c r="L231" s="104" t="str">
        <f>IFERROR(KalkylStart[[#This Row],[Mängd]]*KalkylStart[[#This Row],[Omräknings-faktor]],"")</f>
        <v/>
      </c>
      <c r="M231" s="104" t="str">
        <f>IFERROR(F231*J231*VLOOKUP(H231,Materialtabell[[#All],[Materialnamn]:[Emissionsfaktor 2019
kg CO2e/kg]],5,0),"")</f>
        <v/>
      </c>
      <c r="N231" s="104" t="str">
        <f>IFERROR(F231*J231*VLOOKUP(H231,Materialtabell[[#All],[Materialnamn]:[Emissionsfaktor 2025
kg CO2e/kg]],6,0),"")</f>
        <v/>
      </c>
      <c r="O231" s="78" t="str">
        <f>IFERROR(VLOOKUP(H231,Materialtabell[[#All],[Materialnamn]:[Kommentar A4]],24,0),"")</f>
        <v/>
      </c>
      <c r="P231" s="94" t="str">
        <f>IFERROR(($F231*$J231*$O231*VLOOKUP($H231,Materialtabell[[#All],[Materialnamn]:[Bränsle 
MJ/ton, km]],25,0)*Materiallista!$AF$5)/1000,"")</f>
        <v/>
      </c>
      <c r="Q231" s="94" t="str">
        <f>IFERROR(($F231*$J231*$O231*VLOOKUP($H231,Materialtabell[[#All],[Materialnamn]:[Bränsle 
MJ/ton, km]],25,0)*Materiallista!$AF$6)/1000,"")</f>
        <v/>
      </c>
      <c r="R231" s="162"/>
      <c r="S231" s="3"/>
      <c r="T231" s="3"/>
    </row>
    <row r="232" spans="1:20" x14ac:dyDescent="0.25">
      <c r="A232" s="3"/>
      <c r="B232" s="185">
        <v>227</v>
      </c>
      <c r="C232" s="170"/>
      <c r="D232" s="103"/>
      <c r="E232" s="103"/>
      <c r="F232" s="78"/>
      <c r="G232" s="103"/>
      <c r="H232" s="102"/>
      <c r="I232" s="105" t="str">
        <f>IFERROR(VLOOKUP(KalkylStart[[#This Row],[Klimatmaterial]],Materialtabell[[#All],[Materialnamn]:[Materialtyp]],2,0),"")</f>
        <v/>
      </c>
      <c r="J232" s="104" t="str">
        <f>IFERROR(IF(G232="kg",1,IF(G232="ton",1000,IF(G232=RIGHT(VLOOKUP(H232,Materialtabell[[#All],[Materialnamn]:[Enhet]],4,0),LEN(VLOOKUP(H232,Materialtabell[[#All],[Materialnamn]:[Enhet]],4,0))-3),VLOOKUP(H232,Materialtabell[[#All],[Materialnamn]:[Enhet]],3,0),"Enhetsfel"))),"")</f>
        <v/>
      </c>
      <c r="K232" s="105" t="str">
        <f>IFERROR(IF(G232="kg","kg/kg",IF(G232="ton","kg/ton",IF(RIGHT(VLOOKUP(H232,Materialtabell[[#All],[Materialnamn]:[Enhet]],4,0),LEN(VLOOKUP(H232,Materialtabell[[#All],[Materialnamn]:[Enhet]],4,0))-3)=G232,VLOOKUP(H232,Materialtabell[[#All],[Materialnamn]:[Enhet]],4,0),"kg/ton/"&amp;RIGHT(VLOOKUP(H232,Materialtabell[[#All],[Materialnamn]:[Enhet]],4,0),LEN(VLOOKUP(H232,Materialtabell[[#All],[Materialnamn]:[Enhet]],4,0))-3)))),"")</f>
        <v/>
      </c>
      <c r="L232" s="104" t="str">
        <f>IFERROR(KalkylStart[[#This Row],[Mängd]]*KalkylStart[[#This Row],[Omräknings-faktor]],"")</f>
        <v/>
      </c>
      <c r="M232" s="104" t="str">
        <f>IFERROR(F232*J232*VLOOKUP(H232,Materialtabell[[#All],[Materialnamn]:[Emissionsfaktor 2019
kg CO2e/kg]],5,0),"")</f>
        <v/>
      </c>
      <c r="N232" s="104" t="str">
        <f>IFERROR(F232*J232*VLOOKUP(H232,Materialtabell[[#All],[Materialnamn]:[Emissionsfaktor 2025
kg CO2e/kg]],6,0),"")</f>
        <v/>
      </c>
      <c r="O232" s="78" t="str">
        <f>IFERROR(VLOOKUP(H232,Materialtabell[[#All],[Materialnamn]:[Kommentar A4]],24,0),"")</f>
        <v/>
      </c>
      <c r="P232" s="94" t="str">
        <f>IFERROR(($F232*$J232*$O232*VLOOKUP($H232,Materialtabell[[#All],[Materialnamn]:[Bränsle 
MJ/ton, km]],25,0)*Materiallista!$AF$5)/1000,"")</f>
        <v/>
      </c>
      <c r="Q232" s="94" t="str">
        <f>IFERROR(($F232*$J232*$O232*VLOOKUP($H232,Materialtabell[[#All],[Materialnamn]:[Bränsle 
MJ/ton, km]],25,0)*Materiallista!$AF$6)/1000,"")</f>
        <v/>
      </c>
      <c r="R232" s="162"/>
      <c r="S232" s="3"/>
      <c r="T232" s="3"/>
    </row>
    <row r="233" spans="1:20" x14ac:dyDescent="0.25">
      <c r="A233" s="3"/>
      <c r="B233" s="185">
        <v>228</v>
      </c>
      <c r="C233" s="170"/>
      <c r="D233" s="103"/>
      <c r="E233" s="103"/>
      <c r="F233" s="78"/>
      <c r="G233" s="103"/>
      <c r="H233" s="102"/>
      <c r="I233" s="105" t="str">
        <f>IFERROR(VLOOKUP(KalkylStart[[#This Row],[Klimatmaterial]],Materialtabell[[#All],[Materialnamn]:[Materialtyp]],2,0),"")</f>
        <v/>
      </c>
      <c r="J233" s="104" t="str">
        <f>IFERROR(IF(G233="kg",1,IF(G233="ton",1000,IF(G233=RIGHT(VLOOKUP(H233,Materialtabell[[#All],[Materialnamn]:[Enhet]],4,0),LEN(VLOOKUP(H233,Materialtabell[[#All],[Materialnamn]:[Enhet]],4,0))-3),VLOOKUP(H233,Materialtabell[[#All],[Materialnamn]:[Enhet]],3,0),"Enhetsfel"))),"")</f>
        <v/>
      </c>
      <c r="K233" s="105" t="str">
        <f>IFERROR(IF(G233="kg","kg/kg",IF(G233="ton","kg/ton",IF(RIGHT(VLOOKUP(H233,Materialtabell[[#All],[Materialnamn]:[Enhet]],4,0),LEN(VLOOKUP(H233,Materialtabell[[#All],[Materialnamn]:[Enhet]],4,0))-3)=G233,VLOOKUP(H233,Materialtabell[[#All],[Materialnamn]:[Enhet]],4,0),"kg/ton/"&amp;RIGHT(VLOOKUP(H233,Materialtabell[[#All],[Materialnamn]:[Enhet]],4,0),LEN(VLOOKUP(H233,Materialtabell[[#All],[Materialnamn]:[Enhet]],4,0))-3)))),"")</f>
        <v/>
      </c>
      <c r="L233" s="104" t="str">
        <f>IFERROR(KalkylStart[[#This Row],[Mängd]]*KalkylStart[[#This Row],[Omräknings-faktor]],"")</f>
        <v/>
      </c>
      <c r="M233" s="104" t="str">
        <f>IFERROR(F233*J233*VLOOKUP(H233,Materialtabell[[#All],[Materialnamn]:[Emissionsfaktor 2019
kg CO2e/kg]],5,0),"")</f>
        <v/>
      </c>
      <c r="N233" s="104" t="str">
        <f>IFERROR(F233*J233*VLOOKUP(H233,Materialtabell[[#All],[Materialnamn]:[Emissionsfaktor 2025
kg CO2e/kg]],6,0),"")</f>
        <v/>
      </c>
      <c r="O233" s="78" t="str">
        <f>IFERROR(VLOOKUP(H233,Materialtabell[[#All],[Materialnamn]:[Kommentar A4]],24,0),"")</f>
        <v/>
      </c>
      <c r="P233" s="94" t="str">
        <f>IFERROR(($F233*$J233*$O233*VLOOKUP($H233,Materialtabell[[#All],[Materialnamn]:[Bränsle 
MJ/ton, km]],25,0)*Materiallista!$AF$5)/1000,"")</f>
        <v/>
      </c>
      <c r="Q233" s="94" t="str">
        <f>IFERROR(($F233*$J233*$O233*VLOOKUP($H233,Materialtabell[[#All],[Materialnamn]:[Bränsle 
MJ/ton, km]],25,0)*Materiallista!$AF$6)/1000,"")</f>
        <v/>
      </c>
      <c r="R233" s="162"/>
      <c r="S233" s="3"/>
      <c r="T233" s="3"/>
    </row>
    <row r="234" spans="1:20" x14ac:dyDescent="0.25">
      <c r="A234" s="3"/>
      <c r="B234" s="185">
        <v>229</v>
      </c>
      <c r="C234" s="170"/>
      <c r="D234" s="103"/>
      <c r="E234" s="103"/>
      <c r="F234" s="78"/>
      <c r="G234" s="103"/>
      <c r="H234" s="102"/>
      <c r="I234" s="105" t="str">
        <f>IFERROR(VLOOKUP(KalkylStart[[#This Row],[Klimatmaterial]],Materialtabell[[#All],[Materialnamn]:[Materialtyp]],2,0),"")</f>
        <v/>
      </c>
      <c r="J234" s="104" t="str">
        <f>IFERROR(IF(G234="kg",1,IF(G234="ton",1000,IF(G234=RIGHT(VLOOKUP(H234,Materialtabell[[#All],[Materialnamn]:[Enhet]],4,0),LEN(VLOOKUP(H234,Materialtabell[[#All],[Materialnamn]:[Enhet]],4,0))-3),VLOOKUP(H234,Materialtabell[[#All],[Materialnamn]:[Enhet]],3,0),"Enhetsfel"))),"")</f>
        <v/>
      </c>
      <c r="K234" s="105" t="str">
        <f>IFERROR(IF(G234="kg","kg/kg",IF(G234="ton","kg/ton",IF(RIGHT(VLOOKUP(H234,Materialtabell[[#All],[Materialnamn]:[Enhet]],4,0),LEN(VLOOKUP(H234,Materialtabell[[#All],[Materialnamn]:[Enhet]],4,0))-3)=G234,VLOOKUP(H234,Materialtabell[[#All],[Materialnamn]:[Enhet]],4,0),"kg/ton/"&amp;RIGHT(VLOOKUP(H234,Materialtabell[[#All],[Materialnamn]:[Enhet]],4,0),LEN(VLOOKUP(H234,Materialtabell[[#All],[Materialnamn]:[Enhet]],4,0))-3)))),"")</f>
        <v/>
      </c>
      <c r="L234" s="104" t="str">
        <f>IFERROR(KalkylStart[[#This Row],[Mängd]]*KalkylStart[[#This Row],[Omräknings-faktor]],"")</f>
        <v/>
      </c>
      <c r="M234" s="104" t="str">
        <f>IFERROR(F234*J234*VLOOKUP(H234,Materialtabell[[#All],[Materialnamn]:[Emissionsfaktor 2019
kg CO2e/kg]],5,0),"")</f>
        <v/>
      </c>
      <c r="N234" s="104" t="str">
        <f>IFERROR(F234*J234*VLOOKUP(H234,Materialtabell[[#All],[Materialnamn]:[Emissionsfaktor 2025
kg CO2e/kg]],6,0),"")</f>
        <v/>
      </c>
      <c r="O234" s="78" t="str">
        <f>IFERROR(VLOOKUP(H234,Materialtabell[[#All],[Materialnamn]:[Kommentar A4]],24,0),"")</f>
        <v/>
      </c>
      <c r="P234" s="94" t="str">
        <f>IFERROR(($F234*$J234*$O234*VLOOKUP($H234,Materialtabell[[#All],[Materialnamn]:[Bränsle 
MJ/ton, km]],25,0)*Materiallista!$AF$5)/1000,"")</f>
        <v/>
      </c>
      <c r="Q234" s="94" t="str">
        <f>IFERROR(($F234*$J234*$O234*VLOOKUP($H234,Materialtabell[[#All],[Materialnamn]:[Bränsle 
MJ/ton, km]],25,0)*Materiallista!$AF$6)/1000,"")</f>
        <v/>
      </c>
      <c r="R234" s="162"/>
      <c r="S234" s="3"/>
      <c r="T234" s="3"/>
    </row>
    <row r="235" spans="1:20" x14ac:dyDescent="0.25">
      <c r="A235" s="3"/>
      <c r="B235" s="185">
        <v>230</v>
      </c>
      <c r="C235" s="170"/>
      <c r="D235" s="103"/>
      <c r="E235" s="103"/>
      <c r="F235" s="78"/>
      <c r="G235" s="103"/>
      <c r="H235" s="102"/>
      <c r="I235" s="105" t="str">
        <f>IFERROR(VLOOKUP(KalkylStart[[#This Row],[Klimatmaterial]],Materialtabell[[#All],[Materialnamn]:[Materialtyp]],2,0),"")</f>
        <v/>
      </c>
      <c r="J235" s="104" t="str">
        <f>IFERROR(IF(G235="kg",1,IF(G235="ton",1000,IF(G235=RIGHT(VLOOKUP(H235,Materialtabell[[#All],[Materialnamn]:[Enhet]],4,0),LEN(VLOOKUP(H235,Materialtabell[[#All],[Materialnamn]:[Enhet]],4,0))-3),VLOOKUP(H235,Materialtabell[[#All],[Materialnamn]:[Enhet]],3,0),"Enhetsfel"))),"")</f>
        <v/>
      </c>
      <c r="K235" s="105" t="str">
        <f>IFERROR(IF(G235="kg","kg/kg",IF(G235="ton","kg/ton",IF(RIGHT(VLOOKUP(H235,Materialtabell[[#All],[Materialnamn]:[Enhet]],4,0),LEN(VLOOKUP(H235,Materialtabell[[#All],[Materialnamn]:[Enhet]],4,0))-3)=G235,VLOOKUP(H235,Materialtabell[[#All],[Materialnamn]:[Enhet]],4,0),"kg/ton/"&amp;RIGHT(VLOOKUP(H235,Materialtabell[[#All],[Materialnamn]:[Enhet]],4,0),LEN(VLOOKUP(H235,Materialtabell[[#All],[Materialnamn]:[Enhet]],4,0))-3)))),"")</f>
        <v/>
      </c>
      <c r="L235" s="104" t="str">
        <f>IFERROR(KalkylStart[[#This Row],[Mängd]]*KalkylStart[[#This Row],[Omräknings-faktor]],"")</f>
        <v/>
      </c>
      <c r="M235" s="104" t="str">
        <f>IFERROR(F235*J235*VLOOKUP(H235,Materialtabell[[#All],[Materialnamn]:[Emissionsfaktor 2019
kg CO2e/kg]],5,0),"")</f>
        <v/>
      </c>
      <c r="N235" s="104" t="str">
        <f>IFERROR(F235*J235*VLOOKUP(H235,Materialtabell[[#All],[Materialnamn]:[Emissionsfaktor 2025
kg CO2e/kg]],6,0),"")</f>
        <v/>
      </c>
      <c r="O235" s="78" t="str">
        <f>IFERROR(VLOOKUP(H235,Materialtabell[[#All],[Materialnamn]:[Kommentar A4]],24,0),"")</f>
        <v/>
      </c>
      <c r="P235" s="94" t="str">
        <f>IFERROR(($F235*$J235*$O235*VLOOKUP($H235,Materialtabell[[#All],[Materialnamn]:[Bränsle 
MJ/ton, km]],25,0)*Materiallista!$AF$5)/1000,"")</f>
        <v/>
      </c>
      <c r="Q235" s="94" t="str">
        <f>IFERROR(($F235*$J235*$O235*VLOOKUP($H235,Materialtabell[[#All],[Materialnamn]:[Bränsle 
MJ/ton, km]],25,0)*Materiallista!$AF$6)/1000,"")</f>
        <v/>
      </c>
      <c r="R235" s="162"/>
      <c r="S235" s="3"/>
      <c r="T235" s="3"/>
    </row>
    <row r="236" spans="1:20" x14ac:dyDescent="0.25">
      <c r="A236" s="3"/>
      <c r="B236" s="185">
        <v>231</v>
      </c>
      <c r="C236" s="170"/>
      <c r="D236" s="103"/>
      <c r="E236" s="103"/>
      <c r="F236" s="78"/>
      <c r="G236" s="103"/>
      <c r="H236" s="102"/>
      <c r="I236" s="105" t="str">
        <f>IFERROR(VLOOKUP(KalkylStart[[#This Row],[Klimatmaterial]],Materialtabell[[#All],[Materialnamn]:[Materialtyp]],2,0),"")</f>
        <v/>
      </c>
      <c r="J236" s="104" t="str">
        <f>IFERROR(IF(G236="kg",1,IF(G236="ton",1000,IF(G236=RIGHT(VLOOKUP(H236,Materialtabell[[#All],[Materialnamn]:[Enhet]],4,0),LEN(VLOOKUP(H236,Materialtabell[[#All],[Materialnamn]:[Enhet]],4,0))-3),VLOOKUP(H236,Materialtabell[[#All],[Materialnamn]:[Enhet]],3,0),"Enhetsfel"))),"")</f>
        <v/>
      </c>
      <c r="K236" s="105" t="str">
        <f>IFERROR(IF(G236="kg","kg/kg",IF(G236="ton","kg/ton",IF(RIGHT(VLOOKUP(H236,Materialtabell[[#All],[Materialnamn]:[Enhet]],4,0),LEN(VLOOKUP(H236,Materialtabell[[#All],[Materialnamn]:[Enhet]],4,0))-3)=G236,VLOOKUP(H236,Materialtabell[[#All],[Materialnamn]:[Enhet]],4,0),"kg/ton/"&amp;RIGHT(VLOOKUP(H236,Materialtabell[[#All],[Materialnamn]:[Enhet]],4,0),LEN(VLOOKUP(H236,Materialtabell[[#All],[Materialnamn]:[Enhet]],4,0))-3)))),"")</f>
        <v/>
      </c>
      <c r="L236" s="104" t="str">
        <f>IFERROR(KalkylStart[[#This Row],[Mängd]]*KalkylStart[[#This Row],[Omräknings-faktor]],"")</f>
        <v/>
      </c>
      <c r="M236" s="104" t="str">
        <f>IFERROR(F236*J236*VLOOKUP(H236,Materialtabell[[#All],[Materialnamn]:[Emissionsfaktor 2019
kg CO2e/kg]],5,0),"")</f>
        <v/>
      </c>
      <c r="N236" s="104" t="str">
        <f>IFERROR(F236*J236*VLOOKUP(H236,Materialtabell[[#All],[Materialnamn]:[Emissionsfaktor 2025
kg CO2e/kg]],6,0),"")</f>
        <v/>
      </c>
      <c r="O236" s="78" t="str">
        <f>IFERROR(VLOOKUP(H236,Materialtabell[[#All],[Materialnamn]:[Kommentar A4]],24,0),"")</f>
        <v/>
      </c>
      <c r="P236" s="94" t="str">
        <f>IFERROR(($F236*$J236*$O236*VLOOKUP($H236,Materialtabell[[#All],[Materialnamn]:[Bränsle 
MJ/ton, km]],25,0)*Materiallista!$AF$5)/1000,"")</f>
        <v/>
      </c>
      <c r="Q236" s="94" t="str">
        <f>IFERROR(($F236*$J236*$O236*VLOOKUP($H236,Materialtabell[[#All],[Materialnamn]:[Bränsle 
MJ/ton, km]],25,0)*Materiallista!$AF$6)/1000,"")</f>
        <v/>
      </c>
      <c r="R236" s="162"/>
      <c r="S236" s="3"/>
      <c r="T236" s="3"/>
    </row>
    <row r="237" spans="1:20" x14ac:dyDescent="0.25">
      <c r="A237" s="3"/>
      <c r="B237" s="185">
        <v>232</v>
      </c>
      <c r="C237" s="170"/>
      <c r="D237" s="103"/>
      <c r="E237" s="103"/>
      <c r="F237" s="78"/>
      <c r="G237" s="103"/>
      <c r="H237" s="102"/>
      <c r="I237" s="105" t="str">
        <f>IFERROR(VLOOKUP(KalkylStart[[#This Row],[Klimatmaterial]],Materialtabell[[#All],[Materialnamn]:[Materialtyp]],2,0),"")</f>
        <v/>
      </c>
      <c r="J237" s="104" t="str">
        <f>IFERROR(IF(G237="kg",1,IF(G237="ton",1000,IF(G237=RIGHT(VLOOKUP(H237,Materialtabell[[#All],[Materialnamn]:[Enhet]],4,0),LEN(VLOOKUP(H237,Materialtabell[[#All],[Materialnamn]:[Enhet]],4,0))-3),VLOOKUP(H237,Materialtabell[[#All],[Materialnamn]:[Enhet]],3,0),"Enhetsfel"))),"")</f>
        <v/>
      </c>
      <c r="K237" s="105" t="str">
        <f>IFERROR(IF(G237="kg","kg/kg",IF(G237="ton","kg/ton",IF(RIGHT(VLOOKUP(H237,Materialtabell[[#All],[Materialnamn]:[Enhet]],4,0),LEN(VLOOKUP(H237,Materialtabell[[#All],[Materialnamn]:[Enhet]],4,0))-3)=G237,VLOOKUP(H237,Materialtabell[[#All],[Materialnamn]:[Enhet]],4,0),"kg/ton/"&amp;RIGHT(VLOOKUP(H237,Materialtabell[[#All],[Materialnamn]:[Enhet]],4,0),LEN(VLOOKUP(H237,Materialtabell[[#All],[Materialnamn]:[Enhet]],4,0))-3)))),"")</f>
        <v/>
      </c>
      <c r="L237" s="104" t="str">
        <f>IFERROR(KalkylStart[[#This Row],[Mängd]]*KalkylStart[[#This Row],[Omräknings-faktor]],"")</f>
        <v/>
      </c>
      <c r="M237" s="104" t="str">
        <f>IFERROR(F237*J237*VLOOKUP(H237,Materialtabell[[#All],[Materialnamn]:[Emissionsfaktor 2019
kg CO2e/kg]],5,0),"")</f>
        <v/>
      </c>
      <c r="N237" s="104" t="str">
        <f>IFERROR(F237*J237*VLOOKUP(H237,Materialtabell[[#All],[Materialnamn]:[Emissionsfaktor 2025
kg CO2e/kg]],6,0),"")</f>
        <v/>
      </c>
      <c r="O237" s="78" t="str">
        <f>IFERROR(VLOOKUP(H237,Materialtabell[[#All],[Materialnamn]:[Kommentar A4]],24,0),"")</f>
        <v/>
      </c>
      <c r="P237" s="94" t="str">
        <f>IFERROR(($F237*$J237*$O237*VLOOKUP($H237,Materialtabell[[#All],[Materialnamn]:[Bränsle 
MJ/ton, km]],25,0)*Materiallista!$AF$5)/1000,"")</f>
        <v/>
      </c>
      <c r="Q237" s="94" t="str">
        <f>IFERROR(($F237*$J237*$O237*VLOOKUP($H237,Materialtabell[[#All],[Materialnamn]:[Bränsle 
MJ/ton, km]],25,0)*Materiallista!$AF$6)/1000,"")</f>
        <v/>
      </c>
      <c r="R237" s="162"/>
      <c r="S237" s="3"/>
      <c r="T237" s="3"/>
    </row>
    <row r="238" spans="1:20" x14ac:dyDescent="0.25">
      <c r="A238" s="3"/>
      <c r="B238" s="185">
        <v>233</v>
      </c>
      <c r="C238" s="170"/>
      <c r="D238" s="103"/>
      <c r="E238" s="103"/>
      <c r="F238" s="78"/>
      <c r="G238" s="103"/>
      <c r="H238" s="102"/>
      <c r="I238" s="105" t="str">
        <f>IFERROR(VLOOKUP(KalkylStart[[#This Row],[Klimatmaterial]],Materialtabell[[#All],[Materialnamn]:[Materialtyp]],2,0),"")</f>
        <v/>
      </c>
      <c r="J238" s="104" t="str">
        <f>IFERROR(IF(G238="kg",1,IF(G238="ton",1000,IF(G238=RIGHT(VLOOKUP(H238,Materialtabell[[#All],[Materialnamn]:[Enhet]],4,0),LEN(VLOOKUP(H238,Materialtabell[[#All],[Materialnamn]:[Enhet]],4,0))-3),VLOOKUP(H238,Materialtabell[[#All],[Materialnamn]:[Enhet]],3,0),"Enhetsfel"))),"")</f>
        <v/>
      </c>
      <c r="K238" s="105" t="str">
        <f>IFERROR(IF(G238="kg","kg/kg",IF(G238="ton","kg/ton",IF(RIGHT(VLOOKUP(H238,Materialtabell[[#All],[Materialnamn]:[Enhet]],4,0),LEN(VLOOKUP(H238,Materialtabell[[#All],[Materialnamn]:[Enhet]],4,0))-3)=G238,VLOOKUP(H238,Materialtabell[[#All],[Materialnamn]:[Enhet]],4,0),"kg/ton/"&amp;RIGHT(VLOOKUP(H238,Materialtabell[[#All],[Materialnamn]:[Enhet]],4,0),LEN(VLOOKUP(H238,Materialtabell[[#All],[Materialnamn]:[Enhet]],4,0))-3)))),"")</f>
        <v/>
      </c>
      <c r="L238" s="104" t="str">
        <f>IFERROR(KalkylStart[[#This Row],[Mängd]]*KalkylStart[[#This Row],[Omräknings-faktor]],"")</f>
        <v/>
      </c>
      <c r="M238" s="104" t="str">
        <f>IFERROR(F238*J238*VLOOKUP(H238,Materialtabell[[#All],[Materialnamn]:[Emissionsfaktor 2019
kg CO2e/kg]],5,0),"")</f>
        <v/>
      </c>
      <c r="N238" s="104" t="str">
        <f>IFERROR(F238*J238*VLOOKUP(H238,Materialtabell[[#All],[Materialnamn]:[Emissionsfaktor 2025
kg CO2e/kg]],6,0),"")</f>
        <v/>
      </c>
      <c r="O238" s="78" t="str">
        <f>IFERROR(VLOOKUP(H238,Materialtabell[[#All],[Materialnamn]:[Kommentar A4]],24,0),"")</f>
        <v/>
      </c>
      <c r="P238" s="94" t="str">
        <f>IFERROR(($F238*$J238*$O238*VLOOKUP($H238,Materialtabell[[#All],[Materialnamn]:[Bränsle 
MJ/ton, km]],25,0)*Materiallista!$AF$5)/1000,"")</f>
        <v/>
      </c>
      <c r="Q238" s="94" t="str">
        <f>IFERROR(($F238*$J238*$O238*VLOOKUP($H238,Materialtabell[[#All],[Materialnamn]:[Bränsle 
MJ/ton, km]],25,0)*Materiallista!$AF$6)/1000,"")</f>
        <v/>
      </c>
      <c r="R238" s="162"/>
      <c r="S238" s="3"/>
      <c r="T238" s="3"/>
    </row>
    <row r="239" spans="1:20" x14ac:dyDescent="0.25">
      <c r="A239" s="3"/>
      <c r="B239" s="185">
        <v>234</v>
      </c>
      <c r="C239" s="170"/>
      <c r="D239" s="103"/>
      <c r="E239" s="103"/>
      <c r="F239" s="78"/>
      <c r="G239" s="103"/>
      <c r="H239" s="102"/>
      <c r="I239" s="105" t="str">
        <f>IFERROR(VLOOKUP(KalkylStart[[#This Row],[Klimatmaterial]],Materialtabell[[#All],[Materialnamn]:[Materialtyp]],2,0),"")</f>
        <v/>
      </c>
      <c r="J239" s="104" t="str">
        <f>IFERROR(IF(G239="kg",1,IF(G239="ton",1000,IF(G239=RIGHT(VLOOKUP(H239,Materialtabell[[#All],[Materialnamn]:[Enhet]],4,0),LEN(VLOOKUP(H239,Materialtabell[[#All],[Materialnamn]:[Enhet]],4,0))-3),VLOOKUP(H239,Materialtabell[[#All],[Materialnamn]:[Enhet]],3,0),"Enhetsfel"))),"")</f>
        <v/>
      </c>
      <c r="K239" s="105" t="str">
        <f>IFERROR(IF(G239="kg","kg/kg",IF(G239="ton","kg/ton",IF(RIGHT(VLOOKUP(H239,Materialtabell[[#All],[Materialnamn]:[Enhet]],4,0),LEN(VLOOKUP(H239,Materialtabell[[#All],[Materialnamn]:[Enhet]],4,0))-3)=G239,VLOOKUP(H239,Materialtabell[[#All],[Materialnamn]:[Enhet]],4,0),"kg/ton/"&amp;RIGHT(VLOOKUP(H239,Materialtabell[[#All],[Materialnamn]:[Enhet]],4,0),LEN(VLOOKUP(H239,Materialtabell[[#All],[Materialnamn]:[Enhet]],4,0))-3)))),"")</f>
        <v/>
      </c>
      <c r="L239" s="104" t="str">
        <f>IFERROR(KalkylStart[[#This Row],[Mängd]]*KalkylStart[[#This Row],[Omräknings-faktor]],"")</f>
        <v/>
      </c>
      <c r="M239" s="104" t="str">
        <f>IFERROR(F239*J239*VLOOKUP(H239,Materialtabell[[#All],[Materialnamn]:[Emissionsfaktor 2019
kg CO2e/kg]],5,0),"")</f>
        <v/>
      </c>
      <c r="N239" s="104" t="str">
        <f>IFERROR(F239*J239*VLOOKUP(H239,Materialtabell[[#All],[Materialnamn]:[Emissionsfaktor 2025
kg CO2e/kg]],6,0),"")</f>
        <v/>
      </c>
      <c r="O239" s="78" t="str">
        <f>IFERROR(VLOOKUP(H239,Materialtabell[[#All],[Materialnamn]:[Kommentar A4]],24,0),"")</f>
        <v/>
      </c>
      <c r="P239" s="94" t="str">
        <f>IFERROR(($F239*$J239*$O239*VLOOKUP($H239,Materialtabell[[#All],[Materialnamn]:[Bränsle 
MJ/ton, km]],25,0)*Materiallista!$AF$5)/1000,"")</f>
        <v/>
      </c>
      <c r="Q239" s="94" t="str">
        <f>IFERROR(($F239*$J239*$O239*VLOOKUP($H239,Materialtabell[[#All],[Materialnamn]:[Bränsle 
MJ/ton, km]],25,0)*Materiallista!$AF$6)/1000,"")</f>
        <v/>
      </c>
      <c r="R239" s="162"/>
      <c r="S239" s="3"/>
      <c r="T239" s="3"/>
    </row>
    <row r="240" spans="1:20" x14ac:dyDescent="0.25">
      <c r="A240" s="3"/>
      <c r="B240" s="185">
        <v>235</v>
      </c>
      <c r="C240" s="170"/>
      <c r="D240" s="103"/>
      <c r="E240" s="103"/>
      <c r="F240" s="78"/>
      <c r="G240" s="103"/>
      <c r="H240" s="102"/>
      <c r="I240" s="105" t="str">
        <f>IFERROR(VLOOKUP(KalkylStart[[#This Row],[Klimatmaterial]],Materialtabell[[#All],[Materialnamn]:[Materialtyp]],2,0),"")</f>
        <v/>
      </c>
      <c r="J240" s="104" t="str">
        <f>IFERROR(IF(G240="kg",1,IF(G240="ton",1000,IF(G240=RIGHT(VLOOKUP(H240,Materialtabell[[#All],[Materialnamn]:[Enhet]],4,0),LEN(VLOOKUP(H240,Materialtabell[[#All],[Materialnamn]:[Enhet]],4,0))-3),VLOOKUP(H240,Materialtabell[[#All],[Materialnamn]:[Enhet]],3,0),"Enhetsfel"))),"")</f>
        <v/>
      </c>
      <c r="K240" s="105" t="str">
        <f>IFERROR(IF(G240="kg","kg/kg",IF(G240="ton","kg/ton",IF(RIGHT(VLOOKUP(H240,Materialtabell[[#All],[Materialnamn]:[Enhet]],4,0),LEN(VLOOKUP(H240,Materialtabell[[#All],[Materialnamn]:[Enhet]],4,0))-3)=G240,VLOOKUP(H240,Materialtabell[[#All],[Materialnamn]:[Enhet]],4,0),"kg/ton/"&amp;RIGHT(VLOOKUP(H240,Materialtabell[[#All],[Materialnamn]:[Enhet]],4,0),LEN(VLOOKUP(H240,Materialtabell[[#All],[Materialnamn]:[Enhet]],4,0))-3)))),"")</f>
        <v/>
      </c>
      <c r="L240" s="104" t="str">
        <f>IFERROR(KalkylStart[[#This Row],[Mängd]]*KalkylStart[[#This Row],[Omräknings-faktor]],"")</f>
        <v/>
      </c>
      <c r="M240" s="104" t="str">
        <f>IFERROR(F240*J240*VLOOKUP(H240,Materialtabell[[#All],[Materialnamn]:[Emissionsfaktor 2019
kg CO2e/kg]],5,0),"")</f>
        <v/>
      </c>
      <c r="N240" s="104" t="str">
        <f>IFERROR(F240*J240*VLOOKUP(H240,Materialtabell[[#All],[Materialnamn]:[Emissionsfaktor 2025
kg CO2e/kg]],6,0),"")</f>
        <v/>
      </c>
      <c r="O240" s="78" t="str">
        <f>IFERROR(VLOOKUP(H240,Materialtabell[[#All],[Materialnamn]:[Kommentar A4]],24,0),"")</f>
        <v/>
      </c>
      <c r="P240" s="94" t="str">
        <f>IFERROR(($F240*$J240*$O240*VLOOKUP($H240,Materialtabell[[#All],[Materialnamn]:[Bränsle 
MJ/ton, km]],25,0)*Materiallista!$AF$5)/1000,"")</f>
        <v/>
      </c>
      <c r="Q240" s="94" t="str">
        <f>IFERROR(($F240*$J240*$O240*VLOOKUP($H240,Materialtabell[[#All],[Materialnamn]:[Bränsle 
MJ/ton, km]],25,0)*Materiallista!$AF$6)/1000,"")</f>
        <v/>
      </c>
      <c r="R240" s="162"/>
      <c r="S240" s="3"/>
      <c r="T240" s="3"/>
    </row>
    <row r="241" spans="1:20" x14ac:dyDescent="0.25">
      <c r="A241" s="3"/>
      <c r="B241" s="185">
        <v>236</v>
      </c>
      <c r="C241" s="170"/>
      <c r="D241" s="103"/>
      <c r="E241" s="103"/>
      <c r="F241" s="78"/>
      <c r="G241" s="103"/>
      <c r="H241" s="102"/>
      <c r="I241" s="105" t="str">
        <f>IFERROR(VLOOKUP(KalkylStart[[#This Row],[Klimatmaterial]],Materialtabell[[#All],[Materialnamn]:[Materialtyp]],2,0),"")</f>
        <v/>
      </c>
      <c r="J241" s="104" t="str">
        <f>IFERROR(IF(G241="kg",1,IF(G241="ton",1000,IF(G241=RIGHT(VLOOKUP(H241,Materialtabell[[#All],[Materialnamn]:[Enhet]],4,0),LEN(VLOOKUP(H241,Materialtabell[[#All],[Materialnamn]:[Enhet]],4,0))-3),VLOOKUP(H241,Materialtabell[[#All],[Materialnamn]:[Enhet]],3,0),"Enhetsfel"))),"")</f>
        <v/>
      </c>
      <c r="K241" s="105" t="str">
        <f>IFERROR(IF(G241="kg","kg/kg",IF(G241="ton","kg/ton",IF(RIGHT(VLOOKUP(H241,Materialtabell[[#All],[Materialnamn]:[Enhet]],4,0),LEN(VLOOKUP(H241,Materialtabell[[#All],[Materialnamn]:[Enhet]],4,0))-3)=G241,VLOOKUP(H241,Materialtabell[[#All],[Materialnamn]:[Enhet]],4,0),"kg/ton/"&amp;RIGHT(VLOOKUP(H241,Materialtabell[[#All],[Materialnamn]:[Enhet]],4,0),LEN(VLOOKUP(H241,Materialtabell[[#All],[Materialnamn]:[Enhet]],4,0))-3)))),"")</f>
        <v/>
      </c>
      <c r="L241" s="104" t="str">
        <f>IFERROR(KalkylStart[[#This Row],[Mängd]]*KalkylStart[[#This Row],[Omräknings-faktor]],"")</f>
        <v/>
      </c>
      <c r="M241" s="104" t="str">
        <f>IFERROR(F241*J241*VLOOKUP(H241,Materialtabell[[#All],[Materialnamn]:[Emissionsfaktor 2019
kg CO2e/kg]],5,0),"")</f>
        <v/>
      </c>
      <c r="N241" s="104" t="str">
        <f>IFERROR(F241*J241*VLOOKUP(H241,Materialtabell[[#All],[Materialnamn]:[Emissionsfaktor 2025
kg CO2e/kg]],6,0),"")</f>
        <v/>
      </c>
      <c r="O241" s="78" t="str">
        <f>IFERROR(VLOOKUP(H241,Materialtabell[[#All],[Materialnamn]:[Kommentar A4]],24,0),"")</f>
        <v/>
      </c>
      <c r="P241" s="94" t="str">
        <f>IFERROR(($F241*$J241*$O241*VLOOKUP($H241,Materialtabell[[#All],[Materialnamn]:[Bränsle 
MJ/ton, km]],25,0)*Materiallista!$AF$5)/1000,"")</f>
        <v/>
      </c>
      <c r="Q241" s="94" t="str">
        <f>IFERROR(($F241*$J241*$O241*VLOOKUP($H241,Materialtabell[[#All],[Materialnamn]:[Bränsle 
MJ/ton, km]],25,0)*Materiallista!$AF$6)/1000,"")</f>
        <v/>
      </c>
      <c r="R241" s="162"/>
      <c r="S241" s="3"/>
      <c r="T241" s="3"/>
    </row>
    <row r="242" spans="1:20" x14ac:dyDescent="0.25">
      <c r="A242" s="3"/>
      <c r="B242" s="185">
        <v>237</v>
      </c>
      <c r="C242" s="170"/>
      <c r="D242" s="103"/>
      <c r="E242" s="103"/>
      <c r="F242" s="78"/>
      <c r="G242" s="103"/>
      <c r="H242" s="102"/>
      <c r="I242" s="105" t="str">
        <f>IFERROR(VLOOKUP(KalkylStart[[#This Row],[Klimatmaterial]],Materialtabell[[#All],[Materialnamn]:[Materialtyp]],2,0),"")</f>
        <v/>
      </c>
      <c r="J242" s="104" t="str">
        <f>IFERROR(IF(G242="kg",1,IF(G242="ton",1000,IF(G242=RIGHT(VLOOKUP(H242,Materialtabell[[#All],[Materialnamn]:[Enhet]],4,0),LEN(VLOOKUP(H242,Materialtabell[[#All],[Materialnamn]:[Enhet]],4,0))-3),VLOOKUP(H242,Materialtabell[[#All],[Materialnamn]:[Enhet]],3,0),"Enhetsfel"))),"")</f>
        <v/>
      </c>
      <c r="K242" s="105" t="str">
        <f>IFERROR(IF(G242="kg","kg/kg",IF(G242="ton","kg/ton",IF(RIGHT(VLOOKUP(H242,Materialtabell[[#All],[Materialnamn]:[Enhet]],4,0),LEN(VLOOKUP(H242,Materialtabell[[#All],[Materialnamn]:[Enhet]],4,0))-3)=G242,VLOOKUP(H242,Materialtabell[[#All],[Materialnamn]:[Enhet]],4,0),"kg/ton/"&amp;RIGHT(VLOOKUP(H242,Materialtabell[[#All],[Materialnamn]:[Enhet]],4,0),LEN(VLOOKUP(H242,Materialtabell[[#All],[Materialnamn]:[Enhet]],4,0))-3)))),"")</f>
        <v/>
      </c>
      <c r="L242" s="104" t="str">
        <f>IFERROR(KalkylStart[[#This Row],[Mängd]]*KalkylStart[[#This Row],[Omräknings-faktor]],"")</f>
        <v/>
      </c>
      <c r="M242" s="104" t="str">
        <f>IFERROR(F242*J242*VLOOKUP(H242,Materialtabell[[#All],[Materialnamn]:[Emissionsfaktor 2019
kg CO2e/kg]],5,0),"")</f>
        <v/>
      </c>
      <c r="N242" s="104" t="str">
        <f>IFERROR(F242*J242*VLOOKUP(H242,Materialtabell[[#All],[Materialnamn]:[Emissionsfaktor 2025
kg CO2e/kg]],6,0),"")</f>
        <v/>
      </c>
      <c r="O242" s="78" t="str">
        <f>IFERROR(VLOOKUP(H242,Materialtabell[[#All],[Materialnamn]:[Kommentar A4]],24,0),"")</f>
        <v/>
      </c>
      <c r="P242" s="94" t="str">
        <f>IFERROR(($F242*$J242*$O242*VLOOKUP($H242,Materialtabell[[#All],[Materialnamn]:[Bränsle 
MJ/ton, km]],25,0)*Materiallista!$AF$5)/1000,"")</f>
        <v/>
      </c>
      <c r="Q242" s="94" t="str">
        <f>IFERROR(($F242*$J242*$O242*VLOOKUP($H242,Materialtabell[[#All],[Materialnamn]:[Bränsle 
MJ/ton, km]],25,0)*Materiallista!$AF$6)/1000,"")</f>
        <v/>
      </c>
      <c r="R242" s="162"/>
      <c r="S242" s="3"/>
      <c r="T242" s="3"/>
    </row>
    <row r="243" spans="1:20" x14ac:dyDescent="0.25">
      <c r="A243" s="3"/>
      <c r="B243" s="185">
        <v>238</v>
      </c>
      <c r="C243" s="170"/>
      <c r="D243" s="103"/>
      <c r="E243" s="103"/>
      <c r="F243" s="78"/>
      <c r="G243" s="103"/>
      <c r="H243" s="102"/>
      <c r="I243" s="105" t="str">
        <f>IFERROR(VLOOKUP(KalkylStart[[#This Row],[Klimatmaterial]],Materialtabell[[#All],[Materialnamn]:[Materialtyp]],2,0),"")</f>
        <v/>
      </c>
      <c r="J243" s="104" t="str">
        <f>IFERROR(IF(G243="kg",1,IF(G243="ton",1000,IF(G243=RIGHT(VLOOKUP(H243,Materialtabell[[#All],[Materialnamn]:[Enhet]],4,0),LEN(VLOOKUP(H243,Materialtabell[[#All],[Materialnamn]:[Enhet]],4,0))-3),VLOOKUP(H243,Materialtabell[[#All],[Materialnamn]:[Enhet]],3,0),"Enhetsfel"))),"")</f>
        <v/>
      </c>
      <c r="K243" s="105" t="str">
        <f>IFERROR(IF(G243="kg","kg/kg",IF(G243="ton","kg/ton",IF(RIGHT(VLOOKUP(H243,Materialtabell[[#All],[Materialnamn]:[Enhet]],4,0),LEN(VLOOKUP(H243,Materialtabell[[#All],[Materialnamn]:[Enhet]],4,0))-3)=G243,VLOOKUP(H243,Materialtabell[[#All],[Materialnamn]:[Enhet]],4,0),"kg/ton/"&amp;RIGHT(VLOOKUP(H243,Materialtabell[[#All],[Materialnamn]:[Enhet]],4,0),LEN(VLOOKUP(H243,Materialtabell[[#All],[Materialnamn]:[Enhet]],4,0))-3)))),"")</f>
        <v/>
      </c>
      <c r="L243" s="104" t="str">
        <f>IFERROR(KalkylStart[[#This Row],[Mängd]]*KalkylStart[[#This Row],[Omräknings-faktor]],"")</f>
        <v/>
      </c>
      <c r="M243" s="104" t="str">
        <f>IFERROR(F243*J243*VLOOKUP(H243,Materialtabell[[#All],[Materialnamn]:[Emissionsfaktor 2019
kg CO2e/kg]],5,0),"")</f>
        <v/>
      </c>
      <c r="N243" s="104" t="str">
        <f>IFERROR(F243*J243*VLOOKUP(H243,Materialtabell[[#All],[Materialnamn]:[Emissionsfaktor 2025
kg CO2e/kg]],6,0),"")</f>
        <v/>
      </c>
      <c r="O243" s="78" t="str">
        <f>IFERROR(VLOOKUP(H243,Materialtabell[[#All],[Materialnamn]:[Kommentar A4]],24,0),"")</f>
        <v/>
      </c>
      <c r="P243" s="94" t="str">
        <f>IFERROR(($F243*$J243*$O243*VLOOKUP($H243,Materialtabell[[#All],[Materialnamn]:[Bränsle 
MJ/ton, km]],25,0)*Materiallista!$AF$5)/1000,"")</f>
        <v/>
      </c>
      <c r="Q243" s="94" t="str">
        <f>IFERROR(($F243*$J243*$O243*VLOOKUP($H243,Materialtabell[[#All],[Materialnamn]:[Bränsle 
MJ/ton, km]],25,0)*Materiallista!$AF$6)/1000,"")</f>
        <v/>
      </c>
      <c r="R243" s="162"/>
      <c r="S243" s="3"/>
      <c r="T243" s="3"/>
    </row>
    <row r="244" spans="1:20" x14ac:dyDescent="0.25">
      <c r="A244" s="3"/>
      <c r="B244" s="185">
        <v>239</v>
      </c>
      <c r="C244" s="170"/>
      <c r="D244" s="103"/>
      <c r="E244" s="103"/>
      <c r="F244" s="78"/>
      <c r="G244" s="103"/>
      <c r="H244" s="102"/>
      <c r="I244" s="105" t="str">
        <f>IFERROR(VLOOKUP(KalkylStart[[#This Row],[Klimatmaterial]],Materialtabell[[#All],[Materialnamn]:[Materialtyp]],2,0),"")</f>
        <v/>
      </c>
      <c r="J244" s="104" t="str">
        <f>IFERROR(IF(G244="kg",1,IF(G244="ton",1000,IF(G244=RIGHT(VLOOKUP(H244,Materialtabell[[#All],[Materialnamn]:[Enhet]],4,0),LEN(VLOOKUP(H244,Materialtabell[[#All],[Materialnamn]:[Enhet]],4,0))-3),VLOOKUP(H244,Materialtabell[[#All],[Materialnamn]:[Enhet]],3,0),"Enhetsfel"))),"")</f>
        <v/>
      </c>
      <c r="K244" s="105" t="str">
        <f>IFERROR(IF(G244="kg","kg/kg",IF(G244="ton","kg/ton",IF(RIGHT(VLOOKUP(H244,Materialtabell[[#All],[Materialnamn]:[Enhet]],4,0),LEN(VLOOKUP(H244,Materialtabell[[#All],[Materialnamn]:[Enhet]],4,0))-3)=G244,VLOOKUP(H244,Materialtabell[[#All],[Materialnamn]:[Enhet]],4,0),"kg/ton/"&amp;RIGHT(VLOOKUP(H244,Materialtabell[[#All],[Materialnamn]:[Enhet]],4,0),LEN(VLOOKUP(H244,Materialtabell[[#All],[Materialnamn]:[Enhet]],4,0))-3)))),"")</f>
        <v/>
      </c>
      <c r="L244" s="104" t="str">
        <f>IFERROR(KalkylStart[[#This Row],[Mängd]]*KalkylStart[[#This Row],[Omräknings-faktor]],"")</f>
        <v/>
      </c>
      <c r="M244" s="104" t="str">
        <f>IFERROR(F244*J244*VLOOKUP(H244,Materialtabell[[#All],[Materialnamn]:[Emissionsfaktor 2019
kg CO2e/kg]],5,0),"")</f>
        <v/>
      </c>
      <c r="N244" s="104" t="str">
        <f>IFERROR(F244*J244*VLOOKUP(H244,Materialtabell[[#All],[Materialnamn]:[Emissionsfaktor 2025
kg CO2e/kg]],6,0),"")</f>
        <v/>
      </c>
      <c r="O244" s="78" t="str">
        <f>IFERROR(VLOOKUP(H244,Materialtabell[[#All],[Materialnamn]:[Kommentar A4]],24,0),"")</f>
        <v/>
      </c>
      <c r="P244" s="94" t="str">
        <f>IFERROR(($F244*$J244*$O244*VLOOKUP($H244,Materialtabell[[#All],[Materialnamn]:[Bränsle 
MJ/ton, km]],25,0)*Materiallista!$AF$5)/1000,"")</f>
        <v/>
      </c>
      <c r="Q244" s="94" t="str">
        <f>IFERROR(($F244*$J244*$O244*VLOOKUP($H244,Materialtabell[[#All],[Materialnamn]:[Bränsle 
MJ/ton, km]],25,0)*Materiallista!$AF$6)/1000,"")</f>
        <v/>
      </c>
      <c r="R244" s="162"/>
      <c r="S244" s="3"/>
      <c r="T244" s="3"/>
    </row>
    <row r="245" spans="1:20" x14ac:dyDescent="0.25">
      <c r="A245" s="3"/>
      <c r="B245" s="185">
        <v>240</v>
      </c>
      <c r="C245" s="170"/>
      <c r="D245" s="103"/>
      <c r="E245" s="103"/>
      <c r="F245" s="78"/>
      <c r="G245" s="103"/>
      <c r="H245" s="102"/>
      <c r="I245" s="105" t="str">
        <f>IFERROR(VLOOKUP(KalkylStart[[#This Row],[Klimatmaterial]],Materialtabell[[#All],[Materialnamn]:[Materialtyp]],2,0),"")</f>
        <v/>
      </c>
      <c r="J245" s="104" t="str">
        <f>IFERROR(IF(G245="kg",1,IF(G245="ton",1000,IF(G245=RIGHT(VLOOKUP(H245,Materialtabell[[#All],[Materialnamn]:[Enhet]],4,0),LEN(VLOOKUP(H245,Materialtabell[[#All],[Materialnamn]:[Enhet]],4,0))-3),VLOOKUP(H245,Materialtabell[[#All],[Materialnamn]:[Enhet]],3,0),"Enhetsfel"))),"")</f>
        <v/>
      </c>
      <c r="K245" s="105" t="str">
        <f>IFERROR(IF(G245="kg","kg/kg",IF(G245="ton","kg/ton",IF(RIGHT(VLOOKUP(H245,Materialtabell[[#All],[Materialnamn]:[Enhet]],4,0),LEN(VLOOKUP(H245,Materialtabell[[#All],[Materialnamn]:[Enhet]],4,0))-3)=G245,VLOOKUP(H245,Materialtabell[[#All],[Materialnamn]:[Enhet]],4,0),"kg/ton/"&amp;RIGHT(VLOOKUP(H245,Materialtabell[[#All],[Materialnamn]:[Enhet]],4,0),LEN(VLOOKUP(H245,Materialtabell[[#All],[Materialnamn]:[Enhet]],4,0))-3)))),"")</f>
        <v/>
      </c>
      <c r="L245" s="104" t="str">
        <f>IFERROR(KalkylStart[[#This Row],[Mängd]]*KalkylStart[[#This Row],[Omräknings-faktor]],"")</f>
        <v/>
      </c>
      <c r="M245" s="104" t="str">
        <f>IFERROR(F245*J245*VLOOKUP(H245,Materialtabell[[#All],[Materialnamn]:[Emissionsfaktor 2019
kg CO2e/kg]],5,0),"")</f>
        <v/>
      </c>
      <c r="N245" s="104" t="str">
        <f>IFERROR(F245*J245*VLOOKUP(H245,Materialtabell[[#All],[Materialnamn]:[Emissionsfaktor 2025
kg CO2e/kg]],6,0),"")</f>
        <v/>
      </c>
      <c r="O245" s="78" t="str">
        <f>IFERROR(VLOOKUP(H245,Materialtabell[[#All],[Materialnamn]:[Kommentar A4]],24,0),"")</f>
        <v/>
      </c>
      <c r="P245" s="94" t="str">
        <f>IFERROR(($F245*$J245*$O245*VLOOKUP($H245,Materialtabell[[#All],[Materialnamn]:[Bränsle 
MJ/ton, km]],25,0)*Materiallista!$AF$5)/1000,"")</f>
        <v/>
      </c>
      <c r="Q245" s="94" t="str">
        <f>IFERROR(($F245*$J245*$O245*VLOOKUP($H245,Materialtabell[[#All],[Materialnamn]:[Bränsle 
MJ/ton, km]],25,0)*Materiallista!$AF$6)/1000,"")</f>
        <v/>
      </c>
      <c r="R245" s="162"/>
      <c r="S245" s="3"/>
      <c r="T245" s="3"/>
    </row>
    <row r="246" spans="1:20" x14ac:dyDescent="0.25">
      <c r="A246" s="3"/>
      <c r="B246" s="185">
        <v>241</v>
      </c>
      <c r="C246" s="170"/>
      <c r="D246" s="103"/>
      <c r="E246" s="103"/>
      <c r="F246" s="78"/>
      <c r="G246" s="103"/>
      <c r="H246" s="102"/>
      <c r="I246" s="105" t="str">
        <f>IFERROR(VLOOKUP(KalkylStart[[#This Row],[Klimatmaterial]],Materialtabell[[#All],[Materialnamn]:[Materialtyp]],2,0),"")</f>
        <v/>
      </c>
      <c r="J246" s="104" t="str">
        <f>IFERROR(IF(G246="kg",1,IF(G246="ton",1000,IF(G246=RIGHT(VLOOKUP(H246,Materialtabell[[#All],[Materialnamn]:[Enhet]],4,0),LEN(VLOOKUP(H246,Materialtabell[[#All],[Materialnamn]:[Enhet]],4,0))-3),VLOOKUP(H246,Materialtabell[[#All],[Materialnamn]:[Enhet]],3,0),"Enhetsfel"))),"")</f>
        <v/>
      </c>
      <c r="K246" s="105" t="str">
        <f>IFERROR(IF(G246="kg","kg/kg",IF(G246="ton","kg/ton",IF(RIGHT(VLOOKUP(H246,Materialtabell[[#All],[Materialnamn]:[Enhet]],4,0),LEN(VLOOKUP(H246,Materialtabell[[#All],[Materialnamn]:[Enhet]],4,0))-3)=G246,VLOOKUP(H246,Materialtabell[[#All],[Materialnamn]:[Enhet]],4,0),"kg/ton/"&amp;RIGHT(VLOOKUP(H246,Materialtabell[[#All],[Materialnamn]:[Enhet]],4,0),LEN(VLOOKUP(H246,Materialtabell[[#All],[Materialnamn]:[Enhet]],4,0))-3)))),"")</f>
        <v/>
      </c>
      <c r="L246" s="104" t="str">
        <f>IFERROR(KalkylStart[[#This Row],[Mängd]]*KalkylStart[[#This Row],[Omräknings-faktor]],"")</f>
        <v/>
      </c>
      <c r="M246" s="104" t="str">
        <f>IFERROR(F246*J246*VLOOKUP(H246,Materialtabell[[#All],[Materialnamn]:[Emissionsfaktor 2019
kg CO2e/kg]],5,0),"")</f>
        <v/>
      </c>
      <c r="N246" s="104" t="str">
        <f>IFERROR(F246*J246*VLOOKUP(H246,Materialtabell[[#All],[Materialnamn]:[Emissionsfaktor 2025
kg CO2e/kg]],6,0),"")</f>
        <v/>
      </c>
      <c r="O246" s="78" t="str">
        <f>IFERROR(VLOOKUP(H246,Materialtabell[[#All],[Materialnamn]:[Kommentar A4]],24,0),"")</f>
        <v/>
      </c>
      <c r="P246" s="94" t="str">
        <f>IFERROR(($F246*$J246*$O246*VLOOKUP($H246,Materialtabell[[#All],[Materialnamn]:[Bränsle 
MJ/ton, km]],25,0)*Materiallista!$AF$5)/1000,"")</f>
        <v/>
      </c>
      <c r="Q246" s="94" t="str">
        <f>IFERROR(($F246*$J246*$O246*VLOOKUP($H246,Materialtabell[[#All],[Materialnamn]:[Bränsle 
MJ/ton, km]],25,0)*Materiallista!$AF$6)/1000,"")</f>
        <v/>
      </c>
      <c r="R246" s="162"/>
      <c r="S246" s="3"/>
      <c r="T246" s="3"/>
    </row>
    <row r="247" spans="1:20" x14ac:dyDescent="0.25">
      <c r="A247" s="3"/>
      <c r="B247" s="185">
        <v>242</v>
      </c>
      <c r="C247" s="170"/>
      <c r="D247" s="103"/>
      <c r="E247" s="103"/>
      <c r="F247" s="78"/>
      <c r="G247" s="103"/>
      <c r="H247" s="102"/>
      <c r="I247" s="105" t="str">
        <f>IFERROR(VLOOKUP(KalkylStart[[#This Row],[Klimatmaterial]],Materialtabell[[#All],[Materialnamn]:[Materialtyp]],2,0),"")</f>
        <v/>
      </c>
      <c r="J247" s="104" t="str">
        <f>IFERROR(IF(G247="kg",1,IF(G247="ton",1000,IF(G247=RIGHT(VLOOKUP(H247,Materialtabell[[#All],[Materialnamn]:[Enhet]],4,0),LEN(VLOOKUP(H247,Materialtabell[[#All],[Materialnamn]:[Enhet]],4,0))-3),VLOOKUP(H247,Materialtabell[[#All],[Materialnamn]:[Enhet]],3,0),"Enhetsfel"))),"")</f>
        <v/>
      </c>
      <c r="K247" s="105" t="str">
        <f>IFERROR(IF(G247="kg","kg/kg",IF(G247="ton","kg/ton",IF(RIGHT(VLOOKUP(H247,Materialtabell[[#All],[Materialnamn]:[Enhet]],4,0),LEN(VLOOKUP(H247,Materialtabell[[#All],[Materialnamn]:[Enhet]],4,0))-3)=G247,VLOOKUP(H247,Materialtabell[[#All],[Materialnamn]:[Enhet]],4,0),"kg/ton/"&amp;RIGHT(VLOOKUP(H247,Materialtabell[[#All],[Materialnamn]:[Enhet]],4,0),LEN(VLOOKUP(H247,Materialtabell[[#All],[Materialnamn]:[Enhet]],4,0))-3)))),"")</f>
        <v/>
      </c>
      <c r="L247" s="104" t="str">
        <f>IFERROR(KalkylStart[[#This Row],[Mängd]]*KalkylStart[[#This Row],[Omräknings-faktor]],"")</f>
        <v/>
      </c>
      <c r="M247" s="104" t="str">
        <f>IFERROR(F247*J247*VLOOKUP(H247,Materialtabell[[#All],[Materialnamn]:[Emissionsfaktor 2019
kg CO2e/kg]],5,0),"")</f>
        <v/>
      </c>
      <c r="N247" s="104" t="str">
        <f>IFERROR(F247*J247*VLOOKUP(H247,Materialtabell[[#All],[Materialnamn]:[Emissionsfaktor 2025
kg CO2e/kg]],6,0),"")</f>
        <v/>
      </c>
      <c r="O247" s="78" t="str">
        <f>IFERROR(VLOOKUP(H247,Materialtabell[[#All],[Materialnamn]:[Kommentar A4]],24,0),"")</f>
        <v/>
      </c>
      <c r="P247" s="94" t="str">
        <f>IFERROR(($F247*$J247*$O247*VLOOKUP($H247,Materialtabell[[#All],[Materialnamn]:[Bränsle 
MJ/ton, km]],25,0)*Materiallista!$AF$5)/1000,"")</f>
        <v/>
      </c>
      <c r="Q247" s="94" t="str">
        <f>IFERROR(($F247*$J247*$O247*VLOOKUP($H247,Materialtabell[[#All],[Materialnamn]:[Bränsle 
MJ/ton, km]],25,0)*Materiallista!$AF$6)/1000,"")</f>
        <v/>
      </c>
      <c r="R247" s="162"/>
      <c r="S247" s="3"/>
      <c r="T247" s="3"/>
    </row>
    <row r="248" spans="1:20" x14ac:dyDescent="0.25">
      <c r="A248" s="3"/>
      <c r="B248" s="185">
        <v>243</v>
      </c>
      <c r="C248" s="170"/>
      <c r="D248" s="103"/>
      <c r="E248" s="103"/>
      <c r="F248" s="78"/>
      <c r="G248" s="103"/>
      <c r="H248" s="102"/>
      <c r="I248" s="105" t="str">
        <f>IFERROR(VLOOKUP(KalkylStart[[#This Row],[Klimatmaterial]],Materialtabell[[#All],[Materialnamn]:[Materialtyp]],2,0),"")</f>
        <v/>
      </c>
      <c r="J248" s="104" t="str">
        <f>IFERROR(IF(G248="kg",1,IF(G248="ton",1000,IF(G248=RIGHT(VLOOKUP(H248,Materialtabell[[#All],[Materialnamn]:[Enhet]],4,0),LEN(VLOOKUP(H248,Materialtabell[[#All],[Materialnamn]:[Enhet]],4,0))-3),VLOOKUP(H248,Materialtabell[[#All],[Materialnamn]:[Enhet]],3,0),"Enhetsfel"))),"")</f>
        <v/>
      </c>
      <c r="K248" s="105" t="str">
        <f>IFERROR(IF(G248="kg","kg/kg",IF(G248="ton","kg/ton",IF(RIGHT(VLOOKUP(H248,Materialtabell[[#All],[Materialnamn]:[Enhet]],4,0),LEN(VLOOKUP(H248,Materialtabell[[#All],[Materialnamn]:[Enhet]],4,0))-3)=G248,VLOOKUP(H248,Materialtabell[[#All],[Materialnamn]:[Enhet]],4,0),"kg/ton/"&amp;RIGHT(VLOOKUP(H248,Materialtabell[[#All],[Materialnamn]:[Enhet]],4,0),LEN(VLOOKUP(H248,Materialtabell[[#All],[Materialnamn]:[Enhet]],4,0))-3)))),"")</f>
        <v/>
      </c>
      <c r="L248" s="104" t="str">
        <f>IFERROR(KalkylStart[[#This Row],[Mängd]]*KalkylStart[[#This Row],[Omräknings-faktor]],"")</f>
        <v/>
      </c>
      <c r="M248" s="104" t="str">
        <f>IFERROR(F248*J248*VLOOKUP(H248,Materialtabell[[#All],[Materialnamn]:[Emissionsfaktor 2019
kg CO2e/kg]],5,0),"")</f>
        <v/>
      </c>
      <c r="N248" s="104" t="str">
        <f>IFERROR(F248*J248*VLOOKUP(H248,Materialtabell[[#All],[Materialnamn]:[Emissionsfaktor 2025
kg CO2e/kg]],6,0),"")</f>
        <v/>
      </c>
      <c r="O248" s="78" t="str">
        <f>IFERROR(VLOOKUP(H248,Materialtabell[[#All],[Materialnamn]:[Kommentar A4]],24,0),"")</f>
        <v/>
      </c>
      <c r="P248" s="94" t="str">
        <f>IFERROR(($F248*$J248*$O248*VLOOKUP($H248,Materialtabell[[#All],[Materialnamn]:[Bränsle 
MJ/ton, km]],25,0)*Materiallista!$AF$5)/1000,"")</f>
        <v/>
      </c>
      <c r="Q248" s="94" t="str">
        <f>IFERROR(($F248*$J248*$O248*VLOOKUP($H248,Materialtabell[[#All],[Materialnamn]:[Bränsle 
MJ/ton, km]],25,0)*Materiallista!$AF$6)/1000,"")</f>
        <v/>
      </c>
      <c r="R248" s="162"/>
      <c r="S248" s="3"/>
      <c r="T248" s="3"/>
    </row>
    <row r="249" spans="1:20" x14ac:dyDescent="0.25">
      <c r="A249" s="3"/>
      <c r="B249" s="185">
        <v>244</v>
      </c>
      <c r="C249" s="170"/>
      <c r="D249" s="103"/>
      <c r="E249" s="103"/>
      <c r="F249" s="78"/>
      <c r="G249" s="103"/>
      <c r="H249" s="102"/>
      <c r="I249" s="105" t="str">
        <f>IFERROR(VLOOKUP(KalkylStart[[#This Row],[Klimatmaterial]],Materialtabell[[#All],[Materialnamn]:[Materialtyp]],2,0),"")</f>
        <v/>
      </c>
      <c r="J249" s="104" t="str">
        <f>IFERROR(IF(G249="kg",1,IF(G249="ton",1000,IF(G249=RIGHT(VLOOKUP(H249,Materialtabell[[#All],[Materialnamn]:[Enhet]],4,0),LEN(VLOOKUP(H249,Materialtabell[[#All],[Materialnamn]:[Enhet]],4,0))-3),VLOOKUP(H249,Materialtabell[[#All],[Materialnamn]:[Enhet]],3,0),"Enhetsfel"))),"")</f>
        <v/>
      </c>
      <c r="K249" s="105" t="str">
        <f>IFERROR(IF(G249="kg","kg/kg",IF(G249="ton","kg/ton",IF(RIGHT(VLOOKUP(H249,Materialtabell[[#All],[Materialnamn]:[Enhet]],4,0),LEN(VLOOKUP(H249,Materialtabell[[#All],[Materialnamn]:[Enhet]],4,0))-3)=G249,VLOOKUP(H249,Materialtabell[[#All],[Materialnamn]:[Enhet]],4,0),"kg/ton/"&amp;RIGHT(VLOOKUP(H249,Materialtabell[[#All],[Materialnamn]:[Enhet]],4,0),LEN(VLOOKUP(H249,Materialtabell[[#All],[Materialnamn]:[Enhet]],4,0))-3)))),"")</f>
        <v/>
      </c>
      <c r="L249" s="104" t="str">
        <f>IFERROR(KalkylStart[[#This Row],[Mängd]]*KalkylStart[[#This Row],[Omräknings-faktor]],"")</f>
        <v/>
      </c>
      <c r="M249" s="104" t="str">
        <f>IFERROR(F249*J249*VLOOKUP(H249,Materialtabell[[#All],[Materialnamn]:[Emissionsfaktor 2019
kg CO2e/kg]],5,0),"")</f>
        <v/>
      </c>
      <c r="N249" s="104" t="str">
        <f>IFERROR(F249*J249*VLOOKUP(H249,Materialtabell[[#All],[Materialnamn]:[Emissionsfaktor 2025
kg CO2e/kg]],6,0),"")</f>
        <v/>
      </c>
      <c r="O249" s="78" t="str">
        <f>IFERROR(VLOOKUP(H249,Materialtabell[[#All],[Materialnamn]:[Kommentar A4]],24,0),"")</f>
        <v/>
      </c>
      <c r="P249" s="94" t="str">
        <f>IFERROR(($F249*$J249*$O249*VLOOKUP($H249,Materialtabell[[#All],[Materialnamn]:[Bränsle 
MJ/ton, km]],25,0)*Materiallista!$AF$5)/1000,"")</f>
        <v/>
      </c>
      <c r="Q249" s="94" t="str">
        <f>IFERROR(($F249*$J249*$O249*VLOOKUP($H249,Materialtabell[[#All],[Materialnamn]:[Bränsle 
MJ/ton, km]],25,0)*Materiallista!$AF$6)/1000,"")</f>
        <v/>
      </c>
      <c r="R249" s="162"/>
      <c r="S249" s="3"/>
      <c r="T249" s="3"/>
    </row>
    <row r="250" spans="1:20" x14ac:dyDescent="0.25">
      <c r="A250" s="3"/>
      <c r="B250" s="185">
        <v>245</v>
      </c>
      <c r="C250" s="170"/>
      <c r="D250" s="103"/>
      <c r="E250" s="103"/>
      <c r="F250" s="78"/>
      <c r="G250" s="103"/>
      <c r="H250" s="102"/>
      <c r="I250" s="105" t="str">
        <f>IFERROR(VLOOKUP(KalkylStart[[#This Row],[Klimatmaterial]],Materialtabell[[#All],[Materialnamn]:[Materialtyp]],2,0),"")</f>
        <v/>
      </c>
      <c r="J250" s="104" t="str">
        <f>IFERROR(IF(G250="kg",1,IF(G250="ton",1000,IF(G250=RIGHT(VLOOKUP(H250,Materialtabell[[#All],[Materialnamn]:[Enhet]],4,0),LEN(VLOOKUP(H250,Materialtabell[[#All],[Materialnamn]:[Enhet]],4,0))-3),VLOOKUP(H250,Materialtabell[[#All],[Materialnamn]:[Enhet]],3,0),"Enhetsfel"))),"")</f>
        <v/>
      </c>
      <c r="K250" s="105" t="str">
        <f>IFERROR(IF(G250="kg","kg/kg",IF(G250="ton","kg/ton",IF(RIGHT(VLOOKUP(H250,Materialtabell[[#All],[Materialnamn]:[Enhet]],4,0),LEN(VLOOKUP(H250,Materialtabell[[#All],[Materialnamn]:[Enhet]],4,0))-3)=G250,VLOOKUP(H250,Materialtabell[[#All],[Materialnamn]:[Enhet]],4,0),"kg/ton/"&amp;RIGHT(VLOOKUP(H250,Materialtabell[[#All],[Materialnamn]:[Enhet]],4,0),LEN(VLOOKUP(H250,Materialtabell[[#All],[Materialnamn]:[Enhet]],4,0))-3)))),"")</f>
        <v/>
      </c>
      <c r="L250" s="104" t="str">
        <f>IFERROR(KalkylStart[[#This Row],[Mängd]]*KalkylStart[[#This Row],[Omräknings-faktor]],"")</f>
        <v/>
      </c>
      <c r="M250" s="104" t="str">
        <f>IFERROR(F250*J250*VLOOKUP(H250,Materialtabell[[#All],[Materialnamn]:[Emissionsfaktor 2019
kg CO2e/kg]],5,0),"")</f>
        <v/>
      </c>
      <c r="N250" s="104" t="str">
        <f>IFERROR(F250*J250*VLOOKUP(H250,Materialtabell[[#All],[Materialnamn]:[Emissionsfaktor 2025
kg CO2e/kg]],6,0),"")</f>
        <v/>
      </c>
      <c r="O250" s="78" t="str">
        <f>IFERROR(VLOOKUP(H250,Materialtabell[[#All],[Materialnamn]:[Kommentar A4]],24,0),"")</f>
        <v/>
      </c>
      <c r="P250" s="94" t="str">
        <f>IFERROR(($F250*$J250*$O250*VLOOKUP($H250,Materialtabell[[#All],[Materialnamn]:[Bränsle 
MJ/ton, km]],25,0)*Materiallista!$AF$5)/1000,"")</f>
        <v/>
      </c>
      <c r="Q250" s="94" t="str">
        <f>IFERROR(($F250*$J250*$O250*VLOOKUP($H250,Materialtabell[[#All],[Materialnamn]:[Bränsle 
MJ/ton, km]],25,0)*Materiallista!$AF$6)/1000,"")</f>
        <v/>
      </c>
      <c r="R250" s="162"/>
      <c r="S250" s="3"/>
      <c r="T250" s="3"/>
    </row>
    <row r="251" spans="1:20" x14ac:dyDescent="0.25">
      <c r="A251" s="3"/>
      <c r="B251" s="185">
        <v>246</v>
      </c>
      <c r="C251" s="170"/>
      <c r="D251" s="103"/>
      <c r="E251" s="103"/>
      <c r="F251" s="78"/>
      <c r="G251" s="103"/>
      <c r="H251" s="102"/>
      <c r="I251" s="105" t="str">
        <f>IFERROR(VLOOKUP(KalkylStart[[#This Row],[Klimatmaterial]],Materialtabell[[#All],[Materialnamn]:[Materialtyp]],2,0),"")</f>
        <v/>
      </c>
      <c r="J251" s="104" t="str">
        <f>IFERROR(IF(G251="kg",1,IF(G251="ton",1000,IF(G251=RIGHT(VLOOKUP(H251,Materialtabell[[#All],[Materialnamn]:[Enhet]],4,0),LEN(VLOOKUP(H251,Materialtabell[[#All],[Materialnamn]:[Enhet]],4,0))-3),VLOOKUP(H251,Materialtabell[[#All],[Materialnamn]:[Enhet]],3,0),"Enhetsfel"))),"")</f>
        <v/>
      </c>
      <c r="K251" s="105" t="str">
        <f>IFERROR(IF(G251="kg","kg/kg",IF(G251="ton","kg/ton",IF(RIGHT(VLOOKUP(H251,Materialtabell[[#All],[Materialnamn]:[Enhet]],4,0),LEN(VLOOKUP(H251,Materialtabell[[#All],[Materialnamn]:[Enhet]],4,0))-3)=G251,VLOOKUP(H251,Materialtabell[[#All],[Materialnamn]:[Enhet]],4,0),"kg/ton/"&amp;RIGHT(VLOOKUP(H251,Materialtabell[[#All],[Materialnamn]:[Enhet]],4,0),LEN(VLOOKUP(H251,Materialtabell[[#All],[Materialnamn]:[Enhet]],4,0))-3)))),"")</f>
        <v/>
      </c>
      <c r="L251" s="104" t="str">
        <f>IFERROR(KalkylStart[[#This Row],[Mängd]]*KalkylStart[[#This Row],[Omräknings-faktor]],"")</f>
        <v/>
      </c>
      <c r="M251" s="104" t="str">
        <f>IFERROR(F251*J251*VLOOKUP(H251,Materialtabell[[#All],[Materialnamn]:[Emissionsfaktor 2019
kg CO2e/kg]],5,0),"")</f>
        <v/>
      </c>
      <c r="N251" s="104" t="str">
        <f>IFERROR(F251*J251*VLOOKUP(H251,Materialtabell[[#All],[Materialnamn]:[Emissionsfaktor 2025
kg CO2e/kg]],6,0),"")</f>
        <v/>
      </c>
      <c r="O251" s="78" t="str">
        <f>IFERROR(VLOOKUP(H251,Materialtabell[[#All],[Materialnamn]:[Kommentar A4]],24,0),"")</f>
        <v/>
      </c>
      <c r="P251" s="94" t="str">
        <f>IFERROR(($F251*$J251*$O251*VLOOKUP($H251,Materialtabell[[#All],[Materialnamn]:[Bränsle 
MJ/ton, km]],25,0)*Materiallista!$AF$5)/1000,"")</f>
        <v/>
      </c>
      <c r="Q251" s="94" t="str">
        <f>IFERROR(($F251*$J251*$O251*VLOOKUP($H251,Materialtabell[[#All],[Materialnamn]:[Bränsle 
MJ/ton, km]],25,0)*Materiallista!$AF$6)/1000,"")</f>
        <v/>
      </c>
      <c r="R251" s="162"/>
      <c r="S251" s="3"/>
      <c r="T251" s="3"/>
    </row>
    <row r="252" spans="1:20" x14ac:dyDescent="0.25">
      <c r="A252" s="3"/>
      <c r="B252" s="185">
        <v>247</v>
      </c>
      <c r="C252" s="170"/>
      <c r="D252" s="103"/>
      <c r="E252" s="103"/>
      <c r="F252" s="78"/>
      <c r="G252" s="103"/>
      <c r="H252" s="102"/>
      <c r="I252" s="105" t="str">
        <f>IFERROR(VLOOKUP(KalkylStart[[#This Row],[Klimatmaterial]],Materialtabell[[#All],[Materialnamn]:[Materialtyp]],2,0),"")</f>
        <v/>
      </c>
      <c r="J252" s="104" t="str">
        <f>IFERROR(IF(G252="kg",1,IF(G252="ton",1000,IF(G252=RIGHT(VLOOKUP(H252,Materialtabell[[#All],[Materialnamn]:[Enhet]],4,0),LEN(VLOOKUP(H252,Materialtabell[[#All],[Materialnamn]:[Enhet]],4,0))-3),VLOOKUP(H252,Materialtabell[[#All],[Materialnamn]:[Enhet]],3,0),"Enhetsfel"))),"")</f>
        <v/>
      </c>
      <c r="K252" s="105" t="str">
        <f>IFERROR(IF(G252="kg","kg/kg",IF(G252="ton","kg/ton",IF(RIGHT(VLOOKUP(H252,Materialtabell[[#All],[Materialnamn]:[Enhet]],4,0),LEN(VLOOKUP(H252,Materialtabell[[#All],[Materialnamn]:[Enhet]],4,0))-3)=G252,VLOOKUP(H252,Materialtabell[[#All],[Materialnamn]:[Enhet]],4,0),"kg/ton/"&amp;RIGHT(VLOOKUP(H252,Materialtabell[[#All],[Materialnamn]:[Enhet]],4,0),LEN(VLOOKUP(H252,Materialtabell[[#All],[Materialnamn]:[Enhet]],4,0))-3)))),"")</f>
        <v/>
      </c>
      <c r="L252" s="104" t="str">
        <f>IFERROR(KalkylStart[[#This Row],[Mängd]]*KalkylStart[[#This Row],[Omräknings-faktor]],"")</f>
        <v/>
      </c>
      <c r="M252" s="104" t="str">
        <f>IFERROR(F252*J252*VLOOKUP(H252,Materialtabell[[#All],[Materialnamn]:[Emissionsfaktor 2019
kg CO2e/kg]],5,0),"")</f>
        <v/>
      </c>
      <c r="N252" s="104" t="str">
        <f>IFERROR(F252*J252*VLOOKUP(H252,Materialtabell[[#All],[Materialnamn]:[Emissionsfaktor 2025
kg CO2e/kg]],6,0),"")</f>
        <v/>
      </c>
      <c r="O252" s="78" t="str">
        <f>IFERROR(VLOOKUP(H252,Materialtabell[[#All],[Materialnamn]:[Kommentar A4]],24,0),"")</f>
        <v/>
      </c>
      <c r="P252" s="94" t="str">
        <f>IFERROR(($F252*$J252*$O252*VLOOKUP($H252,Materialtabell[[#All],[Materialnamn]:[Bränsle 
MJ/ton, km]],25,0)*Materiallista!$AF$5)/1000,"")</f>
        <v/>
      </c>
      <c r="Q252" s="94" t="str">
        <f>IFERROR(($F252*$J252*$O252*VLOOKUP($H252,Materialtabell[[#All],[Materialnamn]:[Bränsle 
MJ/ton, km]],25,0)*Materiallista!$AF$6)/1000,"")</f>
        <v/>
      </c>
      <c r="R252" s="162"/>
      <c r="S252" s="3"/>
      <c r="T252" s="3"/>
    </row>
    <row r="253" spans="1:20" x14ac:dyDescent="0.25">
      <c r="A253" s="3"/>
      <c r="B253" s="185">
        <v>248</v>
      </c>
      <c r="C253" s="170"/>
      <c r="D253" s="103"/>
      <c r="E253" s="103"/>
      <c r="F253" s="78"/>
      <c r="G253" s="103"/>
      <c r="H253" s="102"/>
      <c r="I253" s="105" t="str">
        <f>IFERROR(VLOOKUP(KalkylStart[[#This Row],[Klimatmaterial]],Materialtabell[[#All],[Materialnamn]:[Materialtyp]],2,0),"")</f>
        <v/>
      </c>
      <c r="J253" s="104" t="str">
        <f>IFERROR(IF(G253="kg",1,IF(G253="ton",1000,IF(G253=RIGHT(VLOOKUP(H253,Materialtabell[[#All],[Materialnamn]:[Enhet]],4,0),LEN(VLOOKUP(H253,Materialtabell[[#All],[Materialnamn]:[Enhet]],4,0))-3),VLOOKUP(H253,Materialtabell[[#All],[Materialnamn]:[Enhet]],3,0),"Enhetsfel"))),"")</f>
        <v/>
      </c>
      <c r="K253" s="105" t="str">
        <f>IFERROR(IF(G253="kg","kg/kg",IF(G253="ton","kg/ton",IF(RIGHT(VLOOKUP(H253,Materialtabell[[#All],[Materialnamn]:[Enhet]],4,0),LEN(VLOOKUP(H253,Materialtabell[[#All],[Materialnamn]:[Enhet]],4,0))-3)=G253,VLOOKUP(H253,Materialtabell[[#All],[Materialnamn]:[Enhet]],4,0),"kg/ton/"&amp;RIGHT(VLOOKUP(H253,Materialtabell[[#All],[Materialnamn]:[Enhet]],4,0),LEN(VLOOKUP(H253,Materialtabell[[#All],[Materialnamn]:[Enhet]],4,0))-3)))),"")</f>
        <v/>
      </c>
      <c r="L253" s="104" t="str">
        <f>IFERROR(KalkylStart[[#This Row],[Mängd]]*KalkylStart[[#This Row],[Omräknings-faktor]],"")</f>
        <v/>
      </c>
      <c r="M253" s="104" t="str">
        <f>IFERROR(F253*J253*VLOOKUP(H253,Materialtabell[[#All],[Materialnamn]:[Emissionsfaktor 2019
kg CO2e/kg]],5,0),"")</f>
        <v/>
      </c>
      <c r="N253" s="104" t="str">
        <f>IFERROR(F253*J253*VLOOKUP(H253,Materialtabell[[#All],[Materialnamn]:[Emissionsfaktor 2025
kg CO2e/kg]],6,0),"")</f>
        <v/>
      </c>
      <c r="O253" s="78" t="str">
        <f>IFERROR(VLOOKUP(H253,Materialtabell[[#All],[Materialnamn]:[Kommentar A4]],24,0),"")</f>
        <v/>
      </c>
      <c r="P253" s="94" t="str">
        <f>IFERROR(($F253*$J253*$O253*VLOOKUP($H253,Materialtabell[[#All],[Materialnamn]:[Bränsle 
MJ/ton, km]],25,0)*Materiallista!$AF$5)/1000,"")</f>
        <v/>
      </c>
      <c r="Q253" s="94" t="str">
        <f>IFERROR(($F253*$J253*$O253*VLOOKUP($H253,Materialtabell[[#All],[Materialnamn]:[Bränsle 
MJ/ton, km]],25,0)*Materiallista!$AF$6)/1000,"")</f>
        <v/>
      </c>
      <c r="R253" s="162"/>
      <c r="S253" s="3"/>
      <c r="T253" s="3"/>
    </row>
    <row r="254" spans="1:20" x14ac:dyDescent="0.25">
      <c r="A254" s="3"/>
      <c r="B254" s="185">
        <v>249</v>
      </c>
      <c r="C254" s="170"/>
      <c r="D254" s="103"/>
      <c r="E254" s="103"/>
      <c r="F254" s="78"/>
      <c r="G254" s="103"/>
      <c r="H254" s="102"/>
      <c r="I254" s="105" t="str">
        <f>IFERROR(VLOOKUP(KalkylStart[[#This Row],[Klimatmaterial]],Materialtabell[[#All],[Materialnamn]:[Materialtyp]],2,0),"")</f>
        <v/>
      </c>
      <c r="J254" s="104" t="str">
        <f>IFERROR(IF(G254="kg",1,IF(G254="ton",1000,IF(G254=RIGHT(VLOOKUP(H254,Materialtabell[[#All],[Materialnamn]:[Enhet]],4,0),LEN(VLOOKUP(H254,Materialtabell[[#All],[Materialnamn]:[Enhet]],4,0))-3),VLOOKUP(H254,Materialtabell[[#All],[Materialnamn]:[Enhet]],3,0),"Enhetsfel"))),"")</f>
        <v/>
      </c>
      <c r="K254" s="105" t="str">
        <f>IFERROR(IF(G254="kg","kg/kg",IF(G254="ton","kg/ton",IF(RIGHT(VLOOKUP(H254,Materialtabell[[#All],[Materialnamn]:[Enhet]],4,0),LEN(VLOOKUP(H254,Materialtabell[[#All],[Materialnamn]:[Enhet]],4,0))-3)=G254,VLOOKUP(H254,Materialtabell[[#All],[Materialnamn]:[Enhet]],4,0),"kg/ton/"&amp;RIGHT(VLOOKUP(H254,Materialtabell[[#All],[Materialnamn]:[Enhet]],4,0),LEN(VLOOKUP(H254,Materialtabell[[#All],[Materialnamn]:[Enhet]],4,0))-3)))),"")</f>
        <v/>
      </c>
      <c r="L254" s="104" t="str">
        <f>IFERROR(KalkylStart[[#This Row],[Mängd]]*KalkylStart[[#This Row],[Omräknings-faktor]],"")</f>
        <v/>
      </c>
      <c r="M254" s="104" t="str">
        <f>IFERROR(F254*J254*VLOOKUP(H254,Materialtabell[[#All],[Materialnamn]:[Emissionsfaktor 2019
kg CO2e/kg]],5,0),"")</f>
        <v/>
      </c>
      <c r="N254" s="104" t="str">
        <f>IFERROR(F254*J254*VLOOKUP(H254,Materialtabell[[#All],[Materialnamn]:[Emissionsfaktor 2025
kg CO2e/kg]],6,0),"")</f>
        <v/>
      </c>
      <c r="O254" s="78" t="str">
        <f>IFERROR(VLOOKUP(H254,Materialtabell[[#All],[Materialnamn]:[Kommentar A4]],24,0),"")</f>
        <v/>
      </c>
      <c r="P254" s="94" t="str">
        <f>IFERROR(($F254*$J254*$O254*VLOOKUP($H254,Materialtabell[[#All],[Materialnamn]:[Bränsle 
MJ/ton, km]],25,0)*Materiallista!$AF$5)/1000,"")</f>
        <v/>
      </c>
      <c r="Q254" s="94" t="str">
        <f>IFERROR(($F254*$J254*$O254*VLOOKUP($H254,Materialtabell[[#All],[Materialnamn]:[Bränsle 
MJ/ton, km]],25,0)*Materiallista!$AF$6)/1000,"")</f>
        <v/>
      </c>
      <c r="R254" s="162"/>
      <c r="S254" s="3"/>
      <c r="T254" s="3"/>
    </row>
    <row r="255" spans="1:20" x14ac:dyDescent="0.25">
      <c r="A255" s="55"/>
      <c r="B255" s="185">
        <v>250</v>
      </c>
      <c r="C255" s="170"/>
      <c r="D255" s="103"/>
      <c r="E255" s="103"/>
      <c r="F255" s="78"/>
      <c r="G255" s="103"/>
      <c r="H255" s="102"/>
      <c r="I255" s="105" t="str">
        <f>IFERROR(VLOOKUP(KalkylStart[[#This Row],[Klimatmaterial]],Materialtabell[[#All],[Materialnamn]:[Materialtyp]],2,0),"")</f>
        <v/>
      </c>
      <c r="J255" s="104" t="str">
        <f>IFERROR(IF(G255="kg",1,IF(G255="ton",1000,IF(G255=RIGHT(VLOOKUP(H255,Materialtabell[[#All],[Materialnamn]:[Enhet]],4,0),LEN(VLOOKUP(H255,Materialtabell[[#All],[Materialnamn]:[Enhet]],4,0))-3),VLOOKUP(H255,Materialtabell[[#All],[Materialnamn]:[Enhet]],3,0),"Enhetsfel"))),"")</f>
        <v/>
      </c>
      <c r="K255" s="105" t="str">
        <f>IFERROR(IF(G255="kg","kg/kg",IF(G255="ton","kg/ton",IF(RIGHT(VLOOKUP(H255,Materialtabell[[#All],[Materialnamn]:[Enhet]],4,0),LEN(VLOOKUP(H255,Materialtabell[[#All],[Materialnamn]:[Enhet]],4,0))-3)=G255,VLOOKUP(H255,Materialtabell[[#All],[Materialnamn]:[Enhet]],4,0),"kg/ton/"&amp;RIGHT(VLOOKUP(H255,Materialtabell[[#All],[Materialnamn]:[Enhet]],4,0),LEN(VLOOKUP(H255,Materialtabell[[#All],[Materialnamn]:[Enhet]],4,0))-3)))),"")</f>
        <v/>
      </c>
      <c r="L255" s="104" t="str">
        <f>IFERROR(KalkylStart[[#This Row],[Mängd]]*KalkylStart[[#This Row],[Omräknings-faktor]],"")</f>
        <v/>
      </c>
      <c r="M255" s="104" t="str">
        <f>IFERROR(F255*J255*VLOOKUP(H255,Materialtabell[[#All],[Materialnamn]:[Emissionsfaktor 2019
kg CO2e/kg]],5,0),"")</f>
        <v/>
      </c>
      <c r="N255" s="104" t="str">
        <f>IFERROR(F255*J255*VLOOKUP(H255,Materialtabell[[#All],[Materialnamn]:[Emissionsfaktor 2025
kg CO2e/kg]],6,0),"")</f>
        <v/>
      </c>
      <c r="O255" s="78" t="str">
        <f>IFERROR(VLOOKUP(H255,Materialtabell[[#All],[Materialnamn]:[Kommentar A4]],24,0),"")</f>
        <v/>
      </c>
      <c r="P255" s="94" t="str">
        <f>IFERROR(($F255*$J255*$O255*VLOOKUP($H255,Materialtabell[[#All],[Materialnamn]:[Bränsle 
MJ/ton, km]],25,0)*Materiallista!$AF$5)/1000,"")</f>
        <v/>
      </c>
      <c r="Q255" s="94" t="str">
        <f>IFERROR(($F255*$J255*$O255*VLOOKUP($H255,Materialtabell[[#All],[Materialnamn]:[Bränsle 
MJ/ton, km]],25,0)*Materiallista!$AF$6)/1000,"")</f>
        <v/>
      </c>
      <c r="R255" s="162"/>
      <c r="S255" s="55"/>
      <c r="T255" s="55"/>
    </row>
    <row r="256" spans="1:20" x14ac:dyDescent="0.25">
      <c r="A256" s="3"/>
      <c r="B256" s="3"/>
      <c r="C256" s="22"/>
      <c r="D256" s="3"/>
      <c r="E256" s="3"/>
      <c r="F256" s="3"/>
      <c r="G256" s="3"/>
      <c r="H256" s="3"/>
      <c r="I256" s="3"/>
      <c r="J256" s="3"/>
      <c r="K256" s="3"/>
      <c r="L256" s="3"/>
      <c r="M256" s="3"/>
      <c r="N256" s="3"/>
      <c r="O256" s="3"/>
      <c r="P256" s="3"/>
      <c r="Q256" s="3"/>
      <c r="R256" s="12"/>
      <c r="S256" s="3"/>
      <c r="T256" s="3"/>
    </row>
    <row r="257" spans="1:20" x14ac:dyDescent="0.25">
      <c r="A257" s="3"/>
      <c r="B257" s="3"/>
      <c r="C257" s="22"/>
      <c r="D257" s="3"/>
      <c r="E257" s="3"/>
      <c r="F257" s="3"/>
      <c r="G257" s="3"/>
      <c r="H257" s="3"/>
      <c r="I257" s="3"/>
      <c r="J257" s="3"/>
      <c r="K257" s="3"/>
      <c r="L257" s="3"/>
      <c r="M257" s="3"/>
      <c r="N257" s="3"/>
      <c r="O257" s="3"/>
      <c r="P257" s="3"/>
      <c r="Q257" s="3"/>
      <c r="R257" s="12"/>
      <c r="S257" s="3"/>
      <c r="T257" s="3"/>
    </row>
    <row r="258" spans="1:20" x14ac:dyDescent="0.25">
      <c r="A258" s="3"/>
      <c r="B258" s="3"/>
      <c r="C258" s="22"/>
      <c r="D258" s="3"/>
      <c r="E258" s="3"/>
      <c r="F258" s="3"/>
      <c r="G258" s="3"/>
      <c r="H258" s="3"/>
      <c r="I258" s="3"/>
      <c r="J258" s="3"/>
      <c r="K258" s="3"/>
      <c r="L258" s="3"/>
      <c r="M258" s="3"/>
      <c r="N258" s="3"/>
      <c r="O258" s="3"/>
      <c r="P258" s="3"/>
      <c r="Q258" s="3"/>
      <c r="R258" s="12"/>
      <c r="S258" s="3"/>
      <c r="T258" s="3"/>
    </row>
    <row r="259" spans="1:20" x14ac:dyDescent="0.25">
      <c r="A259" s="3"/>
      <c r="B259" s="3"/>
      <c r="C259" s="22"/>
      <c r="D259" s="3"/>
      <c r="E259" s="3"/>
      <c r="F259" s="3"/>
      <c r="G259" s="3"/>
      <c r="H259" s="3"/>
      <c r="I259" s="3"/>
      <c r="J259" s="3"/>
      <c r="K259" s="3"/>
      <c r="L259" s="3"/>
      <c r="M259" s="3"/>
      <c r="N259" s="3"/>
      <c r="O259" s="3"/>
      <c r="P259" s="3"/>
      <c r="Q259" s="3"/>
      <c r="R259" s="12"/>
      <c r="S259" s="3"/>
      <c r="T259" s="3"/>
    </row>
    <row r="260" spans="1:20" x14ac:dyDescent="0.25">
      <c r="A260" s="132"/>
      <c r="B260" s="132"/>
      <c r="C260" s="132"/>
      <c r="D260" s="132"/>
      <c r="E260" s="132"/>
      <c r="F260" s="132"/>
      <c r="G260" s="132"/>
      <c r="H260" s="132"/>
      <c r="I260" s="132"/>
      <c r="J260" s="132"/>
      <c r="K260" s="132"/>
      <c r="L260" s="132"/>
      <c r="M260" s="132"/>
      <c r="N260" s="132"/>
      <c r="O260" s="132"/>
      <c r="P260" s="132"/>
      <c r="Q260" s="132"/>
      <c r="R260" s="132"/>
      <c r="S260" s="132"/>
      <c r="T260" s="132"/>
    </row>
    <row r="261" spans="1:20" x14ac:dyDescent="0.25">
      <c r="A261" s="132"/>
      <c r="B261" s="132"/>
      <c r="C261" s="132"/>
      <c r="D261" s="132"/>
      <c r="E261" s="132"/>
      <c r="F261" s="132"/>
      <c r="G261" s="132"/>
      <c r="H261" s="132"/>
      <c r="I261" s="132"/>
      <c r="J261" s="132"/>
      <c r="K261" s="132"/>
      <c r="L261" s="132"/>
      <c r="M261" s="132"/>
      <c r="N261" s="132"/>
      <c r="O261" s="132"/>
      <c r="P261" s="132"/>
      <c r="Q261" s="132"/>
      <c r="R261" s="132"/>
      <c r="S261" s="132"/>
      <c r="T261" s="132"/>
    </row>
    <row r="262" spans="1:20" x14ac:dyDescent="0.25">
      <c r="A262" s="132"/>
      <c r="B262" s="132"/>
      <c r="C262" s="132"/>
      <c r="D262" s="132"/>
      <c r="E262" s="132"/>
      <c r="F262" s="132"/>
      <c r="G262" s="132"/>
      <c r="H262" s="132"/>
      <c r="I262" s="132"/>
      <c r="J262" s="132"/>
      <c r="K262" s="132"/>
      <c r="L262" s="132"/>
      <c r="M262" s="132"/>
      <c r="N262" s="132"/>
      <c r="O262" s="132"/>
      <c r="P262" s="132"/>
      <c r="Q262" s="132"/>
      <c r="R262" s="132"/>
      <c r="S262" s="132"/>
      <c r="T262" s="132"/>
    </row>
    <row r="263" spans="1:20" x14ac:dyDescent="0.25">
      <c r="A263" s="132"/>
      <c r="B263" s="132"/>
      <c r="C263" s="132"/>
      <c r="D263" s="132"/>
      <c r="E263" s="132"/>
      <c r="F263" s="132"/>
      <c r="G263" s="132"/>
      <c r="H263" s="132"/>
      <c r="I263" s="132"/>
      <c r="J263" s="132"/>
      <c r="K263" s="132"/>
      <c r="L263" s="132"/>
      <c r="M263" s="132"/>
      <c r="N263" s="132"/>
      <c r="O263" s="132"/>
      <c r="P263" s="132"/>
      <c r="Q263" s="132"/>
      <c r="R263" s="132"/>
      <c r="S263" s="132"/>
      <c r="T263" s="132"/>
    </row>
    <row r="264" spans="1:20" x14ac:dyDescent="0.25">
      <c r="A264" s="132"/>
      <c r="B264" s="132"/>
      <c r="C264" s="132"/>
      <c r="D264" s="132"/>
      <c r="E264" s="132"/>
      <c r="F264" s="132"/>
      <c r="G264" s="132"/>
      <c r="H264" s="132"/>
      <c r="I264" s="132"/>
      <c r="J264" s="132"/>
      <c r="K264" s="132"/>
      <c r="L264" s="132"/>
      <c r="M264" s="132"/>
      <c r="N264" s="132"/>
      <c r="O264" s="132"/>
      <c r="P264" s="132"/>
      <c r="Q264" s="132"/>
      <c r="R264" s="132"/>
      <c r="S264" s="132"/>
      <c r="T264" s="132"/>
    </row>
    <row r="265" spans="1:20" x14ac:dyDescent="0.25">
      <c r="A265" s="132"/>
      <c r="B265" s="132"/>
      <c r="C265" s="132"/>
      <c r="D265" s="132"/>
      <c r="E265" s="132"/>
      <c r="F265" s="132"/>
      <c r="G265" s="132"/>
      <c r="H265" s="132"/>
      <c r="I265" s="132"/>
      <c r="J265" s="132"/>
      <c r="K265" s="132"/>
      <c r="L265" s="132"/>
      <c r="M265" s="132"/>
      <c r="N265" s="132"/>
      <c r="O265" s="132"/>
      <c r="P265" s="132"/>
      <c r="Q265" s="132"/>
      <c r="R265" s="132"/>
      <c r="S265" s="132"/>
      <c r="T265" s="132"/>
    </row>
  </sheetData>
  <sheetProtection algorithmName="SHA-512" hashValue="CimGpx0JtxwLlUKD755JxJJw7MrxX3gHZ3MDkDoGNpN+FMLGogGjh2x0g6/ZNoYOVTrRIZ7KsvUwT7hXT9ylEg==" saltValue="TpT+u2qOlfo00HKUlDIBTA==" spinCount="100000" sheet="1" objects="1" scenarios="1" autoFilter="0"/>
  <protectedRanges>
    <protectedRange sqref="C6:H205 R6:R205 O6:O205" name="EdKEXstart"/>
  </protectedRanges>
  <conditionalFormatting sqref="J6:J255">
    <cfRule type="containsText" dxfId="101" priority="1" operator="containsText" text="Enhetsfel">
      <formula>NOT(ISERROR(SEARCH("Enhetsfel",J6)))</formula>
    </cfRule>
  </conditionalFormatting>
  <conditionalFormatting sqref="K6:K255">
    <cfRule type="expression" dxfId="100" priority="2">
      <formula>G6&lt;&gt;RIGHT(K6,LEN(K6)-3)</formula>
    </cfRule>
  </conditionalFormatting>
  <dataValidations count="3">
    <dataValidation type="list" errorStyle="warning" allowBlank="1" showInputMessage="1" showErrorMessage="1" errorTitle="Teknikområde saknas i lista" error="Teknikområde saknas i lista. Välj om passande ett av alterantiven ur listan." sqref="C6:C255" xr:uid="{9FD833C7-ED32-423A-919D-31606C0D0F09}">
      <formula1>OFFSET(Teknikomr,0,0,COUNTA(Teknikomr),1)</formula1>
    </dataValidation>
    <dataValidation type="list" allowBlank="1" showInputMessage="1" showErrorMessage="1" sqref="G6:G255" xr:uid="{B53F8EF0-179B-4C18-A726-EBB5C93EE1BE}">
      <formula1>OFFSET(Omräkningsfaktor,0,0,COUNTA(Omräkningsfaktor),1)</formula1>
    </dataValidation>
    <dataValidation type="list" errorStyle="warning" allowBlank="1" showInputMessage="1" showErrorMessage="1" errorTitle="Material ej i materiallista" error="OBS! Material finns ej i materiallista och klimatdata saknas._x000a__x000a_Tillkommande material behöver inkluderas i materiallista." sqref="H6:I255" xr:uid="{87CE7094-A097-46F7-B598-2E061B03D5DB}">
      <formula1>OFFSET(Materialnamn,0,0,COUNTA(Materialnamn),1)</formula1>
    </dataValidation>
  </dataValidations>
  <pageMargins left="0.7" right="0.7" top="0.75" bottom="0.75" header="0.3" footer="0.3"/>
  <pageSetup paperSize="8" scale="55" fitToHeight="0" orientation="landscape" r:id="rId1"/>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2BB1-02A9-4524-9C17-BD27FBA1138A}">
  <sheetPr>
    <pageSetUpPr autoPageBreaks="0" fitToPage="1"/>
  </sheetPr>
  <dimension ref="A1:W265"/>
  <sheetViews>
    <sheetView showRowColHeaders="0" zoomScaleNormal="100" zoomScaleSheetLayoutView="100" zoomScalePageLayoutView="40" workbookViewId="0">
      <pane ySplit="5" topLeftCell="A6" activePane="bottomLeft" state="frozen"/>
      <selection pane="bottomLeft" activeCell="C6" sqref="C6"/>
    </sheetView>
  </sheetViews>
  <sheetFormatPr defaultColWidth="0" defaultRowHeight="15" zeroHeight="1" x14ac:dyDescent="0.25"/>
  <cols>
    <col min="1" max="1" width="5.7109375" style="1" customWidth="1"/>
    <col min="2" max="2" width="21.7109375" style="1" customWidth="1"/>
    <col min="3" max="3" width="16.85546875" style="15" customWidth="1"/>
    <col min="4" max="4" width="12.7109375" style="1" customWidth="1"/>
    <col min="5" max="5" width="50.7109375" style="1" customWidth="1"/>
    <col min="6" max="7" width="12.7109375" style="1" customWidth="1"/>
    <col min="8" max="8" width="50.7109375" style="1" customWidth="1"/>
    <col min="9" max="9" width="12.7109375" style="1" hidden="1" customWidth="1"/>
    <col min="10" max="10" width="12.7109375" style="1" customWidth="1"/>
    <col min="11" max="11" width="14.42578125" style="1" customWidth="1"/>
    <col min="12" max="13" width="14.42578125" style="1" hidden="1" customWidth="1"/>
    <col min="14" max="17" width="12.7109375" style="1" customWidth="1"/>
    <col min="18" max="18" width="50.7109375" style="14" customWidth="1"/>
    <col min="19" max="19" width="21.7109375" style="1" customWidth="1"/>
    <col min="20" max="20" width="5.7109375" style="1" customWidth="1"/>
    <col min="21" max="23" width="0" style="1" hidden="1" customWidth="1"/>
    <col min="24" max="16384" width="8.7109375" style="1" hidden="1"/>
  </cols>
  <sheetData>
    <row r="1" spans="1:20" ht="20.100000000000001" customHeight="1" x14ac:dyDescent="0.25">
      <c r="A1" s="3"/>
      <c r="B1" s="23"/>
      <c r="C1" s="23"/>
      <c r="D1" s="23"/>
      <c r="E1" s="23"/>
      <c r="F1" s="23"/>
      <c r="G1" s="23"/>
      <c r="H1" s="23"/>
      <c r="I1" s="23"/>
      <c r="J1" s="23"/>
      <c r="K1" s="23"/>
      <c r="L1" s="23"/>
      <c r="M1" s="23"/>
      <c r="N1" s="23"/>
      <c r="O1" s="23"/>
      <c r="P1" s="23"/>
      <c r="Q1" s="23"/>
      <c r="R1" s="23"/>
      <c r="S1" s="23"/>
      <c r="T1" s="3"/>
    </row>
    <row r="2" spans="1:20" s="19" customFormat="1" ht="45" customHeight="1" x14ac:dyDescent="0.5">
      <c r="A2" s="26"/>
      <c r="B2" s="26"/>
      <c r="C2" s="38" t="s">
        <v>350</v>
      </c>
      <c r="D2" s="26"/>
      <c r="E2" s="26"/>
      <c r="F2" s="26"/>
      <c r="G2" s="26"/>
      <c r="H2" s="26"/>
      <c r="I2" s="26"/>
      <c r="J2" s="26"/>
      <c r="K2" s="26"/>
      <c r="L2" s="26"/>
      <c r="M2" s="26"/>
      <c r="N2" s="26"/>
      <c r="O2" s="26"/>
      <c r="P2" s="26"/>
      <c r="Q2" s="26"/>
      <c r="R2" s="27"/>
      <c r="S2" s="26"/>
    </row>
    <row r="3" spans="1:20" ht="20.100000000000001" customHeight="1" x14ac:dyDescent="0.25">
      <c r="A3" s="3"/>
      <c r="B3" s="23"/>
      <c r="C3" s="23"/>
      <c r="D3" s="3"/>
      <c r="E3" s="23"/>
      <c r="F3" s="23"/>
      <c r="G3" s="23"/>
      <c r="H3" s="23"/>
      <c r="I3" s="23"/>
      <c r="J3" s="23"/>
      <c r="K3" s="23"/>
      <c r="L3" s="23"/>
      <c r="M3" s="23"/>
      <c r="N3" s="23"/>
      <c r="O3" s="3"/>
      <c r="P3" s="3"/>
      <c r="Q3" s="3"/>
      <c r="R3" s="23"/>
      <c r="S3" s="3"/>
      <c r="T3" s="3"/>
    </row>
    <row r="4" spans="1:20" ht="45" customHeight="1" x14ac:dyDescent="0.25">
      <c r="A4" s="3"/>
      <c r="B4" s="3"/>
      <c r="C4" s="147" t="s">
        <v>121</v>
      </c>
      <c r="D4" s="3"/>
      <c r="E4" s="3"/>
      <c r="F4" s="3"/>
      <c r="G4" s="3"/>
      <c r="H4" s="107"/>
      <c r="I4" s="107"/>
      <c r="J4" s="108" t="s">
        <v>40</v>
      </c>
      <c r="K4" s="109"/>
      <c r="L4" s="109"/>
      <c r="M4" s="109"/>
      <c r="N4" s="109"/>
      <c r="O4" s="148"/>
      <c r="P4" s="149" t="s">
        <v>181</v>
      </c>
      <c r="Q4" s="149"/>
      <c r="R4" s="150"/>
      <c r="S4" s="3"/>
      <c r="T4" s="3"/>
    </row>
    <row r="5" spans="1:20" ht="45" customHeight="1" x14ac:dyDescent="0.25">
      <c r="A5" s="3"/>
      <c r="B5" s="186" t="s">
        <v>13</v>
      </c>
      <c r="C5" s="145" t="s">
        <v>165</v>
      </c>
      <c r="D5" s="145" t="s">
        <v>256</v>
      </c>
      <c r="E5" s="146" t="s">
        <v>370</v>
      </c>
      <c r="F5" s="146" t="s">
        <v>257</v>
      </c>
      <c r="G5" s="152" t="s">
        <v>0</v>
      </c>
      <c r="H5" s="157" t="s">
        <v>339</v>
      </c>
      <c r="I5" s="158" t="s">
        <v>14</v>
      </c>
      <c r="J5" s="159" t="s">
        <v>375</v>
      </c>
      <c r="K5" s="159" t="s">
        <v>333</v>
      </c>
      <c r="L5" s="160" t="s">
        <v>340</v>
      </c>
      <c r="M5" s="160" t="s">
        <v>342</v>
      </c>
      <c r="N5" s="159" t="s">
        <v>336</v>
      </c>
      <c r="O5" s="161" t="s">
        <v>161</v>
      </c>
      <c r="P5" s="161" t="s">
        <v>337</v>
      </c>
      <c r="Q5" s="161" t="s">
        <v>338</v>
      </c>
      <c r="R5" s="110" t="s">
        <v>37</v>
      </c>
      <c r="S5" s="3"/>
      <c r="T5" s="3"/>
    </row>
    <row r="6" spans="1:20" x14ac:dyDescent="0.25">
      <c r="A6" s="3"/>
      <c r="B6" s="185">
        <v>1</v>
      </c>
      <c r="C6" s="170"/>
      <c r="D6" s="103"/>
      <c r="E6" s="103"/>
      <c r="F6" s="78"/>
      <c r="G6" s="103"/>
      <c r="H6" s="106"/>
      <c r="I6" s="105" t="str">
        <f>IFERROR(VLOOKUP(KalkylSlut[[#This Row],[Klimatmaterial]],Materialtabell[[#All],[Materialnamn]:[Materialtyp]],2,0),"")</f>
        <v/>
      </c>
      <c r="J6" s="104" t="str">
        <f>IFERROR(IF(G6="kg",1,IF(G6="ton",1000,IF(G6=RIGHT(VLOOKUP(H6,Materialtabell[[#All],[Materialnamn]:[Enhet]],4,0),LEN(VLOOKUP(H6,Materialtabell[[#All],[Materialnamn]:[Enhet]],4,0))-3),VLOOKUP(H6,Materialtabell[[#All],[Materialnamn]:[Enhet]],3,0),"Enhetsfel"))),"")</f>
        <v/>
      </c>
      <c r="K6" s="105" t="str">
        <f>IFERROR(IF(G6="kg","kg/kg",IF(G6="ton","kg/ton",IF(RIGHT(VLOOKUP(H6,Materialtabell[[#All],[Materialnamn]:[Enhet]],4,0),LEN(VLOOKUP(H6,Materialtabell[[#All],[Materialnamn]:[Enhet]],4,0))-3)=G6,VLOOKUP(H6,Materialtabell[[#All],[Materialnamn]:[Enhet]],4,0),"kg/ton/"&amp;RIGHT(VLOOKUP(H6,Materialtabell[[#All],[Materialnamn]:[Enhet]],4,0),LEN(VLOOKUP(H6,Materialtabell[[#All],[Materialnamn]:[Enhet]],4,0))-3)))),"")</f>
        <v/>
      </c>
      <c r="L6" s="104" t="str">
        <f>IFERROR(KalkylSlut[[#This Row],[Mängd]]*KalkylSlut[[#This Row],[Omräknings-faktor]],"")</f>
        <v/>
      </c>
      <c r="M6" s="104" t="str">
        <f>IFERROR(F6*J6*VLOOKUP(H6,Materialtabell[[#All],[Materialnamn]:[Emissionsfaktor 2019
kg CO2e/kg]],5,0),"")</f>
        <v/>
      </c>
      <c r="N6" s="104" t="str">
        <f>IFERROR(F6*J6*VLOOKUP(H6,Materialtabell[[#All],[Materialnamn]:[Emissionsfaktor 2025
kg CO2e/kg]],6,0),"")</f>
        <v/>
      </c>
      <c r="O6" s="78" t="str">
        <f>IFERROR(VLOOKUP(H6,Materialtabell[[#All],[Materialnamn]:[Kommentar A4]],24,0),"")</f>
        <v/>
      </c>
      <c r="P6" s="94" t="str">
        <f>IFERROR(($F6*$J6*$O6*VLOOKUP($H6,Materialtabell[[#All],[Materialnamn]:[Bränsle 
MJ/ton, km]],25,0)*Materiallista!$AF$5)/1000,"")</f>
        <v/>
      </c>
      <c r="Q6" s="94" t="str">
        <f>IFERROR(($F6*$J6*$O6*VLOOKUP($H6,Materialtabell[[#All],[Materialnamn]:[Bränsle 
MJ/ton, km]],25,0)*Materiallista!$AF$6)/1000,"")</f>
        <v/>
      </c>
      <c r="R6" s="162"/>
      <c r="S6" s="3"/>
      <c r="T6" s="3"/>
    </row>
    <row r="7" spans="1:20" x14ac:dyDescent="0.25">
      <c r="A7" s="3"/>
      <c r="B7" s="185">
        <v>2</v>
      </c>
      <c r="C7" s="170"/>
      <c r="D7" s="103"/>
      <c r="E7" s="103"/>
      <c r="F7" s="78"/>
      <c r="G7" s="103"/>
      <c r="H7" s="106"/>
      <c r="I7" s="105" t="str">
        <f>IFERROR(VLOOKUP(KalkylSlut[[#This Row],[Klimatmaterial]],Materialtabell[[#All],[Materialnamn]:[Materialtyp]],2,0),"")</f>
        <v/>
      </c>
      <c r="J7" s="104" t="str">
        <f>IFERROR(IF(G7="kg",1,IF(G7="ton",1000,IF(G7=RIGHT(VLOOKUP(H7,Materialtabell[[#All],[Materialnamn]:[Enhet]],4,0),LEN(VLOOKUP(H7,Materialtabell[[#All],[Materialnamn]:[Enhet]],4,0))-3),VLOOKUP(H7,Materialtabell[[#All],[Materialnamn]:[Enhet]],3,0),"Enhetsfel"))),"")</f>
        <v/>
      </c>
      <c r="K7" s="105" t="str">
        <f>IFERROR(IF(G7="kg","kg/kg",IF(G7="ton","kg/ton",IF(RIGHT(VLOOKUP(H7,Materialtabell[[#All],[Materialnamn]:[Enhet]],4,0),LEN(VLOOKUP(H7,Materialtabell[[#All],[Materialnamn]:[Enhet]],4,0))-3)=G7,VLOOKUP(H7,Materialtabell[[#All],[Materialnamn]:[Enhet]],4,0),"kg/ton/"&amp;RIGHT(VLOOKUP(H7,Materialtabell[[#All],[Materialnamn]:[Enhet]],4,0),LEN(VLOOKUP(H7,Materialtabell[[#All],[Materialnamn]:[Enhet]],4,0))-3)))),"")</f>
        <v/>
      </c>
      <c r="L7" s="104" t="str">
        <f>IFERROR(KalkylSlut[[#This Row],[Mängd]]*KalkylSlut[[#This Row],[Omräknings-faktor]],"")</f>
        <v/>
      </c>
      <c r="M7" s="104" t="str">
        <f>IFERROR(F7*J7*VLOOKUP(H7,Materialtabell[[#All],[Materialnamn]:[Emissionsfaktor 2019
kg CO2e/kg]],5,0),"")</f>
        <v/>
      </c>
      <c r="N7" s="104" t="str">
        <f>IFERROR(F7*J7*VLOOKUP(H7,Materialtabell[[#All],[Materialnamn]:[Emissionsfaktor 2025
kg CO2e/kg]],6,0),"")</f>
        <v/>
      </c>
      <c r="O7" s="78" t="str">
        <f>IFERROR(VLOOKUP(H7,Materialtabell[[#All],[Materialnamn]:[Kommentar A4]],24,0),"")</f>
        <v/>
      </c>
      <c r="P7" s="94" t="str">
        <f>IFERROR(($F7*$J7*$O7*VLOOKUP($H7,Materialtabell[[#All],[Materialnamn]:[Bränsle 
MJ/ton, km]],25,0)*Materiallista!$AF$5)/1000,"")</f>
        <v/>
      </c>
      <c r="Q7" s="94" t="str">
        <f>IFERROR(($F7*$J7*$O7*VLOOKUP($H7,Materialtabell[[#All],[Materialnamn]:[Bränsle 
MJ/ton, km]],25,0)*Materiallista!$AF$6)/1000,"")</f>
        <v/>
      </c>
      <c r="R7" s="162"/>
      <c r="S7" s="3"/>
      <c r="T7" s="3"/>
    </row>
    <row r="8" spans="1:20" x14ac:dyDescent="0.25">
      <c r="A8" s="3"/>
      <c r="B8" s="185">
        <v>3</v>
      </c>
      <c r="C8" s="170"/>
      <c r="D8" s="103"/>
      <c r="E8" s="103"/>
      <c r="F8" s="78"/>
      <c r="G8" s="103"/>
      <c r="H8" s="106"/>
      <c r="I8" s="105" t="str">
        <f>IFERROR(VLOOKUP(KalkylSlut[[#This Row],[Klimatmaterial]],Materialtabell[[#All],[Materialnamn]:[Materialtyp]],2,0),"")</f>
        <v/>
      </c>
      <c r="J8" s="104" t="str">
        <f>IFERROR(IF(G8="kg",1,IF(G8="ton",1000,IF(G8=RIGHT(VLOOKUP(H8,Materialtabell[[#All],[Materialnamn]:[Enhet]],4,0),LEN(VLOOKUP(H8,Materialtabell[[#All],[Materialnamn]:[Enhet]],4,0))-3),VLOOKUP(H8,Materialtabell[[#All],[Materialnamn]:[Enhet]],3,0),"Enhetsfel"))),"")</f>
        <v/>
      </c>
      <c r="K8" s="105" t="str">
        <f>IFERROR(IF(G8="kg","kg/kg",IF(G8="ton","kg/ton",IF(RIGHT(VLOOKUP(H8,Materialtabell[[#All],[Materialnamn]:[Enhet]],4,0),LEN(VLOOKUP(H8,Materialtabell[[#All],[Materialnamn]:[Enhet]],4,0))-3)=G8,VLOOKUP(H8,Materialtabell[[#All],[Materialnamn]:[Enhet]],4,0),"kg/ton/"&amp;RIGHT(VLOOKUP(H8,Materialtabell[[#All],[Materialnamn]:[Enhet]],4,0),LEN(VLOOKUP(H8,Materialtabell[[#All],[Materialnamn]:[Enhet]],4,0))-3)))),"")</f>
        <v/>
      </c>
      <c r="L8" s="104" t="str">
        <f>IFERROR(KalkylSlut[[#This Row],[Mängd]]*KalkylSlut[[#This Row],[Omräknings-faktor]],"")</f>
        <v/>
      </c>
      <c r="M8" s="104" t="str">
        <f>IFERROR(F8*J8*VLOOKUP(H8,Materialtabell[[#All],[Materialnamn]:[Emissionsfaktor 2019
kg CO2e/kg]],5,0),"")</f>
        <v/>
      </c>
      <c r="N8" s="104" t="str">
        <f>IFERROR(F8*J8*VLOOKUP(H8,Materialtabell[[#All],[Materialnamn]:[Emissionsfaktor 2025
kg CO2e/kg]],6,0),"")</f>
        <v/>
      </c>
      <c r="O8" s="78" t="str">
        <f>IFERROR(VLOOKUP(H8,Materialtabell[[#All],[Materialnamn]:[Kommentar A4]],24,0),"")</f>
        <v/>
      </c>
      <c r="P8" s="94" t="str">
        <f>IFERROR(($F8*$J8*$O8*VLOOKUP($H8,Materialtabell[[#All],[Materialnamn]:[Bränsle 
MJ/ton, km]],25,0)*Materiallista!$AF$5)/1000,"")</f>
        <v/>
      </c>
      <c r="Q8" s="94" t="str">
        <f>IFERROR(($F8*$J8*$O8*VLOOKUP($H8,Materialtabell[[#All],[Materialnamn]:[Bränsle 
MJ/ton, km]],25,0)*Materiallista!$AF$6)/1000,"")</f>
        <v/>
      </c>
      <c r="R8" s="162"/>
      <c r="S8" s="3"/>
      <c r="T8" s="3"/>
    </row>
    <row r="9" spans="1:20" x14ac:dyDescent="0.25">
      <c r="A9" s="3"/>
      <c r="B9" s="185">
        <v>4</v>
      </c>
      <c r="C9" s="170"/>
      <c r="D9" s="103"/>
      <c r="E9" s="103"/>
      <c r="F9" s="78"/>
      <c r="G9" s="103"/>
      <c r="H9" s="106"/>
      <c r="I9" s="105" t="str">
        <f>IFERROR(VLOOKUP(KalkylSlut[[#This Row],[Klimatmaterial]],Materialtabell[[#All],[Materialnamn]:[Materialtyp]],2,0),"")</f>
        <v/>
      </c>
      <c r="J9" s="104" t="str">
        <f>IFERROR(IF(G9="kg",1,IF(G9="ton",1000,IF(G9=RIGHT(VLOOKUP(H9,Materialtabell[[#All],[Materialnamn]:[Enhet]],4,0),LEN(VLOOKUP(H9,Materialtabell[[#All],[Materialnamn]:[Enhet]],4,0))-3),VLOOKUP(H9,Materialtabell[[#All],[Materialnamn]:[Enhet]],3,0),"Enhetsfel"))),"")</f>
        <v/>
      </c>
      <c r="K9" s="105" t="str">
        <f>IFERROR(IF(G9="kg","kg/kg",IF(G9="ton","kg/ton",IF(RIGHT(VLOOKUP(H9,Materialtabell[[#All],[Materialnamn]:[Enhet]],4,0),LEN(VLOOKUP(H9,Materialtabell[[#All],[Materialnamn]:[Enhet]],4,0))-3)=G9,VLOOKUP(H9,Materialtabell[[#All],[Materialnamn]:[Enhet]],4,0),"kg/ton/"&amp;RIGHT(VLOOKUP(H9,Materialtabell[[#All],[Materialnamn]:[Enhet]],4,0),LEN(VLOOKUP(H9,Materialtabell[[#All],[Materialnamn]:[Enhet]],4,0))-3)))),"")</f>
        <v/>
      </c>
      <c r="L9" s="104" t="str">
        <f>IFERROR(KalkylSlut[[#This Row],[Mängd]]*KalkylSlut[[#This Row],[Omräknings-faktor]],"")</f>
        <v/>
      </c>
      <c r="M9" s="104" t="str">
        <f>IFERROR(F9*J9*VLOOKUP(H9,Materialtabell[[#All],[Materialnamn]:[Emissionsfaktor 2019
kg CO2e/kg]],5,0),"")</f>
        <v/>
      </c>
      <c r="N9" s="104" t="str">
        <f>IFERROR(F9*J9*VLOOKUP(H9,Materialtabell[[#All],[Materialnamn]:[Emissionsfaktor 2025
kg CO2e/kg]],6,0),"")</f>
        <v/>
      </c>
      <c r="O9" s="78" t="str">
        <f>IFERROR(VLOOKUP(H9,Materialtabell[[#All],[Materialnamn]:[Kommentar A4]],24,0),"")</f>
        <v/>
      </c>
      <c r="P9" s="94" t="str">
        <f>IFERROR(($F9*$J9*$O9*VLOOKUP($H9,Materialtabell[[#All],[Materialnamn]:[Bränsle 
MJ/ton, km]],25,0)*Materiallista!$AF$5)/1000,"")</f>
        <v/>
      </c>
      <c r="Q9" s="94" t="str">
        <f>IFERROR(($F9*$J9*$O9*VLOOKUP($H9,Materialtabell[[#All],[Materialnamn]:[Bränsle 
MJ/ton, km]],25,0)*Materiallista!$AF$6)/1000,"")</f>
        <v/>
      </c>
      <c r="R9" s="162"/>
      <c r="S9" s="3"/>
      <c r="T9" s="3"/>
    </row>
    <row r="10" spans="1:20" x14ac:dyDescent="0.25">
      <c r="A10" s="3"/>
      <c r="B10" s="185">
        <v>5</v>
      </c>
      <c r="C10" s="170"/>
      <c r="D10" s="103"/>
      <c r="E10" s="103"/>
      <c r="F10" s="78"/>
      <c r="G10" s="103"/>
      <c r="H10" s="106"/>
      <c r="I10" s="105" t="str">
        <f>IFERROR(VLOOKUP(KalkylSlut[[#This Row],[Klimatmaterial]],Materialtabell[[#All],[Materialnamn]:[Materialtyp]],2,0),"")</f>
        <v/>
      </c>
      <c r="J10" s="104" t="str">
        <f>IFERROR(IF(G10="kg",1,IF(G10="ton",1000,IF(G10=RIGHT(VLOOKUP(H10,Materialtabell[[#All],[Materialnamn]:[Enhet]],4,0),LEN(VLOOKUP(H10,Materialtabell[[#All],[Materialnamn]:[Enhet]],4,0))-3),VLOOKUP(H10,Materialtabell[[#All],[Materialnamn]:[Enhet]],3,0),"Enhetsfel"))),"")</f>
        <v/>
      </c>
      <c r="K10" s="105" t="str">
        <f>IFERROR(IF(G10="kg","kg/kg",IF(G10="ton","kg/ton",IF(RIGHT(VLOOKUP(H10,Materialtabell[[#All],[Materialnamn]:[Enhet]],4,0),LEN(VLOOKUP(H10,Materialtabell[[#All],[Materialnamn]:[Enhet]],4,0))-3)=G10,VLOOKUP(H10,Materialtabell[[#All],[Materialnamn]:[Enhet]],4,0),"kg/ton/"&amp;RIGHT(VLOOKUP(H10,Materialtabell[[#All],[Materialnamn]:[Enhet]],4,0),LEN(VLOOKUP(H10,Materialtabell[[#All],[Materialnamn]:[Enhet]],4,0))-3)))),"")</f>
        <v/>
      </c>
      <c r="L10" s="104" t="str">
        <f>IFERROR(KalkylSlut[[#This Row],[Mängd]]*KalkylSlut[[#This Row],[Omräknings-faktor]],"")</f>
        <v/>
      </c>
      <c r="M10" s="104" t="str">
        <f>IFERROR(F10*J10*VLOOKUP(H10,Materialtabell[[#All],[Materialnamn]:[Emissionsfaktor 2019
kg CO2e/kg]],5,0),"")</f>
        <v/>
      </c>
      <c r="N10" s="104" t="str">
        <f>IFERROR(F10*J10*VLOOKUP(H10,Materialtabell[[#All],[Materialnamn]:[Emissionsfaktor 2025
kg CO2e/kg]],6,0),"")</f>
        <v/>
      </c>
      <c r="O10" s="78" t="str">
        <f>IFERROR(VLOOKUP(H10,Materialtabell[[#All],[Materialnamn]:[Kommentar A4]],24,0),"")</f>
        <v/>
      </c>
      <c r="P10" s="94" t="str">
        <f>IFERROR(($F10*$J10*$O10*VLOOKUP($H10,Materialtabell[[#All],[Materialnamn]:[Bränsle 
MJ/ton, km]],25,0)*Materiallista!$AF$5)/1000,"")</f>
        <v/>
      </c>
      <c r="Q10" s="94" t="str">
        <f>IFERROR(($F10*$J10*$O10*VLOOKUP($H10,Materialtabell[[#All],[Materialnamn]:[Bränsle 
MJ/ton, km]],25,0)*Materiallista!$AF$6)/1000,"")</f>
        <v/>
      </c>
      <c r="R10" s="162"/>
      <c r="S10" s="3"/>
      <c r="T10" s="3"/>
    </row>
    <row r="11" spans="1:20" x14ac:dyDescent="0.25">
      <c r="A11" s="3"/>
      <c r="B11" s="185">
        <v>6</v>
      </c>
      <c r="C11" s="170"/>
      <c r="D11" s="103"/>
      <c r="E11" s="103"/>
      <c r="F11" s="78"/>
      <c r="G11" s="103"/>
      <c r="H11" s="106"/>
      <c r="I11" s="105" t="str">
        <f>IFERROR(VLOOKUP(KalkylSlut[[#This Row],[Klimatmaterial]],Materialtabell[[#All],[Materialnamn]:[Materialtyp]],2,0),"")</f>
        <v/>
      </c>
      <c r="J11" s="104" t="str">
        <f>IFERROR(IF(G11="kg",1,IF(G11="ton",1000,IF(G11=RIGHT(VLOOKUP(H11,Materialtabell[[#All],[Materialnamn]:[Enhet]],4,0),LEN(VLOOKUP(H11,Materialtabell[[#All],[Materialnamn]:[Enhet]],4,0))-3),VLOOKUP(H11,Materialtabell[[#All],[Materialnamn]:[Enhet]],3,0),"Enhetsfel"))),"")</f>
        <v/>
      </c>
      <c r="K11" s="105" t="str">
        <f>IFERROR(IF(G11="kg","kg/kg",IF(G11="ton","kg/ton",IF(RIGHT(VLOOKUP(H11,Materialtabell[[#All],[Materialnamn]:[Enhet]],4,0),LEN(VLOOKUP(H11,Materialtabell[[#All],[Materialnamn]:[Enhet]],4,0))-3)=G11,VLOOKUP(H11,Materialtabell[[#All],[Materialnamn]:[Enhet]],4,0),"kg/ton/"&amp;RIGHT(VLOOKUP(H11,Materialtabell[[#All],[Materialnamn]:[Enhet]],4,0),LEN(VLOOKUP(H11,Materialtabell[[#All],[Materialnamn]:[Enhet]],4,0))-3)))),"")</f>
        <v/>
      </c>
      <c r="L11" s="104" t="str">
        <f>IFERROR(KalkylSlut[[#This Row],[Mängd]]*KalkylSlut[[#This Row],[Omräknings-faktor]],"")</f>
        <v/>
      </c>
      <c r="M11" s="104" t="str">
        <f>IFERROR(F11*J11*VLOOKUP(H11,Materialtabell[[#All],[Materialnamn]:[Emissionsfaktor 2019
kg CO2e/kg]],5,0),"")</f>
        <v/>
      </c>
      <c r="N11" s="104" t="str">
        <f>IFERROR(F11*J11*VLOOKUP(H11,Materialtabell[[#All],[Materialnamn]:[Emissionsfaktor 2025
kg CO2e/kg]],6,0),"")</f>
        <v/>
      </c>
      <c r="O11" s="78" t="str">
        <f>IFERROR(VLOOKUP(H11,Materialtabell[[#All],[Materialnamn]:[Kommentar A4]],24,0),"")</f>
        <v/>
      </c>
      <c r="P11" s="94" t="str">
        <f>IFERROR(($F11*$J11*$O11*VLOOKUP($H11,Materialtabell[[#All],[Materialnamn]:[Bränsle 
MJ/ton, km]],25,0)*Materiallista!$AF$5)/1000,"")</f>
        <v/>
      </c>
      <c r="Q11" s="94" t="str">
        <f>IFERROR(($F11*$J11*$O11*VLOOKUP($H11,Materialtabell[[#All],[Materialnamn]:[Bränsle 
MJ/ton, km]],25,0)*Materiallista!$AF$6)/1000,"")</f>
        <v/>
      </c>
      <c r="R11" s="162"/>
      <c r="S11" s="3"/>
      <c r="T11" s="3"/>
    </row>
    <row r="12" spans="1:20" x14ac:dyDescent="0.25">
      <c r="A12" s="3"/>
      <c r="B12" s="185">
        <v>7</v>
      </c>
      <c r="C12" s="170"/>
      <c r="D12" s="103"/>
      <c r="E12" s="103"/>
      <c r="F12" s="78"/>
      <c r="G12" s="103"/>
      <c r="H12" s="106"/>
      <c r="I12" s="105" t="str">
        <f>IFERROR(VLOOKUP(KalkylSlut[[#This Row],[Klimatmaterial]],Materialtabell[[#All],[Materialnamn]:[Materialtyp]],2,0),"")</f>
        <v/>
      </c>
      <c r="J12" s="104" t="str">
        <f>IFERROR(IF(G12="kg",1,IF(G12="ton",1000,IF(G12=RIGHT(VLOOKUP(H12,Materialtabell[[#All],[Materialnamn]:[Enhet]],4,0),LEN(VLOOKUP(H12,Materialtabell[[#All],[Materialnamn]:[Enhet]],4,0))-3),VLOOKUP(H12,Materialtabell[[#All],[Materialnamn]:[Enhet]],3,0),"Enhetsfel"))),"")</f>
        <v/>
      </c>
      <c r="K12" s="105" t="str">
        <f>IFERROR(IF(G12="kg","kg/kg",IF(G12="ton","kg/ton",IF(RIGHT(VLOOKUP(H12,Materialtabell[[#All],[Materialnamn]:[Enhet]],4,0),LEN(VLOOKUP(H12,Materialtabell[[#All],[Materialnamn]:[Enhet]],4,0))-3)=G12,VLOOKUP(H12,Materialtabell[[#All],[Materialnamn]:[Enhet]],4,0),"kg/ton/"&amp;RIGHT(VLOOKUP(H12,Materialtabell[[#All],[Materialnamn]:[Enhet]],4,0),LEN(VLOOKUP(H12,Materialtabell[[#All],[Materialnamn]:[Enhet]],4,0))-3)))),"")</f>
        <v/>
      </c>
      <c r="L12" s="104" t="str">
        <f>IFERROR(KalkylSlut[[#This Row],[Mängd]]*KalkylSlut[[#This Row],[Omräknings-faktor]],"")</f>
        <v/>
      </c>
      <c r="M12" s="104" t="str">
        <f>IFERROR(F12*J12*VLOOKUP(H12,Materialtabell[[#All],[Materialnamn]:[Emissionsfaktor 2019
kg CO2e/kg]],5,0),"")</f>
        <v/>
      </c>
      <c r="N12" s="104" t="str">
        <f>IFERROR(F12*J12*VLOOKUP(H12,Materialtabell[[#All],[Materialnamn]:[Emissionsfaktor 2025
kg CO2e/kg]],6,0),"")</f>
        <v/>
      </c>
      <c r="O12" s="78" t="str">
        <f>IFERROR(VLOOKUP(H12,Materialtabell[[#All],[Materialnamn]:[Kommentar A4]],24,0),"")</f>
        <v/>
      </c>
      <c r="P12" s="94" t="str">
        <f>IFERROR(($F12*$J12*$O12*VLOOKUP($H12,Materialtabell[[#All],[Materialnamn]:[Bränsle 
MJ/ton, km]],25,0)*Materiallista!$AF$5)/1000,"")</f>
        <v/>
      </c>
      <c r="Q12" s="94" t="str">
        <f>IFERROR(($F12*$J12*$O12*VLOOKUP($H12,Materialtabell[[#All],[Materialnamn]:[Bränsle 
MJ/ton, km]],25,0)*Materiallista!$AF$6)/1000,"")</f>
        <v/>
      </c>
      <c r="R12" s="162"/>
      <c r="S12" s="3"/>
      <c r="T12" s="3"/>
    </row>
    <row r="13" spans="1:20" x14ac:dyDescent="0.25">
      <c r="A13" s="3"/>
      <c r="B13" s="185">
        <v>8</v>
      </c>
      <c r="C13" s="170"/>
      <c r="D13" s="103"/>
      <c r="E13" s="103"/>
      <c r="F13" s="78"/>
      <c r="G13" s="103"/>
      <c r="H13" s="106"/>
      <c r="I13" s="105" t="str">
        <f>IFERROR(VLOOKUP(KalkylSlut[[#This Row],[Klimatmaterial]],Materialtabell[[#All],[Materialnamn]:[Materialtyp]],2,0),"")</f>
        <v/>
      </c>
      <c r="J13" s="104" t="str">
        <f>IFERROR(IF(G13="kg",1,IF(G13="ton",1000,IF(G13=RIGHT(VLOOKUP(H13,Materialtabell[[#All],[Materialnamn]:[Enhet]],4,0),LEN(VLOOKUP(H13,Materialtabell[[#All],[Materialnamn]:[Enhet]],4,0))-3),VLOOKUP(H13,Materialtabell[[#All],[Materialnamn]:[Enhet]],3,0),"Enhetsfel"))),"")</f>
        <v/>
      </c>
      <c r="K13" s="105" t="str">
        <f>IFERROR(IF(G13="kg","kg/kg",IF(G13="ton","kg/ton",IF(RIGHT(VLOOKUP(H13,Materialtabell[[#All],[Materialnamn]:[Enhet]],4,0),LEN(VLOOKUP(H13,Materialtabell[[#All],[Materialnamn]:[Enhet]],4,0))-3)=G13,VLOOKUP(H13,Materialtabell[[#All],[Materialnamn]:[Enhet]],4,0),"kg/ton/"&amp;RIGHT(VLOOKUP(H13,Materialtabell[[#All],[Materialnamn]:[Enhet]],4,0),LEN(VLOOKUP(H13,Materialtabell[[#All],[Materialnamn]:[Enhet]],4,0))-3)))),"")</f>
        <v/>
      </c>
      <c r="L13" s="104" t="str">
        <f>IFERROR(KalkylSlut[[#This Row],[Mängd]]*KalkylSlut[[#This Row],[Omräknings-faktor]],"")</f>
        <v/>
      </c>
      <c r="M13" s="104" t="str">
        <f>IFERROR(F13*J13*VLOOKUP(H13,Materialtabell[[#All],[Materialnamn]:[Emissionsfaktor 2019
kg CO2e/kg]],5,0),"")</f>
        <v/>
      </c>
      <c r="N13" s="104" t="str">
        <f>IFERROR(F13*J13*VLOOKUP(H13,Materialtabell[[#All],[Materialnamn]:[Emissionsfaktor 2025
kg CO2e/kg]],6,0),"")</f>
        <v/>
      </c>
      <c r="O13" s="78" t="str">
        <f>IFERROR(VLOOKUP(H13,Materialtabell[[#All],[Materialnamn]:[Kommentar A4]],24,0),"")</f>
        <v/>
      </c>
      <c r="P13" s="94" t="str">
        <f>IFERROR(($F13*$J13*$O13*VLOOKUP($H13,Materialtabell[[#All],[Materialnamn]:[Bränsle 
MJ/ton, km]],25,0)*Materiallista!$AF$5)/1000,"")</f>
        <v/>
      </c>
      <c r="Q13" s="94" t="str">
        <f>IFERROR(($F13*$J13*$O13*VLOOKUP($H13,Materialtabell[[#All],[Materialnamn]:[Bränsle 
MJ/ton, km]],25,0)*Materiallista!$AF$6)/1000,"")</f>
        <v/>
      </c>
      <c r="R13" s="162"/>
      <c r="S13" s="3"/>
      <c r="T13" s="3"/>
    </row>
    <row r="14" spans="1:20" x14ac:dyDescent="0.25">
      <c r="A14" s="3"/>
      <c r="B14" s="185">
        <v>9</v>
      </c>
      <c r="C14" s="170"/>
      <c r="D14" s="103"/>
      <c r="E14" s="103"/>
      <c r="F14" s="78"/>
      <c r="G14" s="103"/>
      <c r="H14" s="106"/>
      <c r="I14" s="105" t="str">
        <f>IFERROR(VLOOKUP(KalkylSlut[[#This Row],[Klimatmaterial]],Materialtabell[[#All],[Materialnamn]:[Materialtyp]],2,0),"")</f>
        <v/>
      </c>
      <c r="J14" s="104" t="str">
        <f>IFERROR(IF(G14="kg",1,IF(G14="ton",1000,IF(G14=RIGHT(VLOOKUP(H14,Materialtabell[[#All],[Materialnamn]:[Enhet]],4,0),LEN(VLOOKUP(H14,Materialtabell[[#All],[Materialnamn]:[Enhet]],4,0))-3),VLOOKUP(H14,Materialtabell[[#All],[Materialnamn]:[Enhet]],3,0),"Enhetsfel"))),"")</f>
        <v/>
      </c>
      <c r="K14" s="105" t="str">
        <f>IFERROR(IF(G14="kg","kg/kg",IF(G14="ton","kg/ton",IF(RIGHT(VLOOKUP(H14,Materialtabell[[#All],[Materialnamn]:[Enhet]],4,0),LEN(VLOOKUP(H14,Materialtabell[[#All],[Materialnamn]:[Enhet]],4,0))-3)=G14,VLOOKUP(H14,Materialtabell[[#All],[Materialnamn]:[Enhet]],4,0),"kg/ton/"&amp;RIGHT(VLOOKUP(H14,Materialtabell[[#All],[Materialnamn]:[Enhet]],4,0),LEN(VLOOKUP(H14,Materialtabell[[#All],[Materialnamn]:[Enhet]],4,0))-3)))),"")</f>
        <v/>
      </c>
      <c r="L14" s="104" t="str">
        <f>IFERROR(KalkylSlut[[#This Row],[Mängd]]*KalkylSlut[[#This Row],[Omräknings-faktor]],"")</f>
        <v/>
      </c>
      <c r="M14" s="104" t="str">
        <f>IFERROR(F14*J14*VLOOKUP(H14,Materialtabell[[#All],[Materialnamn]:[Emissionsfaktor 2019
kg CO2e/kg]],5,0),"")</f>
        <v/>
      </c>
      <c r="N14" s="104" t="str">
        <f>IFERROR(F14*J14*VLOOKUP(H14,Materialtabell[[#All],[Materialnamn]:[Emissionsfaktor 2025
kg CO2e/kg]],6,0),"")</f>
        <v/>
      </c>
      <c r="O14" s="78" t="str">
        <f>IFERROR(VLOOKUP(H14,Materialtabell[[#All],[Materialnamn]:[Kommentar A4]],24,0),"")</f>
        <v/>
      </c>
      <c r="P14" s="94" t="str">
        <f>IFERROR(($F14*$J14*$O14*VLOOKUP($H14,Materialtabell[[#All],[Materialnamn]:[Bränsle 
MJ/ton, km]],25,0)*Materiallista!$AF$5)/1000,"")</f>
        <v/>
      </c>
      <c r="Q14" s="94" t="str">
        <f>IFERROR(($F14*$J14*$O14*VLOOKUP($H14,Materialtabell[[#All],[Materialnamn]:[Bränsle 
MJ/ton, km]],25,0)*Materiallista!$AF$6)/1000,"")</f>
        <v/>
      </c>
      <c r="R14" s="162"/>
      <c r="S14" s="3"/>
      <c r="T14" s="3"/>
    </row>
    <row r="15" spans="1:20" x14ac:dyDescent="0.25">
      <c r="A15" s="3"/>
      <c r="B15" s="185">
        <v>10</v>
      </c>
      <c r="C15" s="170"/>
      <c r="D15" s="103"/>
      <c r="E15" s="103"/>
      <c r="F15" s="78"/>
      <c r="G15" s="103"/>
      <c r="H15" s="106"/>
      <c r="I15" s="105" t="str">
        <f>IFERROR(VLOOKUP(KalkylSlut[[#This Row],[Klimatmaterial]],Materialtabell[[#All],[Materialnamn]:[Materialtyp]],2,0),"")</f>
        <v/>
      </c>
      <c r="J15" s="104" t="str">
        <f>IFERROR(IF(G15="kg",1,IF(G15="ton",1000,IF(G15=RIGHT(VLOOKUP(H15,Materialtabell[[#All],[Materialnamn]:[Enhet]],4,0),LEN(VLOOKUP(H15,Materialtabell[[#All],[Materialnamn]:[Enhet]],4,0))-3),VLOOKUP(H15,Materialtabell[[#All],[Materialnamn]:[Enhet]],3,0),"Enhetsfel"))),"")</f>
        <v/>
      </c>
      <c r="K15" s="105" t="str">
        <f>IFERROR(IF(G15="kg","kg/kg",IF(G15="ton","kg/ton",IF(RIGHT(VLOOKUP(H15,Materialtabell[[#All],[Materialnamn]:[Enhet]],4,0),LEN(VLOOKUP(H15,Materialtabell[[#All],[Materialnamn]:[Enhet]],4,0))-3)=G15,VLOOKUP(H15,Materialtabell[[#All],[Materialnamn]:[Enhet]],4,0),"kg/ton/"&amp;RIGHT(VLOOKUP(H15,Materialtabell[[#All],[Materialnamn]:[Enhet]],4,0),LEN(VLOOKUP(H15,Materialtabell[[#All],[Materialnamn]:[Enhet]],4,0))-3)))),"")</f>
        <v/>
      </c>
      <c r="L15" s="104" t="str">
        <f>IFERROR(KalkylSlut[[#This Row],[Mängd]]*KalkylSlut[[#This Row],[Omräknings-faktor]],"")</f>
        <v/>
      </c>
      <c r="M15" s="104" t="str">
        <f>IFERROR(F15*J15*VLOOKUP(H15,Materialtabell[[#All],[Materialnamn]:[Emissionsfaktor 2019
kg CO2e/kg]],5,0),"")</f>
        <v/>
      </c>
      <c r="N15" s="104" t="str">
        <f>IFERROR(F15*J15*VLOOKUP(H15,Materialtabell[[#All],[Materialnamn]:[Emissionsfaktor 2025
kg CO2e/kg]],6,0),"")</f>
        <v/>
      </c>
      <c r="O15" s="78" t="str">
        <f>IFERROR(VLOOKUP(H15,Materialtabell[[#All],[Materialnamn]:[Kommentar A4]],24,0),"")</f>
        <v/>
      </c>
      <c r="P15" s="94" t="str">
        <f>IFERROR(($F15*$J15*$O15*VLOOKUP($H15,Materialtabell[[#All],[Materialnamn]:[Bränsle 
MJ/ton, km]],25,0)*Materiallista!$AF$5)/1000,"")</f>
        <v/>
      </c>
      <c r="Q15" s="94" t="str">
        <f>IFERROR(($F15*$J15*$O15*VLOOKUP($H15,Materialtabell[[#All],[Materialnamn]:[Bränsle 
MJ/ton, km]],25,0)*Materiallista!$AF$6)/1000,"")</f>
        <v/>
      </c>
      <c r="R15" s="162"/>
      <c r="S15" s="3"/>
      <c r="T15" s="3"/>
    </row>
    <row r="16" spans="1:20" x14ac:dyDescent="0.25">
      <c r="A16" s="3"/>
      <c r="B16" s="185">
        <v>11</v>
      </c>
      <c r="C16" s="170"/>
      <c r="D16" s="103"/>
      <c r="E16" s="103"/>
      <c r="F16" s="78"/>
      <c r="G16" s="103"/>
      <c r="H16" s="106"/>
      <c r="I16" s="105" t="str">
        <f>IFERROR(VLOOKUP(KalkylSlut[[#This Row],[Klimatmaterial]],Materialtabell[[#All],[Materialnamn]:[Materialtyp]],2,0),"")</f>
        <v/>
      </c>
      <c r="J16" s="104" t="str">
        <f>IFERROR(IF(G16="kg",1,IF(G16="ton",1000,IF(G16=RIGHT(VLOOKUP(H16,Materialtabell[[#All],[Materialnamn]:[Enhet]],4,0),LEN(VLOOKUP(H16,Materialtabell[[#All],[Materialnamn]:[Enhet]],4,0))-3),VLOOKUP(H16,Materialtabell[[#All],[Materialnamn]:[Enhet]],3,0),"Enhetsfel"))),"")</f>
        <v/>
      </c>
      <c r="K16" s="105" t="str">
        <f>IFERROR(IF(G16="kg","kg/kg",IF(G16="ton","kg/ton",IF(RIGHT(VLOOKUP(H16,Materialtabell[[#All],[Materialnamn]:[Enhet]],4,0),LEN(VLOOKUP(H16,Materialtabell[[#All],[Materialnamn]:[Enhet]],4,0))-3)=G16,VLOOKUP(H16,Materialtabell[[#All],[Materialnamn]:[Enhet]],4,0),"kg/ton/"&amp;RIGHT(VLOOKUP(H16,Materialtabell[[#All],[Materialnamn]:[Enhet]],4,0),LEN(VLOOKUP(H16,Materialtabell[[#All],[Materialnamn]:[Enhet]],4,0))-3)))),"")</f>
        <v/>
      </c>
      <c r="L16" s="104" t="str">
        <f>IFERROR(KalkylSlut[[#This Row],[Mängd]]*KalkylSlut[[#This Row],[Omräknings-faktor]],"")</f>
        <v/>
      </c>
      <c r="M16" s="104" t="str">
        <f>IFERROR(F16*J16*VLOOKUP(H16,Materialtabell[[#All],[Materialnamn]:[Emissionsfaktor 2019
kg CO2e/kg]],5,0),"")</f>
        <v/>
      </c>
      <c r="N16" s="104" t="str">
        <f>IFERROR(F16*J16*VLOOKUP(H16,Materialtabell[[#All],[Materialnamn]:[Emissionsfaktor 2025
kg CO2e/kg]],6,0),"")</f>
        <v/>
      </c>
      <c r="O16" s="78" t="str">
        <f>IFERROR(VLOOKUP(H16,Materialtabell[[#All],[Materialnamn]:[Kommentar A4]],24,0),"")</f>
        <v/>
      </c>
      <c r="P16" s="94" t="str">
        <f>IFERROR(($F16*$J16*$O16*VLOOKUP($H16,Materialtabell[[#All],[Materialnamn]:[Bränsle 
MJ/ton, km]],25,0)*Materiallista!$AF$5)/1000,"")</f>
        <v/>
      </c>
      <c r="Q16" s="94" t="str">
        <f>IFERROR(($F16*$J16*$O16*VLOOKUP($H16,Materialtabell[[#All],[Materialnamn]:[Bränsle 
MJ/ton, km]],25,0)*Materiallista!$AF$6)/1000,"")</f>
        <v/>
      </c>
      <c r="R16" s="162"/>
      <c r="S16" s="3"/>
      <c r="T16" s="3"/>
    </row>
    <row r="17" spans="1:20" x14ac:dyDescent="0.25">
      <c r="A17" s="3"/>
      <c r="B17" s="185">
        <v>12</v>
      </c>
      <c r="C17" s="170"/>
      <c r="D17" s="103"/>
      <c r="E17" s="103"/>
      <c r="F17" s="78"/>
      <c r="G17" s="103"/>
      <c r="H17" s="106"/>
      <c r="I17" s="105" t="str">
        <f>IFERROR(VLOOKUP(KalkylSlut[[#This Row],[Klimatmaterial]],Materialtabell[[#All],[Materialnamn]:[Materialtyp]],2,0),"")</f>
        <v/>
      </c>
      <c r="J17" s="104" t="str">
        <f>IFERROR(IF(G17="kg",1,IF(G17="ton",1000,IF(G17=RIGHT(VLOOKUP(H17,Materialtabell[[#All],[Materialnamn]:[Enhet]],4,0),LEN(VLOOKUP(H17,Materialtabell[[#All],[Materialnamn]:[Enhet]],4,0))-3),VLOOKUP(H17,Materialtabell[[#All],[Materialnamn]:[Enhet]],3,0),"Enhetsfel"))),"")</f>
        <v/>
      </c>
      <c r="K17" s="105" t="str">
        <f>IFERROR(IF(G17="kg","kg/kg",IF(G17="ton","kg/ton",IF(RIGHT(VLOOKUP(H17,Materialtabell[[#All],[Materialnamn]:[Enhet]],4,0),LEN(VLOOKUP(H17,Materialtabell[[#All],[Materialnamn]:[Enhet]],4,0))-3)=G17,VLOOKUP(H17,Materialtabell[[#All],[Materialnamn]:[Enhet]],4,0),"kg/ton/"&amp;RIGHT(VLOOKUP(H17,Materialtabell[[#All],[Materialnamn]:[Enhet]],4,0),LEN(VLOOKUP(H17,Materialtabell[[#All],[Materialnamn]:[Enhet]],4,0))-3)))),"")</f>
        <v/>
      </c>
      <c r="L17" s="104" t="str">
        <f>IFERROR(KalkylSlut[[#This Row],[Mängd]]*KalkylSlut[[#This Row],[Omräknings-faktor]],"")</f>
        <v/>
      </c>
      <c r="M17" s="104" t="str">
        <f>IFERROR(F17*J17*VLOOKUP(H17,Materialtabell[[#All],[Materialnamn]:[Emissionsfaktor 2019
kg CO2e/kg]],5,0),"")</f>
        <v/>
      </c>
      <c r="N17" s="104" t="str">
        <f>IFERROR(F17*J17*VLOOKUP(H17,Materialtabell[[#All],[Materialnamn]:[Emissionsfaktor 2025
kg CO2e/kg]],6,0),"")</f>
        <v/>
      </c>
      <c r="O17" s="78" t="str">
        <f>IFERROR(VLOOKUP(H17,Materialtabell[[#All],[Materialnamn]:[Kommentar A4]],24,0),"")</f>
        <v/>
      </c>
      <c r="P17" s="94" t="str">
        <f>IFERROR(($F17*$J17*$O17*VLOOKUP($H17,Materialtabell[[#All],[Materialnamn]:[Bränsle 
MJ/ton, km]],25,0)*Materiallista!$AF$5)/1000,"")</f>
        <v/>
      </c>
      <c r="Q17" s="94" t="str">
        <f>IFERROR(($F17*$J17*$O17*VLOOKUP($H17,Materialtabell[[#All],[Materialnamn]:[Bränsle 
MJ/ton, km]],25,0)*Materiallista!$AF$6)/1000,"")</f>
        <v/>
      </c>
      <c r="R17" s="162"/>
      <c r="S17" s="3"/>
      <c r="T17" s="3"/>
    </row>
    <row r="18" spans="1:20" x14ac:dyDescent="0.25">
      <c r="A18" s="3"/>
      <c r="B18" s="185">
        <v>13</v>
      </c>
      <c r="C18" s="170"/>
      <c r="D18" s="103"/>
      <c r="E18" s="103"/>
      <c r="F18" s="78"/>
      <c r="G18" s="103"/>
      <c r="H18" s="106"/>
      <c r="I18" s="105" t="str">
        <f>IFERROR(VLOOKUP(KalkylSlut[[#This Row],[Klimatmaterial]],Materialtabell[[#All],[Materialnamn]:[Materialtyp]],2,0),"")</f>
        <v/>
      </c>
      <c r="J18" s="104" t="str">
        <f>IFERROR(IF(G18="kg",1,IF(G18="ton",1000,IF(G18=RIGHT(VLOOKUP(H18,Materialtabell[[#All],[Materialnamn]:[Enhet]],4,0),LEN(VLOOKUP(H18,Materialtabell[[#All],[Materialnamn]:[Enhet]],4,0))-3),VLOOKUP(H18,Materialtabell[[#All],[Materialnamn]:[Enhet]],3,0),"Enhetsfel"))),"")</f>
        <v/>
      </c>
      <c r="K18" s="105" t="str">
        <f>IFERROR(IF(G18="kg","kg/kg",IF(G18="ton","kg/ton",IF(RIGHT(VLOOKUP(H18,Materialtabell[[#All],[Materialnamn]:[Enhet]],4,0),LEN(VLOOKUP(H18,Materialtabell[[#All],[Materialnamn]:[Enhet]],4,0))-3)=G18,VLOOKUP(H18,Materialtabell[[#All],[Materialnamn]:[Enhet]],4,0),"kg/ton/"&amp;RIGHT(VLOOKUP(H18,Materialtabell[[#All],[Materialnamn]:[Enhet]],4,0),LEN(VLOOKUP(H18,Materialtabell[[#All],[Materialnamn]:[Enhet]],4,0))-3)))),"")</f>
        <v/>
      </c>
      <c r="L18" s="104" t="str">
        <f>IFERROR(KalkylSlut[[#This Row],[Mängd]]*KalkylSlut[[#This Row],[Omräknings-faktor]],"")</f>
        <v/>
      </c>
      <c r="M18" s="104" t="str">
        <f>IFERROR(F18*J18*VLOOKUP(H18,Materialtabell[[#All],[Materialnamn]:[Emissionsfaktor 2019
kg CO2e/kg]],5,0),"")</f>
        <v/>
      </c>
      <c r="N18" s="104" t="str">
        <f>IFERROR(F18*J18*VLOOKUP(H18,Materialtabell[[#All],[Materialnamn]:[Emissionsfaktor 2025
kg CO2e/kg]],6,0),"")</f>
        <v/>
      </c>
      <c r="O18" s="78" t="str">
        <f>IFERROR(VLOOKUP(H18,Materialtabell[[#All],[Materialnamn]:[Kommentar A4]],24,0),"")</f>
        <v/>
      </c>
      <c r="P18" s="94" t="str">
        <f>IFERROR(($F18*$J18*$O18*VLOOKUP($H18,Materialtabell[[#All],[Materialnamn]:[Bränsle 
MJ/ton, km]],25,0)*Materiallista!$AF$5)/1000,"")</f>
        <v/>
      </c>
      <c r="Q18" s="94" t="str">
        <f>IFERROR(($F18*$J18*$O18*VLOOKUP($H18,Materialtabell[[#All],[Materialnamn]:[Bränsle 
MJ/ton, km]],25,0)*Materiallista!$AF$6)/1000,"")</f>
        <v/>
      </c>
      <c r="R18" s="162"/>
      <c r="S18" s="3"/>
      <c r="T18" s="3"/>
    </row>
    <row r="19" spans="1:20" x14ac:dyDescent="0.25">
      <c r="A19" s="3"/>
      <c r="B19" s="185">
        <v>14</v>
      </c>
      <c r="C19" s="170"/>
      <c r="D19" s="103"/>
      <c r="E19" s="103"/>
      <c r="F19" s="78"/>
      <c r="G19" s="103"/>
      <c r="H19" s="106"/>
      <c r="I19" s="105" t="str">
        <f>IFERROR(VLOOKUP(KalkylSlut[[#This Row],[Klimatmaterial]],Materialtabell[[#All],[Materialnamn]:[Materialtyp]],2,0),"")</f>
        <v/>
      </c>
      <c r="J19" s="104" t="str">
        <f>IFERROR(IF(G19="kg",1,IF(G19="ton",1000,IF(G19=RIGHT(VLOOKUP(H19,Materialtabell[[#All],[Materialnamn]:[Enhet]],4,0),LEN(VLOOKUP(H19,Materialtabell[[#All],[Materialnamn]:[Enhet]],4,0))-3),VLOOKUP(H19,Materialtabell[[#All],[Materialnamn]:[Enhet]],3,0),"Enhetsfel"))),"")</f>
        <v/>
      </c>
      <c r="K19" s="105" t="str">
        <f>IFERROR(IF(G19="kg","kg/kg",IF(G19="ton","kg/ton",IF(RIGHT(VLOOKUP(H19,Materialtabell[[#All],[Materialnamn]:[Enhet]],4,0),LEN(VLOOKUP(H19,Materialtabell[[#All],[Materialnamn]:[Enhet]],4,0))-3)=G19,VLOOKUP(H19,Materialtabell[[#All],[Materialnamn]:[Enhet]],4,0),"kg/ton/"&amp;RIGHT(VLOOKUP(H19,Materialtabell[[#All],[Materialnamn]:[Enhet]],4,0),LEN(VLOOKUP(H19,Materialtabell[[#All],[Materialnamn]:[Enhet]],4,0))-3)))),"")</f>
        <v/>
      </c>
      <c r="L19" s="104" t="str">
        <f>IFERROR(KalkylSlut[[#This Row],[Mängd]]*KalkylSlut[[#This Row],[Omräknings-faktor]],"")</f>
        <v/>
      </c>
      <c r="M19" s="104" t="str">
        <f>IFERROR(F19*J19*VLOOKUP(H19,Materialtabell[[#All],[Materialnamn]:[Emissionsfaktor 2019
kg CO2e/kg]],5,0),"")</f>
        <v/>
      </c>
      <c r="N19" s="104" t="str">
        <f>IFERROR(F19*J19*VLOOKUP(H19,Materialtabell[[#All],[Materialnamn]:[Emissionsfaktor 2025
kg CO2e/kg]],6,0),"")</f>
        <v/>
      </c>
      <c r="O19" s="78" t="str">
        <f>IFERROR(VLOOKUP(H19,Materialtabell[[#All],[Materialnamn]:[Kommentar A4]],24,0),"")</f>
        <v/>
      </c>
      <c r="P19" s="94" t="str">
        <f>IFERROR(($F19*$J19*$O19*VLOOKUP($H19,Materialtabell[[#All],[Materialnamn]:[Bränsle 
MJ/ton, km]],25,0)*Materiallista!$AF$5)/1000,"")</f>
        <v/>
      </c>
      <c r="Q19" s="94" t="str">
        <f>IFERROR(($F19*$J19*$O19*VLOOKUP($H19,Materialtabell[[#All],[Materialnamn]:[Bränsle 
MJ/ton, km]],25,0)*Materiallista!$AF$6)/1000,"")</f>
        <v/>
      </c>
      <c r="R19" s="162"/>
      <c r="S19" s="3"/>
      <c r="T19" s="3"/>
    </row>
    <row r="20" spans="1:20" x14ac:dyDescent="0.25">
      <c r="A20" s="3"/>
      <c r="B20" s="185">
        <v>15</v>
      </c>
      <c r="C20" s="170"/>
      <c r="D20" s="103"/>
      <c r="E20" s="103"/>
      <c r="F20" s="78"/>
      <c r="G20" s="103"/>
      <c r="H20" s="106"/>
      <c r="I20" s="105" t="str">
        <f>IFERROR(VLOOKUP(KalkylSlut[[#This Row],[Klimatmaterial]],Materialtabell[[#All],[Materialnamn]:[Materialtyp]],2,0),"")</f>
        <v/>
      </c>
      <c r="J20" s="104" t="str">
        <f>IFERROR(IF(G20="kg",1,IF(G20="ton",1000,IF(G20=RIGHT(VLOOKUP(H20,Materialtabell[[#All],[Materialnamn]:[Enhet]],4,0),LEN(VLOOKUP(H20,Materialtabell[[#All],[Materialnamn]:[Enhet]],4,0))-3),VLOOKUP(H20,Materialtabell[[#All],[Materialnamn]:[Enhet]],3,0),"Enhetsfel"))),"")</f>
        <v/>
      </c>
      <c r="K20" s="105" t="str">
        <f>IFERROR(IF(G20="kg","kg/kg",IF(G20="ton","kg/ton",IF(RIGHT(VLOOKUP(H20,Materialtabell[[#All],[Materialnamn]:[Enhet]],4,0),LEN(VLOOKUP(H20,Materialtabell[[#All],[Materialnamn]:[Enhet]],4,0))-3)=G20,VLOOKUP(H20,Materialtabell[[#All],[Materialnamn]:[Enhet]],4,0),"kg/ton/"&amp;RIGHT(VLOOKUP(H20,Materialtabell[[#All],[Materialnamn]:[Enhet]],4,0),LEN(VLOOKUP(H20,Materialtabell[[#All],[Materialnamn]:[Enhet]],4,0))-3)))),"")</f>
        <v/>
      </c>
      <c r="L20" s="104" t="str">
        <f>IFERROR(KalkylSlut[[#This Row],[Mängd]]*KalkylSlut[[#This Row],[Omräknings-faktor]],"")</f>
        <v/>
      </c>
      <c r="M20" s="104" t="str">
        <f>IFERROR(F20*J20*VLOOKUP(H20,Materialtabell[[#All],[Materialnamn]:[Emissionsfaktor 2019
kg CO2e/kg]],5,0),"")</f>
        <v/>
      </c>
      <c r="N20" s="104" t="str">
        <f>IFERROR(F20*J20*VLOOKUP(H20,Materialtabell[[#All],[Materialnamn]:[Emissionsfaktor 2025
kg CO2e/kg]],6,0),"")</f>
        <v/>
      </c>
      <c r="O20" s="78" t="str">
        <f>IFERROR(VLOOKUP(H20,Materialtabell[[#All],[Materialnamn]:[Kommentar A4]],24,0),"")</f>
        <v/>
      </c>
      <c r="P20" s="94" t="str">
        <f>IFERROR(($F20*$J20*$O20*VLOOKUP($H20,Materialtabell[[#All],[Materialnamn]:[Bränsle 
MJ/ton, km]],25,0)*Materiallista!$AF$5)/1000,"")</f>
        <v/>
      </c>
      <c r="Q20" s="94" t="str">
        <f>IFERROR(($F20*$J20*$O20*VLOOKUP($H20,Materialtabell[[#All],[Materialnamn]:[Bränsle 
MJ/ton, km]],25,0)*Materiallista!$AF$6)/1000,"")</f>
        <v/>
      </c>
      <c r="R20" s="162"/>
      <c r="S20" s="3"/>
      <c r="T20" s="3"/>
    </row>
    <row r="21" spans="1:20" x14ac:dyDescent="0.25">
      <c r="A21" s="3"/>
      <c r="B21" s="185">
        <v>16</v>
      </c>
      <c r="C21" s="170"/>
      <c r="D21" s="103"/>
      <c r="E21" s="103"/>
      <c r="F21" s="78"/>
      <c r="G21" s="103"/>
      <c r="H21" s="106"/>
      <c r="I21" s="105" t="str">
        <f>IFERROR(VLOOKUP(KalkylSlut[[#This Row],[Klimatmaterial]],Materialtabell[[#All],[Materialnamn]:[Materialtyp]],2,0),"")</f>
        <v/>
      </c>
      <c r="J21" s="104" t="str">
        <f>IFERROR(IF(G21="kg",1,IF(G21="ton",1000,IF(G21=RIGHT(VLOOKUP(H21,Materialtabell[[#All],[Materialnamn]:[Enhet]],4,0),LEN(VLOOKUP(H21,Materialtabell[[#All],[Materialnamn]:[Enhet]],4,0))-3),VLOOKUP(H21,Materialtabell[[#All],[Materialnamn]:[Enhet]],3,0),"Enhetsfel"))),"")</f>
        <v/>
      </c>
      <c r="K21" s="105" t="str">
        <f>IFERROR(IF(G21="kg","kg/kg",IF(G21="ton","kg/ton",IF(RIGHT(VLOOKUP(H21,Materialtabell[[#All],[Materialnamn]:[Enhet]],4,0),LEN(VLOOKUP(H21,Materialtabell[[#All],[Materialnamn]:[Enhet]],4,0))-3)=G21,VLOOKUP(H21,Materialtabell[[#All],[Materialnamn]:[Enhet]],4,0),"kg/ton/"&amp;RIGHT(VLOOKUP(H21,Materialtabell[[#All],[Materialnamn]:[Enhet]],4,0),LEN(VLOOKUP(H21,Materialtabell[[#All],[Materialnamn]:[Enhet]],4,0))-3)))),"")</f>
        <v/>
      </c>
      <c r="L21" s="104" t="str">
        <f>IFERROR(KalkylSlut[[#This Row],[Mängd]]*KalkylSlut[[#This Row],[Omräknings-faktor]],"")</f>
        <v/>
      </c>
      <c r="M21" s="104" t="str">
        <f>IFERROR(F21*J21*VLOOKUP(H21,Materialtabell[[#All],[Materialnamn]:[Emissionsfaktor 2019
kg CO2e/kg]],5,0),"")</f>
        <v/>
      </c>
      <c r="N21" s="104" t="str">
        <f>IFERROR(F21*J21*VLOOKUP(H21,Materialtabell[[#All],[Materialnamn]:[Emissionsfaktor 2025
kg CO2e/kg]],6,0),"")</f>
        <v/>
      </c>
      <c r="O21" s="78" t="str">
        <f>IFERROR(VLOOKUP(H21,Materialtabell[[#All],[Materialnamn]:[Kommentar A4]],24,0),"")</f>
        <v/>
      </c>
      <c r="P21" s="94" t="str">
        <f>IFERROR(($F21*$J21*$O21*VLOOKUP($H21,Materialtabell[[#All],[Materialnamn]:[Bränsle 
MJ/ton, km]],25,0)*Materiallista!$AF$5)/1000,"")</f>
        <v/>
      </c>
      <c r="Q21" s="94" t="str">
        <f>IFERROR(($F21*$J21*$O21*VLOOKUP($H21,Materialtabell[[#All],[Materialnamn]:[Bränsle 
MJ/ton, km]],25,0)*Materiallista!$AF$6)/1000,"")</f>
        <v/>
      </c>
      <c r="R21" s="162"/>
      <c r="S21" s="3"/>
      <c r="T21" s="3"/>
    </row>
    <row r="22" spans="1:20" x14ac:dyDescent="0.25">
      <c r="A22" s="3"/>
      <c r="B22" s="185">
        <v>17</v>
      </c>
      <c r="C22" s="170"/>
      <c r="D22" s="103"/>
      <c r="E22" s="103"/>
      <c r="F22" s="78"/>
      <c r="G22" s="103"/>
      <c r="H22" s="106"/>
      <c r="I22" s="105" t="str">
        <f>IFERROR(VLOOKUP(KalkylSlut[[#This Row],[Klimatmaterial]],Materialtabell[[#All],[Materialnamn]:[Materialtyp]],2,0),"")</f>
        <v/>
      </c>
      <c r="J22" s="104" t="str">
        <f>IFERROR(IF(G22="kg",1,IF(G22="ton",1000,IF(G22=RIGHT(VLOOKUP(H22,Materialtabell[[#All],[Materialnamn]:[Enhet]],4,0),LEN(VLOOKUP(H22,Materialtabell[[#All],[Materialnamn]:[Enhet]],4,0))-3),VLOOKUP(H22,Materialtabell[[#All],[Materialnamn]:[Enhet]],3,0),"Enhetsfel"))),"")</f>
        <v/>
      </c>
      <c r="K22" s="105" t="str">
        <f>IFERROR(IF(G22="kg","kg/kg",IF(G22="ton","kg/ton",IF(RIGHT(VLOOKUP(H22,Materialtabell[[#All],[Materialnamn]:[Enhet]],4,0),LEN(VLOOKUP(H22,Materialtabell[[#All],[Materialnamn]:[Enhet]],4,0))-3)=G22,VLOOKUP(H22,Materialtabell[[#All],[Materialnamn]:[Enhet]],4,0),"kg/ton/"&amp;RIGHT(VLOOKUP(H22,Materialtabell[[#All],[Materialnamn]:[Enhet]],4,0),LEN(VLOOKUP(H22,Materialtabell[[#All],[Materialnamn]:[Enhet]],4,0))-3)))),"")</f>
        <v/>
      </c>
      <c r="L22" s="104" t="str">
        <f>IFERROR(KalkylSlut[[#This Row],[Mängd]]*KalkylSlut[[#This Row],[Omräknings-faktor]],"")</f>
        <v/>
      </c>
      <c r="M22" s="104" t="str">
        <f>IFERROR(F22*J22*VLOOKUP(H22,Materialtabell[[#All],[Materialnamn]:[Emissionsfaktor 2019
kg CO2e/kg]],5,0),"")</f>
        <v/>
      </c>
      <c r="N22" s="104" t="str">
        <f>IFERROR(F22*J22*VLOOKUP(H22,Materialtabell[[#All],[Materialnamn]:[Emissionsfaktor 2025
kg CO2e/kg]],6,0),"")</f>
        <v/>
      </c>
      <c r="O22" s="78" t="str">
        <f>IFERROR(VLOOKUP(H22,Materialtabell[[#All],[Materialnamn]:[Kommentar A4]],24,0),"")</f>
        <v/>
      </c>
      <c r="P22" s="94" t="str">
        <f>IFERROR(($F22*$J22*$O22*VLOOKUP($H22,Materialtabell[[#All],[Materialnamn]:[Bränsle 
MJ/ton, km]],25,0)*Materiallista!$AF$5)/1000,"")</f>
        <v/>
      </c>
      <c r="Q22" s="94" t="str">
        <f>IFERROR(($F22*$J22*$O22*VLOOKUP($H22,Materialtabell[[#All],[Materialnamn]:[Bränsle 
MJ/ton, km]],25,0)*Materiallista!$AF$6)/1000,"")</f>
        <v/>
      </c>
      <c r="R22" s="162"/>
      <c r="S22" s="3"/>
      <c r="T22" s="3"/>
    </row>
    <row r="23" spans="1:20" x14ac:dyDescent="0.25">
      <c r="A23" s="3"/>
      <c r="B23" s="185">
        <v>18</v>
      </c>
      <c r="C23" s="170"/>
      <c r="D23" s="103"/>
      <c r="E23" s="103"/>
      <c r="F23" s="78"/>
      <c r="G23" s="103"/>
      <c r="H23" s="106"/>
      <c r="I23" s="105" t="str">
        <f>IFERROR(VLOOKUP(KalkylSlut[[#This Row],[Klimatmaterial]],Materialtabell[[#All],[Materialnamn]:[Materialtyp]],2,0),"")</f>
        <v/>
      </c>
      <c r="J23" s="104" t="str">
        <f>IFERROR(IF(G23="kg",1,IF(G23="ton",1000,IF(G23=RIGHT(VLOOKUP(H23,Materialtabell[[#All],[Materialnamn]:[Enhet]],4,0),LEN(VLOOKUP(H23,Materialtabell[[#All],[Materialnamn]:[Enhet]],4,0))-3),VLOOKUP(H23,Materialtabell[[#All],[Materialnamn]:[Enhet]],3,0),"Enhetsfel"))),"")</f>
        <v/>
      </c>
      <c r="K23" s="105" t="str">
        <f>IFERROR(IF(G23="kg","kg/kg",IF(G23="ton","kg/ton",IF(RIGHT(VLOOKUP(H23,Materialtabell[[#All],[Materialnamn]:[Enhet]],4,0),LEN(VLOOKUP(H23,Materialtabell[[#All],[Materialnamn]:[Enhet]],4,0))-3)=G23,VLOOKUP(H23,Materialtabell[[#All],[Materialnamn]:[Enhet]],4,0),"kg/ton/"&amp;RIGHT(VLOOKUP(H23,Materialtabell[[#All],[Materialnamn]:[Enhet]],4,0),LEN(VLOOKUP(H23,Materialtabell[[#All],[Materialnamn]:[Enhet]],4,0))-3)))),"")</f>
        <v/>
      </c>
      <c r="L23" s="104" t="str">
        <f>IFERROR(KalkylSlut[[#This Row],[Mängd]]*KalkylSlut[[#This Row],[Omräknings-faktor]],"")</f>
        <v/>
      </c>
      <c r="M23" s="104" t="str">
        <f>IFERROR(F23*J23*VLOOKUP(H23,Materialtabell[[#All],[Materialnamn]:[Emissionsfaktor 2019
kg CO2e/kg]],5,0),"")</f>
        <v/>
      </c>
      <c r="N23" s="104" t="str">
        <f>IFERROR(F23*J23*VLOOKUP(H23,Materialtabell[[#All],[Materialnamn]:[Emissionsfaktor 2025
kg CO2e/kg]],6,0),"")</f>
        <v/>
      </c>
      <c r="O23" s="78" t="str">
        <f>IFERROR(VLOOKUP(H23,Materialtabell[[#All],[Materialnamn]:[Kommentar A4]],24,0),"")</f>
        <v/>
      </c>
      <c r="P23" s="94" t="str">
        <f>IFERROR(($F23*$J23*$O23*VLOOKUP($H23,Materialtabell[[#All],[Materialnamn]:[Bränsle 
MJ/ton, km]],25,0)*Materiallista!$AF$5)/1000,"")</f>
        <v/>
      </c>
      <c r="Q23" s="94" t="str">
        <f>IFERROR(($F23*$J23*$O23*VLOOKUP($H23,Materialtabell[[#All],[Materialnamn]:[Bränsle 
MJ/ton, km]],25,0)*Materiallista!$AF$6)/1000,"")</f>
        <v/>
      </c>
      <c r="R23" s="162"/>
      <c r="S23" s="3"/>
      <c r="T23" s="3"/>
    </row>
    <row r="24" spans="1:20" x14ac:dyDescent="0.25">
      <c r="A24" s="3"/>
      <c r="B24" s="185">
        <v>19</v>
      </c>
      <c r="C24" s="170"/>
      <c r="D24" s="103"/>
      <c r="E24" s="103"/>
      <c r="F24" s="78"/>
      <c r="G24" s="103"/>
      <c r="H24" s="106"/>
      <c r="I24" s="105" t="str">
        <f>IFERROR(VLOOKUP(KalkylSlut[[#This Row],[Klimatmaterial]],Materialtabell[[#All],[Materialnamn]:[Materialtyp]],2,0),"")</f>
        <v/>
      </c>
      <c r="J24" s="104" t="str">
        <f>IFERROR(IF(G24="kg",1,IF(G24="ton",1000,IF(G24=RIGHT(VLOOKUP(H24,Materialtabell[[#All],[Materialnamn]:[Enhet]],4,0),LEN(VLOOKUP(H24,Materialtabell[[#All],[Materialnamn]:[Enhet]],4,0))-3),VLOOKUP(H24,Materialtabell[[#All],[Materialnamn]:[Enhet]],3,0),"Enhetsfel"))),"")</f>
        <v/>
      </c>
      <c r="K24" s="105" t="str">
        <f>IFERROR(IF(G24="kg","kg/kg",IF(G24="ton","kg/ton",IF(RIGHT(VLOOKUP(H24,Materialtabell[[#All],[Materialnamn]:[Enhet]],4,0),LEN(VLOOKUP(H24,Materialtabell[[#All],[Materialnamn]:[Enhet]],4,0))-3)=G24,VLOOKUP(H24,Materialtabell[[#All],[Materialnamn]:[Enhet]],4,0),"kg/ton/"&amp;RIGHT(VLOOKUP(H24,Materialtabell[[#All],[Materialnamn]:[Enhet]],4,0),LEN(VLOOKUP(H24,Materialtabell[[#All],[Materialnamn]:[Enhet]],4,0))-3)))),"")</f>
        <v/>
      </c>
      <c r="L24" s="104" t="str">
        <f>IFERROR(KalkylSlut[[#This Row],[Mängd]]*KalkylSlut[[#This Row],[Omräknings-faktor]],"")</f>
        <v/>
      </c>
      <c r="M24" s="104" t="str">
        <f>IFERROR(F24*J24*VLOOKUP(H24,Materialtabell[[#All],[Materialnamn]:[Emissionsfaktor 2019
kg CO2e/kg]],5,0),"")</f>
        <v/>
      </c>
      <c r="N24" s="104" t="str">
        <f>IFERROR(F24*J24*VLOOKUP(H24,Materialtabell[[#All],[Materialnamn]:[Emissionsfaktor 2025
kg CO2e/kg]],6,0),"")</f>
        <v/>
      </c>
      <c r="O24" s="78" t="str">
        <f>IFERROR(VLOOKUP(H24,Materialtabell[[#All],[Materialnamn]:[Kommentar A4]],24,0),"")</f>
        <v/>
      </c>
      <c r="P24" s="94" t="str">
        <f>IFERROR(($F24*$J24*$O24*VLOOKUP($H24,Materialtabell[[#All],[Materialnamn]:[Bränsle 
MJ/ton, km]],25,0)*Materiallista!$AF$5)/1000,"")</f>
        <v/>
      </c>
      <c r="Q24" s="94" t="str">
        <f>IFERROR(($F24*$J24*$O24*VLOOKUP($H24,Materialtabell[[#All],[Materialnamn]:[Bränsle 
MJ/ton, km]],25,0)*Materiallista!$AF$6)/1000,"")</f>
        <v/>
      </c>
      <c r="R24" s="162"/>
      <c r="S24" s="3"/>
      <c r="T24" s="3"/>
    </row>
    <row r="25" spans="1:20" x14ac:dyDescent="0.25">
      <c r="A25" s="3"/>
      <c r="B25" s="185">
        <v>20</v>
      </c>
      <c r="C25" s="170"/>
      <c r="D25" s="103"/>
      <c r="E25" s="103"/>
      <c r="F25" s="78"/>
      <c r="G25" s="103"/>
      <c r="H25" s="106"/>
      <c r="I25" s="105" t="str">
        <f>IFERROR(VLOOKUP(KalkylSlut[[#This Row],[Klimatmaterial]],Materialtabell[[#All],[Materialnamn]:[Materialtyp]],2,0),"")</f>
        <v/>
      </c>
      <c r="J25" s="104" t="str">
        <f>IFERROR(IF(G25="kg",1,IF(G25="ton",1000,IF(G25=RIGHT(VLOOKUP(H25,Materialtabell[[#All],[Materialnamn]:[Enhet]],4,0),LEN(VLOOKUP(H25,Materialtabell[[#All],[Materialnamn]:[Enhet]],4,0))-3),VLOOKUP(H25,Materialtabell[[#All],[Materialnamn]:[Enhet]],3,0),"Enhetsfel"))),"")</f>
        <v/>
      </c>
      <c r="K25" s="105" t="str">
        <f>IFERROR(IF(G25="kg","kg/kg",IF(G25="ton","kg/ton",IF(RIGHT(VLOOKUP(H25,Materialtabell[[#All],[Materialnamn]:[Enhet]],4,0),LEN(VLOOKUP(H25,Materialtabell[[#All],[Materialnamn]:[Enhet]],4,0))-3)=G25,VLOOKUP(H25,Materialtabell[[#All],[Materialnamn]:[Enhet]],4,0),"kg/ton/"&amp;RIGHT(VLOOKUP(H25,Materialtabell[[#All],[Materialnamn]:[Enhet]],4,0),LEN(VLOOKUP(H25,Materialtabell[[#All],[Materialnamn]:[Enhet]],4,0))-3)))),"")</f>
        <v/>
      </c>
      <c r="L25" s="104" t="str">
        <f>IFERROR(KalkylSlut[[#This Row],[Mängd]]*KalkylSlut[[#This Row],[Omräknings-faktor]],"")</f>
        <v/>
      </c>
      <c r="M25" s="104" t="str">
        <f>IFERROR(F25*J25*VLOOKUP(H25,Materialtabell[[#All],[Materialnamn]:[Emissionsfaktor 2019
kg CO2e/kg]],5,0),"")</f>
        <v/>
      </c>
      <c r="N25" s="104" t="str">
        <f>IFERROR(F25*J25*VLOOKUP(H25,Materialtabell[[#All],[Materialnamn]:[Emissionsfaktor 2025
kg CO2e/kg]],6,0),"")</f>
        <v/>
      </c>
      <c r="O25" s="78" t="str">
        <f>IFERROR(VLOOKUP(H25,Materialtabell[[#All],[Materialnamn]:[Kommentar A4]],24,0),"")</f>
        <v/>
      </c>
      <c r="P25" s="94" t="str">
        <f>IFERROR(($F25*$J25*$O25*VLOOKUP($H25,Materialtabell[[#All],[Materialnamn]:[Bränsle 
MJ/ton, km]],25,0)*Materiallista!$AF$5)/1000,"")</f>
        <v/>
      </c>
      <c r="Q25" s="94" t="str">
        <f>IFERROR(($F25*$J25*$O25*VLOOKUP($H25,Materialtabell[[#All],[Materialnamn]:[Bränsle 
MJ/ton, km]],25,0)*Materiallista!$AF$6)/1000,"")</f>
        <v/>
      </c>
      <c r="R25" s="162"/>
      <c r="S25" s="3"/>
      <c r="T25" s="3"/>
    </row>
    <row r="26" spans="1:20" x14ac:dyDescent="0.25">
      <c r="A26" s="3"/>
      <c r="B26" s="185">
        <v>21</v>
      </c>
      <c r="C26" s="170"/>
      <c r="D26" s="103"/>
      <c r="E26" s="103"/>
      <c r="F26" s="78"/>
      <c r="G26" s="103"/>
      <c r="H26" s="106"/>
      <c r="I26" s="105" t="str">
        <f>IFERROR(VLOOKUP(KalkylSlut[[#This Row],[Klimatmaterial]],Materialtabell[[#All],[Materialnamn]:[Materialtyp]],2,0),"")</f>
        <v/>
      </c>
      <c r="J26" s="104" t="str">
        <f>IFERROR(IF(G26="kg",1,IF(G26="ton",1000,IF(G26=RIGHT(VLOOKUP(H26,Materialtabell[[#All],[Materialnamn]:[Enhet]],4,0),LEN(VLOOKUP(H26,Materialtabell[[#All],[Materialnamn]:[Enhet]],4,0))-3),VLOOKUP(H26,Materialtabell[[#All],[Materialnamn]:[Enhet]],3,0),"Enhetsfel"))),"")</f>
        <v/>
      </c>
      <c r="K26" s="105" t="str">
        <f>IFERROR(IF(G26="kg","kg/kg",IF(G26="ton","kg/ton",IF(RIGHT(VLOOKUP(H26,Materialtabell[[#All],[Materialnamn]:[Enhet]],4,0),LEN(VLOOKUP(H26,Materialtabell[[#All],[Materialnamn]:[Enhet]],4,0))-3)=G26,VLOOKUP(H26,Materialtabell[[#All],[Materialnamn]:[Enhet]],4,0),"kg/ton/"&amp;RIGHT(VLOOKUP(H26,Materialtabell[[#All],[Materialnamn]:[Enhet]],4,0),LEN(VLOOKUP(H26,Materialtabell[[#All],[Materialnamn]:[Enhet]],4,0))-3)))),"")</f>
        <v/>
      </c>
      <c r="L26" s="104" t="str">
        <f>IFERROR(KalkylSlut[[#This Row],[Mängd]]*KalkylSlut[[#This Row],[Omräknings-faktor]],"")</f>
        <v/>
      </c>
      <c r="M26" s="104" t="str">
        <f>IFERROR(F26*J26*VLOOKUP(H26,Materialtabell[[#All],[Materialnamn]:[Emissionsfaktor 2019
kg CO2e/kg]],5,0),"")</f>
        <v/>
      </c>
      <c r="N26" s="104" t="str">
        <f>IFERROR(F26*J26*VLOOKUP(H26,Materialtabell[[#All],[Materialnamn]:[Emissionsfaktor 2025
kg CO2e/kg]],6,0),"")</f>
        <v/>
      </c>
      <c r="O26" s="78" t="str">
        <f>IFERROR(VLOOKUP(H26,Materialtabell[[#All],[Materialnamn]:[Kommentar A4]],24,0),"")</f>
        <v/>
      </c>
      <c r="P26" s="94" t="str">
        <f>IFERROR(($F26*$J26*$O26*VLOOKUP($H26,Materialtabell[[#All],[Materialnamn]:[Bränsle 
MJ/ton, km]],25,0)*Materiallista!$AF$5)/1000,"")</f>
        <v/>
      </c>
      <c r="Q26" s="94" t="str">
        <f>IFERROR(($F26*$J26*$O26*VLOOKUP($H26,Materialtabell[[#All],[Materialnamn]:[Bränsle 
MJ/ton, km]],25,0)*Materiallista!$AF$6)/1000,"")</f>
        <v/>
      </c>
      <c r="R26" s="162"/>
      <c r="S26" s="3"/>
      <c r="T26" s="3"/>
    </row>
    <row r="27" spans="1:20" x14ac:dyDescent="0.25">
      <c r="A27" s="3"/>
      <c r="B27" s="185">
        <v>22</v>
      </c>
      <c r="C27" s="170"/>
      <c r="D27" s="103"/>
      <c r="E27" s="103"/>
      <c r="F27" s="78"/>
      <c r="G27" s="103"/>
      <c r="H27" s="106"/>
      <c r="I27" s="105" t="str">
        <f>IFERROR(VLOOKUP(KalkylSlut[[#This Row],[Klimatmaterial]],Materialtabell[[#All],[Materialnamn]:[Materialtyp]],2,0),"")</f>
        <v/>
      </c>
      <c r="J27" s="104" t="str">
        <f>IFERROR(IF(G27="kg",1,IF(G27="ton",1000,IF(G27=RIGHT(VLOOKUP(H27,Materialtabell[[#All],[Materialnamn]:[Enhet]],4,0),LEN(VLOOKUP(H27,Materialtabell[[#All],[Materialnamn]:[Enhet]],4,0))-3),VLOOKUP(H27,Materialtabell[[#All],[Materialnamn]:[Enhet]],3,0),"Enhetsfel"))),"")</f>
        <v/>
      </c>
      <c r="K27" s="105" t="str">
        <f>IFERROR(IF(G27="kg","kg/kg",IF(G27="ton","kg/ton",IF(RIGHT(VLOOKUP(H27,Materialtabell[[#All],[Materialnamn]:[Enhet]],4,0),LEN(VLOOKUP(H27,Materialtabell[[#All],[Materialnamn]:[Enhet]],4,0))-3)=G27,VLOOKUP(H27,Materialtabell[[#All],[Materialnamn]:[Enhet]],4,0),"kg/ton/"&amp;RIGHT(VLOOKUP(H27,Materialtabell[[#All],[Materialnamn]:[Enhet]],4,0),LEN(VLOOKUP(H27,Materialtabell[[#All],[Materialnamn]:[Enhet]],4,0))-3)))),"")</f>
        <v/>
      </c>
      <c r="L27" s="104" t="str">
        <f>IFERROR(KalkylSlut[[#This Row],[Mängd]]*KalkylSlut[[#This Row],[Omräknings-faktor]],"")</f>
        <v/>
      </c>
      <c r="M27" s="104" t="str">
        <f>IFERROR(F27*J27*VLOOKUP(H27,Materialtabell[[#All],[Materialnamn]:[Emissionsfaktor 2019
kg CO2e/kg]],5,0),"")</f>
        <v/>
      </c>
      <c r="N27" s="104" t="str">
        <f>IFERROR(F27*J27*VLOOKUP(H27,Materialtabell[[#All],[Materialnamn]:[Emissionsfaktor 2025
kg CO2e/kg]],6,0),"")</f>
        <v/>
      </c>
      <c r="O27" s="78" t="str">
        <f>IFERROR(VLOOKUP(H27,Materialtabell[[#All],[Materialnamn]:[Kommentar A4]],24,0),"")</f>
        <v/>
      </c>
      <c r="P27" s="94" t="str">
        <f>IFERROR(($F27*$J27*$O27*VLOOKUP($H27,Materialtabell[[#All],[Materialnamn]:[Bränsle 
MJ/ton, km]],25,0)*Materiallista!$AF$5)/1000,"")</f>
        <v/>
      </c>
      <c r="Q27" s="94" t="str">
        <f>IFERROR(($F27*$J27*$O27*VLOOKUP($H27,Materialtabell[[#All],[Materialnamn]:[Bränsle 
MJ/ton, km]],25,0)*Materiallista!$AF$6)/1000,"")</f>
        <v/>
      </c>
      <c r="R27" s="162"/>
      <c r="S27" s="3"/>
      <c r="T27" s="3"/>
    </row>
    <row r="28" spans="1:20" x14ac:dyDescent="0.25">
      <c r="A28" s="3"/>
      <c r="B28" s="185">
        <v>23</v>
      </c>
      <c r="C28" s="170"/>
      <c r="D28" s="103"/>
      <c r="E28" s="103"/>
      <c r="F28" s="78"/>
      <c r="G28" s="103"/>
      <c r="H28" s="102"/>
      <c r="I28" s="105" t="str">
        <f>IFERROR(VLOOKUP(KalkylSlut[[#This Row],[Klimatmaterial]],Materialtabell[[#All],[Materialnamn]:[Materialtyp]],2,0),"")</f>
        <v/>
      </c>
      <c r="J28" s="104" t="str">
        <f>IFERROR(IF(G28="kg",1,IF(G28="ton",1000,IF(G28=RIGHT(VLOOKUP(H28,Materialtabell[[#All],[Materialnamn]:[Enhet]],4,0),LEN(VLOOKUP(H28,Materialtabell[[#All],[Materialnamn]:[Enhet]],4,0))-3),VLOOKUP(H28,Materialtabell[[#All],[Materialnamn]:[Enhet]],3,0),"Enhetsfel"))),"")</f>
        <v/>
      </c>
      <c r="K28" s="105" t="str">
        <f>IFERROR(IF(G28="kg","kg/kg",IF(G28="ton","kg/ton",IF(RIGHT(VLOOKUP(H28,Materialtabell[[#All],[Materialnamn]:[Enhet]],4,0),LEN(VLOOKUP(H28,Materialtabell[[#All],[Materialnamn]:[Enhet]],4,0))-3)=G28,VLOOKUP(H28,Materialtabell[[#All],[Materialnamn]:[Enhet]],4,0),"kg/ton/"&amp;RIGHT(VLOOKUP(H28,Materialtabell[[#All],[Materialnamn]:[Enhet]],4,0),LEN(VLOOKUP(H28,Materialtabell[[#All],[Materialnamn]:[Enhet]],4,0))-3)))),"")</f>
        <v/>
      </c>
      <c r="L28" s="104" t="str">
        <f>IFERROR(KalkylSlut[[#This Row],[Mängd]]*KalkylSlut[[#This Row],[Omräknings-faktor]],"")</f>
        <v/>
      </c>
      <c r="M28" s="104" t="str">
        <f>IFERROR(F28*J28*VLOOKUP(H28,Materialtabell[[#All],[Materialnamn]:[Emissionsfaktor 2019
kg CO2e/kg]],5,0),"")</f>
        <v/>
      </c>
      <c r="N28" s="104" t="str">
        <f>IFERROR(F28*J28*VLOOKUP(H28,Materialtabell[[#All],[Materialnamn]:[Emissionsfaktor 2025
kg CO2e/kg]],6,0),"")</f>
        <v/>
      </c>
      <c r="O28" s="78" t="str">
        <f>IFERROR(VLOOKUP(H28,Materialtabell[[#All],[Materialnamn]:[Kommentar A4]],24,0),"")</f>
        <v/>
      </c>
      <c r="P28" s="94" t="str">
        <f>IFERROR(($F28*$J28*$O28*VLOOKUP($H28,Materialtabell[[#All],[Materialnamn]:[Bränsle 
MJ/ton, km]],25,0)*Materiallista!$AF$5)/1000,"")</f>
        <v/>
      </c>
      <c r="Q28" s="94" t="str">
        <f>IFERROR(($F28*$J28*$O28*VLOOKUP($H28,Materialtabell[[#All],[Materialnamn]:[Bränsle 
MJ/ton, km]],25,0)*Materiallista!$AF$6)/1000,"")</f>
        <v/>
      </c>
      <c r="R28" s="162"/>
      <c r="S28" s="3"/>
      <c r="T28" s="3"/>
    </row>
    <row r="29" spans="1:20" x14ac:dyDescent="0.25">
      <c r="A29" s="3"/>
      <c r="B29" s="185">
        <v>24</v>
      </c>
      <c r="C29" s="170"/>
      <c r="D29" s="103"/>
      <c r="E29" s="103"/>
      <c r="F29" s="78"/>
      <c r="G29" s="103"/>
      <c r="H29" s="102"/>
      <c r="I29" s="105" t="str">
        <f>IFERROR(VLOOKUP(KalkylSlut[[#This Row],[Klimatmaterial]],Materialtabell[[#All],[Materialnamn]:[Materialtyp]],2,0),"")</f>
        <v/>
      </c>
      <c r="J29" s="104" t="str">
        <f>IFERROR(IF(G29="kg",1,IF(G29="ton",1000,IF(G29=RIGHT(VLOOKUP(H29,Materialtabell[[#All],[Materialnamn]:[Enhet]],4,0),LEN(VLOOKUP(H29,Materialtabell[[#All],[Materialnamn]:[Enhet]],4,0))-3),VLOOKUP(H29,Materialtabell[[#All],[Materialnamn]:[Enhet]],3,0),"Enhetsfel"))),"")</f>
        <v/>
      </c>
      <c r="K29" s="105" t="str">
        <f>IFERROR(IF(G29="kg","kg/kg",IF(G29="ton","kg/ton",IF(RIGHT(VLOOKUP(H29,Materialtabell[[#All],[Materialnamn]:[Enhet]],4,0),LEN(VLOOKUP(H29,Materialtabell[[#All],[Materialnamn]:[Enhet]],4,0))-3)=G29,VLOOKUP(H29,Materialtabell[[#All],[Materialnamn]:[Enhet]],4,0),"kg/ton/"&amp;RIGHT(VLOOKUP(H29,Materialtabell[[#All],[Materialnamn]:[Enhet]],4,0),LEN(VLOOKUP(H29,Materialtabell[[#All],[Materialnamn]:[Enhet]],4,0))-3)))),"")</f>
        <v/>
      </c>
      <c r="L29" s="104" t="str">
        <f>IFERROR(KalkylSlut[[#This Row],[Mängd]]*KalkylSlut[[#This Row],[Omräknings-faktor]],"")</f>
        <v/>
      </c>
      <c r="M29" s="104" t="str">
        <f>IFERROR(F29*J29*VLOOKUP(H29,Materialtabell[[#All],[Materialnamn]:[Emissionsfaktor 2019
kg CO2e/kg]],5,0),"")</f>
        <v/>
      </c>
      <c r="N29" s="104" t="str">
        <f>IFERROR(F29*J29*VLOOKUP(H29,Materialtabell[[#All],[Materialnamn]:[Emissionsfaktor 2025
kg CO2e/kg]],6,0),"")</f>
        <v/>
      </c>
      <c r="O29" s="78" t="str">
        <f>IFERROR(VLOOKUP(H29,Materialtabell[[#All],[Materialnamn]:[Kommentar A4]],24,0),"")</f>
        <v/>
      </c>
      <c r="P29" s="94" t="str">
        <f>IFERROR(($F29*$J29*$O29*VLOOKUP($H29,Materialtabell[[#All],[Materialnamn]:[Bränsle 
MJ/ton, km]],25,0)*Materiallista!$AF$5)/1000,"")</f>
        <v/>
      </c>
      <c r="Q29" s="94" t="str">
        <f>IFERROR(($F29*$J29*$O29*VLOOKUP($H29,Materialtabell[[#All],[Materialnamn]:[Bränsle 
MJ/ton, km]],25,0)*Materiallista!$AF$6)/1000,"")</f>
        <v/>
      </c>
      <c r="R29" s="162"/>
      <c r="S29" s="3"/>
      <c r="T29" s="3"/>
    </row>
    <row r="30" spans="1:20" x14ac:dyDescent="0.25">
      <c r="A30" s="3"/>
      <c r="B30" s="185">
        <v>25</v>
      </c>
      <c r="C30" s="170"/>
      <c r="D30" s="103"/>
      <c r="E30" s="103"/>
      <c r="F30" s="78"/>
      <c r="G30" s="103"/>
      <c r="H30" s="106"/>
      <c r="I30" s="105" t="str">
        <f>IFERROR(VLOOKUP(KalkylSlut[[#This Row],[Klimatmaterial]],Materialtabell[[#All],[Materialnamn]:[Materialtyp]],2,0),"")</f>
        <v/>
      </c>
      <c r="J30" s="104" t="str">
        <f>IFERROR(IF(G30="kg",1,IF(G30="ton",1000,IF(G30=RIGHT(VLOOKUP(H30,Materialtabell[[#All],[Materialnamn]:[Enhet]],4,0),LEN(VLOOKUP(H30,Materialtabell[[#All],[Materialnamn]:[Enhet]],4,0))-3),VLOOKUP(H30,Materialtabell[[#All],[Materialnamn]:[Enhet]],3,0),"Enhetsfel"))),"")</f>
        <v/>
      </c>
      <c r="K30" s="105" t="str">
        <f>IFERROR(IF(G30="kg","kg/kg",IF(G30="ton","kg/ton",IF(RIGHT(VLOOKUP(H30,Materialtabell[[#All],[Materialnamn]:[Enhet]],4,0),LEN(VLOOKUP(H30,Materialtabell[[#All],[Materialnamn]:[Enhet]],4,0))-3)=G30,VLOOKUP(H30,Materialtabell[[#All],[Materialnamn]:[Enhet]],4,0),"kg/ton/"&amp;RIGHT(VLOOKUP(H30,Materialtabell[[#All],[Materialnamn]:[Enhet]],4,0),LEN(VLOOKUP(H30,Materialtabell[[#All],[Materialnamn]:[Enhet]],4,0))-3)))),"")</f>
        <v/>
      </c>
      <c r="L30" s="104" t="str">
        <f>IFERROR(KalkylSlut[[#This Row],[Mängd]]*KalkylSlut[[#This Row],[Omräknings-faktor]],"")</f>
        <v/>
      </c>
      <c r="M30" s="104" t="str">
        <f>IFERROR(F30*J30*VLOOKUP(H30,Materialtabell[[#All],[Materialnamn]:[Emissionsfaktor 2019
kg CO2e/kg]],5,0),"")</f>
        <v/>
      </c>
      <c r="N30" s="104" t="str">
        <f>IFERROR(F30*J30*VLOOKUP(H30,Materialtabell[[#All],[Materialnamn]:[Emissionsfaktor 2025
kg CO2e/kg]],6,0),"")</f>
        <v/>
      </c>
      <c r="O30" s="78" t="str">
        <f>IFERROR(VLOOKUP(H30,Materialtabell[[#All],[Materialnamn]:[Kommentar A4]],24,0),"")</f>
        <v/>
      </c>
      <c r="P30" s="94" t="str">
        <f>IFERROR(($F30*$J30*$O30*VLOOKUP($H30,Materialtabell[[#All],[Materialnamn]:[Bränsle 
MJ/ton, km]],25,0)*Materiallista!$AF$5)/1000,"")</f>
        <v/>
      </c>
      <c r="Q30" s="94" t="str">
        <f>IFERROR(($F30*$J30*$O30*VLOOKUP($H30,Materialtabell[[#All],[Materialnamn]:[Bränsle 
MJ/ton, km]],25,0)*Materiallista!$AF$6)/1000,"")</f>
        <v/>
      </c>
      <c r="R30" s="162"/>
      <c r="S30" s="3"/>
      <c r="T30" s="3"/>
    </row>
    <row r="31" spans="1:20" x14ac:dyDescent="0.25">
      <c r="A31" s="3"/>
      <c r="B31" s="185">
        <v>26</v>
      </c>
      <c r="C31" s="170"/>
      <c r="D31" s="103"/>
      <c r="E31" s="103"/>
      <c r="F31" s="78"/>
      <c r="G31" s="103"/>
      <c r="H31" s="106"/>
      <c r="I31" s="105" t="str">
        <f>IFERROR(VLOOKUP(KalkylSlut[[#This Row],[Klimatmaterial]],Materialtabell[[#All],[Materialnamn]:[Materialtyp]],2,0),"")</f>
        <v/>
      </c>
      <c r="J31" s="104" t="str">
        <f>IFERROR(IF(G31="kg",1,IF(G31="ton",1000,IF(G31=RIGHT(VLOOKUP(H31,Materialtabell[[#All],[Materialnamn]:[Enhet]],4,0),LEN(VLOOKUP(H31,Materialtabell[[#All],[Materialnamn]:[Enhet]],4,0))-3),VLOOKUP(H31,Materialtabell[[#All],[Materialnamn]:[Enhet]],3,0),"Enhetsfel"))),"")</f>
        <v/>
      </c>
      <c r="K31" s="105" t="str">
        <f>IFERROR(IF(G31="kg","kg/kg",IF(G31="ton","kg/ton",IF(RIGHT(VLOOKUP(H31,Materialtabell[[#All],[Materialnamn]:[Enhet]],4,0),LEN(VLOOKUP(H31,Materialtabell[[#All],[Materialnamn]:[Enhet]],4,0))-3)=G31,VLOOKUP(H31,Materialtabell[[#All],[Materialnamn]:[Enhet]],4,0),"kg/ton/"&amp;RIGHT(VLOOKUP(H31,Materialtabell[[#All],[Materialnamn]:[Enhet]],4,0),LEN(VLOOKUP(H31,Materialtabell[[#All],[Materialnamn]:[Enhet]],4,0))-3)))),"")</f>
        <v/>
      </c>
      <c r="L31" s="104" t="str">
        <f>IFERROR(KalkylSlut[[#This Row],[Mängd]]*KalkylSlut[[#This Row],[Omräknings-faktor]],"")</f>
        <v/>
      </c>
      <c r="M31" s="104" t="str">
        <f>IFERROR(F31*J31*VLOOKUP(H31,Materialtabell[[#All],[Materialnamn]:[Emissionsfaktor 2019
kg CO2e/kg]],5,0),"")</f>
        <v/>
      </c>
      <c r="N31" s="104" t="str">
        <f>IFERROR(F31*J31*VLOOKUP(H31,Materialtabell[[#All],[Materialnamn]:[Emissionsfaktor 2025
kg CO2e/kg]],6,0),"")</f>
        <v/>
      </c>
      <c r="O31" s="78" t="str">
        <f>IFERROR(VLOOKUP(H31,Materialtabell[[#All],[Materialnamn]:[Kommentar A4]],24,0),"")</f>
        <v/>
      </c>
      <c r="P31" s="94" t="str">
        <f>IFERROR(($F31*$J31*$O31*VLOOKUP($H31,Materialtabell[[#All],[Materialnamn]:[Bränsle 
MJ/ton, km]],25,0)*Materiallista!$AF$5)/1000,"")</f>
        <v/>
      </c>
      <c r="Q31" s="94" t="str">
        <f>IFERROR(($F31*$J31*$O31*VLOOKUP($H31,Materialtabell[[#All],[Materialnamn]:[Bränsle 
MJ/ton, km]],25,0)*Materiallista!$AF$6)/1000,"")</f>
        <v/>
      </c>
      <c r="R31" s="162"/>
      <c r="S31" s="3"/>
      <c r="T31" s="3"/>
    </row>
    <row r="32" spans="1:20" x14ac:dyDescent="0.25">
      <c r="A32" s="3"/>
      <c r="B32" s="185">
        <v>27</v>
      </c>
      <c r="C32" s="170"/>
      <c r="D32" s="103"/>
      <c r="E32" s="103"/>
      <c r="F32" s="78"/>
      <c r="G32" s="103"/>
      <c r="H32" s="102"/>
      <c r="I32" s="105" t="str">
        <f>IFERROR(VLOOKUP(KalkylSlut[[#This Row],[Klimatmaterial]],Materialtabell[[#All],[Materialnamn]:[Materialtyp]],2,0),"")</f>
        <v/>
      </c>
      <c r="J32" s="104" t="str">
        <f>IFERROR(IF(G32="kg",1,IF(G32="ton",1000,IF(G32=RIGHT(VLOOKUP(H32,Materialtabell[[#All],[Materialnamn]:[Enhet]],4,0),LEN(VLOOKUP(H32,Materialtabell[[#All],[Materialnamn]:[Enhet]],4,0))-3),VLOOKUP(H32,Materialtabell[[#All],[Materialnamn]:[Enhet]],3,0),"Enhetsfel"))),"")</f>
        <v/>
      </c>
      <c r="K32" s="105" t="str">
        <f>IFERROR(IF(G32="kg","kg/kg",IF(G32="ton","kg/ton",IF(RIGHT(VLOOKUP(H32,Materialtabell[[#All],[Materialnamn]:[Enhet]],4,0),LEN(VLOOKUP(H32,Materialtabell[[#All],[Materialnamn]:[Enhet]],4,0))-3)=G32,VLOOKUP(H32,Materialtabell[[#All],[Materialnamn]:[Enhet]],4,0),"kg/ton/"&amp;RIGHT(VLOOKUP(H32,Materialtabell[[#All],[Materialnamn]:[Enhet]],4,0),LEN(VLOOKUP(H32,Materialtabell[[#All],[Materialnamn]:[Enhet]],4,0))-3)))),"")</f>
        <v/>
      </c>
      <c r="L32" s="104" t="str">
        <f>IFERROR(KalkylSlut[[#This Row],[Mängd]]*KalkylSlut[[#This Row],[Omräknings-faktor]],"")</f>
        <v/>
      </c>
      <c r="M32" s="104" t="str">
        <f>IFERROR(F32*J32*VLOOKUP(H32,Materialtabell[[#All],[Materialnamn]:[Emissionsfaktor 2019
kg CO2e/kg]],5,0),"")</f>
        <v/>
      </c>
      <c r="N32" s="104" t="str">
        <f>IFERROR(F32*J32*VLOOKUP(H32,Materialtabell[[#All],[Materialnamn]:[Emissionsfaktor 2025
kg CO2e/kg]],6,0),"")</f>
        <v/>
      </c>
      <c r="O32" s="78" t="str">
        <f>IFERROR(VLOOKUP(H32,Materialtabell[[#All],[Materialnamn]:[Kommentar A4]],24,0),"")</f>
        <v/>
      </c>
      <c r="P32" s="94" t="str">
        <f>IFERROR(($F32*$J32*$O32*VLOOKUP($H32,Materialtabell[[#All],[Materialnamn]:[Bränsle 
MJ/ton, km]],25,0)*Materiallista!$AF$5)/1000,"")</f>
        <v/>
      </c>
      <c r="Q32" s="94" t="str">
        <f>IFERROR(($F32*$J32*$O32*VLOOKUP($H32,Materialtabell[[#All],[Materialnamn]:[Bränsle 
MJ/ton, km]],25,0)*Materiallista!$AF$6)/1000,"")</f>
        <v/>
      </c>
      <c r="R32" s="162"/>
      <c r="S32" s="3"/>
      <c r="T32" s="3"/>
    </row>
    <row r="33" spans="1:20" x14ac:dyDescent="0.25">
      <c r="A33" s="3"/>
      <c r="B33" s="185">
        <v>28</v>
      </c>
      <c r="C33" s="170"/>
      <c r="D33" s="103"/>
      <c r="E33" s="103"/>
      <c r="F33" s="78"/>
      <c r="G33" s="103"/>
      <c r="H33" s="102"/>
      <c r="I33" s="105" t="str">
        <f>IFERROR(VLOOKUP(KalkylSlut[[#This Row],[Klimatmaterial]],Materialtabell[[#All],[Materialnamn]:[Materialtyp]],2,0),"")</f>
        <v/>
      </c>
      <c r="J33" s="104" t="str">
        <f>IFERROR(IF(G33="kg",1,IF(G33="ton",1000,IF(G33=RIGHT(VLOOKUP(H33,Materialtabell[[#All],[Materialnamn]:[Enhet]],4,0),LEN(VLOOKUP(H33,Materialtabell[[#All],[Materialnamn]:[Enhet]],4,0))-3),VLOOKUP(H33,Materialtabell[[#All],[Materialnamn]:[Enhet]],3,0),"Enhetsfel"))),"")</f>
        <v/>
      </c>
      <c r="K33" s="105" t="str">
        <f>IFERROR(IF(G33="kg","kg/kg",IF(G33="ton","kg/ton",IF(RIGHT(VLOOKUP(H33,Materialtabell[[#All],[Materialnamn]:[Enhet]],4,0),LEN(VLOOKUP(H33,Materialtabell[[#All],[Materialnamn]:[Enhet]],4,0))-3)=G33,VLOOKUP(H33,Materialtabell[[#All],[Materialnamn]:[Enhet]],4,0),"kg/ton/"&amp;RIGHT(VLOOKUP(H33,Materialtabell[[#All],[Materialnamn]:[Enhet]],4,0),LEN(VLOOKUP(H33,Materialtabell[[#All],[Materialnamn]:[Enhet]],4,0))-3)))),"")</f>
        <v/>
      </c>
      <c r="L33" s="104" t="str">
        <f>IFERROR(KalkylSlut[[#This Row],[Mängd]]*KalkylSlut[[#This Row],[Omräknings-faktor]],"")</f>
        <v/>
      </c>
      <c r="M33" s="104" t="str">
        <f>IFERROR(F33*J33*VLOOKUP(H33,Materialtabell[[#All],[Materialnamn]:[Emissionsfaktor 2019
kg CO2e/kg]],5,0),"")</f>
        <v/>
      </c>
      <c r="N33" s="104" t="str">
        <f>IFERROR(F33*J33*VLOOKUP(H33,Materialtabell[[#All],[Materialnamn]:[Emissionsfaktor 2025
kg CO2e/kg]],6,0),"")</f>
        <v/>
      </c>
      <c r="O33" s="78" t="str">
        <f>IFERROR(VLOOKUP(H33,Materialtabell[[#All],[Materialnamn]:[Kommentar A4]],24,0),"")</f>
        <v/>
      </c>
      <c r="P33" s="94" t="str">
        <f>IFERROR(($F33*$J33*$O33*VLOOKUP($H33,Materialtabell[[#All],[Materialnamn]:[Bränsle 
MJ/ton, km]],25,0)*Materiallista!$AF$5)/1000,"")</f>
        <v/>
      </c>
      <c r="Q33" s="94" t="str">
        <f>IFERROR(($F33*$J33*$O33*VLOOKUP($H33,Materialtabell[[#All],[Materialnamn]:[Bränsle 
MJ/ton, km]],25,0)*Materiallista!$AF$6)/1000,"")</f>
        <v/>
      </c>
      <c r="R33" s="162"/>
      <c r="S33" s="3"/>
      <c r="T33" s="3"/>
    </row>
    <row r="34" spans="1:20" x14ac:dyDescent="0.25">
      <c r="A34" s="3"/>
      <c r="B34" s="185">
        <v>29</v>
      </c>
      <c r="C34" s="170"/>
      <c r="D34" s="103"/>
      <c r="E34" s="103"/>
      <c r="F34" s="78"/>
      <c r="G34" s="103"/>
      <c r="H34" s="102"/>
      <c r="I34" s="105" t="str">
        <f>IFERROR(VLOOKUP(KalkylSlut[[#This Row],[Klimatmaterial]],Materialtabell[[#All],[Materialnamn]:[Materialtyp]],2,0),"")</f>
        <v/>
      </c>
      <c r="J34" s="104" t="str">
        <f>IFERROR(IF(G34="kg",1,IF(G34="ton",1000,IF(G34=RIGHT(VLOOKUP(H34,Materialtabell[[#All],[Materialnamn]:[Enhet]],4,0),LEN(VLOOKUP(H34,Materialtabell[[#All],[Materialnamn]:[Enhet]],4,0))-3),VLOOKUP(H34,Materialtabell[[#All],[Materialnamn]:[Enhet]],3,0),"Enhetsfel"))),"")</f>
        <v/>
      </c>
      <c r="K34" s="105" t="str">
        <f>IFERROR(IF(G34="kg","kg/kg",IF(G34="ton","kg/ton",IF(RIGHT(VLOOKUP(H34,Materialtabell[[#All],[Materialnamn]:[Enhet]],4,0),LEN(VLOOKUP(H34,Materialtabell[[#All],[Materialnamn]:[Enhet]],4,0))-3)=G34,VLOOKUP(H34,Materialtabell[[#All],[Materialnamn]:[Enhet]],4,0),"kg/ton/"&amp;RIGHT(VLOOKUP(H34,Materialtabell[[#All],[Materialnamn]:[Enhet]],4,0),LEN(VLOOKUP(H34,Materialtabell[[#All],[Materialnamn]:[Enhet]],4,0))-3)))),"")</f>
        <v/>
      </c>
      <c r="L34" s="104" t="str">
        <f>IFERROR(KalkylSlut[[#This Row],[Mängd]]*KalkylSlut[[#This Row],[Omräknings-faktor]],"")</f>
        <v/>
      </c>
      <c r="M34" s="104" t="str">
        <f>IFERROR(F34*J34*VLOOKUP(H34,Materialtabell[[#All],[Materialnamn]:[Emissionsfaktor 2019
kg CO2e/kg]],5,0),"")</f>
        <v/>
      </c>
      <c r="N34" s="104" t="str">
        <f>IFERROR(F34*J34*VLOOKUP(H34,Materialtabell[[#All],[Materialnamn]:[Emissionsfaktor 2025
kg CO2e/kg]],6,0),"")</f>
        <v/>
      </c>
      <c r="O34" s="78" t="str">
        <f>IFERROR(VLOOKUP(H34,Materialtabell[[#All],[Materialnamn]:[Kommentar A4]],24,0),"")</f>
        <v/>
      </c>
      <c r="P34" s="94" t="str">
        <f>IFERROR(($F34*$J34*$O34*VLOOKUP($H34,Materialtabell[[#All],[Materialnamn]:[Bränsle 
MJ/ton, km]],25,0)*Materiallista!$AF$5)/1000,"")</f>
        <v/>
      </c>
      <c r="Q34" s="94" t="str">
        <f>IFERROR(($F34*$J34*$O34*VLOOKUP($H34,Materialtabell[[#All],[Materialnamn]:[Bränsle 
MJ/ton, km]],25,0)*Materiallista!$AF$6)/1000,"")</f>
        <v/>
      </c>
      <c r="R34" s="162"/>
      <c r="S34" s="3"/>
      <c r="T34" s="3"/>
    </row>
    <row r="35" spans="1:20" x14ac:dyDescent="0.25">
      <c r="A35" s="3"/>
      <c r="B35" s="185">
        <v>30</v>
      </c>
      <c r="C35" s="170"/>
      <c r="D35" s="103"/>
      <c r="E35" s="103"/>
      <c r="F35" s="78"/>
      <c r="G35" s="103"/>
      <c r="H35" s="102"/>
      <c r="I35" s="105" t="str">
        <f>IFERROR(VLOOKUP(KalkylSlut[[#This Row],[Klimatmaterial]],Materialtabell[[#All],[Materialnamn]:[Materialtyp]],2,0),"")</f>
        <v/>
      </c>
      <c r="J35" s="104" t="str">
        <f>IFERROR(IF(G35="kg",1,IF(G35="ton",1000,IF(G35=RIGHT(VLOOKUP(H35,Materialtabell[[#All],[Materialnamn]:[Enhet]],4,0),LEN(VLOOKUP(H35,Materialtabell[[#All],[Materialnamn]:[Enhet]],4,0))-3),VLOOKUP(H35,Materialtabell[[#All],[Materialnamn]:[Enhet]],3,0),"Enhetsfel"))),"")</f>
        <v/>
      </c>
      <c r="K35" s="105" t="str">
        <f>IFERROR(IF(G35="kg","kg/kg",IF(G35="ton","kg/ton",IF(RIGHT(VLOOKUP(H35,Materialtabell[[#All],[Materialnamn]:[Enhet]],4,0),LEN(VLOOKUP(H35,Materialtabell[[#All],[Materialnamn]:[Enhet]],4,0))-3)=G35,VLOOKUP(H35,Materialtabell[[#All],[Materialnamn]:[Enhet]],4,0),"kg/ton/"&amp;RIGHT(VLOOKUP(H35,Materialtabell[[#All],[Materialnamn]:[Enhet]],4,0),LEN(VLOOKUP(H35,Materialtabell[[#All],[Materialnamn]:[Enhet]],4,0))-3)))),"")</f>
        <v/>
      </c>
      <c r="L35" s="104" t="str">
        <f>IFERROR(KalkylSlut[[#This Row],[Mängd]]*KalkylSlut[[#This Row],[Omräknings-faktor]],"")</f>
        <v/>
      </c>
      <c r="M35" s="104" t="str">
        <f>IFERROR(F35*J35*VLOOKUP(H35,Materialtabell[[#All],[Materialnamn]:[Emissionsfaktor 2019
kg CO2e/kg]],5,0),"")</f>
        <v/>
      </c>
      <c r="N35" s="104" t="str">
        <f>IFERROR(F35*J35*VLOOKUP(H35,Materialtabell[[#All],[Materialnamn]:[Emissionsfaktor 2025
kg CO2e/kg]],6,0),"")</f>
        <v/>
      </c>
      <c r="O35" s="78" t="str">
        <f>IFERROR(VLOOKUP(H35,Materialtabell[[#All],[Materialnamn]:[Kommentar A4]],24,0),"")</f>
        <v/>
      </c>
      <c r="P35" s="94" t="str">
        <f>IFERROR(($F35*$J35*$O35*VLOOKUP($H35,Materialtabell[[#All],[Materialnamn]:[Bränsle 
MJ/ton, km]],25,0)*Materiallista!$AF$5)/1000,"")</f>
        <v/>
      </c>
      <c r="Q35" s="94" t="str">
        <f>IFERROR(($F35*$J35*$O35*VLOOKUP($H35,Materialtabell[[#All],[Materialnamn]:[Bränsle 
MJ/ton, km]],25,0)*Materiallista!$AF$6)/1000,"")</f>
        <v/>
      </c>
      <c r="R35" s="162"/>
      <c r="S35" s="3"/>
      <c r="T35" s="3"/>
    </row>
    <row r="36" spans="1:20" x14ac:dyDescent="0.25">
      <c r="A36" s="3"/>
      <c r="B36" s="185">
        <v>31</v>
      </c>
      <c r="C36" s="170"/>
      <c r="D36" s="103"/>
      <c r="E36" s="103"/>
      <c r="F36" s="78"/>
      <c r="G36" s="103"/>
      <c r="H36" s="102"/>
      <c r="I36" s="105" t="str">
        <f>IFERROR(VLOOKUP(KalkylSlut[[#This Row],[Klimatmaterial]],Materialtabell[[#All],[Materialnamn]:[Materialtyp]],2,0),"")</f>
        <v/>
      </c>
      <c r="J36" s="104" t="str">
        <f>IFERROR(IF(G36="kg",1,IF(G36="ton",1000,IF(G36=RIGHT(VLOOKUP(H36,Materialtabell[[#All],[Materialnamn]:[Enhet]],4,0),LEN(VLOOKUP(H36,Materialtabell[[#All],[Materialnamn]:[Enhet]],4,0))-3),VLOOKUP(H36,Materialtabell[[#All],[Materialnamn]:[Enhet]],3,0),"Enhetsfel"))),"")</f>
        <v/>
      </c>
      <c r="K36" s="105" t="str">
        <f>IFERROR(IF(G36="kg","kg/kg",IF(G36="ton","kg/ton",IF(RIGHT(VLOOKUP(H36,Materialtabell[[#All],[Materialnamn]:[Enhet]],4,0),LEN(VLOOKUP(H36,Materialtabell[[#All],[Materialnamn]:[Enhet]],4,0))-3)=G36,VLOOKUP(H36,Materialtabell[[#All],[Materialnamn]:[Enhet]],4,0),"kg/ton/"&amp;RIGHT(VLOOKUP(H36,Materialtabell[[#All],[Materialnamn]:[Enhet]],4,0),LEN(VLOOKUP(H36,Materialtabell[[#All],[Materialnamn]:[Enhet]],4,0))-3)))),"")</f>
        <v/>
      </c>
      <c r="L36" s="104" t="str">
        <f>IFERROR(KalkylSlut[[#This Row],[Mängd]]*KalkylSlut[[#This Row],[Omräknings-faktor]],"")</f>
        <v/>
      </c>
      <c r="M36" s="104" t="str">
        <f>IFERROR(F36*J36*VLOOKUP(H36,Materialtabell[[#All],[Materialnamn]:[Emissionsfaktor 2019
kg CO2e/kg]],5,0),"")</f>
        <v/>
      </c>
      <c r="N36" s="104" t="str">
        <f>IFERROR(F36*J36*VLOOKUP(H36,Materialtabell[[#All],[Materialnamn]:[Emissionsfaktor 2025
kg CO2e/kg]],6,0),"")</f>
        <v/>
      </c>
      <c r="O36" s="78" t="str">
        <f>IFERROR(VLOOKUP(H36,Materialtabell[[#All],[Materialnamn]:[Kommentar A4]],24,0),"")</f>
        <v/>
      </c>
      <c r="P36" s="94" t="str">
        <f>IFERROR(($F36*$J36*$O36*VLOOKUP($H36,Materialtabell[[#All],[Materialnamn]:[Bränsle 
MJ/ton, km]],25,0)*Materiallista!$AF$5)/1000,"")</f>
        <v/>
      </c>
      <c r="Q36" s="94" t="str">
        <f>IFERROR(($F36*$J36*$O36*VLOOKUP($H36,Materialtabell[[#All],[Materialnamn]:[Bränsle 
MJ/ton, km]],25,0)*Materiallista!$AF$6)/1000,"")</f>
        <v/>
      </c>
      <c r="R36" s="162"/>
      <c r="S36" s="3"/>
      <c r="T36" s="3"/>
    </row>
    <row r="37" spans="1:20" x14ac:dyDescent="0.25">
      <c r="A37" s="3"/>
      <c r="B37" s="185">
        <v>32</v>
      </c>
      <c r="C37" s="170"/>
      <c r="D37" s="103"/>
      <c r="E37" s="103"/>
      <c r="F37" s="78"/>
      <c r="G37" s="103"/>
      <c r="H37" s="102"/>
      <c r="I37" s="105" t="str">
        <f>IFERROR(VLOOKUP(KalkylSlut[[#This Row],[Klimatmaterial]],Materialtabell[[#All],[Materialnamn]:[Materialtyp]],2,0),"")</f>
        <v/>
      </c>
      <c r="J37" s="104" t="str">
        <f>IFERROR(IF(G37="kg",1,IF(G37="ton",1000,IF(G37=RIGHT(VLOOKUP(H37,Materialtabell[[#All],[Materialnamn]:[Enhet]],4,0),LEN(VLOOKUP(H37,Materialtabell[[#All],[Materialnamn]:[Enhet]],4,0))-3),VLOOKUP(H37,Materialtabell[[#All],[Materialnamn]:[Enhet]],3,0),"Enhetsfel"))),"")</f>
        <v/>
      </c>
      <c r="K37" s="105" t="str">
        <f>IFERROR(IF(G37="kg","kg/kg",IF(G37="ton","kg/ton",IF(RIGHT(VLOOKUP(H37,Materialtabell[[#All],[Materialnamn]:[Enhet]],4,0),LEN(VLOOKUP(H37,Materialtabell[[#All],[Materialnamn]:[Enhet]],4,0))-3)=G37,VLOOKUP(H37,Materialtabell[[#All],[Materialnamn]:[Enhet]],4,0),"kg/ton/"&amp;RIGHT(VLOOKUP(H37,Materialtabell[[#All],[Materialnamn]:[Enhet]],4,0),LEN(VLOOKUP(H37,Materialtabell[[#All],[Materialnamn]:[Enhet]],4,0))-3)))),"")</f>
        <v/>
      </c>
      <c r="L37" s="104" t="str">
        <f>IFERROR(KalkylSlut[[#This Row],[Mängd]]*KalkylSlut[[#This Row],[Omräknings-faktor]],"")</f>
        <v/>
      </c>
      <c r="M37" s="104" t="str">
        <f>IFERROR(F37*J37*VLOOKUP(H37,Materialtabell[[#All],[Materialnamn]:[Emissionsfaktor 2019
kg CO2e/kg]],5,0),"")</f>
        <v/>
      </c>
      <c r="N37" s="104" t="str">
        <f>IFERROR(F37*J37*VLOOKUP(H37,Materialtabell[[#All],[Materialnamn]:[Emissionsfaktor 2025
kg CO2e/kg]],6,0),"")</f>
        <v/>
      </c>
      <c r="O37" s="78" t="str">
        <f>IFERROR(VLOOKUP(H37,Materialtabell[[#All],[Materialnamn]:[Kommentar A4]],24,0),"")</f>
        <v/>
      </c>
      <c r="P37" s="94" t="str">
        <f>IFERROR(($F37*$J37*$O37*VLOOKUP($H37,Materialtabell[[#All],[Materialnamn]:[Bränsle 
MJ/ton, km]],25,0)*Materiallista!$AF$5)/1000,"")</f>
        <v/>
      </c>
      <c r="Q37" s="94" t="str">
        <f>IFERROR(($F37*$J37*$O37*VLOOKUP($H37,Materialtabell[[#All],[Materialnamn]:[Bränsle 
MJ/ton, km]],25,0)*Materiallista!$AF$6)/1000,"")</f>
        <v/>
      </c>
      <c r="R37" s="162"/>
      <c r="S37" s="3"/>
      <c r="T37" s="3"/>
    </row>
    <row r="38" spans="1:20" x14ac:dyDescent="0.25">
      <c r="A38" s="3"/>
      <c r="B38" s="185">
        <v>33</v>
      </c>
      <c r="C38" s="170"/>
      <c r="D38" s="103"/>
      <c r="E38" s="103"/>
      <c r="F38" s="78"/>
      <c r="G38" s="103"/>
      <c r="H38" s="102"/>
      <c r="I38" s="105" t="str">
        <f>IFERROR(VLOOKUP(KalkylSlut[[#This Row],[Klimatmaterial]],Materialtabell[[#All],[Materialnamn]:[Materialtyp]],2,0),"")</f>
        <v/>
      </c>
      <c r="J38" s="104" t="str">
        <f>IFERROR(IF(G38="kg",1,IF(G38="ton",1000,IF(G38=RIGHT(VLOOKUP(H38,Materialtabell[[#All],[Materialnamn]:[Enhet]],4,0),LEN(VLOOKUP(H38,Materialtabell[[#All],[Materialnamn]:[Enhet]],4,0))-3),VLOOKUP(H38,Materialtabell[[#All],[Materialnamn]:[Enhet]],3,0),"Enhetsfel"))),"")</f>
        <v/>
      </c>
      <c r="K38" s="105" t="str">
        <f>IFERROR(IF(G38="kg","kg/kg",IF(G38="ton","kg/ton",IF(RIGHT(VLOOKUP(H38,Materialtabell[[#All],[Materialnamn]:[Enhet]],4,0),LEN(VLOOKUP(H38,Materialtabell[[#All],[Materialnamn]:[Enhet]],4,0))-3)=G38,VLOOKUP(H38,Materialtabell[[#All],[Materialnamn]:[Enhet]],4,0),"kg/ton/"&amp;RIGHT(VLOOKUP(H38,Materialtabell[[#All],[Materialnamn]:[Enhet]],4,0),LEN(VLOOKUP(H38,Materialtabell[[#All],[Materialnamn]:[Enhet]],4,0))-3)))),"")</f>
        <v/>
      </c>
      <c r="L38" s="104" t="str">
        <f>IFERROR(KalkylSlut[[#This Row],[Mängd]]*KalkylSlut[[#This Row],[Omräknings-faktor]],"")</f>
        <v/>
      </c>
      <c r="M38" s="104" t="str">
        <f>IFERROR(F38*J38*VLOOKUP(H38,Materialtabell[[#All],[Materialnamn]:[Emissionsfaktor 2019
kg CO2e/kg]],5,0),"")</f>
        <v/>
      </c>
      <c r="N38" s="104" t="str">
        <f>IFERROR(F38*J38*VLOOKUP(H38,Materialtabell[[#All],[Materialnamn]:[Emissionsfaktor 2025
kg CO2e/kg]],6,0),"")</f>
        <v/>
      </c>
      <c r="O38" s="78" t="str">
        <f>IFERROR(VLOOKUP(H38,Materialtabell[[#All],[Materialnamn]:[Kommentar A4]],24,0),"")</f>
        <v/>
      </c>
      <c r="P38" s="94" t="str">
        <f>IFERROR(($F38*$J38*$O38*VLOOKUP($H38,Materialtabell[[#All],[Materialnamn]:[Bränsle 
MJ/ton, km]],25,0)*Materiallista!$AF$5)/1000,"")</f>
        <v/>
      </c>
      <c r="Q38" s="94" t="str">
        <f>IFERROR(($F38*$J38*$O38*VLOOKUP($H38,Materialtabell[[#All],[Materialnamn]:[Bränsle 
MJ/ton, km]],25,0)*Materiallista!$AF$6)/1000,"")</f>
        <v/>
      </c>
      <c r="R38" s="162"/>
      <c r="S38" s="3"/>
      <c r="T38" s="3"/>
    </row>
    <row r="39" spans="1:20" x14ac:dyDescent="0.25">
      <c r="A39" s="3"/>
      <c r="B39" s="185">
        <v>34</v>
      </c>
      <c r="C39" s="170"/>
      <c r="D39" s="103"/>
      <c r="E39" s="103"/>
      <c r="F39" s="78"/>
      <c r="G39" s="103"/>
      <c r="H39" s="102"/>
      <c r="I39" s="105" t="str">
        <f>IFERROR(VLOOKUP(KalkylSlut[[#This Row],[Klimatmaterial]],Materialtabell[[#All],[Materialnamn]:[Materialtyp]],2,0),"")</f>
        <v/>
      </c>
      <c r="J39" s="104" t="str">
        <f>IFERROR(IF(G39="kg",1,IF(G39="ton",1000,IF(G39=RIGHT(VLOOKUP(H39,Materialtabell[[#All],[Materialnamn]:[Enhet]],4,0),LEN(VLOOKUP(H39,Materialtabell[[#All],[Materialnamn]:[Enhet]],4,0))-3),VLOOKUP(H39,Materialtabell[[#All],[Materialnamn]:[Enhet]],3,0),"Enhetsfel"))),"")</f>
        <v/>
      </c>
      <c r="K39" s="105" t="str">
        <f>IFERROR(IF(G39="kg","kg/kg",IF(G39="ton","kg/ton",IF(RIGHT(VLOOKUP(H39,Materialtabell[[#All],[Materialnamn]:[Enhet]],4,0),LEN(VLOOKUP(H39,Materialtabell[[#All],[Materialnamn]:[Enhet]],4,0))-3)=G39,VLOOKUP(H39,Materialtabell[[#All],[Materialnamn]:[Enhet]],4,0),"kg/ton/"&amp;RIGHT(VLOOKUP(H39,Materialtabell[[#All],[Materialnamn]:[Enhet]],4,0),LEN(VLOOKUP(H39,Materialtabell[[#All],[Materialnamn]:[Enhet]],4,0))-3)))),"")</f>
        <v/>
      </c>
      <c r="L39" s="104" t="str">
        <f>IFERROR(KalkylSlut[[#This Row],[Mängd]]*KalkylSlut[[#This Row],[Omräknings-faktor]],"")</f>
        <v/>
      </c>
      <c r="M39" s="104" t="str">
        <f>IFERROR(F39*J39*VLOOKUP(H39,Materialtabell[[#All],[Materialnamn]:[Emissionsfaktor 2019
kg CO2e/kg]],5,0),"")</f>
        <v/>
      </c>
      <c r="N39" s="104" t="str">
        <f>IFERROR(F39*J39*VLOOKUP(H39,Materialtabell[[#All],[Materialnamn]:[Emissionsfaktor 2025
kg CO2e/kg]],6,0),"")</f>
        <v/>
      </c>
      <c r="O39" s="78" t="str">
        <f>IFERROR(VLOOKUP(H39,Materialtabell[[#All],[Materialnamn]:[Kommentar A4]],24,0),"")</f>
        <v/>
      </c>
      <c r="P39" s="94" t="str">
        <f>IFERROR(($F39*$J39*$O39*VLOOKUP($H39,Materialtabell[[#All],[Materialnamn]:[Bränsle 
MJ/ton, km]],25,0)*Materiallista!$AF$5)/1000,"")</f>
        <v/>
      </c>
      <c r="Q39" s="94" t="str">
        <f>IFERROR(($F39*$J39*$O39*VLOOKUP($H39,Materialtabell[[#All],[Materialnamn]:[Bränsle 
MJ/ton, km]],25,0)*Materiallista!$AF$6)/1000,"")</f>
        <v/>
      </c>
      <c r="R39" s="162"/>
      <c r="S39" s="3"/>
      <c r="T39" s="3"/>
    </row>
    <row r="40" spans="1:20" x14ac:dyDescent="0.25">
      <c r="A40" s="3"/>
      <c r="B40" s="185">
        <v>35</v>
      </c>
      <c r="C40" s="170"/>
      <c r="D40" s="103"/>
      <c r="E40" s="103"/>
      <c r="F40" s="78"/>
      <c r="G40" s="103"/>
      <c r="H40" s="102"/>
      <c r="I40" s="105" t="str">
        <f>IFERROR(VLOOKUP(KalkylSlut[[#This Row],[Klimatmaterial]],Materialtabell[[#All],[Materialnamn]:[Materialtyp]],2,0),"")</f>
        <v/>
      </c>
      <c r="J40" s="104" t="str">
        <f>IFERROR(IF(G40="kg",1,IF(G40="ton",1000,IF(G40=RIGHT(VLOOKUP(H40,Materialtabell[[#All],[Materialnamn]:[Enhet]],4,0),LEN(VLOOKUP(H40,Materialtabell[[#All],[Materialnamn]:[Enhet]],4,0))-3),VLOOKUP(H40,Materialtabell[[#All],[Materialnamn]:[Enhet]],3,0),"Enhetsfel"))),"")</f>
        <v/>
      </c>
      <c r="K40" s="105" t="str">
        <f>IFERROR(IF(G40="kg","kg/kg",IF(G40="ton","kg/ton",IF(RIGHT(VLOOKUP(H40,Materialtabell[[#All],[Materialnamn]:[Enhet]],4,0),LEN(VLOOKUP(H40,Materialtabell[[#All],[Materialnamn]:[Enhet]],4,0))-3)=G40,VLOOKUP(H40,Materialtabell[[#All],[Materialnamn]:[Enhet]],4,0),"kg/ton/"&amp;RIGHT(VLOOKUP(H40,Materialtabell[[#All],[Materialnamn]:[Enhet]],4,0),LEN(VLOOKUP(H40,Materialtabell[[#All],[Materialnamn]:[Enhet]],4,0))-3)))),"")</f>
        <v/>
      </c>
      <c r="L40" s="104" t="str">
        <f>IFERROR(KalkylSlut[[#This Row],[Mängd]]*KalkylSlut[[#This Row],[Omräknings-faktor]],"")</f>
        <v/>
      </c>
      <c r="M40" s="104" t="str">
        <f>IFERROR(F40*J40*VLOOKUP(H40,Materialtabell[[#All],[Materialnamn]:[Emissionsfaktor 2019
kg CO2e/kg]],5,0),"")</f>
        <v/>
      </c>
      <c r="N40" s="104" t="str">
        <f>IFERROR(F40*J40*VLOOKUP(H40,Materialtabell[[#All],[Materialnamn]:[Emissionsfaktor 2025
kg CO2e/kg]],6,0),"")</f>
        <v/>
      </c>
      <c r="O40" s="78" t="str">
        <f>IFERROR(VLOOKUP(H40,Materialtabell[[#All],[Materialnamn]:[Kommentar A4]],24,0),"")</f>
        <v/>
      </c>
      <c r="P40" s="94" t="str">
        <f>IFERROR(($F40*$J40*$O40*VLOOKUP($H40,Materialtabell[[#All],[Materialnamn]:[Bränsle 
MJ/ton, km]],25,0)*Materiallista!$AF$5)/1000,"")</f>
        <v/>
      </c>
      <c r="Q40" s="94" t="str">
        <f>IFERROR(($F40*$J40*$O40*VLOOKUP($H40,Materialtabell[[#All],[Materialnamn]:[Bränsle 
MJ/ton, km]],25,0)*Materiallista!$AF$6)/1000,"")</f>
        <v/>
      </c>
      <c r="R40" s="162"/>
      <c r="S40" s="3"/>
      <c r="T40" s="3"/>
    </row>
    <row r="41" spans="1:20" x14ac:dyDescent="0.25">
      <c r="A41" s="3"/>
      <c r="B41" s="185">
        <v>36</v>
      </c>
      <c r="C41" s="170"/>
      <c r="D41" s="103"/>
      <c r="E41" s="103"/>
      <c r="F41" s="78"/>
      <c r="G41" s="103"/>
      <c r="H41" s="102"/>
      <c r="I41" s="105" t="str">
        <f>IFERROR(VLOOKUP(KalkylSlut[[#This Row],[Klimatmaterial]],Materialtabell[[#All],[Materialnamn]:[Materialtyp]],2,0),"")</f>
        <v/>
      </c>
      <c r="J41" s="104" t="str">
        <f>IFERROR(IF(G41="kg",1,IF(G41="ton",1000,IF(G41=RIGHT(VLOOKUP(H41,Materialtabell[[#All],[Materialnamn]:[Enhet]],4,0),LEN(VLOOKUP(H41,Materialtabell[[#All],[Materialnamn]:[Enhet]],4,0))-3),VLOOKUP(H41,Materialtabell[[#All],[Materialnamn]:[Enhet]],3,0),"Enhetsfel"))),"")</f>
        <v/>
      </c>
      <c r="K41" s="105" t="str">
        <f>IFERROR(IF(G41="kg","kg/kg",IF(G41="ton","kg/ton",IF(RIGHT(VLOOKUP(H41,Materialtabell[[#All],[Materialnamn]:[Enhet]],4,0),LEN(VLOOKUP(H41,Materialtabell[[#All],[Materialnamn]:[Enhet]],4,0))-3)=G41,VLOOKUP(H41,Materialtabell[[#All],[Materialnamn]:[Enhet]],4,0),"kg/ton/"&amp;RIGHT(VLOOKUP(H41,Materialtabell[[#All],[Materialnamn]:[Enhet]],4,0),LEN(VLOOKUP(H41,Materialtabell[[#All],[Materialnamn]:[Enhet]],4,0))-3)))),"")</f>
        <v/>
      </c>
      <c r="L41" s="104" t="str">
        <f>IFERROR(KalkylSlut[[#This Row],[Mängd]]*KalkylSlut[[#This Row],[Omräknings-faktor]],"")</f>
        <v/>
      </c>
      <c r="M41" s="104" t="str">
        <f>IFERROR(F41*J41*VLOOKUP(H41,Materialtabell[[#All],[Materialnamn]:[Emissionsfaktor 2019
kg CO2e/kg]],5,0),"")</f>
        <v/>
      </c>
      <c r="N41" s="104" t="str">
        <f>IFERROR(F41*J41*VLOOKUP(H41,Materialtabell[[#All],[Materialnamn]:[Emissionsfaktor 2025
kg CO2e/kg]],6,0),"")</f>
        <v/>
      </c>
      <c r="O41" s="78" t="str">
        <f>IFERROR(VLOOKUP(H41,Materialtabell[[#All],[Materialnamn]:[Kommentar A4]],24,0),"")</f>
        <v/>
      </c>
      <c r="P41" s="94" t="str">
        <f>IFERROR(($F41*$J41*$O41*VLOOKUP($H41,Materialtabell[[#All],[Materialnamn]:[Bränsle 
MJ/ton, km]],25,0)*Materiallista!$AF$5)/1000,"")</f>
        <v/>
      </c>
      <c r="Q41" s="94" t="str">
        <f>IFERROR(($F41*$J41*$O41*VLOOKUP($H41,Materialtabell[[#All],[Materialnamn]:[Bränsle 
MJ/ton, km]],25,0)*Materiallista!$AF$6)/1000,"")</f>
        <v/>
      </c>
      <c r="R41" s="162"/>
      <c r="S41" s="3"/>
      <c r="T41" s="3"/>
    </row>
    <row r="42" spans="1:20" x14ac:dyDescent="0.25">
      <c r="A42" s="3"/>
      <c r="B42" s="185">
        <v>37</v>
      </c>
      <c r="C42" s="170"/>
      <c r="D42" s="103"/>
      <c r="E42" s="103"/>
      <c r="F42" s="78"/>
      <c r="G42" s="103"/>
      <c r="H42" s="102"/>
      <c r="I42" s="105" t="str">
        <f>IFERROR(VLOOKUP(KalkylSlut[[#This Row],[Klimatmaterial]],Materialtabell[[#All],[Materialnamn]:[Materialtyp]],2,0),"")</f>
        <v/>
      </c>
      <c r="J42" s="104" t="str">
        <f>IFERROR(IF(G42="kg",1,IF(G42="ton",1000,IF(G42=RIGHT(VLOOKUP(H42,Materialtabell[[#All],[Materialnamn]:[Enhet]],4,0),LEN(VLOOKUP(H42,Materialtabell[[#All],[Materialnamn]:[Enhet]],4,0))-3),VLOOKUP(H42,Materialtabell[[#All],[Materialnamn]:[Enhet]],3,0),"Enhetsfel"))),"")</f>
        <v/>
      </c>
      <c r="K42" s="105" t="str">
        <f>IFERROR(IF(G42="kg","kg/kg",IF(G42="ton","kg/ton",IF(RIGHT(VLOOKUP(H42,Materialtabell[[#All],[Materialnamn]:[Enhet]],4,0),LEN(VLOOKUP(H42,Materialtabell[[#All],[Materialnamn]:[Enhet]],4,0))-3)=G42,VLOOKUP(H42,Materialtabell[[#All],[Materialnamn]:[Enhet]],4,0),"kg/ton/"&amp;RIGHT(VLOOKUP(H42,Materialtabell[[#All],[Materialnamn]:[Enhet]],4,0),LEN(VLOOKUP(H42,Materialtabell[[#All],[Materialnamn]:[Enhet]],4,0))-3)))),"")</f>
        <v/>
      </c>
      <c r="L42" s="104" t="str">
        <f>IFERROR(KalkylSlut[[#This Row],[Mängd]]*KalkylSlut[[#This Row],[Omräknings-faktor]],"")</f>
        <v/>
      </c>
      <c r="M42" s="104" t="str">
        <f>IFERROR(F42*J42*VLOOKUP(H42,Materialtabell[[#All],[Materialnamn]:[Emissionsfaktor 2019
kg CO2e/kg]],5,0),"")</f>
        <v/>
      </c>
      <c r="N42" s="104" t="str">
        <f>IFERROR(F42*J42*VLOOKUP(H42,Materialtabell[[#All],[Materialnamn]:[Emissionsfaktor 2025
kg CO2e/kg]],6,0),"")</f>
        <v/>
      </c>
      <c r="O42" s="78" t="str">
        <f>IFERROR(VLOOKUP(H42,Materialtabell[[#All],[Materialnamn]:[Kommentar A4]],24,0),"")</f>
        <v/>
      </c>
      <c r="P42" s="94" t="str">
        <f>IFERROR(($F42*$J42*$O42*VLOOKUP($H42,Materialtabell[[#All],[Materialnamn]:[Bränsle 
MJ/ton, km]],25,0)*Materiallista!$AF$5)/1000,"")</f>
        <v/>
      </c>
      <c r="Q42" s="94" t="str">
        <f>IFERROR(($F42*$J42*$O42*VLOOKUP($H42,Materialtabell[[#All],[Materialnamn]:[Bränsle 
MJ/ton, km]],25,0)*Materiallista!$AF$6)/1000,"")</f>
        <v/>
      </c>
      <c r="R42" s="162"/>
      <c r="S42" s="3"/>
      <c r="T42" s="3"/>
    </row>
    <row r="43" spans="1:20" x14ac:dyDescent="0.25">
      <c r="A43" s="3"/>
      <c r="B43" s="185">
        <v>38</v>
      </c>
      <c r="C43" s="170"/>
      <c r="D43" s="103"/>
      <c r="E43" s="103"/>
      <c r="F43" s="78"/>
      <c r="G43" s="103"/>
      <c r="H43" s="102"/>
      <c r="I43" s="105" t="str">
        <f>IFERROR(VLOOKUP(KalkylSlut[[#This Row],[Klimatmaterial]],Materialtabell[[#All],[Materialnamn]:[Materialtyp]],2,0),"")</f>
        <v/>
      </c>
      <c r="J43" s="104" t="str">
        <f>IFERROR(IF(G43="kg",1,IF(G43="ton",1000,IF(G43=RIGHT(VLOOKUP(H43,Materialtabell[[#All],[Materialnamn]:[Enhet]],4,0),LEN(VLOOKUP(H43,Materialtabell[[#All],[Materialnamn]:[Enhet]],4,0))-3),VLOOKUP(H43,Materialtabell[[#All],[Materialnamn]:[Enhet]],3,0),"Enhetsfel"))),"")</f>
        <v/>
      </c>
      <c r="K43" s="105" t="str">
        <f>IFERROR(IF(G43="kg","kg/kg",IF(G43="ton","kg/ton",IF(RIGHT(VLOOKUP(H43,Materialtabell[[#All],[Materialnamn]:[Enhet]],4,0),LEN(VLOOKUP(H43,Materialtabell[[#All],[Materialnamn]:[Enhet]],4,0))-3)=G43,VLOOKUP(H43,Materialtabell[[#All],[Materialnamn]:[Enhet]],4,0),"kg/ton/"&amp;RIGHT(VLOOKUP(H43,Materialtabell[[#All],[Materialnamn]:[Enhet]],4,0),LEN(VLOOKUP(H43,Materialtabell[[#All],[Materialnamn]:[Enhet]],4,0))-3)))),"")</f>
        <v/>
      </c>
      <c r="L43" s="104" t="str">
        <f>IFERROR(KalkylSlut[[#This Row],[Mängd]]*KalkylSlut[[#This Row],[Omräknings-faktor]],"")</f>
        <v/>
      </c>
      <c r="M43" s="104" t="str">
        <f>IFERROR(F43*J43*VLOOKUP(H43,Materialtabell[[#All],[Materialnamn]:[Emissionsfaktor 2019
kg CO2e/kg]],5,0),"")</f>
        <v/>
      </c>
      <c r="N43" s="104" t="str">
        <f>IFERROR(F43*J43*VLOOKUP(H43,Materialtabell[[#All],[Materialnamn]:[Emissionsfaktor 2025
kg CO2e/kg]],6,0),"")</f>
        <v/>
      </c>
      <c r="O43" s="78" t="str">
        <f>IFERROR(VLOOKUP(H43,Materialtabell[[#All],[Materialnamn]:[Kommentar A4]],24,0),"")</f>
        <v/>
      </c>
      <c r="P43" s="94" t="str">
        <f>IFERROR(($F43*$J43*$O43*VLOOKUP($H43,Materialtabell[[#All],[Materialnamn]:[Bränsle 
MJ/ton, km]],25,0)*Materiallista!$AF$5)/1000,"")</f>
        <v/>
      </c>
      <c r="Q43" s="94" t="str">
        <f>IFERROR(($F43*$J43*$O43*VLOOKUP($H43,Materialtabell[[#All],[Materialnamn]:[Bränsle 
MJ/ton, km]],25,0)*Materiallista!$AF$6)/1000,"")</f>
        <v/>
      </c>
      <c r="R43" s="162"/>
      <c r="S43" s="3"/>
      <c r="T43" s="3"/>
    </row>
    <row r="44" spans="1:20" x14ac:dyDescent="0.25">
      <c r="A44" s="3"/>
      <c r="B44" s="185">
        <v>39</v>
      </c>
      <c r="C44" s="170"/>
      <c r="D44" s="103"/>
      <c r="E44" s="103"/>
      <c r="F44" s="78"/>
      <c r="G44" s="103"/>
      <c r="H44" s="102"/>
      <c r="I44" s="105" t="str">
        <f>IFERROR(VLOOKUP(KalkylSlut[[#This Row],[Klimatmaterial]],Materialtabell[[#All],[Materialnamn]:[Materialtyp]],2,0),"")</f>
        <v/>
      </c>
      <c r="J44" s="104" t="str">
        <f>IFERROR(IF(G44="kg",1,IF(G44="ton",1000,IF(G44=RIGHT(VLOOKUP(H44,Materialtabell[[#All],[Materialnamn]:[Enhet]],4,0),LEN(VLOOKUP(H44,Materialtabell[[#All],[Materialnamn]:[Enhet]],4,0))-3),VLOOKUP(H44,Materialtabell[[#All],[Materialnamn]:[Enhet]],3,0),"Enhetsfel"))),"")</f>
        <v/>
      </c>
      <c r="K44" s="105" t="str">
        <f>IFERROR(IF(G44="kg","kg/kg",IF(G44="ton","kg/ton",IF(RIGHT(VLOOKUP(H44,Materialtabell[[#All],[Materialnamn]:[Enhet]],4,0),LEN(VLOOKUP(H44,Materialtabell[[#All],[Materialnamn]:[Enhet]],4,0))-3)=G44,VLOOKUP(H44,Materialtabell[[#All],[Materialnamn]:[Enhet]],4,0),"kg/ton/"&amp;RIGHT(VLOOKUP(H44,Materialtabell[[#All],[Materialnamn]:[Enhet]],4,0),LEN(VLOOKUP(H44,Materialtabell[[#All],[Materialnamn]:[Enhet]],4,0))-3)))),"")</f>
        <v/>
      </c>
      <c r="L44" s="104" t="str">
        <f>IFERROR(KalkylSlut[[#This Row],[Mängd]]*KalkylSlut[[#This Row],[Omräknings-faktor]],"")</f>
        <v/>
      </c>
      <c r="M44" s="104" t="str">
        <f>IFERROR(F44*J44*VLOOKUP(H44,Materialtabell[[#All],[Materialnamn]:[Emissionsfaktor 2019
kg CO2e/kg]],5,0),"")</f>
        <v/>
      </c>
      <c r="N44" s="104" t="str">
        <f>IFERROR(F44*J44*VLOOKUP(H44,Materialtabell[[#All],[Materialnamn]:[Emissionsfaktor 2025
kg CO2e/kg]],6,0),"")</f>
        <v/>
      </c>
      <c r="O44" s="78" t="str">
        <f>IFERROR(VLOOKUP(H44,Materialtabell[[#All],[Materialnamn]:[Kommentar A4]],24,0),"")</f>
        <v/>
      </c>
      <c r="P44" s="94" t="str">
        <f>IFERROR(($F44*$J44*$O44*VLOOKUP($H44,Materialtabell[[#All],[Materialnamn]:[Bränsle 
MJ/ton, km]],25,0)*Materiallista!$AF$5)/1000,"")</f>
        <v/>
      </c>
      <c r="Q44" s="94" t="str">
        <f>IFERROR(($F44*$J44*$O44*VLOOKUP($H44,Materialtabell[[#All],[Materialnamn]:[Bränsle 
MJ/ton, km]],25,0)*Materiallista!$AF$6)/1000,"")</f>
        <v/>
      </c>
      <c r="R44" s="162"/>
      <c r="S44" s="3"/>
      <c r="T44" s="3"/>
    </row>
    <row r="45" spans="1:20" x14ac:dyDescent="0.25">
      <c r="A45" s="3"/>
      <c r="B45" s="185">
        <v>40</v>
      </c>
      <c r="C45" s="170"/>
      <c r="D45" s="103"/>
      <c r="E45" s="103"/>
      <c r="F45" s="78"/>
      <c r="G45" s="103"/>
      <c r="H45" s="102"/>
      <c r="I45" s="105" t="str">
        <f>IFERROR(VLOOKUP(KalkylSlut[[#This Row],[Klimatmaterial]],Materialtabell[[#All],[Materialnamn]:[Materialtyp]],2,0),"")</f>
        <v/>
      </c>
      <c r="J45" s="104" t="str">
        <f>IFERROR(IF(G45="kg",1,IF(G45="ton",1000,IF(G45=RIGHT(VLOOKUP(H45,Materialtabell[[#All],[Materialnamn]:[Enhet]],4,0),LEN(VLOOKUP(H45,Materialtabell[[#All],[Materialnamn]:[Enhet]],4,0))-3),VLOOKUP(H45,Materialtabell[[#All],[Materialnamn]:[Enhet]],3,0),"Enhetsfel"))),"")</f>
        <v/>
      </c>
      <c r="K45" s="105" t="str">
        <f>IFERROR(IF(G45="kg","kg/kg",IF(G45="ton","kg/ton",IF(RIGHT(VLOOKUP(H45,Materialtabell[[#All],[Materialnamn]:[Enhet]],4,0),LEN(VLOOKUP(H45,Materialtabell[[#All],[Materialnamn]:[Enhet]],4,0))-3)=G45,VLOOKUP(H45,Materialtabell[[#All],[Materialnamn]:[Enhet]],4,0),"kg/ton/"&amp;RIGHT(VLOOKUP(H45,Materialtabell[[#All],[Materialnamn]:[Enhet]],4,0),LEN(VLOOKUP(H45,Materialtabell[[#All],[Materialnamn]:[Enhet]],4,0))-3)))),"")</f>
        <v/>
      </c>
      <c r="L45" s="104" t="str">
        <f>IFERROR(KalkylSlut[[#This Row],[Mängd]]*KalkylSlut[[#This Row],[Omräknings-faktor]],"")</f>
        <v/>
      </c>
      <c r="M45" s="104" t="str">
        <f>IFERROR(F45*J45*VLOOKUP(H45,Materialtabell[[#All],[Materialnamn]:[Emissionsfaktor 2019
kg CO2e/kg]],5,0),"")</f>
        <v/>
      </c>
      <c r="N45" s="104" t="str">
        <f>IFERROR(F45*J45*VLOOKUP(H45,Materialtabell[[#All],[Materialnamn]:[Emissionsfaktor 2025
kg CO2e/kg]],6,0),"")</f>
        <v/>
      </c>
      <c r="O45" s="78" t="str">
        <f>IFERROR(VLOOKUP(H45,Materialtabell[[#All],[Materialnamn]:[Kommentar A4]],24,0),"")</f>
        <v/>
      </c>
      <c r="P45" s="94" t="str">
        <f>IFERROR(($F45*$J45*$O45*VLOOKUP($H45,Materialtabell[[#All],[Materialnamn]:[Bränsle 
MJ/ton, km]],25,0)*Materiallista!$AF$5)/1000,"")</f>
        <v/>
      </c>
      <c r="Q45" s="94" t="str">
        <f>IFERROR(($F45*$J45*$O45*VLOOKUP($H45,Materialtabell[[#All],[Materialnamn]:[Bränsle 
MJ/ton, km]],25,0)*Materiallista!$AF$6)/1000,"")</f>
        <v/>
      </c>
      <c r="R45" s="162"/>
      <c r="S45" s="3"/>
      <c r="T45" s="3"/>
    </row>
    <row r="46" spans="1:20" x14ac:dyDescent="0.25">
      <c r="A46" s="3"/>
      <c r="B46" s="185">
        <v>41</v>
      </c>
      <c r="C46" s="170"/>
      <c r="D46" s="103"/>
      <c r="E46" s="103"/>
      <c r="F46" s="78"/>
      <c r="G46" s="103"/>
      <c r="H46" s="102"/>
      <c r="I46" s="105" t="str">
        <f>IFERROR(VLOOKUP(KalkylSlut[[#This Row],[Klimatmaterial]],Materialtabell[[#All],[Materialnamn]:[Materialtyp]],2,0),"")</f>
        <v/>
      </c>
      <c r="J46" s="104" t="str">
        <f>IFERROR(IF(G46="kg",1,IF(G46="ton",1000,IF(G46=RIGHT(VLOOKUP(H46,Materialtabell[[#All],[Materialnamn]:[Enhet]],4,0),LEN(VLOOKUP(H46,Materialtabell[[#All],[Materialnamn]:[Enhet]],4,0))-3),VLOOKUP(H46,Materialtabell[[#All],[Materialnamn]:[Enhet]],3,0),"Enhetsfel"))),"")</f>
        <v/>
      </c>
      <c r="K46" s="105" t="str">
        <f>IFERROR(IF(G46="kg","kg/kg",IF(G46="ton","kg/ton",IF(RIGHT(VLOOKUP(H46,Materialtabell[[#All],[Materialnamn]:[Enhet]],4,0),LEN(VLOOKUP(H46,Materialtabell[[#All],[Materialnamn]:[Enhet]],4,0))-3)=G46,VLOOKUP(H46,Materialtabell[[#All],[Materialnamn]:[Enhet]],4,0),"kg/ton/"&amp;RIGHT(VLOOKUP(H46,Materialtabell[[#All],[Materialnamn]:[Enhet]],4,0),LEN(VLOOKUP(H46,Materialtabell[[#All],[Materialnamn]:[Enhet]],4,0))-3)))),"")</f>
        <v/>
      </c>
      <c r="L46" s="104" t="str">
        <f>IFERROR(KalkylSlut[[#This Row],[Mängd]]*KalkylSlut[[#This Row],[Omräknings-faktor]],"")</f>
        <v/>
      </c>
      <c r="M46" s="104" t="str">
        <f>IFERROR(F46*J46*VLOOKUP(H46,Materialtabell[[#All],[Materialnamn]:[Emissionsfaktor 2019
kg CO2e/kg]],5,0),"")</f>
        <v/>
      </c>
      <c r="N46" s="104" t="str">
        <f>IFERROR(F46*J46*VLOOKUP(H46,Materialtabell[[#All],[Materialnamn]:[Emissionsfaktor 2025
kg CO2e/kg]],6,0),"")</f>
        <v/>
      </c>
      <c r="O46" s="78" t="str">
        <f>IFERROR(VLOOKUP(H46,Materialtabell[[#All],[Materialnamn]:[Kommentar A4]],24,0),"")</f>
        <v/>
      </c>
      <c r="P46" s="94" t="str">
        <f>IFERROR(($F46*$J46*$O46*VLOOKUP($H46,Materialtabell[[#All],[Materialnamn]:[Bränsle 
MJ/ton, km]],25,0)*Materiallista!$AF$5)/1000,"")</f>
        <v/>
      </c>
      <c r="Q46" s="94" t="str">
        <f>IFERROR(($F46*$J46*$O46*VLOOKUP($H46,Materialtabell[[#All],[Materialnamn]:[Bränsle 
MJ/ton, km]],25,0)*Materiallista!$AF$6)/1000,"")</f>
        <v/>
      </c>
      <c r="R46" s="162"/>
      <c r="S46" s="3"/>
      <c r="T46" s="3"/>
    </row>
    <row r="47" spans="1:20" x14ac:dyDescent="0.25">
      <c r="A47" s="3"/>
      <c r="B47" s="185">
        <v>42</v>
      </c>
      <c r="C47" s="170"/>
      <c r="D47" s="103"/>
      <c r="E47" s="103"/>
      <c r="F47" s="78"/>
      <c r="G47" s="103"/>
      <c r="H47" s="102"/>
      <c r="I47" s="105" t="str">
        <f>IFERROR(VLOOKUP(KalkylSlut[[#This Row],[Klimatmaterial]],Materialtabell[[#All],[Materialnamn]:[Materialtyp]],2,0),"")</f>
        <v/>
      </c>
      <c r="J47" s="104" t="str">
        <f>IFERROR(IF(G47="kg",1,IF(G47="ton",1000,IF(G47=RIGHT(VLOOKUP(H47,Materialtabell[[#All],[Materialnamn]:[Enhet]],4,0),LEN(VLOOKUP(H47,Materialtabell[[#All],[Materialnamn]:[Enhet]],4,0))-3),VLOOKUP(H47,Materialtabell[[#All],[Materialnamn]:[Enhet]],3,0),"Enhetsfel"))),"")</f>
        <v/>
      </c>
      <c r="K47" s="105" t="str">
        <f>IFERROR(IF(G47="kg","kg/kg",IF(G47="ton","kg/ton",IF(RIGHT(VLOOKUP(H47,Materialtabell[[#All],[Materialnamn]:[Enhet]],4,0),LEN(VLOOKUP(H47,Materialtabell[[#All],[Materialnamn]:[Enhet]],4,0))-3)=G47,VLOOKUP(H47,Materialtabell[[#All],[Materialnamn]:[Enhet]],4,0),"kg/ton/"&amp;RIGHT(VLOOKUP(H47,Materialtabell[[#All],[Materialnamn]:[Enhet]],4,0),LEN(VLOOKUP(H47,Materialtabell[[#All],[Materialnamn]:[Enhet]],4,0))-3)))),"")</f>
        <v/>
      </c>
      <c r="L47" s="104" t="str">
        <f>IFERROR(KalkylSlut[[#This Row],[Mängd]]*KalkylSlut[[#This Row],[Omräknings-faktor]],"")</f>
        <v/>
      </c>
      <c r="M47" s="104" t="str">
        <f>IFERROR(F47*J47*VLOOKUP(H47,Materialtabell[[#All],[Materialnamn]:[Emissionsfaktor 2019
kg CO2e/kg]],5,0),"")</f>
        <v/>
      </c>
      <c r="N47" s="104" t="str">
        <f>IFERROR(F47*J47*VLOOKUP(H47,Materialtabell[[#All],[Materialnamn]:[Emissionsfaktor 2025
kg CO2e/kg]],6,0),"")</f>
        <v/>
      </c>
      <c r="O47" s="78" t="str">
        <f>IFERROR(VLOOKUP(H47,Materialtabell[[#All],[Materialnamn]:[Kommentar A4]],24,0),"")</f>
        <v/>
      </c>
      <c r="P47" s="94" t="str">
        <f>IFERROR(($F47*$J47*$O47*VLOOKUP($H47,Materialtabell[[#All],[Materialnamn]:[Bränsle 
MJ/ton, km]],25,0)*Materiallista!$AF$5)/1000,"")</f>
        <v/>
      </c>
      <c r="Q47" s="94" t="str">
        <f>IFERROR(($F47*$J47*$O47*VLOOKUP($H47,Materialtabell[[#All],[Materialnamn]:[Bränsle 
MJ/ton, km]],25,0)*Materiallista!$AF$6)/1000,"")</f>
        <v/>
      </c>
      <c r="R47" s="162"/>
      <c r="S47" s="3"/>
      <c r="T47" s="3"/>
    </row>
    <row r="48" spans="1:20" x14ac:dyDescent="0.25">
      <c r="A48" s="3"/>
      <c r="B48" s="185">
        <v>43</v>
      </c>
      <c r="C48" s="170"/>
      <c r="D48" s="103"/>
      <c r="E48" s="103"/>
      <c r="F48" s="78"/>
      <c r="G48" s="103"/>
      <c r="H48" s="102"/>
      <c r="I48" s="105" t="str">
        <f>IFERROR(VLOOKUP(KalkylSlut[[#This Row],[Klimatmaterial]],Materialtabell[[#All],[Materialnamn]:[Materialtyp]],2,0),"")</f>
        <v/>
      </c>
      <c r="J48" s="104" t="str">
        <f>IFERROR(IF(G48="kg",1,IF(G48="ton",1000,IF(G48=RIGHT(VLOOKUP(H48,Materialtabell[[#All],[Materialnamn]:[Enhet]],4,0),LEN(VLOOKUP(H48,Materialtabell[[#All],[Materialnamn]:[Enhet]],4,0))-3),VLOOKUP(H48,Materialtabell[[#All],[Materialnamn]:[Enhet]],3,0),"Enhetsfel"))),"")</f>
        <v/>
      </c>
      <c r="K48" s="105" t="str">
        <f>IFERROR(IF(G48="kg","kg/kg",IF(G48="ton","kg/ton",IF(RIGHT(VLOOKUP(H48,Materialtabell[[#All],[Materialnamn]:[Enhet]],4,0),LEN(VLOOKUP(H48,Materialtabell[[#All],[Materialnamn]:[Enhet]],4,0))-3)=G48,VLOOKUP(H48,Materialtabell[[#All],[Materialnamn]:[Enhet]],4,0),"kg/ton/"&amp;RIGHT(VLOOKUP(H48,Materialtabell[[#All],[Materialnamn]:[Enhet]],4,0),LEN(VLOOKUP(H48,Materialtabell[[#All],[Materialnamn]:[Enhet]],4,0))-3)))),"")</f>
        <v/>
      </c>
      <c r="L48" s="104" t="str">
        <f>IFERROR(KalkylSlut[[#This Row],[Mängd]]*KalkylSlut[[#This Row],[Omräknings-faktor]],"")</f>
        <v/>
      </c>
      <c r="M48" s="104" t="str">
        <f>IFERROR(F48*J48*VLOOKUP(H48,Materialtabell[[#All],[Materialnamn]:[Emissionsfaktor 2019
kg CO2e/kg]],5,0),"")</f>
        <v/>
      </c>
      <c r="N48" s="104" t="str">
        <f>IFERROR(F48*J48*VLOOKUP(H48,Materialtabell[[#All],[Materialnamn]:[Emissionsfaktor 2025
kg CO2e/kg]],6,0),"")</f>
        <v/>
      </c>
      <c r="O48" s="78" t="str">
        <f>IFERROR(VLOOKUP(H48,Materialtabell[[#All],[Materialnamn]:[Kommentar A4]],24,0),"")</f>
        <v/>
      </c>
      <c r="P48" s="94" t="str">
        <f>IFERROR(($F48*$J48*$O48*VLOOKUP($H48,Materialtabell[[#All],[Materialnamn]:[Bränsle 
MJ/ton, km]],25,0)*Materiallista!$AF$5)/1000,"")</f>
        <v/>
      </c>
      <c r="Q48" s="94" t="str">
        <f>IFERROR(($F48*$J48*$O48*VLOOKUP($H48,Materialtabell[[#All],[Materialnamn]:[Bränsle 
MJ/ton, km]],25,0)*Materiallista!$AF$6)/1000,"")</f>
        <v/>
      </c>
      <c r="R48" s="162"/>
      <c r="S48" s="3"/>
      <c r="T48" s="3"/>
    </row>
    <row r="49" spans="1:20" x14ac:dyDescent="0.25">
      <c r="A49" s="3"/>
      <c r="B49" s="185">
        <v>44</v>
      </c>
      <c r="C49" s="170"/>
      <c r="D49" s="103"/>
      <c r="E49" s="103"/>
      <c r="F49" s="78"/>
      <c r="G49" s="103"/>
      <c r="H49" s="102"/>
      <c r="I49" s="105" t="str">
        <f>IFERROR(VLOOKUP(KalkylSlut[[#This Row],[Klimatmaterial]],Materialtabell[[#All],[Materialnamn]:[Materialtyp]],2,0),"")</f>
        <v/>
      </c>
      <c r="J49" s="104" t="str">
        <f>IFERROR(IF(G49="kg",1,IF(G49="ton",1000,IF(G49=RIGHT(VLOOKUP(H49,Materialtabell[[#All],[Materialnamn]:[Enhet]],4,0),LEN(VLOOKUP(H49,Materialtabell[[#All],[Materialnamn]:[Enhet]],4,0))-3),VLOOKUP(H49,Materialtabell[[#All],[Materialnamn]:[Enhet]],3,0),"Enhetsfel"))),"")</f>
        <v/>
      </c>
      <c r="K49" s="105" t="str">
        <f>IFERROR(IF(G49="kg","kg/kg",IF(G49="ton","kg/ton",IF(RIGHT(VLOOKUP(H49,Materialtabell[[#All],[Materialnamn]:[Enhet]],4,0),LEN(VLOOKUP(H49,Materialtabell[[#All],[Materialnamn]:[Enhet]],4,0))-3)=G49,VLOOKUP(H49,Materialtabell[[#All],[Materialnamn]:[Enhet]],4,0),"kg/ton/"&amp;RIGHT(VLOOKUP(H49,Materialtabell[[#All],[Materialnamn]:[Enhet]],4,0),LEN(VLOOKUP(H49,Materialtabell[[#All],[Materialnamn]:[Enhet]],4,0))-3)))),"")</f>
        <v/>
      </c>
      <c r="L49" s="104" t="str">
        <f>IFERROR(KalkylSlut[[#This Row],[Mängd]]*KalkylSlut[[#This Row],[Omräknings-faktor]],"")</f>
        <v/>
      </c>
      <c r="M49" s="104" t="str">
        <f>IFERROR(F49*J49*VLOOKUP(H49,Materialtabell[[#All],[Materialnamn]:[Emissionsfaktor 2019
kg CO2e/kg]],5,0),"")</f>
        <v/>
      </c>
      <c r="N49" s="104" t="str">
        <f>IFERROR(F49*J49*VLOOKUP(H49,Materialtabell[[#All],[Materialnamn]:[Emissionsfaktor 2025
kg CO2e/kg]],6,0),"")</f>
        <v/>
      </c>
      <c r="O49" s="78" t="str">
        <f>IFERROR(VLOOKUP(H49,Materialtabell[[#All],[Materialnamn]:[Kommentar A4]],24,0),"")</f>
        <v/>
      </c>
      <c r="P49" s="94" t="str">
        <f>IFERROR(($F49*$J49*$O49*VLOOKUP($H49,Materialtabell[[#All],[Materialnamn]:[Bränsle 
MJ/ton, km]],25,0)*Materiallista!$AF$5)/1000,"")</f>
        <v/>
      </c>
      <c r="Q49" s="94" t="str">
        <f>IFERROR(($F49*$J49*$O49*VLOOKUP($H49,Materialtabell[[#All],[Materialnamn]:[Bränsle 
MJ/ton, km]],25,0)*Materiallista!$AF$6)/1000,"")</f>
        <v/>
      </c>
      <c r="R49" s="162"/>
      <c r="S49" s="3"/>
      <c r="T49" s="3"/>
    </row>
    <row r="50" spans="1:20" x14ac:dyDescent="0.25">
      <c r="A50" s="3"/>
      <c r="B50" s="185">
        <v>45</v>
      </c>
      <c r="C50" s="170"/>
      <c r="D50" s="103"/>
      <c r="E50" s="103"/>
      <c r="F50" s="78"/>
      <c r="G50" s="103"/>
      <c r="H50" s="102"/>
      <c r="I50" s="105" t="str">
        <f>IFERROR(VLOOKUP(KalkylSlut[[#This Row],[Klimatmaterial]],Materialtabell[[#All],[Materialnamn]:[Materialtyp]],2,0),"")</f>
        <v/>
      </c>
      <c r="J50" s="104" t="str">
        <f>IFERROR(IF(G50="kg",1,IF(G50="ton",1000,IF(G50=RIGHT(VLOOKUP(H50,Materialtabell[[#All],[Materialnamn]:[Enhet]],4,0),LEN(VLOOKUP(H50,Materialtabell[[#All],[Materialnamn]:[Enhet]],4,0))-3),VLOOKUP(H50,Materialtabell[[#All],[Materialnamn]:[Enhet]],3,0),"Enhetsfel"))),"")</f>
        <v/>
      </c>
      <c r="K50" s="105" t="str">
        <f>IFERROR(IF(G50="kg","kg/kg",IF(G50="ton","kg/ton",IF(RIGHT(VLOOKUP(H50,Materialtabell[[#All],[Materialnamn]:[Enhet]],4,0),LEN(VLOOKUP(H50,Materialtabell[[#All],[Materialnamn]:[Enhet]],4,0))-3)=G50,VLOOKUP(H50,Materialtabell[[#All],[Materialnamn]:[Enhet]],4,0),"kg/ton/"&amp;RIGHT(VLOOKUP(H50,Materialtabell[[#All],[Materialnamn]:[Enhet]],4,0),LEN(VLOOKUP(H50,Materialtabell[[#All],[Materialnamn]:[Enhet]],4,0))-3)))),"")</f>
        <v/>
      </c>
      <c r="L50" s="104" t="str">
        <f>IFERROR(KalkylSlut[[#This Row],[Mängd]]*KalkylSlut[[#This Row],[Omräknings-faktor]],"")</f>
        <v/>
      </c>
      <c r="M50" s="104" t="str">
        <f>IFERROR(F50*J50*VLOOKUP(H50,Materialtabell[[#All],[Materialnamn]:[Emissionsfaktor 2019
kg CO2e/kg]],5,0),"")</f>
        <v/>
      </c>
      <c r="N50" s="104" t="str">
        <f>IFERROR(F50*J50*VLOOKUP(H50,Materialtabell[[#All],[Materialnamn]:[Emissionsfaktor 2025
kg CO2e/kg]],6,0),"")</f>
        <v/>
      </c>
      <c r="O50" s="78" t="str">
        <f>IFERROR(VLOOKUP(H50,Materialtabell[[#All],[Materialnamn]:[Kommentar A4]],24,0),"")</f>
        <v/>
      </c>
      <c r="P50" s="94" t="str">
        <f>IFERROR(($F50*$J50*$O50*VLOOKUP($H50,Materialtabell[[#All],[Materialnamn]:[Bränsle 
MJ/ton, km]],25,0)*Materiallista!$AF$5)/1000,"")</f>
        <v/>
      </c>
      <c r="Q50" s="94" t="str">
        <f>IFERROR(($F50*$J50*$O50*VLOOKUP($H50,Materialtabell[[#All],[Materialnamn]:[Bränsle 
MJ/ton, km]],25,0)*Materiallista!$AF$6)/1000,"")</f>
        <v/>
      </c>
      <c r="R50" s="162"/>
      <c r="S50" s="3"/>
      <c r="T50" s="3"/>
    </row>
    <row r="51" spans="1:20" x14ac:dyDescent="0.25">
      <c r="A51" s="3"/>
      <c r="B51" s="185">
        <v>46</v>
      </c>
      <c r="C51" s="170"/>
      <c r="D51" s="103"/>
      <c r="E51" s="103"/>
      <c r="F51" s="78"/>
      <c r="G51" s="103"/>
      <c r="H51" s="102"/>
      <c r="I51" s="105" t="str">
        <f>IFERROR(VLOOKUP(KalkylSlut[[#This Row],[Klimatmaterial]],Materialtabell[[#All],[Materialnamn]:[Materialtyp]],2,0),"")</f>
        <v/>
      </c>
      <c r="J51" s="104" t="str">
        <f>IFERROR(IF(G51="kg",1,IF(G51="ton",1000,IF(G51=RIGHT(VLOOKUP(H51,Materialtabell[[#All],[Materialnamn]:[Enhet]],4,0),LEN(VLOOKUP(H51,Materialtabell[[#All],[Materialnamn]:[Enhet]],4,0))-3),VLOOKUP(H51,Materialtabell[[#All],[Materialnamn]:[Enhet]],3,0),"Enhetsfel"))),"")</f>
        <v/>
      </c>
      <c r="K51" s="105" t="str">
        <f>IFERROR(IF(G51="kg","kg/kg",IF(G51="ton","kg/ton",IF(RIGHT(VLOOKUP(H51,Materialtabell[[#All],[Materialnamn]:[Enhet]],4,0),LEN(VLOOKUP(H51,Materialtabell[[#All],[Materialnamn]:[Enhet]],4,0))-3)=G51,VLOOKUP(H51,Materialtabell[[#All],[Materialnamn]:[Enhet]],4,0),"kg/ton/"&amp;RIGHT(VLOOKUP(H51,Materialtabell[[#All],[Materialnamn]:[Enhet]],4,0),LEN(VLOOKUP(H51,Materialtabell[[#All],[Materialnamn]:[Enhet]],4,0))-3)))),"")</f>
        <v/>
      </c>
      <c r="L51" s="104" t="str">
        <f>IFERROR(KalkylSlut[[#This Row],[Mängd]]*KalkylSlut[[#This Row],[Omräknings-faktor]],"")</f>
        <v/>
      </c>
      <c r="M51" s="104" t="str">
        <f>IFERROR(F51*J51*VLOOKUP(H51,Materialtabell[[#All],[Materialnamn]:[Emissionsfaktor 2019
kg CO2e/kg]],5,0),"")</f>
        <v/>
      </c>
      <c r="N51" s="104" t="str">
        <f>IFERROR(F51*J51*VLOOKUP(H51,Materialtabell[[#All],[Materialnamn]:[Emissionsfaktor 2025
kg CO2e/kg]],6,0),"")</f>
        <v/>
      </c>
      <c r="O51" s="78" t="str">
        <f>IFERROR(VLOOKUP(H51,Materialtabell[[#All],[Materialnamn]:[Kommentar A4]],24,0),"")</f>
        <v/>
      </c>
      <c r="P51" s="94" t="str">
        <f>IFERROR(($F51*$J51*$O51*VLOOKUP($H51,Materialtabell[[#All],[Materialnamn]:[Bränsle 
MJ/ton, km]],25,0)*Materiallista!$AF$5)/1000,"")</f>
        <v/>
      </c>
      <c r="Q51" s="94" t="str">
        <f>IFERROR(($F51*$J51*$O51*VLOOKUP($H51,Materialtabell[[#All],[Materialnamn]:[Bränsle 
MJ/ton, km]],25,0)*Materiallista!$AF$6)/1000,"")</f>
        <v/>
      </c>
      <c r="R51" s="162"/>
      <c r="S51" s="3"/>
      <c r="T51" s="3"/>
    </row>
    <row r="52" spans="1:20" x14ac:dyDescent="0.25">
      <c r="A52" s="3"/>
      <c r="B52" s="185">
        <v>47</v>
      </c>
      <c r="C52" s="170"/>
      <c r="D52" s="103"/>
      <c r="E52" s="103"/>
      <c r="F52" s="78"/>
      <c r="G52" s="103"/>
      <c r="H52" s="102"/>
      <c r="I52" s="105" t="str">
        <f>IFERROR(VLOOKUP(KalkylSlut[[#This Row],[Klimatmaterial]],Materialtabell[[#All],[Materialnamn]:[Materialtyp]],2,0),"")</f>
        <v/>
      </c>
      <c r="J52" s="104" t="str">
        <f>IFERROR(IF(G52="kg",1,IF(G52="ton",1000,IF(G52=RIGHT(VLOOKUP(H52,Materialtabell[[#All],[Materialnamn]:[Enhet]],4,0),LEN(VLOOKUP(H52,Materialtabell[[#All],[Materialnamn]:[Enhet]],4,0))-3),VLOOKUP(H52,Materialtabell[[#All],[Materialnamn]:[Enhet]],3,0),"Enhetsfel"))),"")</f>
        <v/>
      </c>
      <c r="K52" s="105" t="str">
        <f>IFERROR(IF(G52="kg","kg/kg",IF(G52="ton","kg/ton",IF(RIGHT(VLOOKUP(H52,Materialtabell[[#All],[Materialnamn]:[Enhet]],4,0),LEN(VLOOKUP(H52,Materialtabell[[#All],[Materialnamn]:[Enhet]],4,0))-3)=G52,VLOOKUP(H52,Materialtabell[[#All],[Materialnamn]:[Enhet]],4,0),"kg/ton/"&amp;RIGHT(VLOOKUP(H52,Materialtabell[[#All],[Materialnamn]:[Enhet]],4,0),LEN(VLOOKUP(H52,Materialtabell[[#All],[Materialnamn]:[Enhet]],4,0))-3)))),"")</f>
        <v/>
      </c>
      <c r="L52" s="104" t="str">
        <f>IFERROR(KalkylSlut[[#This Row],[Mängd]]*KalkylSlut[[#This Row],[Omräknings-faktor]],"")</f>
        <v/>
      </c>
      <c r="M52" s="104" t="str">
        <f>IFERROR(F52*J52*VLOOKUP(H52,Materialtabell[[#All],[Materialnamn]:[Emissionsfaktor 2019
kg CO2e/kg]],5,0),"")</f>
        <v/>
      </c>
      <c r="N52" s="104" t="str">
        <f>IFERROR(F52*J52*VLOOKUP(H52,Materialtabell[[#All],[Materialnamn]:[Emissionsfaktor 2025
kg CO2e/kg]],6,0),"")</f>
        <v/>
      </c>
      <c r="O52" s="78" t="str">
        <f>IFERROR(VLOOKUP(H52,Materialtabell[[#All],[Materialnamn]:[Kommentar A4]],24,0),"")</f>
        <v/>
      </c>
      <c r="P52" s="94" t="str">
        <f>IFERROR(($F52*$J52*$O52*VLOOKUP($H52,Materialtabell[[#All],[Materialnamn]:[Bränsle 
MJ/ton, km]],25,0)*Materiallista!$AF$5)/1000,"")</f>
        <v/>
      </c>
      <c r="Q52" s="94" t="str">
        <f>IFERROR(($F52*$J52*$O52*VLOOKUP($H52,Materialtabell[[#All],[Materialnamn]:[Bränsle 
MJ/ton, km]],25,0)*Materiallista!$AF$6)/1000,"")</f>
        <v/>
      </c>
      <c r="R52" s="162"/>
      <c r="S52" s="3"/>
      <c r="T52" s="3"/>
    </row>
    <row r="53" spans="1:20" x14ac:dyDescent="0.25">
      <c r="A53" s="3"/>
      <c r="B53" s="185">
        <v>48</v>
      </c>
      <c r="C53" s="170"/>
      <c r="D53" s="103"/>
      <c r="E53" s="103"/>
      <c r="F53" s="78"/>
      <c r="G53" s="103"/>
      <c r="H53" s="102"/>
      <c r="I53" s="105" t="str">
        <f>IFERROR(VLOOKUP(KalkylSlut[[#This Row],[Klimatmaterial]],Materialtabell[[#All],[Materialnamn]:[Materialtyp]],2,0),"")</f>
        <v/>
      </c>
      <c r="J53" s="104" t="str">
        <f>IFERROR(IF(G53="kg",1,IF(G53="ton",1000,IF(G53=RIGHT(VLOOKUP(H53,Materialtabell[[#All],[Materialnamn]:[Enhet]],4,0),LEN(VLOOKUP(H53,Materialtabell[[#All],[Materialnamn]:[Enhet]],4,0))-3),VLOOKUP(H53,Materialtabell[[#All],[Materialnamn]:[Enhet]],3,0),"Enhetsfel"))),"")</f>
        <v/>
      </c>
      <c r="K53" s="105" t="str">
        <f>IFERROR(IF(G53="kg","kg/kg",IF(G53="ton","kg/ton",IF(RIGHT(VLOOKUP(H53,Materialtabell[[#All],[Materialnamn]:[Enhet]],4,0),LEN(VLOOKUP(H53,Materialtabell[[#All],[Materialnamn]:[Enhet]],4,0))-3)=G53,VLOOKUP(H53,Materialtabell[[#All],[Materialnamn]:[Enhet]],4,0),"kg/ton/"&amp;RIGHT(VLOOKUP(H53,Materialtabell[[#All],[Materialnamn]:[Enhet]],4,0),LEN(VLOOKUP(H53,Materialtabell[[#All],[Materialnamn]:[Enhet]],4,0))-3)))),"")</f>
        <v/>
      </c>
      <c r="L53" s="104" t="str">
        <f>IFERROR(KalkylSlut[[#This Row],[Mängd]]*KalkylSlut[[#This Row],[Omräknings-faktor]],"")</f>
        <v/>
      </c>
      <c r="M53" s="104" t="str">
        <f>IFERROR(F53*J53*VLOOKUP(H53,Materialtabell[[#All],[Materialnamn]:[Emissionsfaktor 2019
kg CO2e/kg]],5,0),"")</f>
        <v/>
      </c>
      <c r="N53" s="104" t="str">
        <f>IFERROR(F53*J53*VLOOKUP(H53,Materialtabell[[#All],[Materialnamn]:[Emissionsfaktor 2025
kg CO2e/kg]],6,0),"")</f>
        <v/>
      </c>
      <c r="O53" s="78" t="str">
        <f>IFERROR(VLOOKUP(H53,Materialtabell[[#All],[Materialnamn]:[Kommentar A4]],24,0),"")</f>
        <v/>
      </c>
      <c r="P53" s="94" t="str">
        <f>IFERROR(($F53*$J53*$O53*VLOOKUP($H53,Materialtabell[[#All],[Materialnamn]:[Bränsle 
MJ/ton, km]],25,0)*Materiallista!$AF$5)/1000,"")</f>
        <v/>
      </c>
      <c r="Q53" s="94" t="str">
        <f>IFERROR(($F53*$J53*$O53*VLOOKUP($H53,Materialtabell[[#All],[Materialnamn]:[Bränsle 
MJ/ton, km]],25,0)*Materiallista!$AF$6)/1000,"")</f>
        <v/>
      </c>
      <c r="R53" s="162"/>
      <c r="S53" s="3"/>
      <c r="T53" s="3"/>
    </row>
    <row r="54" spans="1:20" x14ac:dyDescent="0.25">
      <c r="A54" s="3"/>
      <c r="B54" s="185">
        <v>49</v>
      </c>
      <c r="C54" s="170"/>
      <c r="D54" s="103"/>
      <c r="E54" s="103"/>
      <c r="F54" s="78"/>
      <c r="G54" s="103"/>
      <c r="H54" s="102"/>
      <c r="I54" s="105" t="str">
        <f>IFERROR(VLOOKUP(KalkylSlut[[#This Row],[Klimatmaterial]],Materialtabell[[#All],[Materialnamn]:[Materialtyp]],2,0),"")</f>
        <v/>
      </c>
      <c r="J54" s="104" t="str">
        <f>IFERROR(IF(G54="kg",1,IF(G54="ton",1000,IF(G54=RIGHT(VLOOKUP(H54,Materialtabell[[#All],[Materialnamn]:[Enhet]],4,0),LEN(VLOOKUP(H54,Materialtabell[[#All],[Materialnamn]:[Enhet]],4,0))-3),VLOOKUP(H54,Materialtabell[[#All],[Materialnamn]:[Enhet]],3,0),"Enhetsfel"))),"")</f>
        <v/>
      </c>
      <c r="K54" s="105" t="str">
        <f>IFERROR(IF(G54="kg","kg/kg",IF(G54="ton","kg/ton",IF(RIGHT(VLOOKUP(H54,Materialtabell[[#All],[Materialnamn]:[Enhet]],4,0),LEN(VLOOKUP(H54,Materialtabell[[#All],[Materialnamn]:[Enhet]],4,0))-3)=G54,VLOOKUP(H54,Materialtabell[[#All],[Materialnamn]:[Enhet]],4,0),"kg/ton/"&amp;RIGHT(VLOOKUP(H54,Materialtabell[[#All],[Materialnamn]:[Enhet]],4,0),LEN(VLOOKUP(H54,Materialtabell[[#All],[Materialnamn]:[Enhet]],4,0))-3)))),"")</f>
        <v/>
      </c>
      <c r="L54" s="104" t="str">
        <f>IFERROR(KalkylSlut[[#This Row],[Mängd]]*KalkylSlut[[#This Row],[Omräknings-faktor]],"")</f>
        <v/>
      </c>
      <c r="M54" s="104" t="str">
        <f>IFERROR(F54*J54*VLOOKUP(H54,Materialtabell[[#All],[Materialnamn]:[Emissionsfaktor 2019
kg CO2e/kg]],5,0),"")</f>
        <v/>
      </c>
      <c r="N54" s="104" t="str">
        <f>IFERROR(F54*J54*VLOOKUP(H54,Materialtabell[[#All],[Materialnamn]:[Emissionsfaktor 2025
kg CO2e/kg]],6,0),"")</f>
        <v/>
      </c>
      <c r="O54" s="78" t="str">
        <f>IFERROR(VLOOKUP(H54,Materialtabell[[#All],[Materialnamn]:[Kommentar A4]],24,0),"")</f>
        <v/>
      </c>
      <c r="P54" s="94" t="str">
        <f>IFERROR(($F54*$J54*$O54*VLOOKUP($H54,Materialtabell[[#All],[Materialnamn]:[Bränsle 
MJ/ton, km]],25,0)*Materiallista!$AF$5)/1000,"")</f>
        <v/>
      </c>
      <c r="Q54" s="94" t="str">
        <f>IFERROR(($F54*$J54*$O54*VLOOKUP($H54,Materialtabell[[#All],[Materialnamn]:[Bränsle 
MJ/ton, km]],25,0)*Materiallista!$AF$6)/1000,"")</f>
        <v/>
      </c>
      <c r="R54" s="162"/>
      <c r="S54" s="3"/>
      <c r="T54" s="3"/>
    </row>
    <row r="55" spans="1:20" x14ac:dyDescent="0.25">
      <c r="A55" s="3"/>
      <c r="B55" s="185">
        <v>50</v>
      </c>
      <c r="C55" s="170"/>
      <c r="D55" s="103"/>
      <c r="E55" s="103"/>
      <c r="F55" s="78"/>
      <c r="G55" s="103"/>
      <c r="H55" s="102"/>
      <c r="I55" s="105" t="str">
        <f>IFERROR(VLOOKUP(KalkylSlut[[#This Row],[Klimatmaterial]],Materialtabell[[#All],[Materialnamn]:[Materialtyp]],2,0),"")</f>
        <v/>
      </c>
      <c r="J55" s="104" t="str">
        <f>IFERROR(IF(G55="kg",1,IF(G55="ton",1000,IF(G55=RIGHT(VLOOKUP(H55,Materialtabell[[#All],[Materialnamn]:[Enhet]],4,0),LEN(VLOOKUP(H55,Materialtabell[[#All],[Materialnamn]:[Enhet]],4,0))-3),VLOOKUP(H55,Materialtabell[[#All],[Materialnamn]:[Enhet]],3,0),"Enhetsfel"))),"")</f>
        <v/>
      </c>
      <c r="K55" s="105" t="str">
        <f>IFERROR(IF(G55="kg","kg/kg",IF(G55="ton","kg/ton",IF(RIGHT(VLOOKUP(H55,Materialtabell[[#All],[Materialnamn]:[Enhet]],4,0),LEN(VLOOKUP(H55,Materialtabell[[#All],[Materialnamn]:[Enhet]],4,0))-3)=G55,VLOOKUP(H55,Materialtabell[[#All],[Materialnamn]:[Enhet]],4,0),"kg/ton/"&amp;RIGHT(VLOOKUP(H55,Materialtabell[[#All],[Materialnamn]:[Enhet]],4,0),LEN(VLOOKUP(H55,Materialtabell[[#All],[Materialnamn]:[Enhet]],4,0))-3)))),"")</f>
        <v/>
      </c>
      <c r="L55" s="104" t="str">
        <f>IFERROR(KalkylSlut[[#This Row],[Mängd]]*KalkylSlut[[#This Row],[Omräknings-faktor]],"")</f>
        <v/>
      </c>
      <c r="M55" s="104" t="str">
        <f>IFERROR(F55*J55*VLOOKUP(H55,Materialtabell[[#All],[Materialnamn]:[Emissionsfaktor 2019
kg CO2e/kg]],5,0),"")</f>
        <v/>
      </c>
      <c r="N55" s="104" t="str">
        <f>IFERROR(F55*J55*VLOOKUP(H55,Materialtabell[[#All],[Materialnamn]:[Emissionsfaktor 2025
kg CO2e/kg]],6,0),"")</f>
        <v/>
      </c>
      <c r="O55" s="78" t="str">
        <f>IFERROR(VLOOKUP(H55,Materialtabell[[#All],[Materialnamn]:[Kommentar A4]],24,0),"")</f>
        <v/>
      </c>
      <c r="P55" s="94" t="str">
        <f>IFERROR(($F55*$J55*$O55*VLOOKUP($H55,Materialtabell[[#All],[Materialnamn]:[Bränsle 
MJ/ton, km]],25,0)*Materiallista!$AF$5)/1000,"")</f>
        <v/>
      </c>
      <c r="Q55" s="94" t="str">
        <f>IFERROR(($F55*$J55*$O55*VLOOKUP($H55,Materialtabell[[#All],[Materialnamn]:[Bränsle 
MJ/ton, km]],25,0)*Materiallista!$AF$6)/1000,"")</f>
        <v/>
      </c>
      <c r="R55" s="162"/>
      <c r="S55" s="3"/>
      <c r="T55" s="3"/>
    </row>
    <row r="56" spans="1:20" x14ac:dyDescent="0.25">
      <c r="A56" s="3"/>
      <c r="B56" s="185">
        <v>51</v>
      </c>
      <c r="C56" s="170"/>
      <c r="D56" s="103"/>
      <c r="E56" s="103"/>
      <c r="F56" s="78"/>
      <c r="G56" s="103"/>
      <c r="H56" s="102"/>
      <c r="I56" s="105" t="str">
        <f>IFERROR(VLOOKUP(KalkylSlut[[#This Row],[Klimatmaterial]],Materialtabell[[#All],[Materialnamn]:[Materialtyp]],2,0),"")</f>
        <v/>
      </c>
      <c r="J56" s="104" t="str">
        <f>IFERROR(IF(G56="kg",1,IF(G56="ton",1000,IF(G56=RIGHT(VLOOKUP(H56,Materialtabell[[#All],[Materialnamn]:[Enhet]],4,0),LEN(VLOOKUP(H56,Materialtabell[[#All],[Materialnamn]:[Enhet]],4,0))-3),VLOOKUP(H56,Materialtabell[[#All],[Materialnamn]:[Enhet]],3,0),"Enhetsfel"))),"")</f>
        <v/>
      </c>
      <c r="K56" s="105" t="str">
        <f>IFERROR(IF(G56="kg","kg/kg",IF(G56="ton","kg/ton",IF(RIGHT(VLOOKUP(H56,Materialtabell[[#All],[Materialnamn]:[Enhet]],4,0),LEN(VLOOKUP(H56,Materialtabell[[#All],[Materialnamn]:[Enhet]],4,0))-3)=G56,VLOOKUP(H56,Materialtabell[[#All],[Materialnamn]:[Enhet]],4,0),"kg/ton/"&amp;RIGHT(VLOOKUP(H56,Materialtabell[[#All],[Materialnamn]:[Enhet]],4,0),LEN(VLOOKUP(H56,Materialtabell[[#All],[Materialnamn]:[Enhet]],4,0))-3)))),"")</f>
        <v/>
      </c>
      <c r="L56" s="104" t="str">
        <f>IFERROR(KalkylSlut[[#This Row],[Mängd]]*KalkylSlut[[#This Row],[Omräknings-faktor]],"")</f>
        <v/>
      </c>
      <c r="M56" s="104" t="str">
        <f>IFERROR(F56*J56*VLOOKUP(H56,Materialtabell[[#All],[Materialnamn]:[Emissionsfaktor 2019
kg CO2e/kg]],5,0),"")</f>
        <v/>
      </c>
      <c r="N56" s="104" t="str">
        <f>IFERROR(F56*J56*VLOOKUP(H56,Materialtabell[[#All],[Materialnamn]:[Emissionsfaktor 2025
kg CO2e/kg]],6,0),"")</f>
        <v/>
      </c>
      <c r="O56" s="78" t="str">
        <f>IFERROR(VLOOKUP(H56,Materialtabell[[#All],[Materialnamn]:[Kommentar A4]],24,0),"")</f>
        <v/>
      </c>
      <c r="P56" s="94" t="str">
        <f>IFERROR(($F56*$J56*$O56*VLOOKUP($H56,Materialtabell[[#All],[Materialnamn]:[Bränsle 
MJ/ton, km]],25,0)*Materiallista!$AF$5)/1000,"")</f>
        <v/>
      </c>
      <c r="Q56" s="94" t="str">
        <f>IFERROR(($F56*$J56*$O56*VLOOKUP($H56,Materialtabell[[#All],[Materialnamn]:[Bränsle 
MJ/ton, km]],25,0)*Materiallista!$AF$6)/1000,"")</f>
        <v/>
      </c>
      <c r="R56" s="162"/>
      <c r="S56" s="3"/>
      <c r="T56" s="3"/>
    </row>
    <row r="57" spans="1:20" x14ac:dyDescent="0.25">
      <c r="A57" s="3"/>
      <c r="B57" s="185">
        <v>52</v>
      </c>
      <c r="C57" s="170"/>
      <c r="D57" s="103"/>
      <c r="E57" s="103"/>
      <c r="F57" s="78"/>
      <c r="G57" s="103"/>
      <c r="H57" s="102"/>
      <c r="I57" s="105" t="str">
        <f>IFERROR(VLOOKUP(KalkylSlut[[#This Row],[Klimatmaterial]],Materialtabell[[#All],[Materialnamn]:[Materialtyp]],2,0),"")</f>
        <v/>
      </c>
      <c r="J57" s="104" t="str">
        <f>IFERROR(IF(G57="kg",1,IF(G57="ton",1000,IF(G57=RIGHT(VLOOKUP(H57,Materialtabell[[#All],[Materialnamn]:[Enhet]],4,0),LEN(VLOOKUP(H57,Materialtabell[[#All],[Materialnamn]:[Enhet]],4,0))-3),VLOOKUP(H57,Materialtabell[[#All],[Materialnamn]:[Enhet]],3,0),"Enhetsfel"))),"")</f>
        <v/>
      </c>
      <c r="K57" s="105" t="str">
        <f>IFERROR(IF(G57="kg","kg/kg",IF(G57="ton","kg/ton",IF(RIGHT(VLOOKUP(H57,Materialtabell[[#All],[Materialnamn]:[Enhet]],4,0),LEN(VLOOKUP(H57,Materialtabell[[#All],[Materialnamn]:[Enhet]],4,0))-3)=G57,VLOOKUP(H57,Materialtabell[[#All],[Materialnamn]:[Enhet]],4,0),"kg/ton/"&amp;RIGHT(VLOOKUP(H57,Materialtabell[[#All],[Materialnamn]:[Enhet]],4,0),LEN(VLOOKUP(H57,Materialtabell[[#All],[Materialnamn]:[Enhet]],4,0))-3)))),"")</f>
        <v/>
      </c>
      <c r="L57" s="104" t="str">
        <f>IFERROR(KalkylSlut[[#This Row],[Mängd]]*KalkylSlut[[#This Row],[Omräknings-faktor]],"")</f>
        <v/>
      </c>
      <c r="M57" s="104" t="str">
        <f>IFERROR(F57*J57*VLOOKUP(H57,Materialtabell[[#All],[Materialnamn]:[Emissionsfaktor 2019
kg CO2e/kg]],5,0),"")</f>
        <v/>
      </c>
      <c r="N57" s="104" t="str">
        <f>IFERROR(F57*J57*VLOOKUP(H57,Materialtabell[[#All],[Materialnamn]:[Emissionsfaktor 2025
kg CO2e/kg]],6,0),"")</f>
        <v/>
      </c>
      <c r="O57" s="78" t="str">
        <f>IFERROR(VLOOKUP(H57,Materialtabell[[#All],[Materialnamn]:[Kommentar A4]],24,0),"")</f>
        <v/>
      </c>
      <c r="P57" s="94" t="str">
        <f>IFERROR(($F57*$J57*$O57*VLOOKUP($H57,Materialtabell[[#All],[Materialnamn]:[Bränsle 
MJ/ton, km]],25,0)*Materiallista!$AF$5)/1000,"")</f>
        <v/>
      </c>
      <c r="Q57" s="94" t="str">
        <f>IFERROR(($F57*$J57*$O57*VLOOKUP($H57,Materialtabell[[#All],[Materialnamn]:[Bränsle 
MJ/ton, km]],25,0)*Materiallista!$AF$6)/1000,"")</f>
        <v/>
      </c>
      <c r="R57" s="162"/>
      <c r="S57" s="3"/>
      <c r="T57" s="3"/>
    </row>
    <row r="58" spans="1:20" x14ac:dyDescent="0.25">
      <c r="A58" s="3"/>
      <c r="B58" s="185">
        <v>53</v>
      </c>
      <c r="C58" s="170"/>
      <c r="D58" s="103"/>
      <c r="E58" s="103"/>
      <c r="F58" s="78"/>
      <c r="G58" s="103"/>
      <c r="H58" s="102"/>
      <c r="I58" s="105" t="str">
        <f>IFERROR(VLOOKUP(KalkylSlut[[#This Row],[Klimatmaterial]],Materialtabell[[#All],[Materialnamn]:[Materialtyp]],2,0),"")</f>
        <v/>
      </c>
      <c r="J58" s="104" t="str">
        <f>IFERROR(IF(G58="kg",1,IF(G58="ton",1000,IF(G58=RIGHT(VLOOKUP(H58,Materialtabell[[#All],[Materialnamn]:[Enhet]],4,0),LEN(VLOOKUP(H58,Materialtabell[[#All],[Materialnamn]:[Enhet]],4,0))-3),VLOOKUP(H58,Materialtabell[[#All],[Materialnamn]:[Enhet]],3,0),"Enhetsfel"))),"")</f>
        <v/>
      </c>
      <c r="K58" s="105" t="str">
        <f>IFERROR(IF(G58="kg","kg/kg",IF(G58="ton","kg/ton",IF(RIGHT(VLOOKUP(H58,Materialtabell[[#All],[Materialnamn]:[Enhet]],4,0),LEN(VLOOKUP(H58,Materialtabell[[#All],[Materialnamn]:[Enhet]],4,0))-3)=G58,VLOOKUP(H58,Materialtabell[[#All],[Materialnamn]:[Enhet]],4,0),"kg/ton/"&amp;RIGHT(VLOOKUP(H58,Materialtabell[[#All],[Materialnamn]:[Enhet]],4,0),LEN(VLOOKUP(H58,Materialtabell[[#All],[Materialnamn]:[Enhet]],4,0))-3)))),"")</f>
        <v/>
      </c>
      <c r="L58" s="104" t="str">
        <f>IFERROR(KalkylSlut[[#This Row],[Mängd]]*KalkylSlut[[#This Row],[Omräknings-faktor]],"")</f>
        <v/>
      </c>
      <c r="M58" s="104" t="str">
        <f>IFERROR(F58*J58*VLOOKUP(H58,Materialtabell[[#All],[Materialnamn]:[Emissionsfaktor 2019
kg CO2e/kg]],5,0),"")</f>
        <v/>
      </c>
      <c r="N58" s="104" t="str">
        <f>IFERROR(F58*J58*VLOOKUP(H58,Materialtabell[[#All],[Materialnamn]:[Emissionsfaktor 2025
kg CO2e/kg]],6,0),"")</f>
        <v/>
      </c>
      <c r="O58" s="78" t="str">
        <f>IFERROR(VLOOKUP(H58,Materialtabell[[#All],[Materialnamn]:[Kommentar A4]],24,0),"")</f>
        <v/>
      </c>
      <c r="P58" s="94" t="str">
        <f>IFERROR(($F58*$J58*$O58*VLOOKUP($H58,Materialtabell[[#All],[Materialnamn]:[Bränsle 
MJ/ton, km]],25,0)*Materiallista!$AF$5)/1000,"")</f>
        <v/>
      </c>
      <c r="Q58" s="94" t="str">
        <f>IFERROR(($F58*$J58*$O58*VLOOKUP($H58,Materialtabell[[#All],[Materialnamn]:[Bränsle 
MJ/ton, km]],25,0)*Materiallista!$AF$6)/1000,"")</f>
        <v/>
      </c>
      <c r="R58" s="162"/>
      <c r="S58" s="3"/>
      <c r="T58" s="3"/>
    </row>
    <row r="59" spans="1:20" x14ac:dyDescent="0.25">
      <c r="A59" s="3"/>
      <c r="B59" s="185">
        <v>54</v>
      </c>
      <c r="C59" s="170"/>
      <c r="D59" s="103"/>
      <c r="E59" s="103"/>
      <c r="F59" s="78"/>
      <c r="G59" s="103"/>
      <c r="H59" s="102"/>
      <c r="I59" s="105" t="str">
        <f>IFERROR(VLOOKUP(KalkylSlut[[#This Row],[Klimatmaterial]],Materialtabell[[#All],[Materialnamn]:[Materialtyp]],2,0),"")</f>
        <v/>
      </c>
      <c r="J59" s="104" t="str">
        <f>IFERROR(IF(G59="kg",1,IF(G59="ton",1000,IF(G59=RIGHT(VLOOKUP(H59,Materialtabell[[#All],[Materialnamn]:[Enhet]],4,0),LEN(VLOOKUP(H59,Materialtabell[[#All],[Materialnamn]:[Enhet]],4,0))-3),VLOOKUP(H59,Materialtabell[[#All],[Materialnamn]:[Enhet]],3,0),"Enhetsfel"))),"")</f>
        <v/>
      </c>
      <c r="K59" s="105" t="str">
        <f>IFERROR(IF(G59="kg","kg/kg",IF(G59="ton","kg/ton",IF(RIGHT(VLOOKUP(H59,Materialtabell[[#All],[Materialnamn]:[Enhet]],4,0),LEN(VLOOKUP(H59,Materialtabell[[#All],[Materialnamn]:[Enhet]],4,0))-3)=G59,VLOOKUP(H59,Materialtabell[[#All],[Materialnamn]:[Enhet]],4,0),"kg/ton/"&amp;RIGHT(VLOOKUP(H59,Materialtabell[[#All],[Materialnamn]:[Enhet]],4,0),LEN(VLOOKUP(H59,Materialtabell[[#All],[Materialnamn]:[Enhet]],4,0))-3)))),"")</f>
        <v/>
      </c>
      <c r="L59" s="104" t="str">
        <f>IFERROR(KalkylSlut[[#This Row],[Mängd]]*KalkylSlut[[#This Row],[Omräknings-faktor]],"")</f>
        <v/>
      </c>
      <c r="M59" s="104" t="str">
        <f>IFERROR(F59*J59*VLOOKUP(H59,Materialtabell[[#All],[Materialnamn]:[Emissionsfaktor 2019
kg CO2e/kg]],5,0),"")</f>
        <v/>
      </c>
      <c r="N59" s="104" t="str">
        <f>IFERROR(F59*J59*VLOOKUP(H59,Materialtabell[[#All],[Materialnamn]:[Emissionsfaktor 2025
kg CO2e/kg]],6,0),"")</f>
        <v/>
      </c>
      <c r="O59" s="78" t="str">
        <f>IFERROR(VLOOKUP(H59,Materialtabell[[#All],[Materialnamn]:[Kommentar A4]],24,0),"")</f>
        <v/>
      </c>
      <c r="P59" s="94" t="str">
        <f>IFERROR(($F59*$J59*$O59*VLOOKUP($H59,Materialtabell[[#All],[Materialnamn]:[Bränsle 
MJ/ton, km]],25,0)*Materiallista!$AF$5)/1000,"")</f>
        <v/>
      </c>
      <c r="Q59" s="94" t="str">
        <f>IFERROR(($F59*$J59*$O59*VLOOKUP($H59,Materialtabell[[#All],[Materialnamn]:[Bränsle 
MJ/ton, km]],25,0)*Materiallista!$AF$6)/1000,"")</f>
        <v/>
      </c>
      <c r="R59" s="162"/>
      <c r="S59" s="3"/>
      <c r="T59" s="3"/>
    </row>
    <row r="60" spans="1:20" x14ac:dyDescent="0.25">
      <c r="A60" s="3"/>
      <c r="B60" s="185">
        <v>55</v>
      </c>
      <c r="C60" s="170"/>
      <c r="D60" s="103"/>
      <c r="E60" s="103"/>
      <c r="F60" s="78"/>
      <c r="G60" s="103"/>
      <c r="H60" s="102"/>
      <c r="I60" s="105" t="str">
        <f>IFERROR(VLOOKUP(KalkylSlut[[#This Row],[Klimatmaterial]],Materialtabell[[#All],[Materialnamn]:[Materialtyp]],2,0),"")</f>
        <v/>
      </c>
      <c r="J60" s="104" t="str">
        <f>IFERROR(IF(G60="kg",1,IF(G60="ton",1000,IF(G60=RIGHT(VLOOKUP(H60,Materialtabell[[#All],[Materialnamn]:[Enhet]],4,0),LEN(VLOOKUP(H60,Materialtabell[[#All],[Materialnamn]:[Enhet]],4,0))-3),VLOOKUP(H60,Materialtabell[[#All],[Materialnamn]:[Enhet]],3,0),"Enhetsfel"))),"")</f>
        <v/>
      </c>
      <c r="K60" s="105" t="str">
        <f>IFERROR(IF(G60="kg","kg/kg",IF(G60="ton","kg/ton",IF(RIGHT(VLOOKUP(H60,Materialtabell[[#All],[Materialnamn]:[Enhet]],4,0),LEN(VLOOKUP(H60,Materialtabell[[#All],[Materialnamn]:[Enhet]],4,0))-3)=G60,VLOOKUP(H60,Materialtabell[[#All],[Materialnamn]:[Enhet]],4,0),"kg/ton/"&amp;RIGHT(VLOOKUP(H60,Materialtabell[[#All],[Materialnamn]:[Enhet]],4,0),LEN(VLOOKUP(H60,Materialtabell[[#All],[Materialnamn]:[Enhet]],4,0))-3)))),"")</f>
        <v/>
      </c>
      <c r="L60" s="104" t="str">
        <f>IFERROR(KalkylSlut[[#This Row],[Mängd]]*KalkylSlut[[#This Row],[Omräknings-faktor]],"")</f>
        <v/>
      </c>
      <c r="M60" s="104" t="str">
        <f>IFERROR(F60*J60*VLOOKUP(H60,Materialtabell[[#All],[Materialnamn]:[Emissionsfaktor 2019
kg CO2e/kg]],5,0),"")</f>
        <v/>
      </c>
      <c r="N60" s="104" t="str">
        <f>IFERROR(F60*J60*VLOOKUP(H60,Materialtabell[[#All],[Materialnamn]:[Emissionsfaktor 2025
kg CO2e/kg]],6,0),"")</f>
        <v/>
      </c>
      <c r="O60" s="78" t="str">
        <f>IFERROR(VLOOKUP(H60,Materialtabell[[#All],[Materialnamn]:[Kommentar A4]],24,0),"")</f>
        <v/>
      </c>
      <c r="P60" s="94" t="str">
        <f>IFERROR(($F60*$J60*$O60*VLOOKUP($H60,Materialtabell[[#All],[Materialnamn]:[Bränsle 
MJ/ton, km]],25,0)*Materiallista!$AF$5)/1000,"")</f>
        <v/>
      </c>
      <c r="Q60" s="94" t="str">
        <f>IFERROR(($F60*$J60*$O60*VLOOKUP($H60,Materialtabell[[#All],[Materialnamn]:[Bränsle 
MJ/ton, km]],25,0)*Materiallista!$AF$6)/1000,"")</f>
        <v/>
      </c>
      <c r="R60" s="162"/>
      <c r="S60" s="3"/>
      <c r="T60" s="3"/>
    </row>
    <row r="61" spans="1:20" x14ac:dyDescent="0.25">
      <c r="A61" s="3"/>
      <c r="B61" s="185">
        <v>56</v>
      </c>
      <c r="C61" s="170"/>
      <c r="D61" s="103"/>
      <c r="E61" s="103"/>
      <c r="F61" s="78"/>
      <c r="G61" s="103"/>
      <c r="H61" s="102"/>
      <c r="I61" s="105" t="str">
        <f>IFERROR(VLOOKUP(KalkylSlut[[#This Row],[Klimatmaterial]],Materialtabell[[#All],[Materialnamn]:[Materialtyp]],2,0),"")</f>
        <v/>
      </c>
      <c r="J61" s="104" t="str">
        <f>IFERROR(IF(G61="kg",1,IF(G61="ton",1000,IF(G61=RIGHT(VLOOKUP(H61,Materialtabell[[#All],[Materialnamn]:[Enhet]],4,0),LEN(VLOOKUP(H61,Materialtabell[[#All],[Materialnamn]:[Enhet]],4,0))-3),VLOOKUP(H61,Materialtabell[[#All],[Materialnamn]:[Enhet]],3,0),"Enhetsfel"))),"")</f>
        <v/>
      </c>
      <c r="K61" s="105" t="str">
        <f>IFERROR(IF(G61="kg","kg/kg",IF(G61="ton","kg/ton",IF(RIGHT(VLOOKUP(H61,Materialtabell[[#All],[Materialnamn]:[Enhet]],4,0),LEN(VLOOKUP(H61,Materialtabell[[#All],[Materialnamn]:[Enhet]],4,0))-3)=G61,VLOOKUP(H61,Materialtabell[[#All],[Materialnamn]:[Enhet]],4,0),"kg/ton/"&amp;RIGHT(VLOOKUP(H61,Materialtabell[[#All],[Materialnamn]:[Enhet]],4,0),LEN(VLOOKUP(H61,Materialtabell[[#All],[Materialnamn]:[Enhet]],4,0))-3)))),"")</f>
        <v/>
      </c>
      <c r="L61" s="104" t="str">
        <f>IFERROR(KalkylSlut[[#This Row],[Mängd]]*KalkylSlut[[#This Row],[Omräknings-faktor]],"")</f>
        <v/>
      </c>
      <c r="M61" s="104" t="str">
        <f>IFERROR(F61*J61*VLOOKUP(H61,Materialtabell[[#All],[Materialnamn]:[Emissionsfaktor 2019
kg CO2e/kg]],5,0),"")</f>
        <v/>
      </c>
      <c r="N61" s="104" t="str">
        <f>IFERROR(F61*J61*VLOOKUP(H61,Materialtabell[[#All],[Materialnamn]:[Emissionsfaktor 2025
kg CO2e/kg]],6,0),"")</f>
        <v/>
      </c>
      <c r="O61" s="78" t="str">
        <f>IFERROR(VLOOKUP(H61,Materialtabell[[#All],[Materialnamn]:[Kommentar A4]],24,0),"")</f>
        <v/>
      </c>
      <c r="P61" s="94" t="str">
        <f>IFERROR(($F61*$J61*$O61*VLOOKUP($H61,Materialtabell[[#All],[Materialnamn]:[Bränsle 
MJ/ton, km]],25,0)*Materiallista!$AF$5)/1000,"")</f>
        <v/>
      </c>
      <c r="Q61" s="94" t="str">
        <f>IFERROR(($F61*$J61*$O61*VLOOKUP($H61,Materialtabell[[#All],[Materialnamn]:[Bränsle 
MJ/ton, km]],25,0)*Materiallista!$AF$6)/1000,"")</f>
        <v/>
      </c>
      <c r="R61" s="162"/>
      <c r="S61" s="3"/>
      <c r="T61" s="3"/>
    </row>
    <row r="62" spans="1:20" x14ac:dyDescent="0.25">
      <c r="A62" s="3"/>
      <c r="B62" s="185">
        <v>57</v>
      </c>
      <c r="C62" s="170"/>
      <c r="D62" s="103"/>
      <c r="E62" s="103"/>
      <c r="F62" s="78"/>
      <c r="G62" s="103"/>
      <c r="H62" s="102"/>
      <c r="I62" s="105" t="str">
        <f>IFERROR(VLOOKUP(KalkylSlut[[#This Row],[Klimatmaterial]],Materialtabell[[#All],[Materialnamn]:[Materialtyp]],2,0),"")</f>
        <v/>
      </c>
      <c r="J62" s="104" t="str">
        <f>IFERROR(IF(G62="kg",1,IF(G62="ton",1000,IF(G62=RIGHT(VLOOKUP(H62,Materialtabell[[#All],[Materialnamn]:[Enhet]],4,0),LEN(VLOOKUP(H62,Materialtabell[[#All],[Materialnamn]:[Enhet]],4,0))-3),VLOOKUP(H62,Materialtabell[[#All],[Materialnamn]:[Enhet]],3,0),"Enhetsfel"))),"")</f>
        <v/>
      </c>
      <c r="K62" s="105" t="str">
        <f>IFERROR(IF(G62="kg","kg/kg",IF(G62="ton","kg/ton",IF(RIGHT(VLOOKUP(H62,Materialtabell[[#All],[Materialnamn]:[Enhet]],4,0),LEN(VLOOKUP(H62,Materialtabell[[#All],[Materialnamn]:[Enhet]],4,0))-3)=G62,VLOOKUP(H62,Materialtabell[[#All],[Materialnamn]:[Enhet]],4,0),"kg/ton/"&amp;RIGHT(VLOOKUP(H62,Materialtabell[[#All],[Materialnamn]:[Enhet]],4,0),LEN(VLOOKUP(H62,Materialtabell[[#All],[Materialnamn]:[Enhet]],4,0))-3)))),"")</f>
        <v/>
      </c>
      <c r="L62" s="104" t="str">
        <f>IFERROR(KalkylSlut[[#This Row],[Mängd]]*KalkylSlut[[#This Row],[Omräknings-faktor]],"")</f>
        <v/>
      </c>
      <c r="M62" s="104" t="str">
        <f>IFERROR(F62*J62*VLOOKUP(H62,Materialtabell[[#All],[Materialnamn]:[Emissionsfaktor 2019
kg CO2e/kg]],5,0),"")</f>
        <v/>
      </c>
      <c r="N62" s="104" t="str">
        <f>IFERROR(F62*J62*VLOOKUP(H62,Materialtabell[[#All],[Materialnamn]:[Emissionsfaktor 2025
kg CO2e/kg]],6,0),"")</f>
        <v/>
      </c>
      <c r="O62" s="78" t="str">
        <f>IFERROR(VLOOKUP(H62,Materialtabell[[#All],[Materialnamn]:[Kommentar A4]],24,0),"")</f>
        <v/>
      </c>
      <c r="P62" s="94" t="str">
        <f>IFERROR(($F62*$J62*$O62*VLOOKUP($H62,Materialtabell[[#All],[Materialnamn]:[Bränsle 
MJ/ton, km]],25,0)*Materiallista!$AF$5)/1000,"")</f>
        <v/>
      </c>
      <c r="Q62" s="94" t="str">
        <f>IFERROR(($F62*$J62*$O62*VLOOKUP($H62,Materialtabell[[#All],[Materialnamn]:[Bränsle 
MJ/ton, km]],25,0)*Materiallista!$AF$6)/1000,"")</f>
        <v/>
      </c>
      <c r="R62" s="162"/>
      <c r="S62" s="3"/>
      <c r="T62" s="3"/>
    </row>
    <row r="63" spans="1:20" x14ac:dyDescent="0.25">
      <c r="A63" s="3"/>
      <c r="B63" s="185">
        <v>58</v>
      </c>
      <c r="C63" s="170"/>
      <c r="D63" s="103"/>
      <c r="E63" s="103"/>
      <c r="F63" s="78"/>
      <c r="G63" s="103"/>
      <c r="H63" s="102"/>
      <c r="I63" s="105" t="str">
        <f>IFERROR(VLOOKUP(KalkylSlut[[#This Row],[Klimatmaterial]],Materialtabell[[#All],[Materialnamn]:[Materialtyp]],2,0),"")</f>
        <v/>
      </c>
      <c r="J63" s="104" t="str">
        <f>IFERROR(IF(G63="kg",1,IF(G63="ton",1000,IF(G63=RIGHT(VLOOKUP(H63,Materialtabell[[#All],[Materialnamn]:[Enhet]],4,0),LEN(VLOOKUP(H63,Materialtabell[[#All],[Materialnamn]:[Enhet]],4,0))-3),VLOOKUP(H63,Materialtabell[[#All],[Materialnamn]:[Enhet]],3,0),"Enhetsfel"))),"")</f>
        <v/>
      </c>
      <c r="K63" s="105" t="str">
        <f>IFERROR(IF(G63="kg","kg/kg",IF(G63="ton","kg/ton",IF(RIGHT(VLOOKUP(H63,Materialtabell[[#All],[Materialnamn]:[Enhet]],4,0),LEN(VLOOKUP(H63,Materialtabell[[#All],[Materialnamn]:[Enhet]],4,0))-3)=G63,VLOOKUP(H63,Materialtabell[[#All],[Materialnamn]:[Enhet]],4,0),"kg/ton/"&amp;RIGHT(VLOOKUP(H63,Materialtabell[[#All],[Materialnamn]:[Enhet]],4,0),LEN(VLOOKUP(H63,Materialtabell[[#All],[Materialnamn]:[Enhet]],4,0))-3)))),"")</f>
        <v/>
      </c>
      <c r="L63" s="104" t="str">
        <f>IFERROR(KalkylSlut[[#This Row],[Mängd]]*KalkylSlut[[#This Row],[Omräknings-faktor]],"")</f>
        <v/>
      </c>
      <c r="M63" s="104" t="str">
        <f>IFERROR(F63*J63*VLOOKUP(H63,Materialtabell[[#All],[Materialnamn]:[Emissionsfaktor 2019
kg CO2e/kg]],5,0),"")</f>
        <v/>
      </c>
      <c r="N63" s="104" t="str">
        <f>IFERROR(F63*J63*VLOOKUP(H63,Materialtabell[[#All],[Materialnamn]:[Emissionsfaktor 2025
kg CO2e/kg]],6,0),"")</f>
        <v/>
      </c>
      <c r="O63" s="78" t="str">
        <f>IFERROR(VLOOKUP(H63,Materialtabell[[#All],[Materialnamn]:[Kommentar A4]],24,0),"")</f>
        <v/>
      </c>
      <c r="P63" s="94" t="str">
        <f>IFERROR(($F63*$J63*$O63*VLOOKUP($H63,Materialtabell[[#All],[Materialnamn]:[Bränsle 
MJ/ton, km]],25,0)*Materiallista!$AF$5)/1000,"")</f>
        <v/>
      </c>
      <c r="Q63" s="94" t="str">
        <f>IFERROR(($F63*$J63*$O63*VLOOKUP($H63,Materialtabell[[#All],[Materialnamn]:[Bränsle 
MJ/ton, km]],25,0)*Materiallista!$AF$6)/1000,"")</f>
        <v/>
      </c>
      <c r="R63" s="162"/>
      <c r="S63" s="3"/>
      <c r="T63" s="3"/>
    </row>
    <row r="64" spans="1:20" x14ac:dyDescent="0.25">
      <c r="A64" s="3"/>
      <c r="B64" s="185">
        <v>59</v>
      </c>
      <c r="C64" s="170"/>
      <c r="D64" s="103"/>
      <c r="E64" s="103"/>
      <c r="F64" s="78"/>
      <c r="G64" s="103"/>
      <c r="H64" s="102"/>
      <c r="I64" s="105" t="str">
        <f>IFERROR(VLOOKUP(KalkylSlut[[#This Row],[Klimatmaterial]],Materialtabell[[#All],[Materialnamn]:[Materialtyp]],2,0),"")</f>
        <v/>
      </c>
      <c r="J64" s="104" t="str">
        <f>IFERROR(IF(G64="kg",1,IF(G64="ton",1000,IF(G64=RIGHT(VLOOKUP(H64,Materialtabell[[#All],[Materialnamn]:[Enhet]],4,0),LEN(VLOOKUP(H64,Materialtabell[[#All],[Materialnamn]:[Enhet]],4,0))-3),VLOOKUP(H64,Materialtabell[[#All],[Materialnamn]:[Enhet]],3,0),"Enhetsfel"))),"")</f>
        <v/>
      </c>
      <c r="K64" s="105" t="str">
        <f>IFERROR(IF(G64="kg","kg/kg",IF(G64="ton","kg/ton",IF(RIGHT(VLOOKUP(H64,Materialtabell[[#All],[Materialnamn]:[Enhet]],4,0),LEN(VLOOKUP(H64,Materialtabell[[#All],[Materialnamn]:[Enhet]],4,0))-3)=G64,VLOOKUP(H64,Materialtabell[[#All],[Materialnamn]:[Enhet]],4,0),"kg/ton/"&amp;RIGHT(VLOOKUP(H64,Materialtabell[[#All],[Materialnamn]:[Enhet]],4,0),LEN(VLOOKUP(H64,Materialtabell[[#All],[Materialnamn]:[Enhet]],4,0))-3)))),"")</f>
        <v/>
      </c>
      <c r="L64" s="104" t="str">
        <f>IFERROR(KalkylSlut[[#This Row],[Mängd]]*KalkylSlut[[#This Row],[Omräknings-faktor]],"")</f>
        <v/>
      </c>
      <c r="M64" s="104" t="str">
        <f>IFERROR(F64*J64*VLOOKUP(H64,Materialtabell[[#All],[Materialnamn]:[Emissionsfaktor 2019
kg CO2e/kg]],5,0),"")</f>
        <v/>
      </c>
      <c r="N64" s="104" t="str">
        <f>IFERROR(F64*J64*VLOOKUP(H64,Materialtabell[[#All],[Materialnamn]:[Emissionsfaktor 2025
kg CO2e/kg]],6,0),"")</f>
        <v/>
      </c>
      <c r="O64" s="78" t="str">
        <f>IFERROR(VLOOKUP(H64,Materialtabell[[#All],[Materialnamn]:[Kommentar A4]],24,0),"")</f>
        <v/>
      </c>
      <c r="P64" s="94" t="str">
        <f>IFERROR(($F64*$J64*$O64*VLOOKUP($H64,Materialtabell[[#All],[Materialnamn]:[Bränsle 
MJ/ton, km]],25,0)*Materiallista!$AF$5)/1000,"")</f>
        <v/>
      </c>
      <c r="Q64" s="94" t="str">
        <f>IFERROR(($F64*$J64*$O64*VLOOKUP($H64,Materialtabell[[#All],[Materialnamn]:[Bränsle 
MJ/ton, km]],25,0)*Materiallista!$AF$6)/1000,"")</f>
        <v/>
      </c>
      <c r="R64" s="162"/>
      <c r="S64" s="3"/>
      <c r="T64" s="3"/>
    </row>
    <row r="65" spans="1:20" x14ac:dyDescent="0.25">
      <c r="A65" s="3"/>
      <c r="B65" s="185">
        <v>60</v>
      </c>
      <c r="C65" s="170"/>
      <c r="D65" s="103"/>
      <c r="E65" s="103"/>
      <c r="F65" s="78"/>
      <c r="G65" s="103"/>
      <c r="H65" s="102"/>
      <c r="I65" s="105" t="str">
        <f>IFERROR(VLOOKUP(KalkylSlut[[#This Row],[Klimatmaterial]],Materialtabell[[#All],[Materialnamn]:[Materialtyp]],2,0),"")</f>
        <v/>
      </c>
      <c r="J65" s="104" t="str">
        <f>IFERROR(IF(G65="kg",1,IF(G65="ton",1000,IF(G65=RIGHT(VLOOKUP(H65,Materialtabell[[#All],[Materialnamn]:[Enhet]],4,0),LEN(VLOOKUP(H65,Materialtabell[[#All],[Materialnamn]:[Enhet]],4,0))-3),VLOOKUP(H65,Materialtabell[[#All],[Materialnamn]:[Enhet]],3,0),"Enhetsfel"))),"")</f>
        <v/>
      </c>
      <c r="K65" s="105" t="str">
        <f>IFERROR(IF(G65="kg","kg/kg",IF(G65="ton","kg/ton",IF(RIGHT(VLOOKUP(H65,Materialtabell[[#All],[Materialnamn]:[Enhet]],4,0),LEN(VLOOKUP(H65,Materialtabell[[#All],[Materialnamn]:[Enhet]],4,0))-3)=G65,VLOOKUP(H65,Materialtabell[[#All],[Materialnamn]:[Enhet]],4,0),"kg/ton/"&amp;RIGHT(VLOOKUP(H65,Materialtabell[[#All],[Materialnamn]:[Enhet]],4,0),LEN(VLOOKUP(H65,Materialtabell[[#All],[Materialnamn]:[Enhet]],4,0))-3)))),"")</f>
        <v/>
      </c>
      <c r="L65" s="104" t="str">
        <f>IFERROR(KalkylSlut[[#This Row],[Mängd]]*KalkylSlut[[#This Row],[Omräknings-faktor]],"")</f>
        <v/>
      </c>
      <c r="M65" s="104" t="str">
        <f>IFERROR(F65*J65*VLOOKUP(H65,Materialtabell[[#All],[Materialnamn]:[Emissionsfaktor 2019
kg CO2e/kg]],5,0),"")</f>
        <v/>
      </c>
      <c r="N65" s="104" t="str">
        <f>IFERROR(F65*J65*VLOOKUP(H65,Materialtabell[[#All],[Materialnamn]:[Emissionsfaktor 2025
kg CO2e/kg]],6,0),"")</f>
        <v/>
      </c>
      <c r="O65" s="78" t="str">
        <f>IFERROR(VLOOKUP(H65,Materialtabell[[#All],[Materialnamn]:[Kommentar A4]],24,0),"")</f>
        <v/>
      </c>
      <c r="P65" s="94" t="str">
        <f>IFERROR(($F65*$J65*$O65*VLOOKUP($H65,Materialtabell[[#All],[Materialnamn]:[Bränsle 
MJ/ton, km]],25,0)*Materiallista!$AF$5)/1000,"")</f>
        <v/>
      </c>
      <c r="Q65" s="94" t="str">
        <f>IFERROR(($F65*$J65*$O65*VLOOKUP($H65,Materialtabell[[#All],[Materialnamn]:[Bränsle 
MJ/ton, km]],25,0)*Materiallista!$AF$6)/1000,"")</f>
        <v/>
      </c>
      <c r="R65" s="162"/>
      <c r="S65" s="3"/>
      <c r="T65" s="3"/>
    </row>
    <row r="66" spans="1:20" x14ac:dyDescent="0.25">
      <c r="A66" s="3"/>
      <c r="B66" s="185">
        <v>61</v>
      </c>
      <c r="C66" s="170"/>
      <c r="D66" s="103"/>
      <c r="E66" s="103"/>
      <c r="F66" s="78"/>
      <c r="G66" s="103"/>
      <c r="H66" s="102"/>
      <c r="I66" s="105" t="str">
        <f>IFERROR(VLOOKUP(KalkylSlut[[#This Row],[Klimatmaterial]],Materialtabell[[#All],[Materialnamn]:[Materialtyp]],2,0),"")</f>
        <v/>
      </c>
      <c r="J66" s="104" t="str">
        <f>IFERROR(IF(G66="kg",1,IF(G66="ton",1000,IF(G66=RIGHT(VLOOKUP(H66,Materialtabell[[#All],[Materialnamn]:[Enhet]],4,0),LEN(VLOOKUP(H66,Materialtabell[[#All],[Materialnamn]:[Enhet]],4,0))-3),VLOOKUP(H66,Materialtabell[[#All],[Materialnamn]:[Enhet]],3,0),"Enhetsfel"))),"")</f>
        <v/>
      </c>
      <c r="K66" s="105" t="str">
        <f>IFERROR(IF(G66="kg","kg/kg",IF(G66="ton","kg/ton",IF(RIGHT(VLOOKUP(H66,Materialtabell[[#All],[Materialnamn]:[Enhet]],4,0),LEN(VLOOKUP(H66,Materialtabell[[#All],[Materialnamn]:[Enhet]],4,0))-3)=G66,VLOOKUP(H66,Materialtabell[[#All],[Materialnamn]:[Enhet]],4,0),"kg/ton/"&amp;RIGHT(VLOOKUP(H66,Materialtabell[[#All],[Materialnamn]:[Enhet]],4,0),LEN(VLOOKUP(H66,Materialtabell[[#All],[Materialnamn]:[Enhet]],4,0))-3)))),"")</f>
        <v/>
      </c>
      <c r="L66" s="104" t="str">
        <f>IFERROR(KalkylSlut[[#This Row],[Mängd]]*KalkylSlut[[#This Row],[Omräknings-faktor]],"")</f>
        <v/>
      </c>
      <c r="M66" s="104" t="str">
        <f>IFERROR(F66*J66*VLOOKUP(H66,Materialtabell[[#All],[Materialnamn]:[Emissionsfaktor 2019
kg CO2e/kg]],5,0),"")</f>
        <v/>
      </c>
      <c r="N66" s="104" t="str">
        <f>IFERROR(F66*J66*VLOOKUP(H66,Materialtabell[[#All],[Materialnamn]:[Emissionsfaktor 2025
kg CO2e/kg]],6,0),"")</f>
        <v/>
      </c>
      <c r="O66" s="78" t="str">
        <f>IFERROR(VLOOKUP(H66,Materialtabell[[#All],[Materialnamn]:[Kommentar A4]],24,0),"")</f>
        <v/>
      </c>
      <c r="P66" s="94" t="str">
        <f>IFERROR(($F66*$J66*$O66*VLOOKUP($H66,Materialtabell[[#All],[Materialnamn]:[Bränsle 
MJ/ton, km]],25,0)*Materiallista!$AF$5)/1000,"")</f>
        <v/>
      </c>
      <c r="Q66" s="94" t="str">
        <f>IFERROR(($F66*$J66*$O66*VLOOKUP($H66,Materialtabell[[#All],[Materialnamn]:[Bränsle 
MJ/ton, km]],25,0)*Materiallista!$AF$6)/1000,"")</f>
        <v/>
      </c>
      <c r="R66" s="162"/>
      <c r="S66" s="3"/>
      <c r="T66" s="3"/>
    </row>
    <row r="67" spans="1:20" x14ac:dyDescent="0.25">
      <c r="A67" s="3"/>
      <c r="B67" s="185">
        <v>62</v>
      </c>
      <c r="C67" s="170"/>
      <c r="D67" s="103"/>
      <c r="E67" s="103"/>
      <c r="F67" s="78"/>
      <c r="G67" s="103"/>
      <c r="H67" s="102"/>
      <c r="I67" s="105" t="str">
        <f>IFERROR(VLOOKUP(KalkylSlut[[#This Row],[Klimatmaterial]],Materialtabell[[#All],[Materialnamn]:[Materialtyp]],2,0),"")</f>
        <v/>
      </c>
      <c r="J67" s="104" t="str">
        <f>IFERROR(IF(G67="kg",1,IF(G67="ton",1000,IF(G67=RIGHT(VLOOKUP(H67,Materialtabell[[#All],[Materialnamn]:[Enhet]],4,0),LEN(VLOOKUP(H67,Materialtabell[[#All],[Materialnamn]:[Enhet]],4,0))-3),VLOOKUP(H67,Materialtabell[[#All],[Materialnamn]:[Enhet]],3,0),"Enhetsfel"))),"")</f>
        <v/>
      </c>
      <c r="K67" s="105" t="str">
        <f>IFERROR(IF(G67="kg","kg/kg",IF(G67="ton","kg/ton",IF(RIGHT(VLOOKUP(H67,Materialtabell[[#All],[Materialnamn]:[Enhet]],4,0),LEN(VLOOKUP(H67,Materialtabell[[#All],[Materialnamn]:[Enhet]],4,0))-3)=G67,VLOOKUP(H67,Materialtabell[[#All],[Materialnamn]:[Enhet]],4,0),"kg/ton/"&amp;RIGHT(VLOOKUP(H67,Materialtabell[[#All],[Materialnamn]:[Enhet]],4,0),LEN(VLOOKUP(H67,Materialtabell[[#All],[Materialnamn]:[Enhet]],4,0))-3)))),"")</f>
        <v/>
      </c>
      <c r="L67" s="104" t="str">
        <f>IFERROR(KalkylSlut[[#This Row],[Mängd]]*KalkylSlut[[#This Row],[Omräknings-faktor]],"")</f>
        <v/>
      </c>
      <c r="M67" s="104" t="str">
        <f>IFERROR(F67*J67*VLOOKUP(H67,Materialtabell[[#All],[Materialnamn]:[Emissionsfaktor 2019
kg CO2e/kg]],5,0),"")</f>
        <v/>
      </c>
      <c r="N67" s="104" t="str">
        <f>IFERROR(F67*J67*VLOOKUP(H67,Materialtabell[[#All],[Materialnamn]:[Emissionsfaktor 2025
kg CO2e/kg]],6,0),"")</f>
        <v/>
      </c>
      <c r="O67" s="78" t="str">
        <f>IFERROR(VLOOKUP(H67,Materialtabell[[#All],[Materialnamn]:[Kommentar A4]],24,0),"")</f>
        <v/>
      </c>
      <c r="P67" s="94" t="str">
        <f>IFERROR(($F67*$J67*$O67*VLOOKUP($H67,Materialtabell[[#All],[Materialnamn]:[Bränsle 
MJ/ton, km]],25,0)*Materiallista!$AF$5)/1000,"")</f>
        <v/>
      </c>
      <c r="Q67" s="94" t="str">
        <f>IFERROR(($F67*$J67*$O67*VLOOKUP($H67,Materialtabell[[#All],[Materialnamn]:[Bränsle 
MJ/ton, km]],25,0)*Materiallista!$AF$6)/1000,"")</f>
        <v/>
      </c>
      <c r="R67" s="162"/>
      <c r="S67" s="3"/>
      <c r="T67" s="3"/>
    </row>
    <row r="68" spans="1:20" s="14" customFormat="1" x14ac:dyDescent="0.25">
      <c r="A68" s="12"/>
      <c r="B68" s="185">
        <v>63</v>
      </c>
      <c r="C68" s="170"/>
      <c r="D68" s="103"/>
      <c r="E68" s="103"/>
      <c r="F68" s="78"/>
      <c r="G68" s="103"/>
      <c r="H68" s="102"/>
      <c r="I68" s="105" t="str">
        <f>IFERROR(VLOOKUP(KalkylSlut[[#This Row],[Klimatmaterial]],Materialtabell[[#All],[Materialnamn]:[Materialtyp]],2,0),"")</f>
        <v/>
      </c>
      <c r="J68" s="104" t="str">
        <f>IFERROR(IF(G68="kg",1,IF(G68="ton",1000,IF(G68=RIGHT(VLOOKUP(H68,Materialtabell[[#All],[Materialnamn]:[Enhet]],4,0),LEN(VLOOKUP(H68,Materialtabell[[#All],[Materialnamn]:[Enhet]],4,0))-3),VLOOKUP(H68,Materialtabell[[#All],[Materialnamn]:[Enhet]],3,0),"Enhetsfel"))),"")</f>
        <v/>
      </c>
      <c r="K68" s="105" t="str">
        <f>IFERROR(IF(G68="kg","kg/kg",IF(G68="ton","kg/ton",IF(RIGHT(VLOOKUP(H68,Materialtabell[[#All],[Materialnamn]:[Enhet]],4,0),LEN(VLOOKUP(H68,Materialtabell[[#All],[Materialnamn]:[Enhet]],4,0))-3)=G68,VLOOKUP(H68,Materialtabell[[#All],[Materialnamn]:[Enhet]],4,0),"kg/ton/"&amp;RIGHT(VLOOKUP(H68,Materialtabell[[#All],[Materialnamn]:[Enhet]],4,0),LEN(VLOOKUP(H68,Materialtabell[[#All],[Materialnamn]:[Enhet]],4,0))-3)))),"")</f>
        <v/>
      </c>
      <c r="L68" s="104" t="str">
        <f>IFERROR(KalkylSlut[[#This Row],[Mängd]]*KalkylSlut[[#This Row],[Omräknings-faktor]],"")</f>
        <v/>
      </c>
      <c r="M68" s="104" t="str">
        <f>IFERROR(F68*J68*VLOOKUP(H68,Materialtabell[[#All],[Materialnamn]:[Emissionsfaktor 2019
kg CO2e/kg]],5,0),"")</f>
        <v/>
      </c>
      <c r="N68" s="104" t="str">
        <f>IFERROR(F68*J68*VLOOKUP(H68,Materialtabell[[#All],[Materialnamn]:[Emissionsfaktor 2025
kg CO2e/kg]],6,0),"")</f>
        <v/>
      </c>
      <c r="O68" s="78" t="str">
        <f>IFERROR(VLOOKUP(H68,Materialtabell[[#All],[Materialnamn]:[Kommentar A4]],24,0),"")</f>
        <v/>
      </c>
      <c r="P68" s="94" t="str">
        <f>IFERROR(($F68*$J68*$O68*VLOOKUP($H68,Materialtabell[[#All],[Materialnamn]:[Bränsle 
MJ/ton, km]],25,0)*Materiallista!$AF$5)/1000,"")</f>
        <v/>
      </c>
      <c r="Q68" s="94" t="str">
        <f>IFERROR(($F68*$J68*$O68*VLOOKUP($H68,Materialtabell[[#All],[Materialnamn]:[Bränsle 
MJ/ton, km]],25,0)*Materiallista!$AF$6)/1000,"")</f>
        <v/>
      </c>
      <c r="R68" s="162"/>
      <c r="S68" s="12"/>
      <c r="T68" s="12"/>
    </row>
    <row r="69" spans="1:20" s="14" customFormat="1" x14ac:dyDescent="0.25">
      <c r="A69" s="12"/>
      <c r="B69" s="185">
        <v>64</v>
      </c>
      <c r="C69" s="170"/>
      <c r="D69" s="103"/>
      <c r="E69" s="103"/>
      <c r="F69" s="78"/>
      <c r="G69" s="103"/>
      <c r="H69" s="102"/>
      <c r="I69" s="105" t="str">
        <f>IFERROR(VLOOKUP(KalkylSlut[[#This Row],[Klimatmaterial]],Materialtabell[[#All],[Materialnamn]:[Materialtyp]],2,0),"")</f>
        <v/>
      </c>
      <c r="J69" s="104" t="str">
        <f>IFERROR(IF(G69="kg",1,IF(G69="ton",1000,IF(G69=RIGHT(VLOOKUP(H69,Materialtabell[[#All],[Materialnamn]:[Enhet]],4,0),LEN(VLOOKUP(H69,Materialtabell[[#All],[Materialnamn]:[Enhet]],4,0))-3),VLOOKUP(H69,Materialtabell[[#All],[Materialnamn]:[Enhet]],3,0),"Enhetsfel"))),"")</f>
        <v/>
      </c>
      <c r="K69" s="105" t="str">
        <f>IFERROR(IF(G69="kg","kg/kg",IF(G69="ton","kg/ton",IF(RIGHT(VLOOKUP(H69,Materialtabell[[#All],[Materialnamn]:[Enhet]],4,0),LEN(VLOOKUP(H69,Materialtabell[[#All],[Materialnamn]:[Enhet]],4,0))-3)=G69,VLOOKUP(H69,Materialtabell[[#All],[Materialnamn]:[Enhet]],4,0),"kg/ton/"&amp;RIGHT(VLOOKUP(H69,Materialtabell[[#All],[Materialnamn]:[Enhet]],4,0),LEN(VLOOKUP(H69,Materialtabell[[#All],[Materialnamn]:[Enhet]],4,0))-3)))),"")</f>
        <v/>
      </c>
      <c r="L69" s="104" t="str">
        <f>IFERROR(KalkylSlut[[#This Row],[Mängd]]*KalkylSlut[[#This Row],[Omräknings-faktor]],"")</f>
        <v/>
      </c>
      <c r="M69" s="104" t="str">
        <f>IFERROR(F69*J69*VLOOKUP(H69,Materialtabell[[#All],[Materialnamn]:[Emissionsfaktor 2019
kg CO2e/kg]],5,0),"")</f>
        <v/>
      </c>
      <c r="N69" s="104" t="str">
        <f>IFERROR(F69*J69*VLOOKUP(H69,Materialtabell[[#All],[Materialnamn]:[Emissionsfaktor 2025
kg CO2e/kg]],6,0),"")</f>
        <v/>
      </c>
      <c r="O69" s="78" t="str">
        <f>IFERROR(VLOOKUP(H69,Materialtabell[[#All],[Materialnamn]:[Kommentar A4]],24,0),"")</f>
        <v/>
      </c>
      <c r="P69" s="94" t="str">
        <f>IFERROR(($F69*$J69*$O69*VLOOKUP($H69,Materialtabell[[#All],[Materialnamn]:[Bränsle 
MJ/ton, km]],25,0)*Materiallista!$AF$5)/1000,"")</f>
        <v/>
      </c>
      <c r="Q69" s="94" t="str">
        <f>IFERROR(($F69*$J69*$O69*VLOOKUP($H69,Materialtabell[[#All],[Materialnamn]:[Bränsle 
MJ/ton, km]],25,0)*Materiallista!$AF$6)/1000,"")</f>
        <v/>
      </c>
      <c r="R69" s="162"/>
      <c r="S69" s="12"/>
      <c r="T69" s="12"/>
    </row>
    <row r="70" spans="1:20" x14ac:dyDescent="0.25">
      <c r="A70" s="3"/>
      <c r="B70" s="185">
        <v>65</v>
      </c>
      <c r="C70" s="170"/>
      <c r="D70" s="103"/>
      <c r="E70" s="103"/>
      <c r="F70" s="78"/>
      <c r="G70" s="103"/>
      <c r="H70" s="102"/>
      <c r="I70" s="105" t="str">
        <f>IFERROR(VLOOKUP(KalkylSlut[[#This Row],[Klimatmaterial]],Materialtabell[[#All],[Materialnamn]:[Materialtyp]],2,0),"")</f>
        <v/>
      </c>
      <c r="J70" s="104" t="str">
        <f>IFERROR(IF(G70="kg",1,IF(G70="ton",1000,IF(G70=RIGHT(VLOOKUP(H70,Materialtabell[[#All],[Materialnamn]:[Enhet]],4,0),LEN(VLOOKUP(H70,Materialtabell[[#All],[Materialnamn]:[Enhet]],4,0))-3),VLOOKUP(H70,Materialtabell[[#All],[Materialnamn]:[Enhet]],3,0),"Enhetsfel"))),"")</f>
        <v/>
      </c>
      <c r="K70" s="105" t="str">
        <f>IFERROR(IF(G70="kg","kg/kg",IF(G70="ton","kg/ton",IF(RIGHT(VLOOKUP(H70,Materialtabell[[#All],[Materialnamn]:[Enhet]],4,0),LEN(VLOOKUP(H70,Materialtabell[[#All],[Materialnamn]:[Enhet]],4,0))-3)=G70,VLOOKUP(H70,Materialtabell[[#All],[Materialnamn]:[Enhet]],4,0),"kg/ton/"&amp;RIGHT(VLOOKUP(H70,Materialtabell[[#All],[Materialnamn]:[Enhet]],4,0),LEN(VLOOKUP(H70,Materialtabell[[#All],[Materialnamn]:[Enhet]],4,0))-3)))),"")</f>
        <v/>
      </c>
      <c r="L70" s="104" t="str">
        <f>IFERROR(KalkylSlut[[#This Row],[Mängd]]*KalkylSlut[[#This Row],[Omräknings-faktor]],"")</f>
        <v/>
      </c>
      <c r="M70" s="104" t="str">
        <f>IFERROR(F70*J70*VLOOKUP(H70,Materialtabell[[#All],[Materialnamn]:[Emissionsfaktor 2019
kg CO2e/kg]],5,0),"")</f>
        <v/>
      </c>
      <c r="N70" s="104" t="str">
        <f>IFERROR(F70*J70*VLOOKUP(H70,Materialtabell[[#All],[Materialnamn]:[Emissionsfaktor 2025
kg CO2e/kg]],6,0),"")</f>
        <v/>
      </c>
      <c r="O70" s="78" t="str">
        <f>IFERROR(VLOOKUP(H70,Materialtabell[[#All],[Materialnamn]:[Kommentar A4]],24,0),"")</f>
        <v/>
      </c>
      <c r="P70" s="94" t="str">
        <f>IFERROR(($F70*$J70*$O70*VLOOKUP($H70,Materialtabell[[#All],[Materialnamn]:[Bränsle 
MJ/ton, km]],25,0)*Materiallista!$AF$5)/1000,"")</f>
        <v/>
      </c>
      <c r="Q70" s="94" t="str">
        <f>IFERROR(($F70*$J70*$O70*VLOOKUP($H70,Materialtabell[[#All],[Materialnamn]:[Bränsle 
MJ/ton, km]],25,0)*Materiallista!$AF$6)/1000,"")</f>
        <v/>
      </c>
      <c r="R70" s="162"/>
      <c r="S70" s="3"/>
      <c r="T70" s="3"/>
    </row>
    <row r="71" spans="1:20" x14ac:dyDescent="0.25">
      <c r="A71" s="3"/>
      <c r="B71" s="185">
        <v>66</v>
      </c>
      <c r="C71" s="170"/>
      <c r="D71" s="103"/>
      <c r="E71" s="103"/>
      <c r="F71" s="78"/>
      <c r="G71" s="103"/>
      <c r="H71" s="102"/>
      <c r="I71" s="105" t="str">
        <f>IFERROR(VLOOKUP(KalkylSlut[[#This Row],[Klimatmaterial]],Materialtabell[[#All],[Materialnamn]:[Materialtyp]],2,0),"")</f>
        <v/>
      </c>
      <c r="J71" s="104" t="str">
        <f>IFERROR(IF(G71="kg",1,IF(G71="ton",1000,IF(G71=RIGHT(VLOOKUP(H71,Materialtabell[[#All],[Materialnamn]:[Enhet]],4,0),LEN(VLOOKUP(H71,Materialtabell[[#All],[Materialnamn]:[Enhet]],4,0))-3),VLOOKUP(H71,Materialtabell[[#All],[Materialnamn]:[Enhet]],3,0),"Enhetsfel"))),"")</f>
        <v/>
      </c>
      <c r="K71" s="105" t="str">
        <f>IFERROR(IF(G71="kg","kg/kg",IF(G71="ton","kg/ton",IF(RIGHT(VLOOKUP(H71,Materialtabell[[#All],[Materialnamn]:[Enhet]],4,0),LEN(VLOOKUP(H71,Materialtabell[[#All],[Materialnamn]:[Enhet]],4,0))-3)=G71,VLOOKUP(H71,Materialtabell[[#All],[Materialnamn]:[Enhet]],4,0),"kg/ton/"&amp;RIGHT(VLOOKUP(H71,Materialtabell[[#All],[Materialnamn]:[Enhet]],4,0),LEN(VLOOKUP(H71,Materialtabell[[#All],[Materialnamn]:[Enhet]],4,0))-3)))),"")</f>
        <v/>
      </c>
      <c r="L71" s="104" t="str">
        <f>IFERROR(KalkylSlut[[#This Row],[Mängd]]*KalkylSlut[[#This Row],[Omräknings-faktor]],"")</f>
        <v/>
      </c>
      <c r="M71" s="104" t="str">
        <f>IFERROR(F71*J71*VLOOKUP(H71,Materialtabell[[#All],[Materialnamn]:[Emissionsfaktor 2019
kg CO2e/kg]],5,0),"")</f>
        <v/>
      </c>
      <c r="N71" s="104" t="str">
        <f>IFERROR(F71*J71*VLOOKUP(H71,Materialtabell[[#All],[Materialnamn]:[Emissionsfaktor 2025
kg CO2e/kg]],6,0),"")</f>
        <v/>
      </c>
      <c r="O71" s="78" t="str">
        <f>IFERROR(VLOOKUP(H71,Materialtabell[[#All],[Materialnamn]:[Kommentar A4]],24,0),"")</f>
        <v/>
      </c>
      <c r="P71" s="94" t="str">
        <f>IFERROR(($F71*$J71*$O71*VLOOKUP($H71,Materialtabell[[#All],[Materialnamn]:[Bränsle 
MJ/ton, km]],25,0)*Materiallista!$AF$5)/1000,"")</f>
        <v/>
      </c>
      <c r="Q71" s="94" t="str">
        <f>IFERROR(($F71*$J71*$O71*VLOOKUP($H71,Materialtabell[[#All],[Materialnamn]:[Bränsle 
MJ/ton, km]],25,0)*Materiallista!$AF$6)/1000,"")</f>
        <v/>
      </c>
      <c r="R71" s="162"/>
      <c r="S71" s="3"/>
      <c r="T71" s="3"/>
    </row>
    <row r="72" spans="1:20" x14ac:dyDescent="0.25">
      <c r="A72" s="3"/>
      <c r="B72" s="185">
        <v>67</v>
      </c>
      <c r="C72" s="170"/>
      <c r="D72" s="103"/>
      <c r="E72" s="103"/>
      <c r="F72" s="78"/>
      <c r="G72" s="103"/>
      <c r="H72" s="102"/>
      <c r="I72" s="105" t="str">
        <f>IFERROR(VLOOKUP(KalkylSlut[[#This Row],[Klimatmaterial]],Materialtabell[[#All],[Materialnamn]:[Materialtyp]],2,0),"")</f>
        <v/>
      </c>
      <c r="J72" s="104" t="str">
        <f>IFERROR(IF(G72="kg",1,IF(G72="ton",1000,IF(G72=RIGHT(VLOOKUP(H72,Materialtabell[[#All],[Materialnamn]:[Enhet]],4,0),LEN(VLOOKUP(H72,Materialtabell[[#All],[Materialnamn]:[Enhet]],4,0))-3),VLOOKUP(H72,Materialtabell[[#All],[Materialnamn]:[Enhet]],3,0),"Enhetsfel"))),"")</f>
        <v/>
      </c>
      <c r="K72" s="105" t="str">
        <f>IFERROR(IF(G72="kg","kg/kg",IF(G72="ton","kg/ton",IF(RIGHT(VLOOKUP(H72,Materialtabell[[#All],[Materialnamn]:[Enhet]],4,0),LEN(VLOOKUP(H72,Materialtabell[[#All],[Materialnamn]:[Enhet]],4,0))-3)=G72,VLOOKUP(H72,Materialtabell[[#All],[Materialnamn]:[Enhet]],4,0),"kg/ton/"&amp;RIGHT(VLOOKUP(H72,Materialtabell[[#All],[Materialnamn]:[Enhet]],4,0),LEN(VLOOKUP(H72,Materialtabell[[#All],[Materialnamn]:[Enhet]],4,0))-3)))),"")</f>
        <v/>
      </c>
      <c r="L72" s="104" t="str">
        <f>IFERROR(KalkylSlut[[#This Row],[Mängd]]*KalkylSlut[[#This Row],[Omräknings-faktor]],"")</f>
        <v/>
      </c>
      <c r="M72" s="104" t="str">
        <f>IFERROR(F72*J72*VLOOKUP(H72,Materialtabell[[#All],[Materialnamn]:[Emissionsfaktor 2019
kg CO2e/kg]],5,0),"")</f>
        <v/>
      </c>
      <c r="N72" s="104" t="str">
        <f>IFERROR(F72*J72*VLOOKUP(H72,Materialtabell[[#All],[Materialnamn]:[Emissionsfaktor 2025
kg CO2e/kg]],6,0),"")</f>
        <v/>
      </c>
      <c r="O72" s="78" t="str">
        <f>IFERROR(VLOOKUP(H72,Materialtabell[[#All],[Materialnamn]:[Kommentar A4]],24,0),"")</f>
        <v/>
      </c>
      <c r="P72" s="94" t="str">
        <f>IFERROR(($F72*$J72*$O72*VLOOKUP($H72,Materialtabell[[#All],[Materialnamn]:[Bränsle 
MJ/ton, km]],25,0)*Materiallista!$AF$5)/1000,"")</f>
        <v/>
      </c>
      <c r="Q72" s="94" t="str">
        <f>IFERROR(($F72*$J72*$O72*VLOOKUP($H72,Materialtabell[[#All],[Materialnamn]:[Bränsle 
MJ/ton, km]],25,0)*Materiallista!$AF$6)/1000,"")</f>
        <v/>
      </c>
      <c r="R72" s="162"/>
      <c r="S72" s="3"/>
      <c r="T72" s="3"/>
    </row>
    <row r="73" spans="1:20" x14ac:dyDescent="0.25">
      <c r="A73" s="3"/>
      <c r="B73" s="185">
        <v>68</v>
      </c>
      <c r="C73" s="170"/>
      <c r="D73" s="103"/>
      <c r="E73" s="103"/>
      <c r="F73" s="78"/>
      <c r="G73" s="103"/>
      <c r="H73" s="102"/>
      <c r="I73" s="105" t="str">
        <f>IFERROR(VLOOKUP(KalkylSlut[[#This Row],[Klimatmaterial]],Materialtabell[[#All],[Materialnamn]:[Materialtyp]],2,0),"")</f>
        <v/>
      </c>
      <c r="J73" s="104" t="str">
        <f>IFERROR(IF(G73="kg",1,IF(G73="ton",1000,IF(G73=RIGHT(VLOOKUP(H73,Materialtabell[[#All],[Materialnamn]:[Enhet]],4,0),LEN(VLOOKUP(H73,Materialtabell[[#All],[Materialnamn]:[Enhet]],4,0))-3),VLOOKUP(H73,Materialtabell[[#All],[Materialnamn]:[Enhet]],3,0),"Enhetsfel"))),"")</f>
        <v/>
      </c>
      <c r="K73" s="105" t="str">
        <f>IFERROR(IF(G73="kg","kg/kg",IF(G73="ton","kg/ton",IF(RIGHT(VLOOKUP(H73,Materialtabell[[#All],[Materialnamn]:[Enhet]],4,0),LEN(VLOOKUP(H73,Materialtabell[[#All],[Materialnamn]:[Enhet]],4,0))-3)=G73,VLOOKUP(H73,Materialtabell[[#All],[Materialnamn]:[Enhet]],4,0),"kg/ton/"&amp;RIGHT(VLOOKUP(H73,Materialtabell[[#All],[Materialnamn]:[Enhet]],4,0),LEN(VLOOKUP(H73,Materialtabell[[#All],[Materialnamn]:[Enhet]],4,0))-3)))),"")</f>
        <v/>
      </c>
      <c r="L73" s="104" t="str">
        <f>IFERROR(KalkylSlut[[#This Row],[Mängd]]*KalkylSlut[[#This Row],[Omräknings-faktor]],"")</f>
        <v/>
      </c>
      <c r="M73" s="104" t="str">
        <f>IFERROR(F73*J73*VLOOKUP(H73,Materialtabell[[#All],[Materialnamn]:[Emissionsfaktor 2019
kg CO2e/kg]],5,0),"")</f>
        <v/>
      </c>
      <c r="N73" s="104" t="str">
        <f>IFERROR(F73*J73*VLOOKUP(H73,Materialtabell[[#All],[Materialnamn]:[Emissionsfaktor 2025
kg CO2e/kg]],6,0),"")</f>
        <v/>
      </c>
      <c r="O73" s="78" t="str">
        <f>IFERROR(VLOOKUP(H73,Materialtabell[[#All],[Materialnamn]:[Kommentar A4]],24,0),"")</f>
        <v/>
      </c>
      <c r="P73" s="94" t="str">
        <f>IFERROR(($F73*$J73*$O73*VLOOKUP($H73,Materialtabell[[#All],[Materialnamn]:[Bränsle 
MJ/ton, km]],25,0)*Materiallista!$AF$5)/1000,"")</f>
        <v/>
      </c>
      <c r="Q73" s="94" t="str">
        <f>IFERROR(($F73*$J73*$O73*VLOOKUP($H73,Materialtabell[[#All],[Materialnamn]:[Bränsle 
MJ/ton, km]],25,0)*Materiallista!$AF$6)/1000,"")</f>
        <v/>
      </c>
      <c r="R73" s="162"/>
      <c r="S73" s="3"/>
      <c r="T73" s="3"/>
    </row>
    <row r="74" spans="1:20" x14ac:dyDescent="0.25">
      <c r="A74" s="3"/>
      <c r="B74" s="185">
        <v>69</v>
      </c>
      <c r="C74" s="170"/>
      <c r="D74" s="103"/>
      <c r="E74" s="103"/>
      <c r="F74" s="78"/>
      <c r="G74" s="103"/>
      <c r="H74" s="102"/>
      <c r="I74" s="105" t="str">
        <f>IFERROR(VLOOKUP(KalkylSlut[[#This Row],[Klimatmaterial]],Materialtabell[[#All],[Materialnamn]:[Materialtyp]],2,0),"")</f>
        <v/>
      </c>
      <c r="J74" s="104" t="str">
        <f>IFERROR(IF(G74="kg",1,IF(G74="ton",1000,IF(G74=RIGHT(VLOOKUP(H74,Materialtabell[[#All],[Materialnamn]:[Enhet]],4,0),LEN(VLOOKUP(H74,Materialtabell[[#All],[Materialnamn]:[Enhet]],4,0))-3),VLOOKUP(H74,Materialtabell[[#All],[Materialnamn]:[Enhet]],3,0),"Enhetsfel"))),"")</f>
        <v/>
      </c>
      <c r="K74" s="105" t="str">
        <f>IFERROR(IF(G74="kg","kg/kg",IF(G74="ton","kg/ton",IF(RIGHT(VLOOKUP(H74,Materialtabell[[#All],[Materialnamn]:[Enhet]],4,0),LEN(VLOOKUP(H74,Materialtabell[[#All],[Materialnamn]:[Enhet]],4,0))-3)=G74,VLOOKUP(H74,Materialtabell[[#All],[Materialnamn]:[Enhet]],4,0),"kg/ton/"&amp;RIGHT(VLOOKUP(H74,Materialtabell[[#All],[Materialnamn]:[Enhet]],4,0),LEN(VLOOKUP(H74,Materialtabell[[#All],[Materialnamn]:[Enhet]],4,0))-3)))),"")</f>
        <v/>
      </c>
      <c r="L74" s="104" t="str">
        <f>IFERROR(KalkylSlut[[#This Row],[Mängd]]*KalkylSlut[[#This Row],[Omräknings-faktor]],"")</f>
        <v/>
      </c>
      <c r="M74" s="104" t="str">
        <f>IFERROR(F74*J74*VLOOKUP(H74,Materialtabell[[#All],[Materialnamn]:[Emissionsfaktor 2019
kg CO2e/kg]],5,0),"")</f>
        <v/>
      </c>
      <c r="N74" s="104" t="str">
        <f>IFERROR(F74*J74*VLOOKUP(H74,Materialtabell[[#All],[Materialnamn]:[Emissionsfaktor 2025
kg CO2e/kg]],6,0),"")</f>
        <v/>
      </c>
      <c r="O74" s="78" t="str">
        <f>IFERROR(VLOOKUP(H74,Materialtabell[[#All],[Materialnamn]:[Kommentar A4]],24,0),"")</f>
        <v/>
      </c>
      <c r="P74" s="94" t="str">
        <f>IFERROR(($F74*$J74*$O74*VLOOKUP($H74,Materialtabell[[#All],[Materialnamn]:[Bränsle 
MJ/ton, km]],25,0)*Materiallista!$AF$5)/1000,"")</f>
        <v/>
      </c>
      <c r="Q74" s="94" t="str">
        <f>IFERROR(($F74*$J74*$O74*VLOOKUP($H74,Materialtabell[[#All],[Materialnamn]:[Bränsle 
MJ/ton, km]],25,0)*Materiallista!$AF$6)/1000,"")</f>
        <v/>
      </c>
      <c r="R74" s="162"/>
      <c r="S74" s="3"/>
      <c r="T74" s="3"/>
    </row>
    <row r="75" spans="1:20" x14ac:dyDescent="0.25">
      <c r="A75" s="3"/>
      <c r="B75" s="185">
        <v>70</v>
      </c>
      <c r="C75" s="170"/>
      <c r="D75" s="103"/>
      <c r="E75" s="103"/>
      <c r="F75" s="78"/>
      <c r="G75" s="103"/>
      <c r="H75" s="102"/>
      <c r="I75" s="105" t="str">
        <f>IFERROR(VLOOKUP(KalkylSlut[[#This Row],[Klimatmaterial]],Materialtabell[[#All],[Materialnamn]:[Materialtyp]],2,0),"")</f>
        <v/>
      </c>
      <c r="J75" s="104" t="str">
        <f>IFERROR(IF(G75="kg",1,IF(G75="ton",1000,IF(G75=RIGHT(VLOOKUP(H75,Materialtabell[[#All],[Materialnamn]:[Enhet]],4,0),LEN(VLOOKUP(H75,Materialtabell[[#All],[Materialnamn]:[Enhet]],4,0))-3),VLOOKUP(H75,Materialtabell[[#All],[Materialnamn]:[Enhet]],3,0),"Enhetsfel"))),"")</f>
        <v/>
      </c>
      <c r="K75" s="105" t="str">
        <f>IFERROR(IF(G75="kg","kg/kg",IF(G75="ton","kg/ton",IF(RIGHT(VLOOKUP(H75,Materialtabell[[#All],[Materialnamn]:[Enhet]],4,0),LEN(VLOOKUP(H75,Materialtabell[[#All],[Materialnamn]:[Enhet]],4,0))-3)=G75,VLOOKUP(H75,Materialtabell[[#All],[Materialnamn]:[Enhet]],4,0),"kg/ton/"&amp;RIGHT(VLOOKUP(H75,Materialtabell[[#All],[Materialnamn]:[Enhet]],4,0),LEN(VLOOKUP(H75,Materialtabell[[#All],[Materialnamn]:[Enhet]],4,0))-3)))),"")</f>
        <v/>
      </c>
      <c r="L75" s="104" t="str">
        <f>IFERROR(KalkylSlut[[#This Row],[Mängd]]*KalkylSlut[[#This Row],[Omräknings-faktor]],"")</f>
        <v/>
      </c>
      <c r="M75" s="104" t="str">
        <f>IFERROR(F75*J75*VLOOKUP(H75,Materialtabell[[#All],[Materialnamn]:[Emissionsfaktor 2019
kg CO2e/kg]],5,0),"")</f>
        <v/>
      </c>
      <c r="N75" s="104" t="str">
        <f>IFERROR(F75*J75*VLOOKUP(H75,Materialtabell[[#All],[Materialnamn]:[Emissionsfaktor 2025
kg CO2e/kg]],6,0),"")</f>
        <v/>
      </c>
      <c r="O75" s="78" t="str">
        <f>IFERROR(VLOOKUP(H75,Materialtabell[[#All],[Materialnamn]:[Kommentar A4]],24,0),"")</f>
        <v/>
      </c>
      <c r="P75" s="94" t="str">
        <f>IFERROR(($F75*$J75*$O75*VLOOKUP($H75,Materialtabell[[#All],[Materialnamn]:[Bränsle 
MJ/ton, km]],25,0)*Materiallista!$AF$5)/1000,"")</f>
        <v/>
      </c>
      <c r="Q75" s="94" t="str">
        <f>IFERROR(($F75*$J75*$O75*VLOOKUP($H75,Materialtabell[[#All],[Materialnamn]:[Bränsle 
MJ/ton, km]],25,0)*Materiallista!$AF$6)/1000,"")</f>
        <v/>
      </c>
      <c r="R75" s="162"/>
      <c r="S75" s="3"/>
      <c r="T75" s="3"/>
    </row>
    <row r="76" spans="1:20" ht="15" customHeight="1" x14ac:dyDescent="0.25">
      <c r="A76" s="3"/>
      <c r="B76" s="185">
        <v>71</v>
      </c>
      <c r="C76" s="170"/>
      <c r="D76" s="103"/>
      <c r="E76" s="103"/>
      <c r="F76" s="78"/>
      <c r="G76" s="103"/>
      <c r="H76" s="102"/>
      <c r="I76" s="105" t="str">
        <f>IFERROR(VLOOKUP(KalkylSlut[[#This Row],[Klimatmaterial]],Materialtabell[[#All],[Materialnamn]:[Materialtyp]],2,0),"")</f>
        <v/>
      </c>
      <c r="J76" s="104" t="str">
        <f>IFERROR(IF(G76="kg",1,IF(G76="ton",1000,IF(G76=RIGHT(VLOOKUP(H76,Materialtabell[[#All],[Materialnamn]:[Enhet]],4,0),LEN(VLOOKUP(H76,Materialtabell[[#All],[Materialnamn]:[Enhet]],4,0))-3),VLOOKUP(H76,Materialtabell[[#All],[Materialnamn]:[Enhet]],3,0),"Enhetsfel"))),"")</f>
        <v/>
      </c>
      <c r="K76" s="105" t="str">
        <f>IFERROR(IF(G76="kg","kg/kg",IF(G76="ton","kg/ton",IF(RIGHT(VLOOKUP(H76,Materialtabell[[#All],[Materialnamn]:[Enhet]],4,0),LEN(VLOOKUP(H76,Materialtabell[[#All],[Materialnamn]:[Enhet]],4,0))-3)=G76,VLOOKUP(H76,Materialtabell[[#All],[Materialnamn]:[Enhet]],4,0),"kg/ton/"&amp;RIGHT(VLOOKUP(H76,Materialtabell[[#All],[Materialnamn]:[Enhet]],4,0),LEN(VLOOKUP(H76,Materialtabell[[#All],[Materialnamn]:[Enhet]],4,0))-3)))),"")</f>
        <v/>
      </c>
      <c r="L76" s="104" t="str">
        <f>IFERROR(KalkylSlut[[#This Row],[Mängd]]*KalkylSlut[[#This Row],[Omräknings-faktor]],"")</f>
        <v/>
      </c>
      <c r="M76" s="104" t="str">
        <f>IFERROR(F76*J76*VLOOKUP(H76,Materialtabell[[#All],[Materialnamn]:[Emissionsfaktor 2019
kg CO2e/kg]],5,0),"")</f>
        <v/>
      </c>
      <c r="N76" s="104" t="str">
        <f>IFERROR(F76*J76*VLOOKUP(H76,Materialtabell[[#All],[Materialnamn]:[Emissionsfaktor 2025
kg CO2e/kg]],6,0),"")</f>
        <v/>
      </c>
      <c r="O76" s="78" t="str">
        <f>IFERROR(VLOOKUP(H76,Materialtabell[[#All],[Materialnamn]:[Kommentar A4]],24,0),"")</f>
        <v/>
      </c>
      <c r="P76" s="94" t="str">
        <f>IFERROR(($F76*$J76*$O76*VLOOKUP($H76,Materialtabell[[#All],[Materialnamn]:[Bränsle 
MJ/ton, km]],25,0)*Materiallista!$AF$5)/1000,"")</f>
        <v/>
      </c>
      <c r="Q76" s="94" t="str">
        <f>IFERROR(($F76*$J76*$O76*VLOOKUP($H76,Materialtabell[[#All],[Materialnamn]:[Bränsle 
MJ/ton, km]],25,0)*Materiallista!$AF$6)/1000,"")</f>
        <v/>
      </c>
      <c r="R76" s="162"/>
      <c r="S76" s="3"/>
      <c r="T76" s="3"/>
    </row>
    <row r="77" spans="1:20" ht="15" customHeight="1" x14ac:dyDescent="0.25">
      <c r="A77" s="3"/>
      <c r="B77" s="185">
        <v>72</v>
      </c>
      <c r="C77" s="170"/>
      <c r="D77" s="103"/>
      <c r="E77" s="103"/>
      <c r="F77" s="78"/>
      <c r="G77" s="103"/>
      <c r="H77" s="102"/>
      <c r="I77" s="105" t="str">
        <f>IFERROR(VLOOKUP(KalkylSlut[[#This Row],[Klimatmaterial]],Materialtabell[[#All],[Materialnamn]:[Materialtyp]],2,0),"")</f>
        <v/>
      </c>
      <c r="J77" s="104" t="str">
        <f>IFERROR(IF(G77="kg",1,IF(G77="ton",1000,IF(G77=RIGHT(VLOOKUP(H77,Materialtabell[[#All],[Materialnamn]:[Enhet]],4,0),LEN(VLOOKUP(H77,Materialtabell[[#All],[Materialnamn]:[Enhet]],4,0))-3),VLOOKUP(H77,Materialtabell[[#All],[Materialnamn]:[Enhet]],3,0),"Enhetsfel"))),"")</f>
        <v/>
      </c>
      <c r="K77" s="105" t="str">
        <f>IFERROR(IF(G77="kg","kg/kg",IF(G77="ton","kg/ton",IF(RIGHT(VLOOKUP(H77,Materialtabell[[#All],[Materialnamn]:[Enhet]],4,0),LEN(VLOOKUP(H77,Materialtabell[[#All],[Materialnamn]:[Enhet]],4,0))-3)=G77,VLOOKUP(H77,Materialtabell[[#All],[Materialnamn]:[Enhet]],4,0),"kg/ton/"&amp;RIGHT(VLOOKUP(H77,Materialtabell[[#All],[Materialnamn]:[Enhet]],4,0),LEN(VLOOKUP(H77,Materialtabell[[#All],[Materialnamn]:[Enhet]],4,0))-3)))),"")</f>
        <v/>
      </c>
      <c r="L77" s="104" t="str">
        <f>IFERROR(KalkylSlut[[#This Row],[Mängd]]*KalkylSlut[[#This Row],[Omräknings-faktor]],"")</f>
        <v/>
      </c>
      <c r="M77" s="104" t="str">
        <f>IFERROR(F77*J77*VLOOKUP(H77,Materialtabell[[#All],[Materialnamn]:[Emissionsfaktor 2019
kg CO2e/kg]],5,0),"")</f>
        <v/>
      </c>
      <c r="N77" s="104" t="str">
        <f>IFERROR(F77*J77*VLOOKUP(H77,Materialtabell[[#All],[Materialnamn]:[Emissionsfaktor 2025
kg CO2e/kg]],6,0),"")</f>
        <v/>
      </c>
      <c r="O77" s="78" t="str">
        <f>IFERROR(VLOOKUP(H77,Materialtabell[[#All],[Materialnamn]:[Kommentar A4]],24,0),"")</f>
        <v/>
      </c>
      <c r="P77" s="94" t="str">
        <f>IFERROR(($F77*$J77*$O77*VLOOKUP($H77,Materialtabell[[#All],[Materialnamn]:[Bränsle 
MJ/ton, km]],25,0)*Materiallista!$AF$5)/1000,"")</f>
        <v/>
      </c>
      <c r="Q77" s="94" t="str">
        <f>IFERROR(($F77*$J77*$O77*VLOOKUP($H77,Materialtabell[[#All],[Materialnamn]:[Bränsle 
MJ/ton, km]],25,0)*Materiallista!$AF$6)/1000,"")</f>
        <v/>
      </c>
      <c r="R77" s="162"/>
      <c r="S77" s="3"/>
      <c r="T77" s="3"/>
    </row>
    <row r="78" spans="1:20" ht="15" customHeight="1" x14ac:dyDescent="0.25">
      <c r="A78" s="3"/>
      <c r="B78" s="185">
        <v>73</v>
      </c>
      <c r="C78" s="170"/>
      <c r="D78" s="103"/>
      <c r="E78" s="103"/>
      <c r="F78" s="78"/>
      <c r="G78" s="103"/>
      <c r="H78" s="102"/>
      <c r="I78" s="105" t="str">
        <f>IFERROR(VLOOKUP(KalkylSlut[[#This Row],[Klimatmaterial]],Materialtabell[[#All],[Materialnamn]:[Materialtyp]],2,0),"")</f>
        <v/>
      </c>
      <c r="J78" s="104" t="str">
        <f>IFERROR(IF(G78="kg",1,IF(G78="ton",1000,IF(G78=RIGHT(VLOOKUP(H78,Materialtabell[[#All],[Materialnamn]:[Enhet]],4,0),LEN(VLOOKUP(H78,Materialtabell[[#All],[Materialnamn]:[Enhet]],4,0))-3),VLOOKUP(H78,Materialtabell[[#All],[Materialnamn]:[Enhet]],3,0),"Enhetsfel"))),"")</f>
        <v/>
      </c>
      <c r="K78" s="105" t="str">
        <f>IFERROR(IF(G78="kg","kg/kg",IF(G78="ton","kg/ton",IF(RIGHT(VLOOKUP(H78,Materialtabell[[#All],[Materialnamn]:[Enhet]],4,0),LEN(VLOOKUP(H78,Materialtabell[[#All],[Materialnamn]:[Enhet]],4,0))-3)=G78,VLOOKUP(H78,Materialtabell[[#All],[Materialnamn]:[Enhet]],4,0),"kg/ton/"&amp;RIGHT(VLOOKUP(H78,Materialtabell[[#All],[Materialnamn]:[Enhet]],4,0),LEN(VLOOKUP(H78,Materialtabell[[#All],[Materialnamn]:[Enhet]],4,0))-3)))),"")</f>
        <v/>
      </c>
      <c r="L78" s="104" t="str">
        <f>IFERROR(KalkylSlut[[#This Row],[Mängd]]*KalkylSlut[[#This Row],[Omräknings-faktor]],"")</f>
        <v/>
      </c>
      <c r="M78" s="104" t="str">
        <f>IFERROR(F78*J78*VLOOKUP(H78,Materialtabell[[#All],[Materialnamn]:[Emissionsfaktor 2019
kg CO2e/kg]],5,0),"")</f>
        <v/>
      </c>
      <c r="N78" s="104" t="str">
        <f>IFERROR(F78*J78*VLOOKUP(H78,Materialtabell[[#All],[Materialnamn]:[Emissionsfaktor 2025
kg CO2e/kg]],6,0),"")</f>
        <v/>
      </c>
      <c r="O78" s="78" t="str">
        <f>IFERROR(VLOOKUP(H78,Materialtabell[[#All],[Materialnamn]:[Kommentar A4]],24,0),"")</f>
        <v/>
      </c>
      <c r="P78" s="94" t="str">
        <f>IFERROR(($F78*$J78*$O78*VLOOKUP($H78,Materialtabell[[#All],[Materialnamn]:[Bränsle 
MJ/ton, km]],25,0)*Materiallista!$AF$5)/1000,"")</f>
        <v/>
      </c>
      <c r="Q78" s="94" t="str">
        <f>IFERROR(($F78*$J78*$O78*VLOOKUP($H78,Materialtabell[[#All],[Materialnamn]:[Bränsle 
MJ/ton, km]],25,0)*Materiallista!$AF$6)/1000,"")</f>
        <v/>
      </c>
      <c r="R78" s="162"/>
      <c r="S78" s="3"/>
      <c r="T78" s="3"/>
    </row>
    <row r="79" spans="1:20" ht="15" customHeight="1" x14ac:dyDescent="0.25">
      <c r="A79" s="3"/>
      <c r="B79" s="185">
        <v>74</v>
      </c>
      <c r="C79" s="170"/>
      <c r="D79" s="103"/>
      <c r="E79" s="103"/>
      <c r="F79" s="78"/>
      <c r="G79" s="103"/>
      <c r="H79" s="102"/>
      <c r="I79" s="105" t="str">
        <f>IFERROR(VLOOKUP(KalkylSlut[[#This Row],[Klimatmaterial]],Materialtabell[[#All],[Materialnamn]:[Materialtyp]],2,0),"")</f>
        <v/>
      </c>
      <c r="J79" s="104" t="str">
        <f>IFERROR(IF(G79="kg",1,IF(G79="ton",1000,IF(G79=RIGHT(VLOOKUP(H79,Materialtabell[[#All],[Materialnamn]:[Enhet]],4,0),LEN(VLOOKUP(H79,Materialtabell[[#All],[Materialnamn]:[Enhet]],4,0))-3),VLOOKUP(H79,Materialtabell[[#All],[Materialnamn]:[Enhet]],3,0),"Enhetsfel"))),"")</f>
        <v/>
      </c>
      <c r="K79" s="105" t="str">
        <f>IFERROR(IF(G79="kg","kg/kg",IF(G79="ton","kg/ton",IF(RIGHT(VLOOKUP(H79,Materialtabell[[#All],[Materialnamn]:[Enhet]],4,0),LEN(VLOOKUP(H79,Materialtabell[[#All],[Materialnamn]:[Enhet]],4,0))-3)=G79,VLOOKUP(H79,Materialtabell[[#All],[Materialnamn]:[Enhet]],4,0),"kg/ton/"&amp;RIGHT(VLOOKUP(H79,Materialtabell[[#All],[Materialnamn]:[Enhet]],4,0),LEN(VLOOKUP(H79,Materialtabell[[#All],[Materialnamn]:[Enhet]],4,0))-3)))),"")</f>
        <v/>
      </c>
      <c r="L79" s="104" t="str">
        <f>IFERROR(KalkylSlut[[#This Row],[Mängd]]*KalkylSlut[[#This Row],[Omräknings-faktor]],"")</f>
        <v/>
      </c>
      <c r="M79" s="104" t="str">
        <f>IFERROR(F79*J79*VLOOKUP(H79,Materialtabell[[#All],[Materialnamn]:[Emissionsfaktor 2019
kg CO2e/kg]],5,0),"")</f>
        <v/>
      </c>
      <c r="N79" s="104" t="str">
        <f>IFERROR(F79*J79*VLOOKUP(H79,Materialtabell[[#All],[Materialnamn]:[Emissionsfaktor 2025
kg CO2e/kg]],6,0),"")</f>
        <v/>
      </c>
      <c r="O79" s="78" t="str">
        <f>IFERROR(VLOOKUP(H79,Materialtabell[[#All],[Materialnamn]:[Kommentar A4]],24,0),"")</f>
        <v/>
      </c>
      <c r="P79" s="94" t="str">
        <f>IFERROR(($F79*$J79*$O79*VLOOKUP($H79,Materialtabell[[#All],[Materialnamn]:[Bränsle 
MJ/ton, km]],25,0)*Materiallista!$AF$5)/1000,"")</f>
        <v/>
      </c>
      <c r="Q79" s="94" t="str">
        <f>IFERROR(($F79*$J79*$O79*VLOOKUP($H79,Materialtabell[[#All],[Materialnamn]:[Bränsle 
MJ/ton, km]],25,0)*Materiallista!$AF$6)/1000,"")</f>
        <v/>
      </c>
      <c r="R79" s="162"/>
      <c r="S79" s="3"/>
      <c r="T79" s="3"/>
    </row>
    <row r="80" spans="1:20" ht="15" customHeight="1" x14ac:dyDescent="0.25">
      <c r="A80" s="3"/>
      <c r="B80" s="185">
        <v>75</v>
      </c>
      <c r="C80" s="170"/>
      <c r="D80" s="103"/>
      <c r="E80" s="103"/>
      <c r="F80" s="78"/>
      <c r="G80" s="103"/>
      <c r="H80" s="102"/>
      <c r="I80" s="105" t="str">
        <f>IFERROR(VLOOKUP(KalkylSlut[[#This Row],[Klimatmaterial]],Materialtabell[[#All],[Materialnamn]:[Materialtyp]],2,0),"")</f>
        <v/>
      </c>
      <c r="J80" s="104" t="str">
        <f>IFERROR(IF(G80="kg",1,IF(G80="ton",1000,IF(G80=RIGHT(VLOOKUP(H80,Materialtabell[[#All],[Materialnamn]:[Enhet]],4,0),LEN(VLOOKUP(H80,Materialtabell[[#All],[Materialnamn]:[Enhet]],4,0))-3),VLOOKUP(H80,Materialtabell[[#All],[Materialnamn]:[Enhet]],3,0),"Enhetsfel"))),"")</f>
        <v/>
      </c>
      <c r="K80" s="105" t="str">
        <f>IFERROR(IF(G80="kg","kg/kg",IF(G80="ton","kg/ton",IF(RIGHT(VLOOKUP(H80,Materialtabell[[#All],[Materialnamn]:[Enhet]],4,0),LEN(VLOOKUP(H80,Materialtabell[[#All],[Materialnamn]:[Enhet]],4,0))-3)=G80,VLOOKUP(H80,Materialtabell[[#All],[Materialnamn]:[Enhet]],4,0),"kg/ton/"&amp;RIGHT(VLOOKUP(H80,Materialtabell[[#All],[Materialnamn]:[Enhet]],4,0),LEN(VLOOKUP(H80,Materialtabell[[#All],[Materialnamn]:[Enhet]],4,0))-3)))),"")</f>
        <v/>
      </c>
      <c r="L80" s="104" t="str">
        <f>IFERROR(KalkylSlut[[#This Row],[Mängd]]*KalkylSlut[[#This Row],[Omräknings-faktor]],"")</f>
        <v/>
      </c>
      <c r="M80" s="104" t="str">
        <f>IFERROR(F80*J80*VLOOKUP(H80,Materialtabell[[#All],[Materialnamn]:[Emissionsfaktor 2019
kg CO2e/kg]],5,0),"")</f>
        <v/>
      </c>
      <c r="N80" s="104" t="str">
        <f>IFERROR(F80*J80*VLOOKUP(H80,Materialtabell[[#All],[Materialnamn]:[Emissionsfaktor 2025
kg CO2e/kg]],6,0),"")</f>
        <v/>
      </c>
      <c r="O80" s="78" t="str">
        <f>IFERROR(VLOOKUP(H80,Materialtabell[[#All],[Materialnamn]:[Kommentar A4]],24,0),"")</f>
        <v/>
      </c>
      <c r="P80" s="94" t="str">
        <f>IFERROR(($F80*$J80*$O80*VLOOKUP($H80,Materialtabell[[#All],[Materialnamn]:[Bränsle 
MJ/ton, km]],25,0)*Materiallista!$AF$5)/1000,"")</f>
        <v/>
      </c>
      <c r="Q80" s="94" t="str">
        <f>IFERROR(($F80*$J80*$O80*VLOOKUP($H80,Materialtabell[[#All],[Materialnamn]:[Bränsle 
MJ/ton, km]],25,0)*Materiallista!$AF$6)/1000,"")</f>
        <v/>
      </c>
      <c r="R80" s="162"/>
      <c r="S80" s="3"/>
      <c r="T80" s="3"/>
    </row>
    <row r="81" spans="1:20" ht="15" customHeight="1" x14ac:dyDescent="0.25">
      <c r="A81" s="3"/>
      <c r="B81" s="185">
        <v>76</v>
      </c>
      <c r="C81" s="170"/>
      <c r="D81" s="103"/>
      <c r="E81" s="103"/>
      <c r="F81" s="78"/>
      <c r="G81" s="103"/>
      <c r="H81" s="102"/>
      <c r="I81" s="105" t="str">
        <f>IFERROR(VLOOKUP(KalkylSlut[[#This Row],[Klimatmaterial]],Materialtabell[[#All],[Materialnamn]:[Materialtyp]],2,0),"")</f>
        <v/>
      </c>
      <c r="J81" s="104" t="str">
        <f>IFERROR(IF(G81="kg",1,IF(G81="ton",1000,IF(G81=RIGHT(VLOOKUP(H81,Materialtabell[[#All],[Materialnamn]:[Enhet]],4,0),LEN(VLOOKUP(H81,Materialtabell[[#All],[Materialnamn]:[Enhet]],4,0))-3),VLOOKUP(H81,Materialtabell[[#All],[Materialnamn]:[Enhet]],3,0),"Enhetsfel"))),"")</f>
        <v/>
      </c>
      <c r="K81" s="105" t="str">
        <f>IFERROR(IF(G81="kg","kg/kg",IF(G81="ton","kg/ton",IF(RIGHT(VLOOKUP(H81,Materialtabell[[#All],[Materialnamn]:[Enhet]],4,0),LEN(VLOOKUP(H81,Materialtabell[[#All],[Materialnamn]:[Enhet]],4,0))-3)=G81,VLOOKUP(H81,Materialtabell[[#All],[Materialnamn]:[Enhet]],4,0),"kg/ton/"&amp;RIGHT(VLOOKUP(H81,Materialtabell[[#All],[Materialnamn]:[Enhet]],4,0),LEN(VLOOKUP(H81,Materialtabell[[#All],[Materialnamn]:[Enhet]],4,0))-3)))),"")</f>
        <v/>
      </c>
      <c r="L81" s="104" t="str">
        <f>IFERROR(KalkylSlut[[#This Row],[Mängd]]*KalkylSlut[[#This Row],[Omräknings-faktor]],"")</f>
        <v/>
      </c>
      <c r="M81" s="104" t="str">
        <f>IFERROR(F81*J81*VLOOKUP(H81,Materialtabell[[#All],[Materialnamn]:[Emissionsfaktor 2019
kg CO2e/kg]],5,0),"")</f>
        <v/>
      </c>
      <c r="N81" s="104" t="str">
        <f>IFERROR(F81*J81*VLOOKUP(H81,Materialtabell[[#All],[Materialnamn]:[Emissionsfaktor 2025
kg CO2e/kg]],6,0),"")</f>
        <v/>
      </c>
      <c r="O81" s="78" t="str">
        <f>IFERROR(VLOOKUP(H81,Materialtabell[[#All],[Materialnamn]:[Kommentar A4]],24,0),"")</f>
        <v/>
      </c>
      <c r="P81" s="94" t="str">
        <f>IFERROR(($F81*$J81*$O81*VLOOKUP($H81,Materialtabell[[#All],[Materialnamn]:[Bränsle 
MJ/ton, km]],25,0)*Materiallista!$AF$5)/1000,"")</f>
        <v/>
      </c>
      <c r="Q81" s="94" t="str">
        <f>IFERROR(($F81*$J81*$O81*VLOOKUP($H81,Materialtabell[[#All],[Materialnamn]:[Bränsle 
MJ/ton, km]],25,0)*Materiallista!$AF$6)/1000,"")</f>
        <v/>
      </c>
      <c r="R81" s="162"/>
      <c r="S81" s="3"/>
      <c r="T81" s="3"/>
    </row>
    <row r="82" spans="1:20" ht="15" customHeight="1" x14ac:dyDescent="0.25">
      <c r="A82" s="3"/>
      <c r="B82" s="185">
        <v>77</v>
      </c>
      <c r="C82" s="170"/>
      <c r="D82" s="103"/>
      <c r="E82" s="103"/>
      <c r="F82" s="78"/>
      <c r="G82" s="103"/>
      <c r="H82" s="102"/>
      <c r="I82" s="105" t="str">
        <f>IFERROR(VLOOKUP(KalkylSlut[[#This Row],[Klimatmaterial]],Materialtabell[[#All],[Materialnamn]:[Materialtyp]],2,0),"")</f>
        <v/>
      </c>
      <c r="J82" s="104" t="str">
        <f>IFERROR(IF(G82="kg",1,IF(G82="ton",1000,IF(G82=RIGHT(VLOOKUP(H82,Materialtabell[[#All],[Materialnamn]:[Enhet]],4,0),LEN(VLOOKUP(H82,Materialtabell[[#All],[Materialnamn]:[Enhet]],4,0))-3),VLOOKUP(H82,Materialtabell[[#All],[Materialnamn]:[Enhet]],3,0),"Enhetsfel"))),"")</f>
        <v/>
      </c>
      <c r="K82" s="105" t="str">
        <f>IFERROR(IF(G82="kg","kg/kg",IF(G82="ton","kg/ton",IF(RIGHT(VLOOKUP(H82,Materialtabell[[#All],[Materialnamn]:[Enhet]],4,0),LEN(VLOOKUP(H82,Materialtabell[[#All],[Materialnamn]:[Enhet]],4,0))-3)=G82,VLOOKUP(H82,Materialtabell[[#All],[Materialnamn]:[Enhet]],4,0),"kg/ton/"&amp;RIGHT(VLOOKUP(H82,Materialtabell[[#All],[Materialnamn]:[Enhet]],4,0),LEN(VLOOKUP(H82,Materialtabell[[#All],[Materialnamn]:[Enhet]],4,0))-3)))),"")</f>
        <v/>
      </c>
      <c r="L82" s="104" t="str">
        <f>IFERROR(KalkylSlut[[#This Row],[Mängd]]*KalkylSlut[[#This Row],[Omräknings-faktor]],"")</f>
        <v/>
      </c>
      <c r="M82" s="104" t="str">
        <f>IFERROR(F82*J82*VLOOKUP(H82,Materialtabell[[#All],[Materialnamn]:[Emissionsfaktor 2019
kg CO2e/kg]],5,0),"")</f>
        <v/>
      </c>
      <c r="N82" s="104" t="str">
        <f>IFERROR(F82*J82*VLOOKUP(H82,Materialtabell[[#All],[Materialnamn]:[Emissionsfaktor 2025
kg CO2e/kg]],6,0),"")</f>
        <v/>
      </c>
      <c r="O82" s="78" t="str">
        <f>IFERROR(VLOOKUP(H82,Materialtabell[[#All],[Materialnamn]:[Kommentar A4]],24,0),"")</f>
        <v/>
      </c>
      <c r="P82" s="94" t="str">
        <f>IFERROR(($F82*$J82*$O82*VLOOKUP($H82,Materialtabell[[#All],[Materialnamn]:[Bränsle 
MJ/ton, km]],25,0)*Materiallista!$AF$5)/1000,"")</f>
        <v/>
      </c>
      <c r="Q82" s="94" t="str">
        <f>IFERROR(($F82*$J82*$O82*VLOOKUP($H82,Materialtabell[[#All],[Materialnamn]:[Bränsle 
MJ/ton, km]],25,0)*Materiallista!$AF$6)/1000,"")</f>
        <v/>
      </c>
      <c r="R82" s="162"/>
      <c r="S82" s="3"/>
      <c r="T82" s="3"/>
    </row>
    <row r="83" spans="1:20" ht="15" customHeight="1" x14ac:dyDescent="0.25">
      <c r="A83" s="3"/>
      <c r="B83" s="185">
        <v>78</v>
      </c>
      <c r="C83" s="170"/>
      <c r="D83" s="103"/>
      <c r="E83" s="103"/>
      <c r="F83" s="78"/>
      <c r="G83" s="103"/>
      <c r="H83" s="102"/>
      <c r="I83" s="105" t="str">
        <f>IFERROR(VLOOKUP(KalkylSlut[[#This Row],[Klimatmaterial]],Materialtabell[[#All],[Materialnamn]:[Materialtyp]],2,0),"")</f>
        <v/>
      </c>
      <c r="J83" s="104" t="str">
        <f>IFERROR(IF(G83="kg",1,IF(G83="ton",1000,IF(G83=RIGHT(VLOOKUP(H83,Materialtabell[[#All],[Materialnamn]:[Enhet]],4,0),LEN(VLOOKUP(H83,Materialtabell[[#All],[Materialnamn]:[Enhet]],4,0))-3),VLOOKUP(H83,Materialtabell[[#All],[Materialnamn]:[Enhet]],3,0),"Enhetsfel"))),"")</f>
        <v/>
      </c>
      <c r="K83" s="105" t="str">
        <f>IFERROR(IF(G83="kg","kg/kg",IF(G83="ton","kg/ton",IF(RIGHT(VLOOKUP(H83,Materialtabell[[#All],[Materialnamn]:[Enhet]],4,0),LEN(VLOOKUP(H83,Materialtabell[[#All],[Materialnamn]:[Enhet]],4,0))-3)=G83,VLOOKUP(H83,Materialtabell[[#All],[Materialnamn]:[Enhet]],4,0),"kg/ton/"&amp;RIGHT(VLOOKUP(H83,Materialtabell[[#All],[Materialnamn]:[Enhet]],4,0),LEN(VLOOKUP(H83,Materialtabell[[#All],[Materialnamn]:[Enhet]],4,0))-3)))),"")</f>
        <v/>
      </c>
      <c r="L83" s="104" t="str">
        <f>IFERROR(KalkylSlut[[#This Row],[Mängd]]*KalkylSlut[[#This Row],[Omräknings-faktor]],"")</f>
        <v/>
      </c>
      <c r="M83" s="104" t="str">
        <f>IFERROR(F83*J83*VLOOKUP(H83,Materialtabell[[#All],[Materialnamn]:[Emissionsfaktor 2019
kg CO2e/kg]],5,0),"")</f>
        <v/>
      </c>
      <c r="N83" s="104" t="str">
        <f>IFERROR(F83*J83*VLOOKUP(H83,Materialtabell[[#All],[Materialnamn]:[Emissionsfaktor 2025
kg CO2e/kg]],6,0),"")</f>
        <v/>
      </c>
      <c r="O83" s="78" t="str">
        <f>IFERROR(VLOOKUP(H83,Materialtabell[[#All],[Materialnamn]:[Kommentar A4]],24,0),"")</f>
        <v/>
      </c>
      <c r="P83" s="94" t="str">
        <f>IFERROR(($F83*$J83*$O83*VLOOKUP($H83,Materialtabell[[#All],[Materialnamn]:[Bränsle 
MJ/ton, km]],25,0)*Materiallista!$AF$5)/1000,"")</f>
        <v/>
      </c>
      <c r="Q83" s="94" t="str">
        <f>IFERROR(($F83*$J83*$O83*VLOOKUP($H83,Materialtabell[[#All],[Materialnamn]:[Bränsle 
MJ/ton, km]],25,0)*Materiallista!$AF$6)/1000,"")</f>
        <v/>
      </c>
      <c r="R83" s="162"/>
      <c r="S83" s="3"/>
      <c r="T83" s="3"/>
    </row>
    <row r="84" spans="1:20" x14ac:dyDescent="0.25">
      <c r="A84" s="3"/>
      <c r="B84" s="185">
        <v>79</v>
      </c>
      <c r="C84" s="170"/>
      <c r="D84" s="103"/>
      <c r="E84" s="103"/>
      <c r="F84" s="78"/>
      <c r="G84" s="103"/>
      <c r="H84" s="102"/>
      <c r="I84" s="105" t="str">
        <f>IFERROR(VLOOKUP(KalkylSlut[[#This Row],[Klimatmaterial]],Materialtabell[[#All],[Materialnamn]:[Materialtyp]],2,0),"")</f>
        <v/>
      </c>
      <c r="J84" s="104" t="str">
        <f>IFERROR(IF(G84="kg",1,IF(G84="ton",1000,IF(G84=RIGHT(VLOOKUP(H84,Materialtabell[[#All],[Materialnamn]:[Enhet]],4,0),LEN(VLOOKUP(H84,Materialtabell[[#All],[Materialnamn]:[Enhet]],4,0))-3),VLOOKUP(H84,Materialtabell[[#All],[Materialnamn]:[Enhet]],3,0),"Enhetsfel"))),"")</f>
        <v/>
      </c>
      <c r="K84" s="105" t="str">
        <f>IFERROR(IF(G84="kg","kg/kg",IF(G84="ton","kg/ton",IF(RIGHT(VLOOKUP(H84,Materialtabell[[#All],[Materialnamn]:[Enhet]],4,0),LEN(VLOOKUP(H84,Materialtabell[[#All],[Materialnamn]:[Enhet]],4,0))-3)=G84,VLOOKUP(H84,Materialtabell[[#All],[Materialnamn]:[Enhet]],4,0),"kg/ton/"&amp;RIGHT(VLOOKUP(H84,Materialtabell[[#All],[Materialnamn]:[Enhet]],4,0),LEN(VLOOKUP(H84,Materialtabell[[#All],[Materialnamn]:[Enhet]],4,0))-3)))),"")</f>
        <v/>
      </c>
      <c r="L84" s="104" t="str">
        <f>IFERROR(KalkylSlut[[#This Row],[Mängd]]*KalkylSlut[[#This Row],[Omräknings-faktor]],"")</f>
        <v/>
      </c>
      <c r="M84" s="104" t="str">
        <f>IFERROR(F84*J84*VLOOKUP(H84,Materialtabell[[#All],[Materialnamn]:[Emissionsfaktor 2019
kg CO2e/kg]],5,0),"")</f>
        <v/>
      </c>
      <c r="N84" s="104" t="str">
        <f>IFERROR(F84*J84*VLOOKUP(H84,Materialtabell[[#All],[Materialnamn]:[Emissionsfaktor 2025
kg CO2e/kg]],6,0),"")</f>
        <v/>
      </c>
      <c r="O84" s="78" t="str">
        <f>IFERROR(VLOOKUP(H84,Materialtabell[[#All],[Materialnamn]:[Kommentar A4]],24,0),"")</f>
        <v/>
      </c>
      <c r="P84" s="94" t="str">
        <f>IFERROR(($F84*$J84*$O84*VLOOKUP($H84,Materialtabell[[#All],[Materialnamn]:[Bränsle 
MJ/ton, km]],25,0)*Materiallista!$AF$5)/1000,"")</f>
        <v/>
      </c>
      <c r="Q84" s="94" t="str">
        <f>IFERROR(($F84*$J84*$O84*VLOOKUP($H84,Materialtabell[[#All],[Materialnamn]:[Bränsle 
MJ/ton, km]],25,0)*Materiallista!$AF$6)/1000,"")</f>
        <v/>
      </c>
      <c r="R84" s="162"/>
      <c r="S84" s="3"/>
      <c r="T84" s="3"/>
    </row>
    <row r="85" spans="1:20" x14ac:dyDescent="0.25">
      <c r="A85" s="3"/>
      <c r="B85" s="185">
        <v>80</v>
      </c>
      <c r="C85" s="170"/>
      <c r="D85" s="103"/>
      <c r="E85" s="103"/>
      <c r="F85" s="78"/>
      <c r="G85" s="103"/>
      <c r="H85" s="102"/>
      <c r="I85" s="105" t="str">
        <f>IFERROR(VLOOKUP(KalkylSlut[[#This Row],[Klimatmaterial]],Materialtabell[[#All],[Materialnamn]:[Materialtyp]],2,0),"")</f>
        <v/>
      </c>
      <c r="J85" s="104" t="str">
        <f>IFERROR(IF(G85="kg",1,IF(G85="ton",1000,IF(G85=RIGHT(VLOOKUP(H85,Materialtabell[[#All],[Materialnamn]:[Enhet]],4,0),LEN(VLOOKUP(H85,Materialtabell[[#All],[Materialnamn]:[Enhet]],4,0))-3),VLOOKUP(H85,Materialtabell[[#All],[Materialnamn]:[Enhet]],3,0),"Enhetsfel"))),"")</f>
        <v/>
      </c>
      <c r="K85" s="105" t="str">
        <f>IFERROR(IF(G85="kg","kg/kg",IF(G85="ton","kg/ton",IF(RIGHT(VLOOKUP(H85,Materialtabell[[#All],[Materialnamn]:[Enhet]],4,0),LEN(VLOOKUP(H85,Materialtabell[[#All],[Materialnamn]:[Enhet]],4,0))-3)=G85,VLOOKUP(H85,Materialtabell[[#All],[Materialnamn]:[Enhet]],4,0),"kg/ton/"&amp;RIGHT(VLOOKUP(H85,Materialtabell[[#All],[Materialnamn]:[Enhet]],4,0),LEN(VLOOKUP(H85,Materialtabell[[#All],[Materialnamn]:[Enhet]],4,0))-3)))),"")</f>
        <v/>
      </c>
      <c r="L85" s="104" t="str">
        <f>IFERROR(KalkylSlut[[#This Row],[Mängd]]*KalkylSlut[[#This Row],[Omräknings-faktor]],"")</f>
        <v/>
      </c>
      <c r="M85" s="104" t="str">
        <f>IFERROR(F85*J85*VLOOKUP(H85,Materialtabell[[#All],[Materialnamn]:[Emissionsfaktor 2019
kg CO2e/kg]],5,0),"")</f>
        <v/>
      </c>
      <c r="N85" s="104" t="str">
        <f>IFERROR(F85*J85*VLOOKUP(H85,Materialtabell[[#All],[Materialnamn]:[Emissionsfaktor 2025
kg CO2e/kg]],6,0),"")</f>
        <v/>
      </c>
      <c r="O85" s="78" t="str">
        <f>IFERROR(VLOOKUP(H85,Materialtabell[[#All],[Materialnamn]:[Kommentar A4]],24,0),"")</f>
        <v/>
      </c>
      <c r="P85" s="94" t="str">
        <f>IFERROR(($F85*$J85*$O85*VLOOKUP($H85,Materialtabell[[#All],[Materialnamn]:[Bränsle 
MJ/ton, km]],25,0)*Materiallista!$AF$5)/1000,"")</f>
        <v/>
      </c>
      <c r="Q85" s="94" t="str">
        <f>IFERROR(($F85*$J85*$O85*VLOOKUP($H85,Materialtabell[[#All],[Materialnamn]:[Bränsle 
MJ/ton, km]],25,0)*Materiallista!$AF$6)/1000,"")</f>
        <v/>
      </c>
      <c r="R85" s="162"/>
      <c r="S85" s="3"/>
      <c r="T85" s="3"/>
    </row>
    <row r="86" spans="1:20" x14ac:dyDescent="0.25">
      <c r="A86" s="3"/>
      <c r="B86" s="185">
        <v>81</v>
      </c>
      <c r="C86" s="170"/>
      <c r="D86" s="103"/>
      <c r="E86" s="103"/>
      <c r="F86" s="78"/>
      <c r="G86" s="103"/>
      <c r="H86" s="102"/>
      <c r="I86" s="105" t="str">
        <f>IFERROR(VLOOKUP(KalkylSlut[[#This Row],[Klimatmaterial]],Materialtabell[[#All],[Materialnamn]:[Materialtyp]],2,0),"")</f>
        <v/>
      </c>
      <c r="J86" s="104" t="str">
        <f>IFERROR(IF(G86="kg",1,IF(G86="ton",1000,IF(G86=RIGHT(VLOOKUP(H86,Materialtabell[[#All],[Materialnamn]:[Enhet]],4,0),LEN(VLOOKUP(H86,Materialtabell[[#All],[Materialnamn]:[Enhet]],4,0))-3),VLOOKUP(H86,Materialtabell[[#All],[Materialnamn]:[Enhet]],3,0),"Enhetsfel"))),"")</f>
        <v/>
      </c>
      <c r="K86" s="105" t="str">
        <f>IFERROR(IF(G86="kg","kg/kg",IF(G86="ton","kg/ton",IF(RIGHT(VLOOKUP(H86,Materialtabell[[#All],[Materialnamn]:[Enhet]],4,0),LEN(VLOOKUP(H86,Materialtabell[[#All],[Materialnamn]:[Enhet]],4,0))-3)=G86,VLOOKUP(H86,Materialtabell[[#All],[Materialnamn]:[Enhet]],4,0),"kg/ton/"&amp;RIGHT(VLOOKUP(H86,Materialtabell[[#All],[Materialnamn]:[Enhet]],4,0),LEN(VLOOKUP(H86,Materialtabell[[#All],[Materialnamn]:[Enhet]],4,0))-3)))),"")</f>
        <v/>
      </c>
      <c r="L86" s="104" t="str">
        <f>IFERROR(KalkylSlut[[#This Row],[Mängd]]*KalkylSlut[[#This Row],[Omräknings-faktor]],"")</f>
        <v/>
      </c>
      <c r="M86" s="104" t="str">
        <f>IFERROR(F86*J86*VLOOKUP(H86,Materialtabell[[#All],[Materialnamn]:[Emissionsfaktor 2019
kg CO2e/kg]],5,0),"")</f>
        <v/>
      </c>
      <c r="N86" s="104" t="str">
        <f>IFERROR(F86*J86*VLOOKUP(H86,Materialtabell[[#All],[Materialnamn]:[Emissionsfaktor 2025
kg CO2e/kg]],6,0),"")</f>
        <v/>
      </c>
      <c r="O86" s="78" t="str">
        <f>IFERROR(VLOOKUP(H86,Materialtabell[[#All],[Materialnamn]:[Kommentar A4]],24,0),"")</f>
        <v/>
      </c>
      <c r="P86" s="94" t="str">
        <f>IFERROR(($F86*$J86*$O86*VLOOKUP($H86,Materialtabell[[#All],[Materialnamn]:[Bränsle 
MJ/ton, km]],25,0)*Materiallista!$AF$5)/1000,"")</f>
        <v/>
      </c>
      <c r="Q86" s="94" t="str">
        <f>IFERROR(($F86*$J86*$O86*VLOOKUP($H86,Materialtabell[[#All],[Materialnamn]:[Bränsle 
MJ/ton, km]],25,0)*Materiallista!$AF$6)/1000,"")</f>
        <v/>
      </c>
      <c r="R86" s="162"/>
      <c r="S86" s="3"/>
      <c r="T86" s="3"/>
    </row>
    <row r="87" spans="1:20" x14ac:dyDescent="0.25">
      <c r="A87" s="3"/>
      <c r="B87" s="185">
        <v>82</v>
      </c>
      <c r="C87" s="170"/>
      <c r="D87" s="103"/>
      <c r="E87" s="103"/>
      <c r="F87" s="78"/>
      <c r="G87" s="103"/>
      <c r="H87" s="102"/>
      <c r="I87" s="105" t="str">
        <f>IFERROR(VLOOKUP(KalkylSlut[[#This Row],[Klimatmaterial]],Materialtabell[[#All],[Materialnamn]:[Materialtyp]],2,0),"")</f>
        <v/>
      </c>
      <c r="J87" s="104" t="str">
        <f>IFERROR(IF(G87="kg",1,IF(G87="ton",1000,IF(G87=RIGHT(VLOOKUP(H87,Materialtabell[[#All],[Materialnamn]:[Enhet]],4,0),LEN(VLOOKUP(H87,Materialtabell[[#All],[Materialnamn]:[Enhet]],4,0))-3),VLOOKUP(H87,Materialtabell[[#All],[Materialnamn]:[Enhet]],3,0),"Enhetsfel"))),"")</f>
        <v/>
      </c>
      <c r="K87" s="105" t="str">
        <f>IFERROR(IF(G87="kg","kg/kg",IF(G87="ton","kg/ton",IF(RIGHT(VLOOKUP(H87,Materialtabell[[#All],[Materialnamn]:[Enhet]],4,0),LEN(VLOOKUP(H87,Materialtabell[[#All],[Materialnamn]:[Enhet]],4,0))-3)=G87,VLOOKUP(H87,Materialtabell[[#All],[Materialnamn]:[Enhet]],4,0),"kg/ton/"&amp;RIGHT(VLOOKUP(H87,Materialtabell[[#All],[Materialnamn]:[Enhet]],4,0),LEN(VLOOKUP(H87,Materialtabell[[#All],[Materialnamn]:[Enhet]],4,0))-3)))),"")</f>
        <v/>
      </c>
      <c r="L87" s="104" t="str">
        <f>IFERROR(KalkylSlut[[#This Row],[Mängd]]*KalkylSlut[[#This Row],[Omräknings-faktor]],"")</f>
        <v/>
      </c>
      <c r="M87" s="104" t="str">
        <f>IFERROR(F87*J87*VLOOKUP(H87,Materialtabell[[#All],[Materialnamn]:[Emissionsfaktor 2019
kg CO2e/kg]],5,0),"")</f>
        <v/>
      </c>
      <c r="N87" s="104" t="str">
        <f>IFERROR(F87*J87*VLOOKUP(H87,Materialtabell[[#All],[Materialnamn]:[Emissionsfaktor 2025
kg CO2e/kg]],6,0),"")</f>
        <v/>
      </c>
      <c r="O87" s="78" t="str">
        <f>IFERROR(VLOOKUP(H87,Materialtabell[[#All],[Materialnamn]:[Kommentar A4]],24,0),"")</f>
        <v/>
      </c>
      <c r="P87" s="94" t="str">
        <f>IFERROR(($F87*$J87*$O87*VLOOKUP($H87,Materialtabell[[#All],[Materialnamn]:[Bränsle 
MJ/ton, km]],25,0)*Materiallista!$AF$5)/1000,"")</f>
        <v/>
      </c>
      <c r="Q87" s="94" t="str">
        <f>IFERROR(($F87*$J87*$O87*VLOOKUP($H87,Materialtabell[[#All],[Materialnamn]:[Bränsle 
MJ/ton, km]],25,0)*Materiallista!$AF$6)/1000,"")</f>
        <v/>
      </c>
      <c r="R87" s="162"/>
      <c r="S87" s="3"/>
      <c r="T87" s="3"/>
    </row>
    <row r="88" spans="1:20" x14ac:dyDescent="0.25">
      <c r="A88" s="3"/>
      <c r="B88" s="185">
        <v>83</v>
      </c>
      <c r="C88" s="170"/>
      <c r="D88" s="103"/>
      <c r="E88" s="103"/>
      <c r="F88" s="78"/>
      <c r="G88" s="103"/>
      <c r="H88" s="102"/>
      <c r="I88" s="105" t="str">
        <f>IFERROR(VLOOKUP(KalkylSlut[[#This Row],[Klimatmaterial]],Materialtabell[[#All],[Materialnamn]:[Materialtyp]],2,0),"")</f>
        <v/>
      </c>
      <c r="J88" s="104" t="str">
        <f>IFERROR(IF(G88="kg",1,IF(G88="ton",1000,IF(G88=RIGHT(VLOOKUP(H88,Materialtabell[[#All],[Materialnamn]:[Enhet]],4,0),LEN(VLOOKUP(H88,Materialtabell[[#All],[Materialnamn]:[Enhet]],4,0))-3),VLOOKUP(H88,Materialtabell[[#All],[Materialnamn]:[Enhet]],3,0),"Enhetsfel"))),"")</f>
        <v/>
      </c>
      <c r="K88" s="105" t="str">
        <f>IFERROR(IF(G88="kg","kg/kg",IF(G88="ton","kg/ton",IF(RIGHT(VLOOKUP(H88,Materialtabell[[#All],[Materialnamn]:[Enhet]],4,0),LEN(VLOOKUP(H88,Materialtabell[[#All],[Materialnamn]:[Enhet]],4,0))-3)=G88,VLOOKUP(H88,Materialtabell[[#All],[Materialnamn]:[Enhet]],4,0),"kg/ton/"&amp;RIGHT(VLOOKUP(H88,Materialtabell[[#All],[Materialnamn]:[Enhet]],4,0),LEN(VLOOKUP(H88,Materialtabell[[#All],[Materialnamn]:[Enhet]],4,0))-3)))),"")</f>
        <v/>
      </c>
      <c r="L88" s="104" t="str">
        <f>IFERROR(KalkylSlut[[#This Row],[Mängd]]*KalkylSlut[[#This Row],[Omräknings-faktor]],"")</f>
        <v/>
      </c>
      <c r="M88" s="104" t="str">
        <f>IFERROR(F88*J88*VLOOKUP(H88,Materialtabell[[#All],[Materialnamn]:[Emissionsfaktor 2019
kg CO2e/kg]],5,0),"")</f>
        <v/>
      </c>
      <c r="N88" s="104" t="str">
        <f>IFERROR(F88*J88*VLOOKUP(H88,Materialtabell[[#All],[Materialnamn]:[Emissionsfaktor 2025
kg CO2e/kg]],6,0),"")</f>
        <v/>
      </c>
      <c r="O88" s="78" t="str">
        <f>IFERROR(VLOOKUP(H88,Materialtabell[[#All],[Materialnamn]:[Kommentar A4]],24,0),"")</f>
        <v/>
      </c>
      <c r="P88" s="94" t="str">
        <f>IFERROR(($F88*$J88*$O88*VLOOKUP($H88,Materialtabell[[#All],[Materialnamn]:[Bränsle 
MJ/ton, km]],25,0)*Materiallista!$AF$5)/1000,"")</f>
        <v/>
      </c>
      <c r="Q88" s="94" t="str">
        <f>IFERROR(($F88*$J88*$O88*VLOOKUP($H88,Materialtabell[[#All],[Materialnamn]:[Bränsle 
MJ/ton, km]],25,0)*Materiallista!$AF$6)/1000,"")</f>
        <v/>
      </c>
      <c r="R88" s="162"/>
      <c r="S88" s="3"/>
      <c r="T88" s="3"/>
    </row>
    <row r="89" spans="1:20" x14ac:dyDescent="0.25">
      <c r="A89" s="3"/>
      <c r="B89" s="185">
        <v>84</v>
      </c>
      <c r="C89" s="170"/>
      <c r="D89" s="103"/>
      <c r="E89" s="103"/>
      <c r="F89" s="78"/>
      <c r="G89" s="103"/>
      <c r="H89" s="102"/>
      <c r="I89" s="105" t="str">
        <f>IFERROR(VLOOKUP(KalkylSlut[[#This Row],[Klimatmaterial]],Materialtabell[[#All],[Materialnamn]:[Materialtyp]],2,0),"")</f>
        <v/>
      </c>
      <c r="J89" s="104" t="str">
        <f>IFERROR(IF(G89="kg",1,IF(G89="ton",1000,IF(G89=RIGHT(VLOOKUP(H89,Materialtabell[[#All],[Materialnamn]:[Enhet]],4,0),LEN(VLOOKUP(H89,Materialtabell[[#All],[Materialnamn]:[Enhet]],4,0))-3),VLOOKUP(H89,Materialtabell[[#All],[Materialnamn]:[Enhet]],3,0),"Enhetsfel"))),"")</f>
        <v/>
      </c>
      <c r="K89" s="105" t="str">
        <f>IFERROR(IF(G89="kg","kg/kg",IF(G89="ton","kg/ton",IF(RIGHT(VLOOKUP(H89,Materialtabell[[#All],[Materialnamn]:[Enhet]],4,0),LEN(VLOOKUP(H89,Materialtabell[[#All],[Materialnamn]:[Enhet]],4,0))-3)=G89,VLOOKUP(H89,Materialtabell[[#All],[Materialnamn]:[Enhet]],4,0),"kg/ton/"&amp;RIGHT(VLOOKUP(H89,Materialtabell[[#All],[Materialnamn]:[Enhet]],4,0),LEN(VLOOKUP(H89,Materialtabell[[#All],[Materialnamn]:[Enhet]],4,0))-3)))),"")</f>
        <v/>
      </c>
      <c r="L89" s="104" t="str">
        <f>IFERROR(KalkylSlut[[#This Row],[Mängd]]*KalkylSlut[[#This Row],[Omräknings-faktor]],"")</f>
        <v/>
      </c>
      <c r="M89" s="104" t="str">
        <f>IFERROR(F89*J89*VLOOKUP(H89,Materialtabell[[#All],[Materialnamn]:[Emissionsfaktor 2019
kg CO2e/kg]],5,0),"")</f>
        <v/>
      </c>
      <c r="N89" s="104" t="str">
        <f>IFERROR(F89*J89*VLOOKUP(H89,Materialtabell[[#All],[Materialnamn]:[Emissionsfaktor 2025
kg CO2e/kg]],6,0),"")</f>
        <v/>
      </c>
      <c r="O89" s="78" t="str">
        <f>IFERROR(VLOOKUP(H89,Materialtabell[[#All],[Materialnamn]:[Kommentar A4]],24,0),"")</f>
        <v/>
      </c>
      <c r="P89" s="94" t="str">
        <f>IFERROR(($F89*$J89*$O89*VLOOKUP($H89,Materialtabell[[#All],[Materialnamn]:[Bränsle 
MJ/ton, km]],25,0)*Materiallista!$AF$5)/1000,"")</f>
        <v/>
      </c>
      <c r="Q89" s="94" t="str">
        <f>IFERROR(($F89*$J89*$O89*VLOOKUP($H89,Materialtabell[[#All],[Materialnamn]:[Bränsle 
MJ/ton, km]],25,0)*Materiallista!$AF$6)/1000,"")</f>
        <v/>
      </c>
      <c r="R89" s="162"/>
      <c r="S89" s="3"/>
      <c r="T89" s="3"/>
    </row>
    <row r="90" spans="1:20" x14ac:dyDescent="0.25">
      <c r="A90" s="3"/>
      <c r="B90" s="185">
        <v>85</v>
      </c>
      <c r="C90" s="170"/>
      <c r="D90" s="103"/>
      <c r="E90" s="103"/>
      <c r="F90" s="78"/>
      <c r="G90" s="103"/>
      <c r="H90" s="102"/>
      <c r="I90" s="105" t="str">
        <f>IFERROR(VLOOKUP(KalkylSlut[[#This Row],[Klimatmaterial]],Materialtabell[[#All],[Materialnamn]:[Materialtyp]],2,0),"")</f>
        <v/>
      </c>
      <c r="J90" s="104" t="str">
        <f>IFERROR(IF(G90="kg",1,IF(G90="ton",1000,IF(G90=RIGHT(VLOOKUP(H90,Materialtabell[[#All],[Materialnamn]:[Enhet]],4,0),LEN(VLOOKUP(H90,Materialtabell[[#All],[Materialnamn]:[Enhet]],4,0))-3),VLOOKUP(H90,Materialtabell[[#All],[Materialnamn]:[Enhet]],3,0),"Enhetsfel"))),"")</f>
        <v/>
      </c>
      <c r="K90" s="105" t="str">
        <f>IFERROR(IF(G90="kg","kg/kg",IF(G90="ton","kg/ton",IF(RIGHT(VLOOKUP(H90,Materialtabell[[#All],[Materialnamn]:[Enhet]],4,0),LEN(VLOOKUP(H90,Materialtabell[[#All],[Materialnamn]:[Enhet]],4,0))-3)=G90,VLOOKUP(H90,Materialtabell[[#All],[Materialnamn]:[Enhet]],4,0),"kg/ton/"&amp;RIGHT(VLOOKUP(H90,Materialtabell[[#All],[Materialnamn]:[Enhet]],4,0),LEN(VLOOKUP(H90,Materialtabell[[#All],[Materialnamn]:[Enhet]],4,0))-3)))),"")</f>
        <v/>
      </c>
      <c r="L90" s="104" t="str">
        <f>IFERROR(KalkylSlut[[#This Row],[Mängd]]*KalkylSlut[[#This Row],[Omräknings-faktor]],"")</f>
        <v/>
      </c>
      <c r="M90" s="104" t="str">
        <f>IFERROR(F90*J90*VLOOKUP(H90,Materialtabell[[#All],[Materialnamn]:[Emissionsfaktor 2019
kg CO2e/kg]],5,0),"")</f>
        <v/>
      </c>
      <c r="N90" s="104" t="str">
        <f>IFERROR(F90*J90*VLOOKUP(H90,Materialtabell[[#All],[Materialnamn]:[Emissionsfaktor 2025
kg CO2e/kg]],6,0),"")</f>
        <v/>
      </c>
      <c r="O90" s="78" t="str">
        <f>IFERROR(VLOOKUP(H90,Materialtabell[[#All],[Materialnamn]:[Kommentar A4]],24,0),"")</f>
        <v/>
      </c>
      <c r="P90" s="94" t="str">
        <f>IFERROR(($F90*$J90*$O90*VLOOKUP($H90,Materialtabell[[#All],[Materialnamn]:[Bränsle 
MJ/ton, km]],25,0)*Materiallista!$AF$5)/1000,"")</f>
        <v/>
      </c>
      <c r="Q90" s="94" t="str">
        <f>IFERROR(($F90*$J90*$O90*VLOOKUP($H90,Materialtabell[[#All],[Materialnamn]:[Bränsle 
MJ/ton, km]],25,0)*Materiallista!$AF$6)/1000,"")</f>
        <v/>
      </c>
      <c r="R90" s="162"/>
      <c r="S90" s="3"/>
      <c r="T90" s="3"/>
    </row>
    <row r="91" spans="1:20" x14ac:dyDescent="0.25">
      <c r="A91" s="3"/>
      <c r="B91" s="185">
        <v>86</v>
      </c>
      <c r="C91" s="170"/>
      <c r="D91" s="103"/>
      <c r="E91" s="103"/>
      <c r="F91" s="78"/>
      <c r="G91" s="103"/>
      <c r="H91" s="102"/>
      <c r="I91" s="105" t="str">
        <f>IFERROR(VLOOKUP(KalkylSlut[[#This Row],[Klimatmaterial]],Materialtabell[[#All],[Materialnamn]:[Materialtyp]],2,0),"")</f>
        <v/>
      </c>
      <c r="J91" s="104" t="str">
        <f>IFERROR(IF(G91="kg",1,IF(G91="ton",1000,IF(G91=RIGHT(VLOOKUP(H91,Materialtabell[[#All],[Materialnamn]:[Enhet]],4,0),LEN(VLOOKUP(H91,Materialtabell[[#All],[Materialnamn]:[Enhet]],4,0))-3),VLOOKUP(H91,Materialtabell[[#All],[Materialnamn]:[Enhet]],3,0),"Enhetsfel"))),"")</f>
        <v/>
      </c>
      <c r="K91" s="105" t="str">
        <f>IFERROR(IF(G91="kg","kg/kg",IF(G91="ton","kg/ton",IF(RIGHT(VLOOKUP(H91,Materialtabell[[#All],[Materialnamn]:[Enhet]],4,0),LEN(VLOOKUP(H91,Materialtabell[[#All],[Materialnamn]:[Enhet]],4,0))-3)=G91,VLOOKUP(H91,Materialtabell[[#All],[Materialnamn]:[Enhet]],4,0),"kg/ton/"&amp;RIGHT(VLOOKUP(H91,Materialtabell[[#All],[Materialnamn]:[Enhet]],4,0),LEN(VLOOKUP(H91,Materialtabell[[#All],[Materialnamn]:[Enhet]],4,0))-3)))),"")</f>
        <v/>
      </c>
      <c r="L91" s="104" t="str">
        <f>IFERROR(KalkylSlut[[#This Row],[Mängd]]*KalkylSlut[[#This Row],[Omräknings-faktor]],"")</f>
        <v/>
      </c>
      <c r="M91" s="104" t="str">
        <f>IFERROR(F91*J91*VLOOKUP(H91,Materialtabell[[#All],[Materialnamn]:[Emissionsfaktor 2019
kg CO2e/kg]],5,0),"")</f>
        <v/>
      </c>
      <c r="N91" s="104" t="str">
        <f>IFERROR(F91*J91*VLOOKUP(H91,Materialtabell[[#All],[Materialnamn]:[Emissionsfaktor 2025
kg CO2e/kg]],6,0),"")</f>
        <v/>
      </c>
      <c r="O91" s="78" t="str">
        <f>IFERROR(VLOOKUP(H91,Materialtabell[[#All],[Materialnamn]:[Kommentar A4]],24,0),"")</f>
        <v/>
      </c>
      <c r="P91" s="94" t="str">
        <f>IFERROR(($F91*$J91*$O91*VLOOKUP($H91,Materialtabell[[#All],[Materialnamn]:[Bränsle 
MJ/ton, km]],25,0)*Materiallista!$AF$5)/1000,"")</f>
        <v/>
      </c>
      <c r="Q91" s="94" t="str">
        <f>IFERROR(($F91*$J91*$O91*VLOOKUP($H91,Materialtabell[[#All],[Materialnamn]:[Bränsle 
MJ/ton, km]],25,0)*Materiallista!$AF$6)/1000,"")</f>
        <v/>
      </c>
      <c r="R91" s="162"/>
      <c r="S91" s="3"/>
      <c r="T91" s="3"/>
    </row>
    <row r="92" spans="1:20" x14ac:dyDescent="0.25">
      <c r="A92" s="3"/>
      <c r="B92" s="185">
        <v>87</v>
      </c>
      <c r="C92" s="170"/>
      <c r="D92" s="103"/>
      <c r="E92" s="103"/>
      <c r="F92" s="78"/>
      <c r="G92" s="103"/>
      <c r="H92" s="102"/>
      <c r="I92" s="105" t="str">
        <f>IFERROR(VLOOKUP(KalkylSlut[[#This Row],[Klimatmaterial]],Materialtabell[[#All],[Materialnamn]:[Materialtyp]],2,0),"")</f>
        <v/>
      </c>
      <c r="J92" s="104" t="str">
        <f>IFERROR(IF(G92="kg",1,IF(G92="ton",1000,IF(G92=RIGHT(VLOOKUP(H92,Materialtabell[[#All],[Materialnamn]:[Enhet]],4,0),LEN(VLOOKUP(H92,Materialtabell[[#All],[Materialnamn]:[Enhet]],4,0))-3),VLOOKUP(H92,Materialtabell[[#All],[Materialnamn]:[Enhet]],3,0),"Enhetsfel"))),"")</f>
        <v/>
      </c>
      <c r="K92" s="105" t="str">
        <f>IFERROR(IF(G92="kg","kg/kg",IF(G92="ton","kg/ton",IF(RIGHT(VLOOKUP(H92,Materialtabell[[#All],[Materialnamn]:[Enhet]],4,0),LEN(VLOOKUP(H92,Materialtabell[[#All],[Materialnamn]:[Enhet]],4,0))-3)=G92,VLOOKUP(H92,Materialtabell[[#All],[Materialnamn]:[Enhet]],4,0),"kg/ton/"&amp;RIGHT(VLOOKUP(H92,Materialtabell[[#All],[Materialnamn]:[Enhet]],4,0),LEN(VLOOKUP(H92,Materialtabell[[#All],[Materialnamn]:[Enhet]],4,0))-3)))),"")</f>
        <v/>
      </c>
      <c r="L92" s="104" t="str">
        <f>IFERROR(KalkylSlut[[#This Row],[Mängd]]*KalkylSlut[[#This Row],[Omräknings-faktor]],"")</f>
        <v/>
      </c>
      <c r="M92" s="104" t="str">
        <f>IFERROR(F92*J92*VLOOKUP(H92,Materialtabell[[#All],[Materialnamn]:[Emissionsfaktor 2019
kg CO2e/kg]],5,0),"")</f>
        <v/>
      </c>
      <c r="N92" s="104" t="str">
        <f>IFERROR(F92*J92*VLOOKUP(H92,Materialtabell[[#All],[Materialnamn]:[Emissionsfaktor 2025
kg CO2e/kg]],6,0),"")</f>
        <v/>
      </c>
      <c r="O92" s="78" t="str">
        <f>IFERROR(VLOOKUP(H92,Materialtabell[[#All],[Materialnamn]:[Kommentar A4]],24,0),"")</f>
        <v/>
      </c>
      <c r="P92" s="94" t="str">
        <f>IFERROR(($F92*$J92*$O92*VLOOKUP($H92,Materialtabell[[#All],[Materialnamn]:[Bränsle 
MJ/ton, km]],25,0)*Materiallista!$AF$5)/1000,"")</f>
        <v/>
      </c>
      <c r="Q92" s="94" t="str">
        <f>IFERROR(($F92*$J92*$O92*VLOOKUP($H92,Materialtabell[[#All],[Materialnamn]:[Bränsle 
MJ/ton, km]],25,0)*Materiallista!$AF$6)/1000,"")</f>
        <v/>
      </c>
      <c r="R92" s="162"/>
      <c r="S92" s="3"/>
      <c r="T92" s="3"/>
    </row>
    <row r="93" spans="1:20" x14ac:dyDescent="0.25">
      <c r="A93" s="3"/>
      <c r="B93" s="185">
        <v>88</v>
      </c>
      <c r="C93" s="170"/>
      <c r="D93" s="103"/>
      <c r="E93" s="103"/>
      <c r="F93" s="78"/>
      <c r="G93" s="103"/>
      <c r="H93" s="102"/>
      <c r="I93" s="105" t="str">
        <f>IFERROR(VLOOKUP(KalkylSlut[[#This Row],[Klimatmaterial]],Materialtabell[[#All],[Materialnamn]:[Materialtyp]],2,0),"")</f>
        <v/>
      </c>
      <c r="J93" s="104" t="str">
        <f>IFERROR(IF(G93="kg",1,IF(G93="ton",1000,IF(G93=RIGHT(VLOOKUP(H93,Materialtabell[[#All],[Materialnamn]:[Enhet]],4,0),LEN(VLOOKUP(H93,Materialtabell[[#All],[Materialnamn]:[Enhet]],4,0))-3),VLOOKUP(H93,Materialtabell[[#All],[Materialnamn]:[Enhet]],3,0),"Enhetsfel"))),"")</f>
        <v/>
      </c>
      <c r="K93" s="105" t="str">
        <f>IFERROR(IF(G93="kg","kg/kg",IF(G93="ton","kg/ton",IF(RIGHT(VLOOKUP(H93,Materialtabell[[#All],[Materialnamn]:[Enhet]],4,0),LEN(VLOOKUP(H93,Materialtabell[[#All],[Materialnamn]:[Enhet]],4,0))-3)=G93,VLOOKUP(H93,Materialtabell[[#All],[Materialnamn]:[Enhet]],4,0),"kg/ton/"&amp;RIGHT(VLOOKUP(H93,Materialtabell[[#All],[Materialnamn]:[Enhet]],4,0),LEN(VLOOKUP(H93,Materialtabell[[#All],[Materialnamn]:[Enhet]],4,0))-3)))),"")</f>
        <v/>
      </c>
      <c r="L93" s="104" t="str">
        <f>IFERROR(KalkylSlut[[#This Row],[Mängd]]*KalkylSlut[[#This Row],[Omräknings-faktor]],"")</f>
        <v/>
      </c>
      <c r="M93" s="104" t="str">
        <f>IFERROR(F93*J93*VLOOKUP(H93,Materialtabell[[#All],[Materialnamn]:[Emissionsfaktor 2019
kg CO2e/kg]],5,0),"")</f>
        <v/>
      </c>
      <c r="N93" s="104" t="str">
        <f>IFERROR(F93*J93*VLOOKUP(H93,Materialtabell[[#All],[Materialnamn]:[Emissionsfaktor 2025
kg CO2e/kg]],6,0),"")</f>
        <v/>
      </c>
      <c r="O93" s="78" t="str">
        <f>IFERROR(VLOOKUP(H93,Materialtabell[[#All],[Materialnamn]:[Kommentar A4]],24,0),"")</f>
        <v/>
      </c>
      <c r="P93" s="94" t="str">
        <f>IFERROR(($F93*$J93*$O93*VLOOKUP($H93,Materialtabell[[#All],[Materialnamn]:[Bränsle 
MJ/ton, km]],25,0)*Materiallista!$AF$5)/1000,"")</f>
        <v/>
      </c>
      <c r="Q93" s="94" t="str">
        <f>IFERROR(($F93*$J93*$O93*VLOOKUP($H93,Materialtabell[[#All],[Materialnamn]:[Bränsle 
MJ/ton, km]],25,0)*Materiallista!$AF$6)/1000,"")</f>
        <v/>
      </c>
      <c r="R93" s="162"/>
      <c r="S93" s="3"/>
      <c r="T93" s="3"/>
    </row>
    <row r="94" spans="1:20" x14ac:dyDescent="0.25">
      <c r="A94" s="3"/>
      <c r="B94" s="185">
        <v>89</v>
      </c>
      <c r="C94" s="170"/>
      <c r="D94" s="103"/>
      <c r="E94" s="103"/>
      <c r="F94" s="78"/>
      <c r="G94" s="103"/>
      <c r="H94" s="102"/>
      <c r="I94" s="105" t="str">
        <f>IFERROR(VLOOKUP(KalkylSlut[[#This Row],[Klimatmaterial]],Materialtabell[[#All],[Materialnamn]:[Materialtyp]],2,0),"")</f>
        <v/>
      </c>
      <c r="J94" s="104" t="str">
        <f>IFERROR(IF(G94="kg",1,IF(G94="ton",1000,IF(G94=RIGHT(VLOOKUP(H94,Materialtabell[[#All],[Materialnamn]:[Enhet]],4,0),LEN(VLOOKUP(H94,Materialtabell[[#All],[Materialnamn]:[Enhet]],4,0))-3),VLOOKUP(H94,Materialtabell[[#All],[Materialnamn]:[Enhet]],3,0),"Enhetsfel"))),"")</f>
        <v/>
      </c>
      <c r="K94" s="105" t="str">
        <f>IFERROR(IF(G94="kg","kg/kg",IF(G94="ton","kg/ton",IF(RIGHT(VLOOKUP(H94,Materialtabell[[#All],[Materialnamn]:[Enhet]],4,0),LEN(VLOOKUP(H94,Materialtabell[[#All],[Materialnamn]:[Enhet]],4,0))-3)=G94,VLOOKUP(H94,Materialtabell[[#All],[Materialnamn]:[Enhet]],4,0),"kg/ton/"&amp;RIGHT(VLOOKUP(H94,Materialtabell[[#All],[Materialnamn]:[Enhet]],4,0),LEN(VLOOKUP(H94,Materialtabell[[#All],[Materialnamn]:[Enhet]],4,0))-3)))),"")</f>
        <v/>
      </c>
      <c r="L94" s="104" t="str">
        <f>IFERROR(KalkylSlut[[#This Row],[Mängd]]*KalkylSlut[[#This Row],[Omräknings-faktor]],"")</f>
        <v/>
      </c>
      <c r="M94" s="104" t="str">
        <f>IFERROR(F94*J94*VLOOKUP(H94,Materialtabell[[#All],[Materialnamn]:[Emissionsfaktor 2019
kg CO2e/kg]],5,0),"")</f>
        <v/>
      </c>
      <c r="N94" s="104" t="str">
        <f>IFERROR(F94*J94*VLOOKUP(H94,Materialtabell[[#All],[Materialnamn]:[Emissionsfaktor 2025
kg CO2e/kg]],6,0),"")</f>
        <v/>
      </c>
      <c r="O94" s="78" t="str">
        <f>IFERROR(VLOOKUP(H94,Materialtabell[[#All],[Materialnamn]:[Kommentar A4]],24,0),"")</f>
        <v/>
      </c>
      <c r="P94" s="94" t="str">
        <f>IFERROR(($F94*$J94*$O94*VLOOKUP($H94,Materialtabell[[#All],[Materialnamn]:[Bränsle 
MJ/ton, km]],25,0)*Materiallista!$AF$5)/1000,"")</f>
        <v/>
      </c>
      <c r="Q94" s="94" t="str">
        <f>IFERROR(($F94*$J94*$O94*VLOOKUP($H94,Materialtabell[[#All],[Materialnamn]:[Bränsle 
MJ/ton, km]],25,0)*Materiallista!$AF$6)/1000,"")</f>
        <v/>
      </c>
      <c r="R94" s="162"/>
      <c r="S94" s="3"/>
      <c r="T94" s="3"/>
    </row>
    <row r="95" spans="1:20" x14ac:dyDescent="0.25">
      <c r="A95" s="3"/>
      <c r="B95" s="185">
        <v>90</v>
      </c>
      <c r="C95" s="170"/>
      <c r="D95" s="103"/>
      <c r="E95" s="103"/>
      <c r="F95" s="78"/>
      <c r="G95" s="103"/>
      <c r="H95" s="102"/>
      <c r="I95" s="105" t="str">
        <f>IFERROR(VLOOKUP(KalkylSlut[[#This Row],[Klimatmaterial]],Materialtabell[[#All],[Materialnamn]:[Materialtyp]],2,0),"")</f>
        <v/>
      </c>
      <c r="J95" s="104" t="str">
        <f>IFERROR(IF(G95="kg",1,IF(G95="ton",1000,IF(G95=RIGHT(VLOOKUP(H95,Materialtabell[[#All],[Materialnamn]:[Enhet]],4,0),LEN(VLOOKUP(H95,Materialtabell[[#All],[Materialnamn]:[Enhet]],4,0))-3),VLOOKUP(H95,Materialtabell[[#All],[Materialnamn]:[Enhet]],3,0),"Enhetsfel"))),"")</f>
        <v/>
      </c>
      <c r="K95" s="105" t="str">
        <f>IFERROR(IF(G95="kg","kg/kg",IF(G95="ton","kg/ton",IF(RIGHT(VLOOKUP(H95,Materialtabell[[#All],[Materialnamn]:[Enhet]],4,0),LEN(VLOOKUP(H95,Materialtabell[[#All],[Materialnamn]:[Enhet]],4,0))-3)=G95,VLOOKUP(H95,Materialtabell[[#All],[Materialnamn]:[Enhet]],4,0),"kg/ton/"&amp;RIGHT(VLOOKUP(H95,Materialtabell[[#All],[Materialnamn]:[Enhet]],4,0),LEN(VLOOKUP(H95,Materialtabell[[#All],[Materialnamn]:[Enhet]],4,0))-3)))),"")</f>
        <v/>
      </c>
      <c r="L95" s="104" t="str">
        <f>IFERROR(KalkylSlut[[#This Row],[Mängd]]*KalkylSlut[[#This Row],[Omräknings-faktor]],"")</f>
        <v/>
      </c>
      <c r="M95" s="104" t="str">
        <f>IFERROR(F95*J95*VLOOKUP(H95,Materialtabell[[#All],[Materialnamn]:[Emissionsfaktor 2019
kg CO2e/kg]],5,0),"")</f>
        <v/>
      </c>
      <c r="N95" s="104" t="str">
        <f>IFERROR(F95*J95*VLOOKUP(H95,Materialtabell[[#All],[Materialnamn]:[Emissionsfaktor 2025
kg CO2e/kg]],6,0),"")</f>
        <v/>
      </c>
      <c r="O95" s="78" t="str">
        <f>IFERROR(VLOOKUP(H95,Materialtabell[[#All],[Materialnamn]:[Kommentar A4]],24,0),"")</f>
        <v/>
      </c>
      <c r="P95" s="94" t="str">
        <f>IFERROR(($F95*$J95*$O95*VLOOKUP($H95,Materialtabell[[#All],[Materialnamn]:[Bränsle 
MJ/ton, km]],25,0)*Materiallista!$AF$5)/1000,"")</f>
        <v/>
      </c>
      <c r="Q95" s="94" t="str">
        <f>IFERROR(($F95*$J95*$O95*VLOOKUP($H95,Materialtabell[[#All],[Materialnamn]:[Bränsle 
MJ/ton, km]],25,0)*Materiallista!$AF$6)/1000,"")</f>
        <v/>
      </c>
      <c r="R95" s="162"/>
      <c r="S95" s="3"/>
      <c r="T95" s="3"/>
    </row>
    <row r="96" spans="1:20" x14ac:dyDescent="0.25">
      <c r="A96" s="3"/>
      <c r="B96" s="185">
        <v>91</v>
      </c>
      <c r="C96" s="170"/>
      <c r="D96" s="103"/>
      <c r="E96" s="103"/>
      <c r="F96" s="78"/>
      <c r="G96" s="103"/>
      <c r="H96" s="102"/>
      <c r="I96" s="105" t="str">
        <f>IFERROR(VLOOKUP(KalkylSlut[[#This Row],[Klimatmaterial]],Materialtabell[[#All],[Materialnamn]:[Materialtyp]],2,0),"")</f>
        <v/>
      </c>
      <c r="J96" s="104" t="str">
        <f>IFERROR(IF(G96="kg",1,IF(G96="ton",1000,IF(G96=RIGHT(VLOOKUP(H96,Materialtabell[[#All],[Materialnamn]:[Enhet]],4,0),LEN(VLOOKUP(H96,Materialtabell[[#All],[Materialnamn]:[Enhet]],4,0))-3),VLOOKUP(H96,Materialtabell[[#All],[Materialnamn]:[Enhet]],3,0),"Enhetsfel"))),"")</f>
        <v/>
      </c>
      <c r="K96" s="105" t="str">
        <f>IFERROR(IF(G96="kg","kg/kg",IF(G96="ton","kg/ton",IF(RIGHT(VLOOKUP(H96,Materialtabell[[#All],[Materialnamn]:[Enhet]],4,0),LEN(VLOOKUP(H96,Materialtabell[[#All],[Materialnamn]:[Enhet]],4,0))-3)=G96,VLOOKUP(H96,Materialtabell[[#All],[Materialnamn]:[Enhet]],4,0),"kg/ton/"&amp;RIGHT(VLOOKUP(H96,Materialtabell[[#All],[Materialnamn]:[Enhet]],4,0),LEN(VLOOKUP(H96,Materialtabell[[#All],[Materialnamn]:[Enhet]],4,0))-3)))),"")</f>
        <v/>
      </c>
      <c r="L96" s="104" t="str">
        <f>IFERROR(KalkylSlut[[#This Row],[Mängd]]*KalkylSlut[[#This Row],[Omräknings-faktor]],"")</f>
        <v/>
      </c>
      <c r="M96" s="104" t="str">
        <f>IFERROR(F96*J96*VLOOKUP(H96,Materialtabell[[#All],[Materialnamn]:[Emissionsfaktor 2019
kg CO2e/kg]],5,0),"")</f>
        <v/>
      </c>
      <c r="N96" s="104" t="str">
        <f>IFERROR(F96*J96*VLOOKUP(H96,Materialtabell[[#All],[Materialnamn]:[Emissionsfaktor 2025
kg CO2e/kg]],6,0),"")</f>
        <v/>
      </c>
      <c r="O96" s="78" t="str">
        <f>IFERROR(VLOOKUP(H96,Materialtabell[[#All],[Materialnamn]:[Kommentar A4]],24,0),"")</f>
        <v/>
      </c>
      <c r="P96" s="94" t="str">
        <f>IFERROR(($F96*$J96*$O96*VLOOKUP($H96,Materialtabell[[#All],[Materialnamn]:[Bränsle 
MJ/ton, km]],25,0)*Materiallista!$AF$5)/1000,"")</f>
        <v/>
      </c>
      <c r="Q96" s="94" t="str">
        <f>IFERROR(($F96*$J96*$O96*VLOOKUP($H96,Materialtabell[[#All],[Materialnamn]:[Bränsle 
MJ/ton, km]],25,0)*Materiallista!$AF$6)/1000,"")</f>
        <v/>
      </c>
      <c r="R96" s="162"/>
      <c r="S96" s="3"/>
      <c r="T96" s="3"/>
    </row>
    <row r="97" spans="1:20" x14ac:dyDescent="0.25">
      <c r="A97" s="3"/>
      <c r="B97" s="185">
        <v>92</v>
      </c>
      <c r="C97" s="170"/>
      <c r="D97" s="103"/>
      <c r="E97" s="103"/>
      <c r="F97" s="78"/>
      <c r="G97" s="103"/>
      <c r="H97" s="102"/>
      <c r="I97" s="105" t="str">
        <f>IFERROR(VLOOKUP(KalkylSlut[[#This Row],[Klimatmaterial]],Materialtabell[[#All],[Materialnamn]:[Materialtyp]],2,0),"")</f>
        <v/>
      </c>
      <c r="J97" s="104" t="str">
        <f>IFERROR(IF(G97="kg",1,IF(G97="ton",1000,IF(G97=RIGHT(VLOOKUP(H97,Materialtabell[[#All],[Materialnamn]:[Enhet]],4,0),LEN(VLOOKUP(H97,Materialtabell[[#All],[Materialnamn]:[Enhet]],4,0))-3),VLOOKUP(H97,Materialtabell[[#All],[Materialnamn]:[Enhet]],3,0),"Enhetsfel"))),"")</f>
        <v/>
      </c>
      <c r="K97" s="105" t="str">
        <f>IFERROR(IF(G97="kg","kg/kg",IF(G97="ton","kg/ton",IF(RIGHT(VLOOKUP(H97,Materialtabell[[#All],[Materialnamn]:[Enhet]],4,0),LEN(VLOOKUP(H97,Materialtabell[[#All],[Materialnamn]:[Enhet]],4,0))-3)=G97,VLOOKUP(H97,Materialtabell[[#All],[Materialnamn]:[Enhet]],4,0),"kg/ton/"&amp;RIGHT(VLOOKUP(H97,Materialtabell[[#All],[Materialnamn]:[Enhet]],4,0),LEN(VLOOKUP(H97,Materialtabell[[#All],[Materialnamn]:[Enhet]],4,0))-3)))),"")</f>
        <v/>
      </c>
      <c r="L97" s="104" t="str">
        <f>IFERROR(KalkylSlut[[#This Row],[Mängd]]*KalkylSlut[[#This Row],[Omräknings-faktor]],"")</f>
        <v/>
      </c>
      <c r="M97" s="104" t="str">
        <f>IFERROR(F97*J97*VLOOKUP(H97,Materialtabell[[#All],[Materialnamn]:[Emissionsfaktor 2019
kg CO2e/kg]],5,0),"")</f>
        <v/>
      </c>
      <c r="N97" s="104" t="str">
        <f>IFERROR(F97*J97*VLOOKUP(H97,Materialtabell[[#All],[Materialnamn]:[Emissionsfaktor 2025
kg CO2e/kg]],6,0),"")</f>
        <v/>
      </c>
      <c r="O97" s="78" t="str">
        <f>IFERROR(VLOOKUP(H97,Materialtabell[[#All],[Materialnamn]:[Kommentar A4]],24,0),"")</f>
        <v/>
      </c>
      <c r="P97" s="94" t="str">
        <f>IFERROR(($F97*$J97*$O97*VLOOKUP($H97,Materialtabell[[#All],[Materialnamn]:[Bränsle 
MJ/ton, km]],25,0)*Materiallista!$AF$5)/1000,"")</f>
        <v/>
      </c>
      <c r="Q97" s="94" t="str">
        <f>IFERROR(($F97*$J97*$O97*VLOOKUP($H97,Materialtabell[[#All],[Materialnamn]:[Bränsle 
MJ/ton, km]],25,0)*Materiallista!$AF$6)/1000,"")</f>
        <v/>
      </c>
      <c r="R97" s="162"/>
      <c r="S97" s="3"/>
      <c r="T97" s="3"/>
    </row>
    <row r="98" spans="1:20" x14ac:dyDescent="0.25">
      <c r="A98" s="3"/>
      <c r="B98" s="185">
        <v>93</v>
      </c>
      <c r="C98" s="170"/>
      <c r="D98" s="103"/>
      <c r="E98" s="103"/>
      <c r="F98" s="78"/>
      <c r="G98" s="103"/>
      <c r="H98" s="102"/>
      <c r="I98" s="105" t="str">
        <f>IFERROR(VLOOKUP(KalkylSlut[[#This Row],[Klimatmaterial]],Materialtabell[[#All],[Materialnamn]:[Materialtyp]],2,0),"")</f>
        <v/>
      </c>
      <c r="J98" s="104" t="str">
        <f>IFERROR(IF(G98="kg",1,IF(G98="ton",1000,IF(G98=RIGHT(VLOOKUP(H98,Materialtabell[[#All],[Materialnamn]:[Enhet]],4,0),LEN(VLOOKUP(H98,Materialtabell[[#All],[Materialnamn]:[Enhet]],4,0))-3),VLOOKUP(H98,Materialtabell[[#All],[Materialnamn]:[Enhet]],3,0),"Enhetsfel"))),"")</f>
        <v/>
      </c>
      <c r="K98" s="105" t="str">
        <f>IFERROR(IF(G98="kg","kg/kg",IF(G98="ton","kg/ton",IF(RIGHT(VLOOKUP(H98,Materialtabell[[#All],[Materialnamn]:[Enhet]],4,0),LEN(VLOOKUP(H98,Materialtabell[[#All],[Materialnamn]:[Enhet]],4,0))-3)=G98,VLOOKUP(H98,Materialtabell[[#All],[Materialnamn]:[Enhet]],4,0),"kg/ton/"&amp;RIGHT(VLOOKUP(H98,Materialtabell[[#All],[Materialnamn]:[Enhet]],4,0),LEN(VLOOKUP(H98,Materialtabell[[#All],[Materialnamn]:[Enhet]],4,0))-3)))),"")</f>
        <v/>
      </c>
      <c r="L98" s="104" t="str">
        <f>IFERROR(KalkylSlut[[#This Row],[Mängd]]*KalkylSlut[[#This Row],[Omräknings-faktor]],"")</f>
        <v/>
      </c>
      <c r="M98" s="104" t="str">
        <f>IFERROR(F98*J98*VLOOKUP(H98,Materialtabell[[#All],[Materialnamn]:[Emissionsfaktor 2019
kg CO2e/kg]],5,0),"")</f>
        <v/>
      </c>
      <c r="N98" s="104" t="str">
        <f>IFERROR(F98*J98*VLOOKUP(H98,Materialtabell[[#All],[Materialnamn]:[Emissionsfaktor 2025
kg CO2e/kg]],6,0),"")</f>
        <v/>
      </c>
      <c r="O98" s="78" t="str">
        <f>IFERROR(VLOOKUP(H98,Materialtabell[[#All],[Materialnamn]:[Kommentar A4]],24,0),"")</f>
        <v/>
      </c>
      <c r="P98" s="94" t="str">
        <f>IFERROR(($F98*$J98*$O98*VLOOKUP($H98,Materialtabell[[#All],[Materialnamn]:[Bränsle 
MJ/ton, km]],25,0)*Materiallista!$AF$5)/1000,"")</f>
        <v/>
      </c>
      <c r="Q98" s="94" t="str">
        <f>IFERROR(($F98*$J98*$O98*VLOOKUP($H98,Materialtabell[[#All],[Materialnamn]:[Bränsle 
MJ/ton, km]],25,0)*Materiallista!$AF$6)/1000,"")</f>
        <v/>
      </c>
      <c r="R98" s="162"/>
      <c r="S98" s="3"/>
      <c r="T98" s="3"/>
    </row>
    <row r="99" spans="1:20" x14ac:dyDescent="0.25">
      <c r="A99" s="3"/>
      <c r="B99" s="185">
        <v>94</v>
      </c>
      <c r="C99" s="170"/>
      <c r="D99" s="103"/>
      <c r="E99" s="103"/>
      <c r="F99" s="78"/>
      <c r="G99" s="103"/>
      <c r="H99" s="102"/>
      <c r="I99" s="105" t="str">
        <f>IFERROR(VLOOKUP(KalkylSlut[[#This Row],[Klimatmaterial]],Materialtabell[[#All],[Materialnamn]:[Materialtyp]],2,0),"")</f>
        <v/>
      </c>
      <c r="J99" s="104" t="str">
        <f>IFERROR(IF(G99="kg",1,IF(G99="ton",1000,IF(G99=RIGHT(VLOOKUP(H99,Materialtabell[[#All],[Materialnamn]:[Enhet]],4,0),LEN(VLOOKUP(H99,Materialtabell[[#All],[Materialnamn]:[Enhet]],4,0))-3),VLOOKUP(H99,Materialtabell[[#All],[Materialnamn]:[Enhet]],3,0),"Enhetsfel"))),"")</f>
        <v/>
      </c>
      <c r="K99" s="105" t="str">
        <f>IFERROR(IF(G99="kg","kg/kg",IF(G99="ton","kg/ton",IF(RIGHT(VLOOKUP(H99,Materialtabell[[#All],[Materialnamn]:[Enhet]],4,0),LEN(VLOOKUP(H99,Materialtabell[[#All],[Materialnamn]:[Enhet]],4,0))-3)=G99,VLOOKUP(H99,Materialtabell[[#All],[Materialnamn]:[Enhet]],4,0),"kg/ton/"&amp;RIGHT(VLOOKUP(H99,Materialtabell[[#All],[Materialnamn]:[Enhet]],4,0),LEN(VLOOKUP(H99,Materialtabell[[#All],[Materialnamn]:[Enhet]],4,0))-3)))),"")</f>
        <v/>
      </c>
      <c r="L99" s="104" t="str">
        <f>IFERROR(KalkylSlut[[#This Row],[Mängd]]*KalkylSlut[[#This Row],[Omräknings-faktor]],"")</f>
        <v/>
      </c>
      <c r="M99" s="104" t="str">
        <f>IFERROR(F99*J99*VLOOKUP(H99,Materialtabell[[#All],[Materialnamn]:[Emissionsfaktor 2019
kg CO2e/kg]],5,0),"")</f>
        <v/>
      </c>
      <c r="N99" s="104" t="str">
        <f>IFERROR(F99*J99*VLOOKUP(H99,Materialtabell[[#All],[Materialnamn]:[Emissionsfaktor 2025
kg CO2e/kg]],6,0),"")</f>
        <v/>
      </c>
      <c r="O99" s="78" t="str">
        <f>IFERROR(VLOOKUP(H99,Materialtabell[[#All],[Materialnamn]:[Kommentar A4]],24,0),"")</f>
        <v/>
      </c>
      <c r="P99" s="94" t="str">
        <f>IFERROR(($F99*$J99*$O99*VLOOKUP($H99,Materialtabell[[#All],[Materialnamn]:[Bränsle 
MJ/ton, km]],25,0)*Materiallista!$AF$5)/1000,"")</f>
        <v/>
      </c>
      <c r="Q99" s="94" t="str">
        <f>IFERROR(($F99*$J99*$O99*VLOOKUP($H99,Materialtabell[[#All],[Materialnamn]:[Bränsle 
MJ/ton, km]],25,0)*Materiallista!$AF$6)/1000,"")</f>
        <v/>
      </c>
      <c r="R99" s="162"/>
      <c r="S99" s="3"/>
      <c r="T99" s="3"/>
    </row>
    <row r="100" spans="1:20" x14ac:dyDescent="0.25">
      <c r="A100" s="3"/>
      <c r="B100" s="185">
        <v>95</v>
      </c>
      <c r="C100" s="170"/>
      <c r="D100" s="103"/>
      <c r="E100" s="103"/>
      <c r="F100" s="78"/>
      <c r="G100" s="103"/>
      <c r="H100" s="102"/>
      <c r="I100" s="105" t="str">
        <f>IFERROR(VLOOKUP(KalkylSlut[[#This Row],[Klimatmaterial]],Materialtabell[[#All],[Materialnamn]:[Materialtyp]],2,0),"")</f>
        <v/>
      </c>
      <c r="J100" s="104" t="str">
        <f>IFERROR(IF(G100="kg",1,IF(G100="ton",1000,IF(G100=RIGHT(VLOOKUP(H100,Materialtabell[[#All],[Materialnamn]:[Enhet]],4,0),LEN(VLOOKUP(H100,Materialtabell[[#All],[Materialnamn]:[Enhet]],4,0))-3),VLOOKUP(H100,Materialtabell[[#All],[Materialnamn]:[Enhet]],3,0),"Enhetsfel"))),"")</f>
        <v/>
      </c>
      <c r="K100" s="105" t="str">
        <f>IFERROR(IF(G100="kg","kg/kg",IF(G100="ton","kg/ton",IF(RIGHT(VLOOKUP(H100,Materialtabell[[#All],[Materialnamn]:[Enhet]],4,0),LEN(VLOOKUP(H100,Materialtabell[[#All],[Materialnamn]:[Enhet]],4,0))-3)=G100,VLOOKUP(H100,Materialtabell[[#All],[Materialnamn]:[Enhet]],4,0),"kg/ton/"&amp;RIGHT(VLOOKUP(H100,Materialtabell[[#All],[Materialnamn]:[Enhet]],4,0),LEN(VLOOKUP(H100,Materialtabell[[#All],[Materialnamn]:[Enhet]],4,0))-3)))),"")</f>
        <v/>
      </c>
      <c r="L100" s="104" t="str">
        <f>IFERROR(KalkylSlut[[#This Row],[Mängd]]*KalkylSlut[[#This Row],[Omräknings-faktor]],"")</f>
        <v/>
      </c>
      <c r="M100" s="104" t="str">
        <f>IFERROR(F100*J100*VLOOKUP(H100,Materialtabell[[#All],[Materialnamn]:[Emissionsfaktor 2019
kg CO2e/kg]],5,0),"")</f>
        <v/>
      </c>
      <c r="N100" s="104" t="str">
        <f>IFERROR(F100*J100*VLOOKUP(H100,Materialtabell[[#All],[Materialnamn]:[Emissionsfaktor 2025
kg CO2e/kg]],6,0),"")</f>
        <v/>
      </c>
      <c r="O100" s="78" t="str">
        <f>IFERROR(VLOOKUP(H100,Materialtabell[[#All],[Materialnamn]:[Kommentar A4]],24,0),"")</f>
        <v/>
      </c>
      <c r="P100" s="94" t="str">
        <f>IFERROR(($F100*$J100*$O100*VLOOKUP($H100,Materialtabell[[#All],[Materialnamn]:[Bränsle 
MJ/ton, km]],25,0)*Materiallista!$AF$5)/1000,"")</f>
        <v/>
      </c>
      <c r="Q100" s="94" t="str">
        <f>IFERROR(($F100*$J100*$O100*VLOOKUP($H100,Materialtabell[[#All],[Materialnamn]:[Bränsle 
MJ/ton, km]],25,0)*Materiallista!$AF$6)/1000,"")</f>
        <v/>
      </c>
      <c r="R100" s="162"/>
      <c r="S100" s="3"/>
      <c r="T100" s="3"/>
    </row>
    <row r="101" spans="1:20" x14ac:dyDescent="0.25">
      <c r="A101" s="3"/>
      <c r="B101" s="185">
        <v>96</v>
      </c>
      <c r="C101" s="170"/>
      <c r="D101" s="103"/>
      <c r="E101" s="103"/>
      <c r="F101" s="78"/>
      <c r="G101" s="103"/>
      <c r="H101" s="102"/>
      <c r="I101" s="105" t="str">
        <f>IFERROR(VLOOKUP(KalkylSlut[[#This Row],[Klimatmaterial]],Materialtabell[[#All],[Materialnamn]:[Materialtyp]],2,0),"")</f>
        <v/>
      </c>
      <c r="J101" s="104" t="str">
        <f>IFERROR(IF(G101="kg",1,IF(G101="ton",1000,IF(G101=RIGHT(VLOOKUP(H101,Materialtabell[[#All],[Materialnamn]:[Enhet]],4,0),LEN(VLOOKUP(H101,Materialtabell[[#All],[Materialnamn]:[Enhet]],4,0))-3),VLOOKUP(H101,Materialtabell[[#All],[Materialnamn]:[Enhet]],3,0),"Enhetsfel"))),"")</f>
        <v/>
      </c>
      <c r="K101" s="105" t="str">
        <f>IFERROR(IF(G101="kg","kg/kg",IF(G101="ton","kg/ton",IF(RIGHT(VLOOKUP(H101,Materialtabell[[#All],[Materialnamn]:[Enhet]],4,0),LEN(VLOOKUP(H101,Materialtabell[[#All],[Materialnamn]:[Enhet]],4,0))-3)=G101,VLOOKUP(H101,Materialtabell[[#All],[Materialnamn]:[Enhet]],4,0),"kg/ton/"&amp;RIGHT(VLOOKUP(H101,Materialtabell[[#All],[Materialnamn]:[Enhet]],4,0),LEN(VLOOKUP(H101,Materialtabell[[#All],[Materialnamn]:[Enhet]],4,0))-3)))),"")</f>
        <v/>
      </c>
      <c r="L101" s="104" t="str">
        <f>IFERROR(KalkylSlut[[#This Row],[Mängd]]*KalkylSlut[[#This Row],[Omräknings-faktor]],"")</f>
        <v/>
      </c>
      <c r="M101" s="104" t="str">
        <f>IFERROR(F101*J101*VLOOKUP(H101,Materialtabell[[#All],[Materialnamn]:[Emissionsfaktor 2019
kg CO2e/kg]],5,0),"")</f>
        <v/>
      </c>
      <c r="N101" s="104" t="str">
        <f>IFERROR(F101*J101*VLOOKUP(H101,Materialtabell[[#All],[Materialnamn]:[Emissionsfaktor 2025
kg CO2e/kg]],6,0),"")</f>
        <v/>
      </c>
      <c r="O101" s="78" t="str">
        <f>IFERROR(VLOOKUP(H101,Materialtabell[[#All],[Materialnamn]:[Kommentar A4]],24,0),"")</f>
        <v/>
      </c>
      <c r="P101" s="94" t="str">
        <f>IFERROR(($F101*$J101*$O101*VLOOKUP($H101,Materialtabell[[#All],[Materialnamn]:[Bränsle 
MJ/ton, km]],25,0)*Materiallista!$AF$5)/1000,"")</f>
        <v/>
      </c>
      <c r="Q101" s="94" t="str">
        <f>IFERROR(($F101*$J101*$O101*VLOOKUP($H101,Materialtabell[[#All],[Materialnamn]:[Bränsle 
MJ/ton, km]],25,0)*Materiallista!$AF$6)/1000,"")</f>
        <v/>
      </c>
      <c r="R101" s="162"/>
      <c r="S101" s="3"/>
      <c r="T101" s="3"/>
    </row>
    <row r="102" spans="1:20" x14ac:dyDescent="0.25">
      <c r="A102" s="3"/>
      <c r="B102" s="185">
        <v>97</v>
      </c>
      <c r="C102" s="170"/>
      <c r="D102" s="103"/>
      <c r="E102" s="103"/>
      <c r="F102" s="78"/>
      <c r="G102" s="103"/>
      <c r="H102" s="102"/>
      <c r="I102" s="105" t="str">
        <f>IFERROR(VLOOKUP(KalkylSlut[[#This Row],[Klimatmaterial]],Materialtabell[[#All],[Materialnamn]:[Materialtyp]],2,0),"")</f>
        <v/>
      </c>
      <c r="J102" s="104" t="str">
        <f>IFERROR(IF(G102="kg",1,IF(G102="ton",1000,IF(G102=RIGHT(VLOOKUP(H102,Materialtabell[[#All],[Materialnamn]:[Enhet]],4,0),LEN(VLOOKUP(H102,Materialtabell[[#All],[Materialnamn]:[Enhet]],4,0))-3),VLOOKUP(H102,Materialtabell[[#All],[Materialnamn]:[Enhet]],3,0),"Enhetsfel"))),"")</f>
        <v/>
      </c>
      <c r="K102" s="105" t="str">
        <f>IFERROR(IF(G102="kg","kg/kg",IF(G102="ton","kg/ton",IF(RIGHT(VLOOKUP(H102,Materialtabell[[#All],[Materialnamn]:[Enhet]],4,0),LEN(VLOOKUP(H102,Materialtabell[[#All],[Materialnamn]:[Enhet]],4,0))-3)=G102,VLOOKUP(H102,Materialtabell[[#All],[Materialnamn]:[Enhet]],4,0),"kg/ton/"&amp;RIGHT(VLOOKUP(H102,Materialtabell[[#All],[Materialnamn]:[Enhet]],4,0),LEN(VLOOKUP(H102,Materialtabell[[#All],[Materialnamn]:[Enhet]],4,0))-3)))),"")</f>
        <v/>
      </c>
      <c r="L102" s="104" t="str">
        <f>IFERROR(KalkylSlut[[#This Row],[Mängd]]*KalkylSlut[[#This Row],[Omräknings-faktor]],"")</f>
        <v/>
      </c>
      <c r="M102" s="104" t="str">
        <f>IFERROR(F102*J102*VLOOKUP(H102,Materialtabell[[#All],[Materialnamn]:[Emissionsfaktor 2019
kg CO2e/kg]],5,0),"")</f>
        <v/>
      </c>
      <c r="N102" s="104" t="str">
        <f>IFERROR(F102*J102*VLOOKUP(H102,Materialtabell[[#All],[Materialnamn]:[Emissionsfaktor 2025
kg CO2e/kg]],6,0),"")</f>
        <v/>
      </c>
      <c r="O102" s="78" t="str">
        <f>IFERROR(VLOOKUP(H102,Materialtabell[[#All],[Materialnamn]:[Kommentar A4]],24,0),"")</f>
        <v/>
      </c>
      <c r="P102" s="94" t="str">
        <f>IFERROR(($F102*$J102*$O102*VLOOKUP($H102,Materialtabell[[#All],[Materialnamn]:[Bränsle 
MJ/ton, km]],25,0)*Materiallista!$AF$5)/1000,"")</f>
        <v/>
      </c>
      <c r="Q102" s="94" t="str">
        <f>IFERROR(($F102*$J102*$O102*VLOOKUP($H102,Materialtabell[[#All],[Materialnamn]:[Bränsle 
MJ/ton, km]],25,0)*Materiallista!$AF$6)/1000,"")</f>
        <v/>
      </c>
      <c r="R102" s="162"/>
      <c r="S102" s="3"/>
      <c r="T102" s="3"/>
    </row>
    <row r="103" spans="1:20" x14ac:dyDescent="0.25">
      <c r="A103" s="3"/>
      <c r="B103" s="185">
        <v>98</v>
      </c>
      <c r="C103" s="170"/>
      <c r="D103" s="103"/>
      <c r="E103" s="103"/>
      <c r="F103" s="78"/>
      <c r="G103" s="103"/>
      <c r="H103" s="102"/>
      <c r="I103" s="105" t="str">
        <f>IFERROR(VLOOKUP(KalkylSlut[[#This Row],[Klimatmaterial]],Materialtabell[[#All],[Materialnamn]:[Materialtyp]],2,0),"")</f>
        <v/>
      </c>
      <c r="J103" s="104" t="str">
        <f>IFERROR(IF(G103="kg",1,IF(G103="ton",1000,IF(G103=RIGHT(VLOOKUP(H103,Materialtabell[[#All],[Materialnamn]:[Enhet]],4,0),LEN(VLOOKUP(H103,Materialtabell[[#All],[Materialnamn]:[Enhet]],4,0))-3),VLOOKUP(H103,Materialtabell[[#All],[Materialnamn]:[Enhet]],3,0),"Enhetsfel"))),"")</f>
        <v/>
      </c>
      <c r="K103" s="105" t="str">
        <f>IFERROR(IF(G103="kg","kg/kg",IF(G103="ton","kg/ton",IF(RIGHT(VLOOKUP(H103,Materialtabell[[#All],[Materialnamn]:[Enhet]],4,0),LEN(VLOOKUP(H103,Materialtabell[[#All],[Materialnamn]:[Enhet]],4,0))-3)=G103,VLOOKUP(H103,Materialtabell[[#All],[Materialnamn]:[Enhet]],4,0),"kg/ton/"&amp;RIGHT(VLOOKUP(H103,Materialtabell[[#All],[Materialnamn]:[Enhet]],4,0),LEN(VLOOKUP(H103,Materialtabell[[#All],[Materialnamn]:[Enhet]],4,0))-3)))),"")</f>
        <v/>
      </c>
      <c r="L103" s="104" t="str">
        <f>IFERROR(KalkylSlut[[#This Row],[Mängd]]*KalkylSlut[[#This Row],[Omräknings-faktor]],"")</f>
        <v/>
      </c>
      <c r="M103" s="104" t="str">
        <f>IFERROR(F103*J103*VLOOKUP(H103,Materialtabell[[#All],[Materialnamn]:[Emissionsfaktor 2019
kg CO2e/kg]],5,0),"")</f>
        <v/>
      </c>
      <c r="N103" s="104" t="str">
        <f>IFERROR(F103*J103*VLOOKUP(H103,Materialtabell[[#All],[Materialnamn]:[Emissionsfaktor 2025
kg CO2e/kg]],6,0),"")</f>
        <v/>
      </c>
      <c r="O103" s="78" t="str">
        <f>IFERROR(VLOOKUP(H103,Materialtabell[[#All],[Materialnamn]:[Kommentar A4]],24,0),"")</f>
        <v/>
      </c>
      <c r="P103" s="94" t="str">
        <f>IFERROR(($F103*$J103*$O103*VLOOKUP($H103,Materialtabell[[#All],[Materialnamn]:[Bränsle 
MJ/ton, km]],25,0)*Materiallista!$AF$5)/1000,"")</f>
        <v/>
      </c>
      <c r="Q103" s="94" t="str">
        <f>IFERROR(($F103*$J103*$O103*VLOOKUP($H103,Materialtabell[[#All],[Materialnamn]:[Bränsle 
MJ/ton, km]],25,0)*Materiallista!$AF$6)/1000,"")</f>
        <v/>
      </c>
      <c r="R103" s="162"/>
      <c r="S103" s="3"/>
      <c r="T103" s="3"/>
    </row>
    <row r="104" spans="1:20" x14ac:dyDescent="0.25">
      <c r="A104" s="3"/>
      <c r="B104" s="185">
        <v>99</v>
      </c>
      <c r="C104" s="170"/>
      <c r="D104" s="103"/>
      <c r="E104" s="103"/>
      <c r="F104" s="78"/>
      <c r="G104" s="103"/>
      <c r="H104" s="102"/>
      <c r="I104" s="105" t="str">
        <f>IFERROR(VLOOKUP(KalkylSlut[[#This Row],[Klimatmaterial]],Materialtabell[[#All],[Materialnamn]:[Materialtyp]],2,0),"")</f>
        <v/>
      </c>
      <c r="J104" s="104" t="str">
        <f>IFERROR(IF(G104="kg",1,IF(G104="ton",1000,IF(G104=RIGHT(VLOOKUP(H104,Materialtabell[[#All],[Materialnamn]:[Enhet]],4,0),LEN(VLOOKUP(H104,Materialtabell[[#All],[Materialnamn]:[Enhet]],4,0))-3),VLOOKUP(H104,Materialtabell[[#All],[Materialnamn]:[Enhet]],3,0),"Enhetsfel"))),"")</f>
        <v/>
      </c>
      <c r="K104" s="105" t="str">
        <f>IFERROR(IF(G104="kg","kg/kg",IF(G104="ton","kg/ton",IF(RIGHT(VLOOKUP(H104,Materialtabell[[#All],[Materialnamn]:[Enhet]],4,0),LEN(VLOOKUP(H104,Materialtabell[[#All],[Materialnamn]:[Enhet]],4,0))-3)=G104,VLOOKUP(H104,Materialtabell[[#All],[Materialnamn]:[Enhet]],4,0),"kg/ton/"&amp;RIGHT(VLOOKUP(H104,Materialtabell[[#All],[Materialnamn]:[Enhet]],4,0),LEN(VLOOKUP(H104,Materialtabell[[#All],[Materialnamn]:[Enhet]],4,0))-3)))),"")</f>
        <v/>
      </c>
      <c r="L104" s="104" t="str">
        <f>IFERROR(KalkylSlut[[#This Row],[Mängd]]*KalkylSlut[[#This Row],[Omräknings-faktor]],"")</f>
        <v/>
      </c>
      <c r="M104" s="104" t="str">
        <f>IFERROR(F104*J104*VLOOKUP(H104,Materialtabell[[#All],[Materialnamn]:[Emissionsfaktor 2019
kg CO2e/kg]],5,0),"")</f>
        <v/>
      </c>
      <c r="N104" s="104" t="str">
        <f>IFERROR(F104*J104*VLOOKUP(H104,Materialtabell[[#All],[Materialnamn]:[Emissionsfaktor 2025
kg CO2e/kg]],6,0),"")</f>
        <v/>
      </c>
      <c r="O104" s="78" t="str">
        <f>IFERROR(VLOOKUP(H104,Materialtabell[[#All],[Materialnamn]:[Kommentar A4]],24,0),"")</f>
        <v/>
      </c>
      <c r="P104" s="94" t="str">
        <f>IFERROR(($F104*$J104*$O104*VLOOKUP($H104,Materialtabell[[#All],[Materialnamn]:[Bränsle 
MJ/ton, km]],25,0)*Materiallista!$AF$5)/1000,"")</f>
        <v/>
      </c>
      <c r="Q104" s="94" t="str">
        <f>IFERROR(($F104*$J104*$O104*VLOOKUP($H104,Materialtabell[[#All],[Materialnamn]:[Bränsle 
MJ/ton, km]],25,0)*Materiallista!$AF$6)/1000,"")</f>
        <v/>
      </c>
      <c r="R104" s="162"/>
      <c r="S104" s="3"/>
      <c r="T104" s="3"/>
    </row>
    <row r="105" spans="1:20" x14ac:dyDescent="0.25">
      <c r="A105" s="3"/>
      <c r="B105" s="185">
        <v>100</v>
      </c>
      <c r="C105" s="170"/>
      <c r="D105" s="103"/>
      <c r="E105" s="103"/>
      <c r="F105" s="78"/>
      <c r="G105" s="103"/>
      <c r="H105" s="102"/>
      <c r="I105" s="105" t="str">
        <f>IFERROR(VLOOKUP(KalkylSlut[[#This Row],[Klimatmaterial]],Materialtabell[[#All],[Materialnamn]:[Materialtyp]],2,0),"")</f>
        <v/>
      </c>
      <c r="J105" s="104" t="str">
        <f>IFERROR(IF(G105="kg",1,IF(G105="ton",1000,IF(G105=RIGHT(VLOOKUP(H105,Materialtabell[[#All],[Materialnamn]:[Enhet]],4,0),LEN(VLOOKUP(H105,Materialtabell[[#All],[Materialnamn]:[Enhet]],4,0))-3),VLOOKUP(H105,Materialtabell[[#All],[Materialnamn]:[Enhet]],3,0),"Enhetsfel"))),"")</f>
        <v/>
      </c>
      <c r="K105" s="105" t="str">
        <f>IFERROR(IF(G105="kg","kg/kg",IF(G105="ton","kg/ton",IF(RIGHT(VLOOKUP(H105,Materialtabell[[#All],[Materialnamn]:[Enhet]],4,0),LEN(VLOOKUP(H105,Materialtabell[[#All],[Materialnamn]:[Enhet]],4,0))-3)=G105,VLOOKUP(H105,Materialtabell[[#All],[Materialnamn]:[Enhet]],4,0),"kg/ton/"&amp;RIGHT(VLOOKUP(H105,Materialtabell[[#All],[Materialnamn]:[Enhet]],4,0),LEN(VLOOKUP(H105,Materialtabell[[#All],[Materialnamn]:[Enhet]],4,0))-3)))),"")</f>
        <v/>
      </c>
      <c r="L105" s="104" t="str">
        <f>IFERROR(KalkylSlut[[#This Row],[Mängd]]*KalkylSlut[[#This Row],[Omräknings-faktor]],"")</f>
        <v/>
      </c>
      <c r="M105" s="104" t="str">
        <f>IFERROR(F105*J105*VLOOKUP(H105,Materialtabell[[#All],[Materialnamn]:[Emissionsfaktor 2019
kg CO2e/kg]],5,0),"")</f>
        <v/>
      </c>
      <c r="N105" s="104" t="str">
        <f>IFERROR(F105*J105*VLOOKUP(H105,Materialtabell[[#All],[Materialnamn]:[Emissionsfaktor 2025
kg CO2e/kg]],6,0),"")</f>
        <v/>
      </c>
      <c r="O105" s="78" t="str">
        <f>IFERROR(VLOOKUP(H105,Materialtabell[[#All],[Materialnamn]:[Kommentar A4]],24,0),"")</f>
        <v/>
      </c>
      <c r="P105" s="94" t="str">
        <f>IFERROR(($F105*$J105*$O105*VLOOKUP($H105,Materialtabell[[#All],[Materialnamn]:[Bränsle 
MJ/ton, km]],25,0)*Materiallista!$AF$5)/1000,"")</f>
        <v/>
      </c>
      <c r="Q105" s="94" t="str">
        <f>IFERROR(($F105*$J105*$O105*VLOOKUP($H105,Materialtabell[[#All],[Materialnamn]:[Bränsle 
MJ/ton, km]],25,0)*Materiallista!$AF$6)/1000,"")</f>
        <v/>
      </c>
      <c r="R105" s="162"/>
      <c r="S105" s="3"/>
      <c r="T105" s="3"/>
    </row>
    <row r="106" spans="1:20" x14ac:dyDescent="0.25">
      <c r="A106" s="3"/>
      <c r="B106" s="185">
        <v>101</v>
      </c>
      <c r="C106" s="170"/>
      <c r="D106" s="103"/>
      <c r="E106" s="103"/>
      <c r="F106" s="78"/>
      <c r="G106" s="103"/>
      <c r="H106" s="102"/>
      <c r="I106" s="105" t="str">
        <f>IFERROR(VLOOKUP(KalkylSlut[[#This Row],[Klimatmaterial]],Materialtabell[[#All],[Materialnamn]:[Materialtyp]],2,0),"")</f>
        <v/>
      </c>
      <c r="J106" s="104" t="str">
        <f>IFERROR(IF(G106="kg",1,IF(G106="ton",1000,IF(G106=RIGHT(VLOOKUP(H106,Materialtabell[[#All],[Materialnamn]:[Enhet]],4,0),LEN(VLOOKUP(H106,Materialtabell[[#All],[Materialnamn]:[Enhet]],4,0))-3),VLOOKUP(H106,Materialtabell[[#All],[Materialnamn]:[Enhet]],3,0),"Enhetsfel"))),"")</f>
        <v/>
      </c>
      <c r="K106" s="105" t="str">
        <f>IFERROR(IF(G106="kg","kg/kg",IF(G106="ton","kg/ton",IF(RIGHT(VLOOKUP(H106,Materialtabell[[#All],[Materialnamn]:[Enhet]],4,0),LEN(VLOOKUP(H106,Materialtabell[[#All],[Materialnamn]:[Enhet]],4,0))-3)=G106,VLOOKUP(H106,Materialtabell[[#All],[Materialnamn]:[Enhet]],4,0),"kg/ton/"&amp;RIGHT(VLOOKUP(H106,Materialtabell[[#All],[Materialnamn]:[Enhet]],4,0),LEN(VLOOKUP(H106,Materialtabell[[#All],[Materialnamn]:[Enhet]],4,0))-3)))),"")</f>
        <v/>
      </c>
      <c r="L106" s="104" t="str">
        <f>IFERROR(KalkylSlut[[#This Row],[Mängd]]*KalkylSlut[[#This Row],[Omräknings-faktor]],"")</f>
        <v/>
      </c>
      <c r="M106" s="104" t="str">
        <f>IFERROR(F106*J106*VLOOKUP(H106,Materialtabell[[#All],[Materialnamn]:[Emissionsfaktor 2019
kg CO2e/kg]],5,0),"")</f>
        <v/>
      </c>
      <c r="N106" s="104" t="str">
        <f>IFERROR(F106*J106*VLOOKUP(H106,Materialtabell[[#All],[Materialnamn]:[Emissionsfaktor 2025
kg CO2e/kg]],6,0),"")</f>
        <v/>
      </c>
      <c r="O106" s="78" t="str">
        <f>IFERROR(VLOOKUP(H106,Materialtabell[[#All],[Materialnamn]:[Kommentar A4]],24,0),"")</f>
        <v/>
      </c>
      <c r="P106" s="94" t="str">
        <f>IFERROR(($F106*$J106*$O106*VLOOKUP($H106,Materialtabell[[#All],[Materialnamn]:[Bränsle 
MJ/ton, km]],25,0)*Materiallista!$AF$5)/1000,"")</f>
        <v/>
      </c>
      <c r="Q106" s="94" t="str">
        <f>IFERROR(($F106*$J106*$O106*VLOOKUP($H106,Materialtabell[[#All],[Materialnamn]:[Bränsle 
MJ/ton, km]],25,0)*Materiallista!$AF$6)/1000,"")</f>
        <v/>
      </c>
      <c r="R106" s="162"/>
      <c r="S106" s="3"/>
      <c r="T106" s="3"/>
    </row>
    <row r="107" spans="1:20" x14ac:dyDescent="0.25">
      <c r="A107" s="3"/>
      <c r="B107" s="185">
        <v>102</v>
      </c>
      <c r="C107" s="170"/>
      <c r="D107" s="103"/>
      <c r="E107" s="103"/>
      <c r="F107" s="78"/>
      <c r="G107" s="103"/>
      <c r="H107" s="102"/>
      <c r="I107" s="105" t="str">
        <f>IFERROR(VLOOKUP(KalkylSlut[[#This Row],[Klimatmaterial]],Materialtabell[[#All],[Materialnamn]:[Materialtyp]],2,0),"")</f>
        <v/>
      </c>
      <c r="J107" s="104" t="str">
        <f>IFERROR(IF(G107="kg",1,IF(G107="ton",1000,IF(G107=RIGHT(VLOOKUP(H107,Materialtabell[[#All],[Materialnamn]:[Enhet]],4,0),LEN(VLOOKUP(H107,Materialtabell[[#All],[Materialnamn]:[Enhet]],4,0))-3),VLOOKUP(H107,Materialtabell[[#All],[Materialnamn]:[Enhet]],3,0),"Enhetsfel"))),"")</f>
        <v/>
      </c>
      <c r="K107" s="105" t="str">
        <f>IFERROR(IF(G107="kg","kg/kg",IF(G107="ton","kg/ton",IF(RIGHT(VLOOKUP(H107,Materialtabell[[#All],[Materialnamn]:[Enhet]],4,0),LEN(VLOOKUP(H107,Materialtabell[[#All],[Materialnamn]:[Enhet]],4,0))-3)=G107,VLOOKUP(H107,Materialtabell[[#All],[Materialnamn]:[Enhet]],4,0),"kg/ton/"&amp;RIGHT(VLOOKUP(H107,Materialtabell[[#All],[Materialnamn]:[Enhet]],4,0),LEN(VLOOKUP(H107,Materialtabell[[#All],[Materialnamn]:[Enhet]],4,0))-3)))),"")</f>
        <v/>
      </c>
      <c r="L107" s="104" t="str">
        <f>IFERROR(KalkylSlut[[#This Row],[Mängd]]*KalkylSlut[[#This Row],[Omräknings-faktor]],"")</f>
        <v/>
      </c>
      <c r="M107" s="104" t="str">
        <f>IFERROR(F107*J107*VLOOKUP(H107,Materialtabell[[#All],[Materialnamn]:[Emissionsfaktor 2019
kg CO2e/kg]],5,0),"")</f>
        <v/>
      </c>
      <c r="N107" s="104" t="str">
        <f>IFERROR(F107*J107*VLOOKUP(H107,Materialtabell[[#All],[Materialnamn]:[Emissionsfaktor 2025
kg CO2e/kg]],6,0),"")</f>
        <v/>
      </c>
      <c r="O107" s="78" t="str">
        <f>IFERROR(VLOOKUP(H107,Materialtabell[[#All],[Materialnamn]:[Kommentar A4]],24,0),"")</f>
        <v/>
      </c>
      <c r="P107" s="94" t="str">
        <f>IFERROR(($F107*$J107*$O107*VLOOKUP($H107,Materialtabell[[#All],[Materialnamn]:[Bränsle 
MJ/ton, km]],25,0)*Materiallista!$AF$5)/1000,"")</f>
        <v/>
      </c>
      <c r="Q107" s="94" t="str">
        <f>IFERROR(($F107*$J107*$O107*VLOOKUP($H107,Materialtabell[[#All],[Materialnamn]:[Bränsle 
MJ/ton, km]],25,0)*Materiallista!$AF$6)/1000,"")</f>
        <v/>
      </c>
      <c r="R107" s="162"/>
      <c r="S107" s="3"/>
      <c r="T107" s="3"/>
    </row>
    <row r="108" spans="1:20" x14ac:dyDescent="0.25">
      <c r="A108" s="3"/>
      <c r="B108" s="185">
        <v>103</v>
      </c>
      <c r="C108" s="170"/>
      <c r="D108" s="103"/>
      <c r="E108" s="103"/>
      <c r="F108" s="78"/>
      <c r="G108" s="103"/>
      <c r="H108" s="102"/>
      <c r="I108" s="105" t="str">
        <f>IFERROR(VLOOKUP(KalkylSlut[[#This Row],[Klimatmaterial]],Materialtabell[[#All],[Materialnamn]:[Materialtyp]],2,0),"")</f>
        <v/>
      </c>
      <c r="J108" s="104" t="str">
        <f>IFERROR(IF(G108="kg",1,IF(G108="ton",1000,IF(G108=RIGHT(VLOOKUP(H108,Materialtabell[[#All],[Materialnamn]:[Enhet]],4,0),LEN(VLOOKUP(H108,Materialtabell[[#All],[Materialnamn]:[Enhet]],4,0))-3),VLOOKUP(H108,Materialtabell[[#All],[Materialnamn]:[Enhet]],3,0),"Enhetsfel"))),"")</f>
        <v/>
      </c>
      <c r="K108" s="105" t="str">
        <f>IFERROR(IF(G108="kg","kg/kg",IF(G108="ton","kg/ton",IF(RIGHT(VLOOKUP(H108,Materialtabell[[#All],[Materialnamn]:[Enhet]],4,0),LEN(VLOOKUP(H108,Materialtabell[[#All],[Materialnamn]:[Enhet]],4,0))-3)=G108,VLOOKUP(H108,Materialtabell[[#All],[Materialnamn]:[Enhet]],4,0),"kg/ton/"&amp;RIGHT(VLOOKUP(H108,Materialtabell[[#All],[Materialnamn]:[Enhet]],4,0),LEN(VLOOKUP(H108,Materialtabell[[#All],[Materialnamn]:[Enhet]],4,0))-3)))),"")</f>
        <v/>
      </c>
      <c r="L108" s="104" t="str">
        <f>IFERROR(KalkylSlut[[#This Row],[Mängd]]*KalkylSlut[[#This Row],[Omräknings-faktor]],"")</f>
        <v/>
      </c>
      <c r="M108" s="104" t="str">
        <f>IFERROR(F108*J108*VLOOKUP(H108,Materialtabell[[#All],[Materialnamn]:[Emissionsfaktor 2019
kg CO2e/kg]],5,0),"")</f>
        <v/>
      </c>
      <c r="N108" s="104" t="str">
        <f>IFERROR(F108*J108*VLOOKUP(H108,Materialtabell[[#All],[Materialnamn]:[Emissionsfaktor 2025
kg CO2e/kg]],6,0),"")</f>
        <v/>
      </c>
      <c r="O108" s="78" t="str">
        <f>IFERROR(VLOOKUP(H108,Materialtabell[[#All],[Materialnamn]:[Kommentar A4]],24,0),"")</f>
        <v/>
      </c>
      <c r="P108" s="94" t="str">
        <f>IFERROR(($F108*$J108*$O108*VLOOKUP($H108,Materialtabell[[#All],[Materialnamn]:[Bränsle 
MJ/ton, km]],25,0)*Materiallista!$AF$5)/1000,"")</f>
        <v/>
      </c>
      <c r="Q108" s="94" t="str">
        <f>IFERROR(($F108*$J108*$O108*VLOOKUP($H108,Materialtabell[[#All],[Materialnamn]:[Bränsle 
MJ/ton, km]],25,0)*Materiallista!$AF$6)/1000,"")</f>
        <v/>
      </c>
      <c r="R108" s="162"/>
      <c r="S108" s="3"/>
      <c r="T108" s="3"/>
    </row>
    <row r="109" spans="1:20" x14ac:dyDescent="0.25">
      <c r="A109" s="3"/>
      <c r="B109" s="185">
        <v>104</v>
      </c>
      <c r="C109" s="170"/>
      <c r="D109" s="103"/>
      <c r="E109" s="103"/>
      <c r="F109" s="78"/>
      <c r="G109" s="103"/>
      <c r="H109" s="102"/>
      <c r="I109" s="105" t="str">
        <f>IFERROR(VLOOKUP(KalkylSlut[[#This Row],[Klimatmaterial]],Materialtabell[[#All],[Materialnamn]:[Materialtyp]],2,0),"")</f>
        <v/>
      </c>
      <c r="J109" s="104" t="str">
        <f>IFERROR(IF(G109="kg",1,IF(G109="ton",1000,IF(G109=RIGHT(VLOOKUP(H109,Materialtabell[[#All],[Materialnamn]:[Enhet]],4,0),LEN(VLOOKUP(H109,Materialtabell[[#All],[Materialnamn]:[Enhet]],4,0))-3),VLOOKUP(H109,Materialtabell[[#All],[Materialnamn]:[Enhet]],3,0),"Enhetsfel"))),"")</f>
        <v/>
      </c>
      <c r="K109" s="105" t="str">
        <f>IFERROR(IF(G109="kg","kg/kg",IF(G109="ton","kg/ton",IF(RIGHT(VLOOKUP(H109,Materialtabell[[#All],[Materialnamn]:[Enhet]],4,0),LEN(VLOOKUP(H109,Materialtabell[[#All],[Materialnamn]:[Enhet]],4,0))-3)=G109,VLOOKUP(H109,Materialtabell[[#All],[Materialnamn]:[Enhet]],4,0),"kg/ton/"&amp;RIGHT(VLOOKUP(H109,Materialtabell[[#All],[Materialnamn]:[Enhet]],4,0),LEN(VLOOKUP(H109,Materialtabell[[#All],[Materialnamn]:[Enhet]],4,0))-3)))),"")</f>
        <v/>
      </c>
      <c r="L109" s="104" t="str">
        <f>IFERROR(KalkylSlut[[#This Row],[Mängd]]*KalkylSlut[[#This Row],[Omräknings-faktor]],"")</f>
        <v/>
      </c>
      <c r="M109" s="104" t="str">
        <f>IFERROR(F109*J109*VLOOKUP(H109,Materialtabell[[#All],[Materialnamn]:[Emissionsfaktor 2019
kg CO2e/kg]],5,0),"")</f>
        <v/>
      </c>
      <c r="N109" s="104" t="str">
        <f>IFERROR(F109*J109*VLOOKUP(H109,Materialtabell[[#All],[Materialnamn]:[Emissionsfaktor 2025
kg CO2e/kg]],6,0),"")</f>
        <v/>
      </c>
      <c r="O109" s="78" t="str">
        <f>IFERROR(VLOOKUP(H109,Materialtabell[[#All],[Materialnamn]:[Kommentar A4]],24,0),"")</f>
        <v/>
      </c>
      <c r="P109" s="94" t="str">
        <f>IFERROR(($F109*$J109*$O109*VLOOKUP($H109,Materialtabell[[#All],[Materialnamn]:[Bränsle 
MJ/ton, km]],25,0)*Materiallista!$AF$5)/1000,"")</f>
        <v/>
      </c>
      <c r="Q109" s="94" t="str">
        <f>IFERROR(($F109*$J109*$O109*VLOOKUP($H109,Materialtabell[[#All],[Materialnamn]:[Bränsle 
MJ/ton, km]],25,0)*Materiallista!$AF$6)/1000,"")</f>
        <v/>
      </c>
      <c r="R109" s="162"/>
      <c r="S109" s="3"/>
      <c r="T109" s="3"/>
    </row>
    <row r="110" spans="1:20" x14ac:dyDescent="0.25">
      <c r="A110" s="3"/>
      <c r="B110" s="185">
        <v>105</v>
      </c>
      <c r="C110" s="170"/>
      <c r="D110" s="103"/>
      <c r="E110" s="103"/>
      <c r="F110" s="78"/>
      <c r="G110" s="103"/>
      <c r="H110" s="102"/>
      <c r="I110" s="105" t="str">
        <f>IFERROR(VLOOKUP(KalkylSlut[[#This Row],[Klimatmaterial]],Materialtabell[[#All],[Materialnamn]:[Materialtyp]],2,0),"")</f>
        <v/>
      </c>
      <c r="J110" s="104" t="str">
        <f>IFERROR(IF(G110="kg",1,IF(G110="ton",1000,IF(G110=RIGHT(VLOOKUP(H110,Materialtabell[[#All],[Materialnamn]:[Enhet]],4,0),LEN(VLOOKUP(H110,Materialtabell[[#All],[Materialnamn]:[Enhet]],4,0))-3),VLOOKUP(H110,Materialtabell[[#All],[Materialnamn]:[Enhet]],3,0),"Enhetsfel"))),"")</f>
        <v/>
      </c>
      <c r="K110" s="105" t="str">
        <f>IFERROR(IF(G110="kg","kg/kg",IF(G110="ton","kg/ton",IF(RIGHT(VLOOKUP(H110,Materialtabell[[#All],[Materialnamn]:[Enhet]],4,0),LEN(VLOOKUP(H110,Materialtabell[[#All],[Materialnamn]:[Enhet]],4,0))-3)=G110,VLOOKUP(H110,Materialtabell[[#All],[Materialnamn]:[Enhet]],4,0),"kg/ton/"&amp;RIGHT(VLOOKUP(H110,Materialtabell[[#All],[Materialnamn]:[Enhet]],4,0),LEN(VLOOKUP(H110,Materialtabell[[#All],[Materialnamn]:[Enhet]],4,0))-3)))),"")</f>
        <v/>
      </c>
      <c r="L110" s="104" t="str">
        <f>IFERROR(KalkylSlut[[#This Row],[Mängd]]*KalkylSlut[[#This Row],[Omräknings-faktor]],"")</f>
        <v/>
      </c>
      <c r="M110" s="104" t="str">
        <f>IFERROR(F110*J110*VLOOKUP(H110,Materialtabell[[#All],[Materialnamn]:[Emissionsfaktor 2019
kg CO2e/kg]],5,0),"")</f>
        <v/>
      </c>
      <c r="N110" s="104" t="str">
        <f>IFERROR(F110*J110*VLOOKUP(H110,Materialtabell[[#All],[Materialnamn]:[Emissionsfaktor 2025
kg CO2e/kg]],6,0),"")</f>
        <v/>
      </c>
      <c r="O110" s="78" t="str">
        <f>IFERROR(VLOOKUP(H110,Materialtabell[[#All],[Materialnamn]:[Kommentar A4]],24,0),"")</f>
        <v/>
      </c>
      <c r="P110" s="94" t="str">
        <f>IFERROR(($F110*$J110*$O110*VLOOKUP($H110,Materialtabell[[#All],[Materialnamn]:[Bränsle 
MJ/ton, km]],25,0)*Materiallista!$AF$5)/1000,"")</f>
        <v/>
      </c>
      <c r="Q110" s="94" t="str">
        <f>IFERROR(($F110*$J110*$O110*VLOOKUP($H110,Materialtabell[[#All],[Materialnamn]:[Bränsle 
MJ/ton, km]],25,0)*Materiallista!$AF$6)/1000,"")</f>
        <v/>
      </c>
      <c r="R110" s="162"/>
      <c r="S110" s="3"/>
      <c r="T110" s="3"/>
    </row>
    <row r="111" spans="1:20" x14ac:dyDescent="0.25">
      <c r="A111" s="3"/>
      <c r="B111" s="185">
        <v>106</v>
      </c>
      <c r="C111" s="170"/>
      <c r="D111" s="103"/>
      <c r="E111" s="103"/>
      <c r="F111" s="78"/>
      <c r="G111" s="103"/>
      <c r="H111" s="102"/>
      <c r="I111" s="105" t="str">
        <f>IFERROR(VLOOKUP(KalkylSlut[[#This Row],[Klimatmaterial]],Materialtabell[[#All],[Materialnamn]:[Materialtyp]],2,0),"")</f>
        <v/>
      </c>
      <c r="J111" s="104" t="str">
        <f>IFERROR(IF(G111="kg",1,IF(G111="ton",1000,IF(G111=RIGHT(VLOOKUP(H111,Materialtabell[[#All],[Materialnamn]:[Enhet]],4,0),LEN(VLOOKUP(H111,Materialtabell[[#All],[Materialnamn]:[Enhet]],4,0))-3),VLOOKUP(H111,Materialtabell[[#All],[Materialnamn]:[Enhet]],3,0),"Enhetsfel"))),"")</f>
        <v/>
      </c>
      <c r="K111" s="105" t="str">
        <f>IFERROR(IF(G111="kg","kg/kg",IF(G111="ton","kg/ton",IF(RIGHT(VLOOKUP(H111,Materialtabell[[#All],[Materialnamn]:[Enhet]],4,0),LEN(VLOOKUP(H111,Materialtabell[[#All],[Materialnamn]:[Enhet]],4,0))-3)=G111,VLOOKUP(H111,Materialtabell[[#All],[Materialnamn]:[Enhet]],4,0),"kg/ton/"&amp;RIGHT(VLOOKUP(H111,Materialtabell[[#All],[Materialnamn]:[Enhet]],4,0),LEN(VLOOKUP(H111,Materialtabell[[#All],[Materialnamn]:[Enhet]],4,0))-3)))),"")</f>
        <v/>
      </c>
      <c r="L111" s="104" t="str">
        <f>IFERROR(KalkylSlut[[#This Row],[Mängd]]*KalkylSlut[[#This Row],[Omräknings-faktor]],"")</f>
        <v/>
      </c>
      <c r="M111" s="104" t="str">
        <f>IFERROR(F111*J111*VLOOKUP(H111,Materialtabell[[#All],[Materialnamn]:[Emissionsfaktor 2019
kg CO2e/kg]],5,0),"")</f>
        <v/>
      </c>
      <c r="N111" s="104" t="str">
        <f>IFERROR(F111*J111*VLOOKUP(H111,Materialtabell[[#All],[Materialnamn]:[Emissionsfaktor 2025
kg CO2e/kg]],6,0),"")</f>
        <v/>
      </c>
      <c r="O111" s="78" t="str">
        <f>IFERROR(VLOOKUP(H111,Materialtabell[[#All],[Materialnamn]:[Kommentar A4]],24,0),"")</f>
        <v/>
      </c>
      <c r="P111" s="94" t="str">
        <f>IFERROR(($F111*$J111*$O111*VLOOKUP($H111,Materialtabell[[#All],[Materialnamn]:[Bränsle 
MJ/ton, km]],25,0)*Materiallista!$AF$5)/1000,"")</f>
        <v/>
      </c>
      <c r="Q111" s="94" t="str">
        <f>IFERROR(($F111*$J111*$O111*VLOOKUP($H111,Materialtabell[[#All],[Materialnamn]:[Bränsle 
MJ/ton, km]],25,0)*Materiallista!$AF$6)/1000,"")</f>
        <v/>
      </c>
      <c r="R111" s="162"/>
      <c r="S111" s="3"/>
      <c r="T111" s="3"/>
    </row>
    <row r="112" spans="1:20" x14ac:dyDescent="0.25">
      <c r="A112" s="3"/>
      <c r="B112" s="185">
        <v>107</v>
      </c>
      <c r="C112" s="170"/>
      <c r="D112" s="103"/>
      <c r="E112" s="103"/>
      <c r="F112" s="78"/>
      <c r="G112" s="103"/>
      <c r="H112" s="102"/>
      <c r="I112" s="105" t="str">
        <f>IFERROR(VLOOKUP(KalkylSlut[[#This Row],[Klimatmaterial]],Materialtabell[[#All],[Materialnamn]:[Materialtyp]],2,0),"")</f>
        <v/>
      </c>
      <c r="J112" s="104" t="str">
        <f>IFERROR(IF(G112="kg",1,IF(G112="ton",1000,IF(G112=RIGHT(VLOOKUP(H112,Materialtabell[[#All],[Materialnamn]:[Enhet]],4,0),LEN(VLOOKUP(H112,Materialtabell[[#All],[Materialnamn]:[Enhet]],4,0))-3),VLOOKUP(H112,Materialtabell[[#All],[Materialnamn]:[Enhet]],3,0),"Enhetsfel"))),"")</f>
        <v/>
      </c>
      <c r="K112" s="105" t="str">
        <f>IFERROR(IF(G112="kg","kg/kg",IF(G112="ton","kg/ton",IF(RIGHT(VLOOKUP(H112,Materialtabell[[#All],[Materialnamn]:[Enhet]],4,0),LEN(VLOOKUP(H112,Materialtabell[[#All],[Materialnamn]:[Enhet]],4,0))-3)=G112,VLOOKUP(H112,Materialtabell[[#All],[Materialnamn]:[Enhet]],4,0),"kg/ton/"&amp;RIGHT(VLOOKUP(H112,Materialtabell[[#All],[Materialnamn]:[Enhet]],4,0),LEN(VLOOKUP(H112,Materialtabell[[#All],[Materialnamn]:[Enhet]],4,0))-3)))),"")</f>
        <v/>
      </c>
      <c r="L112" s="104" t="str">
        <f>IFERROR(KalkylSlut[[#This Row],[Mängd]]*KalkylSlut[[#This Row],[Omräknings-faktor]],"")</f>
        <v/>
      </c>
      <c r="M112" s="104" t="str">
        <f>IFERROR(F112*J112*VLOOKUP(H112,Materialtabell[[#All],[Materialnamn]:[Emissionsfaktor 2019
kg CO2e/kg]],5,0),"")</f>
        <v/>
      </c>
      <c r="N112" s="104" t="str">
        <f>IFERROR(F112*J112*VLOOKUP(H112,Materialtabell[[#All],[Materialnamn]:[Emissionsfaktor 2025
kg CO2e/kg]],6,0),"")</f>
        <v/>
      </c>
      <c r="O112" s="78" t="str">
        <f>IFERROR(VLOOKUP(H112,Materialtabell[[#All],[Materialnamn]:[Kommentar A4]],24,0),"")</f>
        <v/>
      </c>
      <c r="P112" s="94" t="str">
        <f>IFERROR(($F112*$J112*$O112*VLOOKUP($H112,Materialtabell[[#All],[Materialnamn]:[Bränsle 
MJ/ton, km]],25,0)*Materiallista!$AF$5)/1000,"")</f>
        <v/>
      </c>
      <c r="Q112" s="94" t="str">
        <f>IFERROR(($F112*$J112*$O112*VLOOKUP($H112,Materialtabell[[#All],[Materialnamn]:[Bränsle 
MJ/ton, km]],25,0)*Materiallista!$AF$6)/1000,"")</f>
        <v/>
      </c>
      <c r="R112" s="162"/>
      <c r="S112" s="3"/>
      <c r="T112" s="3"/>
    </row>
    <row r="113" spans="1:20" x14ac:dyDescent="0.25">
      <c r="A113" s="3"/>
      <c r="B113" s="185">
        <v>108</v>
      </c>
      <c r="C113" s="170"/>
      <c r="D113" s="103"/>
      <c r="E113" s="103"/>
      <c r="F113" s="78"/>
      <c r="G113" s="103"/>
      <c r="H113" s="102"/>
      <c r="I113" s="105" t="str">
        <f>IFERROR(VLOOKUP(KalkylSlut[[#This Row],[Klimatmaterial]],Materialtabell[[#All],[Materialnamn]:[Materialtyp]],2,0),"")</f>
        <v/>
      </c>
      <c r="J113" s="104" t="str">
        <f>IFERROR(IF(G113="kg",1,IF(G113="ton",1000,IF(G113=RIGHT(VLOOKUP(H113,Materialtabell[[#All],[Materialnamn]:[Enhet]],4,0),LEN(VLOOKUP(H113,Materialtabell[[#All],[Materialnamn]:[Enhet]],4,0))-3),VLOOKUP(H113,Materialtabell[[#All],[Materialnamn]:[Enhet]],3,0),"Enhetsfel"))),"")</f>
        <v/>
      </c>
      <c r="K113" s="105" t="str">
        <f>IFERROR(IF(G113="kg","kg/kg",IF(G113="ton","kg/ton",IF(RIGHT(VLOOKUP(H113,Materialtabell[[#All],[Materialnamn]:[Enhet]],4,0),LEN(VLOOKUP(H113,Materialtabell[[#All],[Materialnamn]:[Enhet]],4,0))-3)=G113,VLOOKUP(H113,Materialtabell[[#All],[Materialnamn]:[Enhet]],4,0),"kg/ton/"&amp;RIGHT(VLOOKUP(H113,Materialtabell[[#All],[Materialnamn]:[Enhet]],4,0),LEN(VLOOKUP(H113,Materialtabell[[#All],[Materialnamn]:[Enhet]],4,0))-3)))),"")</f>
        <v/>
      </c>
      <c r="L113" s="104" t="str">
        <f>IFERROR(KalkylSlut[[#This Row],[Mängd]]*KalkylSlut[[#This Row],[Omräknings-faktor]],"")</f>
        <v/>
      </c>
      <c r="M113" s="104" t="str">
        <f>IFERROR(F113*J113*VLOOKUP(H113,Materialtabell[[#All],[Materialnamn]:[Emissionsfaktor 2019
kg CO2e/kg]],5,0),"")</f>
        <v/>
      </c>
      <c r="N113" s="104" t="str">
        <f>IFERROR(F113*J113*VLOOKUP(H113,Materialtabell[[#All],[Materialnamn]:[Emissionsfaktor 2025
kg CO2e/kg]],6,0),"")</f>
        <v/>
      </c>
      <c r="O113" s="78" t="str">
        <f>IFERROR(VLOOKUP(H113,Materialtabell[[#All],[Materialnamn]:[Kommentar A4]],24,0),"")</f>
        <v/>
      </c>
      <c r="P113" s="94" t="str">
        <f>IFERROR(($F113*$J113*$O113*VLOOKUP($H113,Materialtabell[[#All],[Materialnamn]:[Bränsle 
MJ/ton, km]],25,0)*Materiallista!$AF$5)/1000,"")</f>
        <v/>
      </c>
      <c r="Q113" s="94" t="str">
        <f>IFERROR(($F113*$J113*$O113*VLOOKUP($H113,Materialtabell[[#All],[Materialnamn]:[Bränsle 
MJ/ton, km]],25,0)*Materiallista!$AF$6)/1000,"")</f>
        <v/>
      </c>
      <c r="R113" s="162"/>
      <c r="S113" s="3"/>
      <c r="T113" s="3"/>
    </row>
    <row r="114" spans="1:20" x14ac:dyDescent="0.25">
      <c r="A114" s="3"/>
      <c r="B114" s="185">
        <v>109</v>
      </c>
      <c r="C114" s="170"/>
      <c r="D114" s="103"/>
      <c r="E114" s="103"/>
      <c r="F114" s="78"/>
      <c r="G114" s="103"/>
      <c r="H114" s="102"/>
      <c r="I114" s="105" t="str">
        <f>IFERROR(VLOOKUP(KalkylSlut[[#This Row],[Klimatmaterial]],Materialtabell[[#All],[Materialnamn]:[Materialtyp]],2,0),"")</f>
        <v/>
      </c>
      <c r="J114" s="104" t="str">
        <f>IFERROR(IF(G114="kg",1,IF(G114="ton",1000,IF(G114=RIGHT(VLOOKUP(H114,Materialtabell[[#All],[Materialnamn]:[Enhet]],4,0),LEN(VLOOKUP(H114,Materialtabell[[#All],[Materialnamn]:[Enhet]],4,0))-3),VLOOKUP(H114,Materialtabell[[#All],[Materialnamn]:[Enhet]],3,0),"Enhetsfel"))),"")</f>
        <v/>
      </c>
      <c r="K114" s="105" t="str">
        <f>IFERROR(IF(G114="kg","kg/kg",IF(G114="ton","kg/ton",IF(RIGHT(VLOOKUP(H114,Materialtabell[[#All],[Materialnamn]:[Enhet]],4,0),LEN(VLOOKUP(H114,Materialtabell[[#All],[Materialnamn]:[Enhet]],4,0))-3)=G114,VLOOKUP(H114,Materialtabell[[#All],[Materialnamn]:[Enhet]],4,0),"kg/ton/"&amp;RIGHT(VLOOKUP(H114,Materialtabell[[#All],[Materialnamn]:[Enhet]],4,0),LEN(VLOOKUP(H114,Materialtabell[[#All],[Materialnamn]:[Enhet]],4,0))-3)))),"")</f>
        <v/>
      </c>
      <c r="L114" s="104" t="str">
        <f>IFERROR(KalkylSlut[[#This Row],[Mängd]]*KalkylSlut[[#This Row],[Omräknings-faktor]],"")</f>
        <v/>
      </c>
      <c r="M114" s="104" t="str">
        <f>IFERROR(F114*J114*VLOOKUP(H114,Materialtabell[[#All],[Materialnamn]:[Emissionsfaktor 2019
kg CO2e/kg]],5,0),"")</f>
        <v/>
      </c>
      <c r="N114" s="104" t="str">
        <f>IFERROR(F114*J114*VLOOKUP(H114,Materialtabell[[#All],[Materialnamn]:[Emissionsfaktor 2025
kg CO2e/kg]],6,0),"")</f>
        <v/>
      </c>
      <c r="O114" s="78" t="str">
        <f>IFERROR(VLOOKUP(H114,Materialtabell[[#All],[Materialnamn]:[Kommentar A4]],24,0),"")</f>
        <v/>
      </c>
      <c r="P114" s="94" t="str">
        <f>IFERROR(($F114*$J114*$O114*VLOOKUP($H114,Materialtabell[[#All],[Materialnamn]:[Bränsle 
MJ/ton, km]],25,0)*Materiallista!$AF$5)/1000,"")</f>
        <v/>
      </c>
      <c r="Q114" s="94" t="str">
        <f>IFERROR(($F114*$J114*$O114*VLOOKUP($H114,Materialtabell[[#All],[Materialnamn]:[Bränsle 
MJ/ton, km]],25,0)*Materiallista!$AF$6)/1000,"")</f>
        <v/>
      </c>
      <c r="R114" s="162"/>
      <c r="S114" s="3"/>
      <c r="T114" s="3"/>
    </row>
    <row r="115" spans="1:20" x14ac:dyDescent="0.25">
      <c r="A115" s="3"/>
      <c r="B115" s="185">
        <v>110</v>
      </c>
      <c r="C115" s="170"/>
      <c r="D115" s="103"/>
      <c r="E115" s="103"/>
      <c r="F115" s="78"/>
      <c r="G115" s="103"/>
      <c r="H115" s="102"/>
      <c r="I115" s="105" t="str">
        <f>IFERROR(VLOOKUP(KalkylSlut[[#This Row],[Klimatmaterial]],Materialtabell[[#All],[Materialnamn]:[Materialtyp]],2,0),"")</f>
        <v/>
      </c>
      <c r="J115" s="104" t="str">
        <f>IFERROR(IF(G115="kg",1,IF(G115="ton",1000,IF(G115=RIGHT(VLOOKUP(H115,Materialtabell[[#All],[Materialnamn]:[Enhet]],4,0),LEN(VLOOKUP(H115,Materialtabell[[#All],[Materialnamn]:[Enhet]],4,0))-3),VLOOKUP(H115,Materialtabell[[#All],[Materialnamn]:[Enhet]],3,0),"Enhetsfel"))),"")</f>
        <v/>
      </c>
      <c r="K115" s="105" t="str">
        <f>IFERROR(IF(G115="kg","kg/kg",IF(G115="ton","kg/ton",IF(RIGHT(VLOOKUP(H115,Materialtabell[[#All],[Materialnamn]:[Enhet]],4,0),LEN(VLOOKUP(H115,Materialtabell[[#All],[Materialnamn]:[Enhet]],4,0))-3)=G115,VLOOKUP(H115,Materialtabell[[#All],[Materialnamn]:[Enhet]],4,0),"kg/ton/"&amp;RIGHT(VLOOKUP(H115,Materialtabell[[#All],[Materialnamn]:[Enhet]],4,0),LEN(VLOOKUP(H115,Materialtabell[[#All],[Materialnamn]:[Enhet]],4,0))-3)))),"")</f>
        <v/>
      </c>
      <c r="L115" s="104" t="str">
        <f>IFERROR(KalkylSlut[[#This Row],[Mängd]]*KalkylSlut[[#This Row],[Omräknings-faktor]],"")</f>
        <v/>
      </c>
      <c r="M115" s="104" t="str">
        <f>IFERROR(F115*J115*VLOOKUP(H115,Materialtabell[[#All],[Materialnamn]:[Emissionsfaktor 2019
kg CO2e/kg]],5,0),"")</f>
        <v/>
      </c>
      <c r="N115" s="104" t="str">
        <f>IFERROR(F115*J115*VLOOKUP(H115,Materialtabell[[#All],[Materialnamn]:[Emissionsfaktor 2025
kg CO2e/kg]],6,0),"")</f>
        <v/>
      </c>
      <c r="O115" s="78" t="str">
        <f>IFERROR(VLOOKUP(H115,Materialtabell[[#All],[Materialnamn]:[Kommentar A4]],24,0),"")</f>
        <v/>
      </c>
      <c r="P115" s="94" t="str">
        <f>IFERROR(($F115*$J115*$O115*VLOOKUP($H115,Materialtabell[[#All],[Materialnamn]:[Bränsle 
MJ/ton, km]],25,0)*Materiallista!$AF$5)/1000,"")</f>
        <v/>
      </c>
      <c r="Q115" s="94" t="str">
        <f>IFERROR(($F115*$J115*$O115*VLOOKUP($H115,Materialtabell[[#All],[Materialnamn]:[Bränsle 
MJ/ton, km]],25,0)*Materiallista!$AF$6)/1000,"")</f>
        <v/>
      </c>
      <c r="R115" s="162"/>
      <c r="S115" s="3"/>
      <c r="T115" s="3"/>
    </row>
    <row r="116" spans="1:20" x14ac:dyDescent="0.25">
      <c r="A116" s="3"/>
      <c r="B116" s="185">
        <v>111</v>
      </c>
      <c r="C116" s="170"/>
      <c r="D116" s="103"/>
      <c r="E116" s="103"/>
      <c r="F116" s="78"/>
      <c r="G116" s="103"/>
      <c r="H116" s="102"/>
      <c r="I116" s="105" t="str">
        <f>IFERROR(VLOOKUP(KalkylSlut[[#This Row],[Klimatmaterial]],Materialtabell[[#All],[Materialnamn]:[Materialtyp]],2,0),"")</f>
        <v/>
      </c>
      <c r="J116" s="104" t="str">
        <f>IFERROR(IF(G116="kg",1,IF(G116="ton",1000,IF(G116=RIGHT(VLOOKUP(H116,Materialtabell[[#All],[Materialnamn]:[Enhet]],4,0),LEN(VLOOKUP(H116,Materialtabell[[#All],[Materialnamn]:[Enhet]],4,0))-3),VLOOKUP(H116,Materialtabell[[#All],[Materialnamn]:[Enhet]],3,0),"Enhetsfel"))),"")</f>
        <v/>
      </c>
      <c r="K116" s="105" t="str">
        <f>IFERROR(IF(G116="kg","kg/kg",IF(G116="ton","kg/ton",IF(RIGHT(VLOOKUP(H116,Materialtabell[[#All],[Materialnamn]:[Enhet]],4,0),LEN(VLOOKUP(H116,Materialtabell[[#All],[Materialnamn]:[Enhet]],4,0))-3)=G116,VLOOKUP(H116,Materialtabell[[#All],[Materialnamn]:[Enhet]],4,0),"kg/ton/"&amp;RIGHT(VLOOKUP(H116,Materialtabell[[#All],[Materialnamn]:[Enhet]],4,0),LEN(VLOOKUP(H116,Materialtabell[[#All],[Materialnamn]:[Enhet]],4,0))-3)))),"")</f>
        <v/>
      </c>
      <c r="L116" s="104" t="str">
        <f>IFERROR(KalkylSlut[[#This Row],[Mängd]]*KalkylSlut[[#This Row],[Omräknings-faktor]],"")</f>
        <v/>
      </c>
      <c r="M116" s="104" t="str">
        <f>IFERROR(F116*J116*VLOOKUP(H116,Materialtabell[[#All],[Materialnamn]:[Emissionsfaktor 2019
kg CO2e/kg]],5,0),"")</f>
        <v/>
      </c>
      <c r="N116" s="104" t="str">
        <f>IFERROR(F116*J116*VLOOKUP(H116,Materialtabell[[#All],[Materialnamn]:[Emissionsfaktor 2025
kg CO2e/kg]],6,0),"")</f>
        <v/>
      </c>
      <c r="O116" s="78" t="str">
        <f>IFERROR(VLOOKUP(H116,Materialtabell[[#All],[Materialnamn]:[Kommentar A4]],24,0),"")</f>
        <v/>
      </c>
      <c r="P116" s="94" t="str">
        <f>IFERROR(($F116*$J116*$O116*VLOOKUP($H116,Materialtabell[[#All],[Materialnamn]:[Bränsle 
MJ/ton, km]],25,0)*Materiallista!$AF$5)/1000,"")</f>
        <v/>
      </c>
      <c r="Q116" s="94" t="str">
        <f>IFERROR(($F116*$J116*$O116*VLOOKUP($H116,Materialtabell[[#All],[Materialnamn]:[Bränsle 
MJ/ton, km]],25,0)*Materiallista!$AF$6)/1000,"")</f>
        <v/>
      </c>
      <c r="R116" s="162"/>
      <c r="S116" s="3"/>
      <c r="T116" s="3"/>
    </row>
    <row r="117" spans="1:20" x14ac:dyDescent="0.25">
      <c r="A117" s="3"/>
      <c r="B117" s="185">
        <v>112</v>
      </c>
      <c r="C117" s="170"/>
      <c r="D117" s="103"/>
      <c r="E117" s="103"/>
      <c r="F117" s="78"/>
      <c r="G117" s="103"/>
      <c r="H117" s="102"/>
      <c r="I117" s="105" t="str">
        <f>IFERROR(VLOOKUP(KalkylSlut[[#This Row],[Klimatmaterial]],Materialtabell[[#All],[Materialnamn]:[Materialtyp]],2,0),"")</f>
        <v/>
      </c>
      <c r="J117" s="104" t="str">
        <f>IFERROR(IF(G117="kg",1,IF(G117="ton",1000,IF(G117=RIGHT(VLOOKUP(H117,Materialtabell[[#All],[Materialnamn]:[Enhet]],4,0),LEN(VLOOKUP(H117,Materialtabell[[#All],[Materialnamn]:[Enhet]],4,0))-3),VLOOKUP(H117,Materialtabell[[#All],[Materialnamn]:[Enhet]],3,0),"Enhetsfel"))),"")</f>
        <v/>
      </c>
      <c r="K117" s="105" t="str">
        <f>IFERROR(IF(G117="kg","kg/kg",IF(G117="ton","kg/ton",IF(RIGHT(VLOOKUP(H117,Materialtabell[[#All],[Materialnamn]:[Enhet]],4,0),LEN(VLOOKUP(H117,Materialtabell[[#All],[Materialnamn]:[Enhet]],4,0))-3)=G117,VLOOKUP(H117,Materialtabell[[#All],[Materialnamn]:[Enhet]],4,0),"kg/ton/"&amp;RIGHT(VLOOKUP(H117,Materialtabell[[#All],[Materialnamn]:[Enhet]],4,0),LEN(VLOOKUP(H117,Materialtabell[[#All],[Materialnamn]:[Enhet]],4,0))-3)))),"")</f>
        <v/>
      </c>
      <c r="L117" s="104" t="str">
        <f>IFERROR(KalkylSlut[[#This Row],[Mängd]]*KalkylSlut[[#This Row],[Omräknings-faktor]],"")</f>
        <v/>
      </c>
      <c r="M117" s="104" t="str">
        <f>IFERROR(F117*J117*VLOOKUP(H117,Materialtabell[[#All],[Materialnamn]:[Emissionsfaktor 2019
kg CO2e/kg]],5,0),"")</f>
        <v/>
      </c>
      <c r="N117" s="104" t="str">
        <f>IFERROR(F117*J117*VLOOKUP(H117,Materialtabell[[#All],[Materialnamn]:[Emissionsfaktor 2025
kg CO2e/kg]],6,0),"")</f>
        <v/>
      </c>
      <c r="O117" s="78" t="str">
        <f>IFERROR(VLOOKUP(H117,Materialtabell[[#All],[Materialnamn]:[Kommentar A4]],24,0),"")</f>
        <v/>
      </c>
      <c r="P117" s="94" t="str">
        <f>IFERROR(($F117*$J117*$O117*VLOOKUP($H117,Materialtabell[[#All],[Materialnamn]:[Bränsle 
MJ/ton, km]],25,0)*Materiallista!$AF$5)/1000,"")</f>
        <v/>
      </c>
      <c r="Q117" s="94" t="str">
        <f>IFERROR(($F117*$J117*$O117*VLOOKUP($H117,Materialtabell[[#All],[Materialnamn]:[Bränsle 
MJ/ton, km]],25,0)*Materiallista!$AF$6)/1000,"")</f>
        <v/>
      </c>
      <c r="R117" s="162"/>
      <c r="S117" s="3"/>
      <c r="T117" s="3"/>
    </row>
    <row r="118" spans="1:20" x14ac:dyDescent="0.25">
      <c r="A118" s="3"/>
      <c r="B118" s="185">
        <v>113</v>
      </c>
      <c r="C118" s="170"/>
      <c r="D118" s="103"/>
      <c r="E118" s="103"/>
      <c r="F118" s="78"/>
      <c r="G118" s="103"/>
      <c r="H118" s="102"/>
      <c r="I118" s="105" t="str">
        <f>IFERROR(VLOOKUP(KalkylSlut[[#This Row],[Klimatmaterial]],Materialtabell[[#All],[Materialnamn]:[Materialtyp]],2,0),"")</f>
        <v/>
      </c>
      <c r="J118" s="104" t="str">
        <f>IFERROR(IF(G118="kg",1,IF(G118="ton",1000,IF(G118=RIGHT(VLOOKUP(H118,Materialtabell[[#All],[Materialnamn]:[Enhet]],4,0),LEN(VLOOKUP(H118,Materialtabell[[#All],[Materialnamn]:[Enhet]],4,0))-3),VLOOKUP(H118,Materialtabell[[#All],[Materialnamn]:[Enhet]],3,0),"Enhetsfel"))),"")</f>
        <v/>
      </c>
      <c r="K118" s="105" t="str">
        <f>IFERROR(IF(G118="kg","kg/kg",IF(G118="ton","kg/ton",IF(RIGHT(VLOOKUP(H118,Materialtabell[[#All],[Materialnamn]:[Enhet]],4,0),LEN(VLOOKUP(H118,Materialtabell[[#All],[Materialnamn]:[Enhet]],4,0))-3)=G118,VLOOKUP(H118,Materialtabell[[#All],[Materialnamn]:[Enhet]],4,0),"kg/ton/"&amp;RIGHT(VLOOKUP(H118,Materialtabell[[#All],[Materialnamn]:[Enhet]],4,0),LEN(VLOOKUP(H118,Materialtabell[[#All],[Materialnamn]:[Enhet]],4,0))-3)))),"")</f>
        <v/>
      </c>
      <c r="L118" s="104" t="str">
        <f>IFERROR(KalkylSlut[[#This Row],[Mängd]]*KalkylSlut[[#This Row],[Omräknings-faktor]],"")</f>
        <v/>
      </c>
      <c r="M118" s="104" t="str">
        <f>IFERROR(F118*J118*VLOOKUP(H118,Materialtabell[[#All],[Materialnamn]:[Emissionsfaktor 2019
kg CO2e/kg]],5,0),"")</f>
        <v/>
      </c>
      <c r="N118" s="104" t="str">
        <f>IFERROR(F118*J118*VLOOKUP(H118,Materialtabell[[#All],[Materialnamn]:[Emissionsfaktor 2025
kg CO2e/kg]],6,0),"")</f>
        <v/>
      </c>
      <c r="O118" s="78" t="str">
        <f>IFERROR(VLOOKUP(H118,Materialtabell[[#All],[Materialnamn]:[Kommentar A4]],24,0),"")</f>
        <v/>
      </c>
      <c r="P118" s="94" t="str">
        <f>IFERROR(($F118*$J118*$O118*VLOOKUP($H118,Materialtabell[[#All],[Materialnamn]:[Bränsle 
MJ/ton, km]],25,0)*Materiallista!$AF$5)/1000,"")</f>
        <v/>
      </c>
      <c r="Q118" s="94" t="str">
        <f>IFERROR(($F118*$J118*$O118*VLOOKUP($H118,Materialtabell[[#All],[Materialnamn]:[Bränsle 
MJ/ton, km]],25,0)*Materiallista!$AF$6)/1000,"")</f>
        <v/>
      </c>
      <c r="R118" s="162"/>
      <c r="S118" s="3"/>
      <c r="T118" s="3"/>
    </row>
    <row r="119" spans="1:20" x14ac:dyDescent="0.25">
      <c r="A119" s="3"/>
      <c r="B119" s="185">
        <v>114</v>
      </c>
      <c r="C119" s="170"/>
      <c r="D119" s="103"/>
      <c r="E119" s="103"/>
      <c r="F119" s="78"/>
      <c r="G119" s="103"/>
      <c r="H119" s="102"/>
      <c r="I119" s="105" t="str">
        <f>IFERROR(VLOOKUP(KalkylSlut[[#This Row],[Klimatmaterial]],Materialtabell[[#All],[Materialnamn]:[Materialtyp]],2,0),"")</f>
        <v/>
      </c>
      <c r="J119" s="104" t="str">
        <f>IFERROR(IF(G119="kg",1,IF(G119="ton",1000,IF(G119=RIGHT(VLOOKUP(H119,Materialtabell[[#All],[Materialnamn]:[Enhet]],4,0),LEN(VLOOKUP(H119,Materialtabell[[#All],[Materialnamn]:[Enhet]],4,0))-3),VLOOKUP(H119,Materialtabell[[#All],[Materialnamn]:[Enhet]],3,0),"Enhetsfel"))),"")</f>
        <v/>
      </c>
      <c r="K119" s="105" t="str">
        <f>IFERROR(IF(G119="kg","kg/kg",IF(G119="ton","kg/ton",IF(RIGHT(VLOOKUP(H119,Materialtabell[[#All],[Materialnamn]:[Enhet]],4,0),LEN(VLOOKUP(H119,Materialtabell[[#All],[Materialnamn]:[Enhet]],4,0))-3)=G119,VLOOKUP(H119,Materialtabell[[#All],[Materialnamn]:[Enhet]],4,0),"kg/ton/"&amp;RIGHT(VLOOKUP(H119,Materialtabell[[#All],[Materialnamn]:[Enhet]],4,0),LEN(VLOOKUP(H119,Materialtabell[[#All],[Materialnamn]:[Enhet]],4,0))-3)))),"")</f>
        <v/>
      </c>
      <c r="L119" s="104" t="str">
        <f>IFERROR(KalkylSlut[[#This Row],[Mängd]]*KalkylSlut[[#This Row],[Omräknings-faktor]],"")</f>
        <v/>
      </c>
      <c r="M119" s="104" t="str">
        <f>IFERROR(F119*J119*VLOOKUP(H119,Materialtabell[[#All],[Materialnamn]:[Emissionsfaktor 2019
kg CO2e/kg]],5,0),"")</f>
        <v/>
      </c>
      <c r="N119" s="104" t="str">
        <f>IFERROR(F119*J119*VLOOKUP(H119,Materialtabell[[#All],[Materialnamn]:[Emissionsfaktor 2025
kg CO2e/kg]],6,0),"")</f>
        <v/>
      </c>
      <c r="O119" s="78" t="str">
        <f>IFERROR(VLOOKUP(H119,Materialtabell[[#All],[Materialnamn]:[Kommentar A4]],24,0),"")</f>
        <v/>
      </c>
      <c r="P119" s="94" t="str">
        <f>IFERROR(($F119*$J119*$O119*VLOOKUP($H119,Materialtabell[[#All],[Materialnamn]:[Bränsle 
MJ/ton, km]],25,0)*Materiallista!$AF$5)/1000,"")</f>
        <v/>
      </c>
      <c r="Q119" s="94" t="str">
        <f>IFERROR(($F119*$J119*$O119*VLOOKUP($H119,Materialtabell[[#All],[Materialnamn]:[Bränsle 
MJ/ton, km]],25,0)*Materiallista!$AF$6)/1000,"")</f>
        <v/>
      </c>
      <c r="R119" s="162"/>
      <c r="S119" s="3"/>
      <c r="T119" s="3"/>
    </row>
    <row r="120" spans="1:20" x14ac:dyDescent="0.25">
      <c r="A120" s="3"/>
      <c r="B120" s="185">
        <v>115</v>
      </c>
      <c r="C120" s="170"/>
      <c r="D120" s="103"/>
      <c r="E120" s="103"/>
      <c r="F120" s="78"/>
      <c r="G120" s="103"/>
      <c r="H120" s="102"/>
      <c r="I120" s="105" t="str">
        <f>IFERROR(VLOOKUP(KalkylSlut[[#This Row],[Klimatmaterial]],Materialtabell[[#All],[Materialnamn]:[Materialtyp]],2,0),"")</f>
        <v/>
      </c>
      <c r="J120" s="104" t="str">
        <f>IFERROR(IF(G120="kg",1,IF(G120="ton",1000,IF(G120=RIGHT(VLOOKUP(H120,Materialtabell[[#All],[Materialnamn]:[Enhet]],4,0),LEN(VLOOKUP(H120,Materialtabell[[#All],[Materialnamn]:[Enhet]],4,0))-3),VLOOKUP(H120,Materialtabell[[#All],[Materialnamn]:[Enhet]],3,0),"Enhetsfel"))),"")</f>
        <v/>
      </c>
      <c r="K120" s="105" t="str">
        <f>IFERROR(IF(G120="kg","kg/kg",IF(G120="ton","kg/ton",IF(RIGHT(VLOOKUP(H120,Materialtabell[[#All],[Materialnamn]:[Enhet]],4,0),LEN(VLOOKUP(H120,Materialtabell[[#All],[Materialnamn]:[Enhet]],4,0))-3)=G120,VLOOKUP(H120,Materialtabell[[#All],[Materialnamn]:[Enhet]],4,0),"kg/ton/"&amp;RIGHT(VLOOKUP(H120,Materialtabell[[#All],[Materialnamn]:[Enhet]],4,0),LEN(VLOOKUP(H120,Materialtabell[[#All],[Materialnamn]:[Enhet]],4,0))-3)))),"")</f>
        <v/>
      </c>
      <c r="L120" s="104" t="str">
        <f>IFERROR(KalkylSlut[[#This Row],[Mängd]]*KalkylSlut[[#This Row],[Omräknings-faktor]],"")</f>
        <v/>
      </c>
      <c r="M120" s="104" t="str">
        <f>IFERROR(F120*J120*VLOOKUP(H120,Materialtabell[[#All],[Materialnamn]:[Emissionsfaktor 2019
kg CO2e/kg]],5,0),"")</f>
        <v/>
      </c>
      <c r="N120" s="104" t="str">
        <f>IFERROR(F120*J120*VLOOKUP(H120,Materialtabell[[#All],[Materialnamn]:[Emissionsfaktor 2025
kg CO2e/kg]],6,0),"")</f>
        <v/>
      </c>
      <c r="O120" s="78" t="str">
        <f>IFERROR(VLOOKUP(H120,Materialtabell[[#All],[Materialnamn]:[Kommentar A4]],24,0),"")</f>
        <v/>
      </c>
      <c r="P120" s="94" t="str">
        <f>IFERROR(($F120*$J120*$O120*VLOOKUP($H120,Materialtabell[[#All],[Materialnamn]:[Bränsle 
MJ/ton, km]],25,0)*Materiallista!$AF$5)/1000,"")</f>
        <v/>
      </c>
      <c r="Q120" s="94" t="str">
        <f>IFERROR(($F120*$J120*$O120*VLOOKUP($H120,Materialtabell[[#All],[Materialnamn]:[Bränsle 
MJ/ton, km]],25,0)*Materiallista!$AF$6)/1000,"")</f>
        <v/>
      </c>
      <c r="R120" s="162"/>
      <c r="S120" s="3"/>
      <c r="T120" s="3"/>
    </row>
    <row r="121" spans="1:20" x14ac:dyDescent="0.25">
      <c r="A121" s="3"/>
      <c r="B121" s="185">
        <v>116</v>
      </c>
      <c r="C121" s="170"/>
      <c r="D121" s="103"/>
      <c r="E121" s="103"/>
      <c r="F121" s="78"/>
      <c r="G121" s="103"/>
      <c r="H121" s="102"/>
      <c r="I121" s="105" t="str">
        <f>IFERROR(VLOOKUP(KalkylSlut[[#This Row],[Klimatmaterial]],Materialtabell[[#All],[Materialnamn]:[Materialtyp]],2,0),"")</f>
        <v/>
      </c>
      <c r="J121" s="104" t="str">
        <f>IFERROR(IF(G121="kg",1,IF(G121="ton",1000,IF(G121=RIGHT(VLOOKUP(H121,Materialtabell[[#All],[Materialnamn]:[Enhet]],4,0),LEN(VLOOKUP(H121,Materialtabell[[#All],[Materialnamn]:[Enhet]],4,0))-3),VLOOKUP(H121,Materialtabell[[#All],[Materialnamn]:[Enhet]],3,0),"Enhetsfel"))),"")</f>
        <v/>
      </c>
      <c r="K121" s="105" t="str">
        <f>IFERROR(IF(G121="kg","kg/kg",IF(G121="ton","kg/ton",IF(RIGHT(VLOOKUP(H121,Materialtabell[[#All],[Materialnamn]:[Enhet]],4,0),LEN(VLOOKUP(H121,Materialtabell[[#All],[Materialnamn]:[Enhet]],4,0))-3)=G121,VLOOKUP(H121,Materialtabell[[#All],[Materialnamn]:[Enhet]],4,0),"kg/ton/"&amp;RIGHT(VLOOKUP(H121,Materialtabell[[#All],[Materialnamn]:[Enhet]],4,0),LEN(VLOOKUP(H121,Materialtabell[[#All],[Materialnamn]:[Enhet]],4,0))-3)))),"")</f>
        <v/>
      </c>
      <c r="L121" s="104" t="str">
        <f>IFERROR(KalkylSlut[[#This Row],[Mängd]]*KalkylSlut[[#This Row],[Omräknings-faktor]],"")</f>
        <v/>
      </c>
      <c r="M121" s="104" t="str">
        <f>IFERROR(F121*J121*VLOOKUP(H121,Materialtabell[[#All],[Materialnamn]:[Emissionsfaktor 2019
kg CO2e/kg]],5,0),"")</f>
        <v/>
      </c>
      <c r="N121" s="104" t="str">
        <f>IFERROR(F121*J121*VLOOKUP(H121,Materialtabell[[#All],[Materialnamn]:[Emissionsfaktor 2025
kg CO2e/kg]],6,0),"")</f>
        <v/>
      </c>
      <c r="O121" s="78" t="str">
        <f>IFERROR(VLOOKUP(H121,Materialtabell[[#All],[Materialnamn]:[Kommentar A4]],24,0),"")</f>
        <v/>
      </c>
      <c r="P121" s="94" t="str">
        <f>IFERROR(($F121*$J121*$O121*VLOOKUP($H121,Materialtabell[[#All],[Materialnamn]:[Bränsle 
MJ/ton, km]],25,0)*Materiallista!$AF$5)/1000,"")</f>
        <v/>
      </c>
      <c r="Q121" s="94" t="str">
        <f>IFERROR(($F121*$J121*$O121*VLOOKUP($H121,Materialtabell[[#All],[Materialnamn]:[Bränsle 
MJ/ton, km]],25,0)*Materiallista!$AF$6)/1000,"")</f>
        <v/>
      </c>
      <c r="R121" s="162"/>
      <c r="S121" s="3"/>
      <c r="T121" s="3"/>
    </row>
    <row r="122" spans="1:20" x14ac:dyDescent="0.25">
      <c r="A122" s="3"/>
      <c r="B122" s="185">
        <v>117</v>
      </c>
      <c r="C122" s="170"/>
      <c r="D122" s="103"/>
      <c r="E122" s="103"/>
      <c r="F122" s="78"/>
      <c r="G122" s="103"/>
      <c r="H122" s="102"/>
      <c r="I122" s="105" t="str">
        <f>IFERROR(VLOOKUP(KalkylSlut[[#This Row],[Klimatmaterial]],Materialtabell[[#All],[Materialnamn]:[Materialtyp]],2,0),"")</f>
        <v/>
      </c>
      <c r="J122" s="104" t="str">
        <f>IFERROR(IF(G122="kg",1,IF(G122="ton",1000,IF(G122=RIGHT(VLOOKUP(H122,Materialtabell[[#All],[Materialnamn]:[Enhet]],4,0),LEN(VLOOKUP(H122,Materialtabell[[#All],[Materialnamn]:[Enhet]],4,0))-3),VLOOKUP(H122,Materialtabell[[#All],[Materialnamn]:[Enhet]],3,0),"Enhetsfel"))),"")</f>
        <v/>
      </c>
      <c r="K122" s="105" t="str">
        <f>IFERROR(IF(G122="kg","kg/kg",IF(G122="ton","kg/ton",IF(RIGHT(VLOOKUP(H122,Materialtabell[[#All],[Materialnamn]:[Enhet]],4,0),LEN(VLOOKUP(H122,Materialtabell[[#All],[Materialnamn]:[Enhet]],4,0))-3)=G122,VLOOKUP(H122,Materialtabell[[#All],[Materialnamn]:[Enhet]],4,0),"kg/ton/"&amp;RIGHT(VLOOKUP(H122,Materialtabell[[#All],[Materialnamn]:[Enhet]],4,0),LEN(VLOOKUP(H122,Materialtabell[[#All],[Materialnamn]:[Enhet]],4,0))-3)))),"")</f>
        <v/>
      </c>
      <c r="L122" s="104" t="str">
        <f>IFERROR(KalkylSlut[[#This Row],[Mängd]]*KalkylSlut[[#This Row],[Omräknings-faktor]],"")</f>
        <v/>
      </c>
      <c r="M122" s="104" t="str">
        <f>IFERROR(F122*J122*VLOOKUP(H122,Materialtabell[[#All],[Materialnamn]:[Emissionsfaktor 2019
kg CO2e/kg]],5,0),"")</f>
        <v/>
      </c>
      <c r="N122" s="104" t="str">
        <f>IFERROR(F122*J122*VLOOKUP(H122,Materialtabell[[#All],[Materialnamn]:[Emissionsfaktor 2025
kg CO2e/kg]],6,0),"")</f>
        <v/>
      </c>
      <c r="O122" s="78" t="str">
        <f>IFERROR(VLOOKUP(H122,Materialtabell[[#All],[Materialnamn]:[Kommentar A4]],24,0),"")</f>
        <v/>
      </c>
      <c r="P122" s="94" t="str">
        <f>IFERROR(($F122*$J122*$O122*VLOOKUP($H122,Materialtabell[[#All],[Materialnamn]:[Bränsle 
MJ/ton, km]],25,0)*Materiallista!$AF$5)/1000,"")</f>
        <v/>
      </c>
      <c r="Q122" s="94" t="str">
        <f>IFERROR(($F122*$J122*$O122*VLOOKUP($H122,Materialtabell[[#All],[Materialnamn]:[Bränsle 
MJ/ton, km]],25,0)*Materiallista!$AF$6)/1000,"")</f>
        <v/>
      </c>
      <c r="R122" s="162"/>
      <c r="S122" s="3"/>
      <c r="T122" s="3"/>
    </row>
    <row r="123" spans="1:20" x14ac:dyDescent="0.25">
      <c r="A123" s="3"/>
      <c r="B123" s="185">
        <v>118</v>
      </c>
      <c r="C123" s="170"/>
      <c r="D123" s="103"/>
      <c r="E123" s="103"/>
      <c r="F123" s="78"/>
      <c r="G123" s="103"/>
      <c r="H123" s="102"/>
      <c r="I123" s="105" t="str">
        <f>IFERROR(VLOOKUP(KalkylSlut[[#This Row],[Klimatmaterial]],Materialtabell[[#All],[Materialnamn]:[Materialtyp]],2,0),"")</f>
        <v/>
      </c>
      <c r="J123" s="104" t="str">
        <f>IFERROR(IF(G123="kg",1,IF(G123="ton",1000,IF(G123=RIGHT(VLOOKUP(H123,Materialtabell[[#All],[Materialnamn]:[Enhet]],4,0),LEN(VLOOKUP(H123,Materialtabell[[#All],[Materialnamn]:[Enhet]],4,0))-3),VLOOKUP(H123,Materialtabell[[#All],[Materialnamn]:[Enhet]],3,0),"Enhetsfel"))),"")</f>
        <v/>
      </c>
      <c r="K123" s="105" t="str">
        <f>IFERROR(IF(G123="kg","kg/kg",IF(G123="ton","kg/ton",IF(RIGHT(VLOOKUP(H123,Materialtabell[[#All],[Materialnamn]:[Enhet]],4,0),LEN(VLOOKUP(H123,Materialtabell[[#All],[Materialnamn]:[Enhet]],4,0))-3)=G123,VLOOKUP(H123,Materialtabell[[#All],[Materialnamn]:[Enhet]],4,0),"kg/ton/"&amp;RIGHT(VLOOKUP(H123,Materialtabell[[#All],[Materialnamn]:[Enhet]],4,0),LEN(VLOOKUP(H123,Materialtabell[[#All],[Materialnamn]:[Enhet]],4,0))-3)))),"")</f>
        <v/>
      </c>
      <c r="L123" s="104" t="str">
        <f>IFERROR(KalkylSlut[[#This Row],[Mängd]]*KalkylSlut[[#This Row],[Omräknings-faktor]],"")</f>
        <v/>
      </c>
      <c r="M123" s="104" t="str">
        <f>IFERROR(F123*J123*VLOOKUP(H123,Materialtabell[[#All],[Materialnamn]:[Emissionsfaktor 2019
kg CO2e/kg]],5,0),"")</f>
        <v/>
      </c>
      <c r="N123" s="104" t="str">
        <f>IFERROR(F123*J123*VLOOKUP(H123,Materialtabell[[#All],[Materialnamn]:[Emissionsfaktor 2025
kg CO2e/kg]],6,0),"")</f>
        <v/>
      </c>
      <c r="O123" s="78" t="str">
        <f>IFERROR(VLOOKUP(H123,Materialtabell[[#All],[Materialnamn]:[Kommentar A4]],24,0),"")</f>
        <v/>
      </c>
      <c r="P123" s="94" t="str">
        <f>IFERROR(($F123*$J123*$O123*VLOOKUP($H123,Materialtabell[[#All],[Materialnamn]:[Bränsle 
MJ/ton, km]],25,0)*Materiallista!$AF$5)/1000,"")</f>
        <v/>
      </c>
      <c r="Q123" s="94" t="str">
        <f>IFERROR(($F123*$J123*$O123*VLOOKUP($H123,Materialtabell[[#All],[Materialnamn]:[Bränsle 
MJ/ton, km]],25,0)*Materiallista!$AF$6)/1000,"")</f>
        <v/>
      </c>
      <c r="R123" s="162"/>
      <c r="S123" s="3"/>
      <c r="T123" s="3"/>
    </row>
    <row r="124" spans="1:20" x14ac:dyDescent="0.25">
      <c r="A124" s="3"/>
      <c r="B124" s="185">
        <v>119</v>
      </c>
      <c r="C124" s="170"/>
      <c r="D124" s="103"/>
      <c r="E124" s="103"/>
      <c r="F124" s="78"/>
      <c r="G124" s="103"/>
      <c r="H124" s="102"/>
      <c r="I124" s="105" t="str">
        <f>IFERROR(VLOOKUP(KalkylSlut[[#This Row],[Klimatmaterial]],Materialtabell[[#All],[Materialnamn]:[Materialtyp]],2,0),"")</f>
        <v/>
      </c>
      <c r="J124" s="104" t="str">
        <f>IFERROR(IF(G124="kg",1,IF(G124="ton",1000,IF(G124=RIGHT(VLOOKUP(H124,Materialtabell[[#All],[Materialnamn]:[Enhet]],4,0),LEN(VLOOKUP(H124,Materialtabell[[#All],[Materialnamn]:[Enhet]],4,0))-3),VLOOKUP(H124,Materialtabell[[#All],[Materialnamn]:[Enhet]],3,0),"Enhetsfel"))),"")</f>
        <v/>
      </c>
      <c r="K124" s="105" t="str">
        <f>IFERROR(IF(G124="kg","kg/kg",IF(G124="ton","kg/ton",IF(RIGHT(VLOOKUP(H124,Materialtabell[[#All],[Materialnamn]:[Enhet]],4,0),LEN(VLOOKUP(H124,Materialtabell[[#All],[Materialnamn]:[Enhet]],4,0))-3)=G124,VLOOKUP(H124,Materialtabell[[#All],[Materialnamn]:[Enhet]],4,0),"kg/ton/"&amp;RIGHT(VLOOKUP(H124,Materialtabell[[#All],[Materialnamn]:[Enhet]],4,0),LEN(VLOOKUP(H124,Materialtabell[[#All],[Materialnamn]:[Enhet]],4,0))-3)))),"")</f>
        <v/>
      </c>
      <c r="L124" s="104" t="str">
        <f>IFERROR(KalkylSlut[[#This Row],[Mängd]]*KalkylSlut[[#This Row],[Omräknings-faktor]],"")</f>
        <v/>
      </c>
      <c r="M124" s="104" t="str">
        <f>IFERROR(F124*J124*VLOOKUP(H124,Materialtabell[[#All],[Materialnamn]:[Emissionsfaktor 2019
kg CO2e/kg]],5,0),"")</f>
        <v/>
      </c>
      <c r="N124" s="104" t="str">
        <f>IFERROR(F124*J124*VLOOKUP(H124,Materialtabell[[#All],[Materialnamn]:[Emissionsfaktor 2025
kg CO2e/kg]],6,0),"")</f>
        <v/>
      </c>
      <c r="O124" s="78" t="str">
        <f>IFERROR(VLOOKUP(H124,Materialtabell[[#All],[Materialnamn]:[Kommentar A4]],24,0),"")</f>
        <v/>
      </c>
      <c r="P124" s="94" t="str">
        <f>IFERROR(($F124*$J124*$O124*VLOOKUP($H124,Materialtabell[[#All],[Materialnamn]:[Bränsle 
MJ/ton, km]],25,0)*Materiallista!$AF$5)/1000,"")</f>
        <v/>
      </c>
      <c r="Q124" s="94" t="str">
        <f>IFERROR(($F124*$J124*$O124*VLOOKUP($H124,Materialtabell[[#All],[Materialnamn]:[Bränsle 
MJ/ton, km]],25,0)*Materiallista!$AF$6)/1000,"")</f>
        <v/>
      </c>
      <c r="R124" s="162"/>
      <c r="S124" s="3"/>
      <c r="T124" s="3"/>
    </row>
    <row r="125" spans="1:20" x14ac:dyDescent="0.25">
      <c r="A125" s="3"/>
      <c r="B125" s="185">
        <v>120</v>
      </c>
      <c r="C125" s="170"/>
      <c r="D125" s="103"/>
      <c r="E125" s="103"/>
      <c r="F125" s="78"/>
      <c r="G125" s="103"/>
      <c r="H125" s="102"/>
      <c r="I125" s="105" t="str">
        <f>IFERROR(VLOOKUP(KalkylSlut[[#This Row],[Klimatmaterial]],Materialtabell[[#All],[Materialnamn]:[Materialtyp]],2,0),"")</f>
        <v/>
      </c>
      <c r="J125" s="104" t="str">
        <f>IFERROR(IF(G125="kg",1,IF(G125="ton",1000,IF(G125=RIGHT(VLOOKUP(H125,Materialtabell[[#All],[Materialnamn]:[Enhet]],4,0),LEN(VLOOKUP(H125,Materialtabell[[#All],[Materialnamn]:[Enhet]],4,0))-3),VLOOKUP(H125,Materialtabell[[#All],[Materialnamn]:[Enhet]],3,0),"Enhetsfel"))),"")</f>
        <v/>
      </c>
      <c r="K125" s="105" t="str">
        <f>IFERROR(IF(G125="kg","kg/kg",IF(G125="ton","kg/ton",IF(RIGHT(VLOOKUP(H125,Materialtabell[[#All],[Materialnamn]:[Enhet]],4,0),LEN(VLOOKUP(H125,Materialtabell[[#All],[Materialnamn]:[Enhet]],4,0))-3)=G125,VLOOKUP(H125,Materialtabell[[#All],[Materialnamn]:[Enhet]],4,0),"kg/ton/"&amp;RIGHT(VLOOKUP(H125,Materialtabell[[#All],[Materialnamn]:[Enhet]],4,0),LEN(VLOOKUP(H125,Materialtabell[[#All],[Materialnamn]:[Enhet]],4,0))-3)))),"")</f>
        <v/>
      </c>
      <c r="L125" s="104" t="str">
        <f>IFERROR(KalkylSlut[[#This Row],[Mängd]]*KalkylSlut[[#This Row],[Omräknings-faktor]],"")</f>
        <v/>
      </c>
      <c r="M125" s="104" t="str">
        <f>IFERROR(F125*J125*VLOOKUP(H125,Materialtabell[[#All],[Materialnamn]:[Emissionsfaktor 2019
kg CO2e/kg]],5,0),"")</f>
        <v/>
      </c>
      <c r="N125" s="104" t="str">
        <f>IFERROR(F125*J125*VLOOKUP(H125,Materialtabell[[#All],[Materialnamn]:[Emissionsfaktor 2025
kg CO2e/kg]],6,0),"")</f>
        <v/>
      </c>
      <c r="O125" s="78" t="str">
        <f>IFERROR(VLOOKUP(H125,Materialtabell[[#All],[Materialnamn]:[Kommentar A4]],24,0),"")</f>
        <v/>
      </c>
      <c r="P125" s="94" t="str">
        <f>IFERROR(($F125*$J125*$O125*VLOOKUP($H125,Materialtabell[[#All],[Materialnamn]:[Bränsle 
MJ/ton, km]],25,0)*Materiallista!$AF$5)/1000,"")</f>
        <v/>
      </c>
      <c r="Q125" s="94" t="str">
        <f>IFERROR(($F125*$J125*$O125*VLOOKUP($H125,Materialtabell[[#All],[Materialnamn]:[Bränsle 
MJ/ton, km]],25,0)*Materiallista!$AF$6)/1000,"")</f>
        <v/>
      </c>
      <c r="R125" s="162"/>
      <c r="S125" s="3"/>
      <c r="T125" s="3"/>
    </row>
    <row r="126" spans="1:20" x14ac:dyDescent="0.25">
      <c r="A126" s="3"/>
      <c r="B126" s="185">
        <v>121</v>
      </c>
      <c r="C126" s="170"/>
      <c r="D126" s="103"/>
      <c r="E126" s="103"/>
      <c r="F126" s="78"/>
      <c r="G126" s="103"/>
      <c r="H126" s="102"/>
      <c r="I126" s="105" t="str">
        <f>IFERROR(VLOOKUP(KalkylSlut[[#This Row],[Klimatmaterial]],Materialtabell[[#All],[Materialnamn]:[Materialtyp]],2,0),"")</f>
        <v/>
      </c>
      <c r="J126" s="104" t="str">
        <f>IFERROR(IF(G126="kg",1,IF(G126="ton",1000,IF(G126=RIGHT(VLOOKUP(H126,Materialtabell[[#All],[Materialnamn]:[Enhet]],4,0),LEN(VLOOKUP(H126,Materialtabell[[#All],[Materialnamn]:[Enhet]],4,0))-3),VLOOKUP(H126,Materialtabell[[#All],[Materialnamn]:[Enhet]],3,0),"Enhetsfel"))),"")</f>
        <v/>
      </c>
      <c r="K126" s="105" t="str">
        <f>IFERROR(IF(G126="kg","kg/kg",IF(G126="ton","kg/ton",IF(RIGHT(VLOOKUP(H126,Materialtabell[[#All],[Materialnamn]:[Enhet]],4,0),LEN(VLOOKUP(H126,Materialtabell[[#All],[Materialnamn]:[Enhet]],4,0))-3)=G126,VLOOKUP(H126,Materialtabell[[#All],[Materialnamn]:[Enhet]],4,0),"kg/ton/"&amp;RIGHT(VLOOKUP(H126,Materialtabell[[#All],[Materialnamn]:[Enhet]],4,0),LEN(VLOOKUP(H126,Materialtabell[[#All],[Materialnamn]:[Enhet]],4,0))-3)))),"")</f>
        <v/>
      </c>
      <c r="L126" s="104" t="str">
        <f>IFERROR(KalkylSlut[[#This Row],[Mängd]]*KalkylSlut[[#This Row],[Omräknings-faktor]],"")</f>
        <v/>
      </c>
      <c r="M126" s="104" t="str">
        <f>IFERROR(F126*J126*VLOOKUP(H126,Materialtabell[[#All],[Materialnamn]:[Emissionsfaktor 2019
kg CO2e/kg]],5,0),"")</f>
        <v/>
      </c>
      <c r="N126" s="104" t="str">
        <f>IFERROR(F126*J126*VLOOKUP(H126,Materialtabell[[#All],[Materialnamn]:[Emissionsfaktor 2025
kg CO2e/kg]],6,0),"")</f>
        <v/>
      </c>
      <c r="O126" s="78" t="str">
        <f>IFERROR(VLOOKUP(H126,Materialtabell[[#All],[Materialnamn]:[Kommentar A4]],24,0),"")</f>
        <v/>
      </c>
      <c r="P126" s="94" t="str">
        <f>IFERROR(($F126*$J126*$O126*VLOOKUP($H126,Materialtabell[[#All],[Materialnamn]:[Bränsle 
MJ/ton, km]],25,0)*Materiallista!$AF$5)/1000,"")</f>
        <v/>
      </c>
      <c r="Q126" s="94" t="str">
        <f>IFERROR(($F126*$J126*$O126*VLOOKUP($H126,Materialtabell[[#All],[Materialnamn]:[Bränsle 
MJ/ton, km]],25,0)*Materiallista!$AF$6)/1000,"")</f>
        <v/>
      </c>
      <c r="R126" s="162"/>
      <c r="S126" s="3"/>
      <c r="T126" s="3"/>
    </row>
    <row r="127" spans="1:20" x14ac:dyDescent="0.25">
      <c r="A127" s="3"/>
      <c r="B127" s="185">
        <v>122</v>
      </c>
      <c r="C127" s="170"/>
      <c r="D127" s="103"/>
      <c r="E127" s="103"/>
      <c r="F127" s="78"/>
      <c r="G127" s="103"/>
      <c r="H127" s="102"/>
      <c r="I127" s="105" t="str">
        <f>IFERROR(VLOOKUP(KalkylSlut[[#This Row],[Klimatmaterial]],Materialtabell[[#All],[Materialnamn]:[Materialtyp]],2,0),"")</f>
        <v/>
      </c>
      <c r="J127" s="104" t="str">
        <f>IFERROR(IF(G127="kg",1,IF(G127="ton",1000,IF(G127=RIGHT(VLOOKUP(H127,Materialtabell[[#All],[Materialnamn]:[Enhet]],4,0),LEN(VLOOKUP(H127,Materialtabell[[#All],[Materialnamn]:[Enhet]],4,0))-3),VLOOKUP(H127,Materialtabell[[#All],[Materialnamn]:[Enhet]],3,0),"Enhetsfel"))),"")</f>
        <v/>
      </c>
      <c r="K127" s="105" t="str">
        <f>IFERROR(IF(G127="kg","kg/kg",IF(G127="ton","kg/ton",IF(RIGHT(VLOOKUP(H127,Materialtabell[[#All],[Materialnamn]:[Enhet]],4,0),LEN(VLOOKUP(H127,Materialtabell[[#All],[Materialnamn]:[Enhet]],4,0))-3)=G127,VLOOKUP(H127,Materialtabell[[#All],[Materialnamn]:[Enhet]],4,0),"kg/ton/"&amp;RIGHT(VLOOKUP(H127,Materialtabell[[#All],[Materialnamn]:[Enhet]],4,0),LEN(VLOOKUP(H127,Materialtabell[[#All],[Materialnamn]:[Enhet]],4,0))-3)))),"")</f>
        <v/>
      </c>
      <c r="L127" s="104" t="str">
        <f>IFERROR(KalkylSlut[[#This Row],[Mängd]]*KalkylSlut[[#This Row],[Omräknings-faktor]],"")</f>
        <v/>
      </c>
      <c r="M127" s="104" t="str">
        <f>IFERROR(F127*J127*VLOOKUP(H127,Materialtabell[[#All],[Materialnamn]:[Emissionsfaktor 2019
kg CO2e/kg]],5,0),"")</f>
        <v/>
      </c>
      <c r="N127" s="104" t="str">
        <f>IFERROR(F127*J127*VLOOKUP(H127,Materialtabell[[#All],[Materialnamn]:[Emissionsfaktor 2025
kg CO2e/kg]],6,0),"")</f>
        <v/>
      </c>
      <c r="O127" s="78" t="str">
        <f>IFERROR(VLOOKUP(H127,Materialtabell[[#All],[Materialnamn]:[Kommentar A4]],24,0),"")</f>
        <v/>
      </c>
      <c r="P127" s="94" t="str">
        <f>IFERROR(($F127*$J127*$O127*VLOOKUP($H127,Materialtabell[[#All],[Materialnamn]:[Bränsle 
MJ/ton, km]],25,0)*Materiallista!$AF$5)/1000,"")</f>
        <v/>
      </c>
      <c r="Q127" s="94" t="str">
        <f>IFERROR(($F127*$J127*$O127*VLOOKUP($H127,Materialtabell[[#All],[Materialnamn]:[Bränsle 
MJ/ton, km]],25,0)*Materiallista!$AF$6)/1000,"")</f>
        <v/>
      </c>
      <c r="R127" s="162"/>
      <c r="S127" s="3"/>
      <c r="T127" s="3"/>
    </row>
    <row r="128" spans="1:20" x14ac:dyDescent="0.25">
      <c r="A128" s="3"/>
      <c r="B128" s="185">
        <v>123</v>
      </c>
      <c r="C128" s="170"/>
      <c r="D128" s="103"/>
      <c r="E128" s="103"/>
      <c r="F128" s="78"/>
      <c r="G128" s="103"/>
      <c r="H128" s="102"/>
      <c r="I128" s="105" t="str">
        <f>IFERROR(VLOOKUP(KalkylSlut[[#This Row],[Klimatmaterial]],Materialtabell[[#All],[Materialnamn]:[Materialtyp]],2,0),"")</f>
        <v/>
      </c>
      <c r="J128" s="104" t="str">
        <f>IFERROR(IF(G128="kg",1,IF(G128="ton",1000,IF(G128=RIGHT(VLOOKUP(H128,Materialtabell[[#All],[Materialnamn]:[Enhet]],4,0),LEN(VLOOKUP(H128,Materialtabell[[#All],[Materialnamn]:[Enhet]],4,0))-3),VLOOKUP(H128,Materialtabell[[#All],[Materialnamn]:[Enhet]],3,0),"Enhetsfel"))),"")</f>
        <v/>
      </c>
      <c r="K128" s="105" t="str">
        <f>IFERROR(IF(G128="kg","kg/kg",IF(G128="ton","kg/ton",IF(RIGHT(VLOOKUP(H128,Materialtabell[[#All],[Materialnamn]:[Enhet]],4,0),LEN(VLOOKUP(H128,Materialtabell[[#All],[Materialnamn]:[Enhet]],4,0))-3)=G128,VLOOKUP(H128,Materialtabell[[#All],[Materialnamn]:[Enhet]],4,0),"kg/ton/"&amp;RIGHT(VLOOKUP(H128,Materialtabell[[#All],[Materialnamn]:[Enhet]],4,0),LEN(VLOOKUP(H128,Materialtabell[[#All],[Materialnamn]:[Enhet]],4,0))-3)))),"")</f>
        <v/>
      </c>
      <c r="L128" s="104" t="str">
        <f>IFERROR(KalkylSlut[[#This Row],[Mängd]]*KalkylSlut[[#This Row],[Omräknings-faktor]],"")</f>
        <v/>
      </c>
      <c r="M128" s="104" t="str">
        <f>IFERROR(F128*J128*VLOOKUP(H128,Materialtabell[[#All],[Materialnamn]:[Emissionsfaktor 2019
kg CO2e/kg]],5,0),"")</f>
        <v/>
      </c>
      <c r="N128" s="104" t="str">
        <f>IFERROR(F128*J128*VLOOKUP(H128,Materialtabell[[#All],[Materialnamn]:[Emissionsfaktor 2025
kg CO2e/kg]],6,0),"")</f>
        <v/>
      </c>
      <c r="O128" s="78" t="str">
        <f>IFERROR(VLOOKUP(H128,Materialtabell[[#All],[Materialnamn]:[Kommentar A4]],24,0),"")</f>
        <v/>
      </c>
      <c r="P128" s="94" t="str">
        <f>IFERROR(($F128*$J128*$O128*VLOOKUP($H128,Materialtabell[[#All],[Materialnamn]:[Bränsle 
MJ/ton, km]],25,0)*Materiallista!$AF$5)/1000,"")</f>
        <v/>
      </c>
      <c r="Q128" s="94" t="str">
        <f>IFERROR(($F128*$J128*$O128*VLOOKUP($H128,Materialtabell[[#All],[Materialnamn]:[Bränsle 
MJ/ton, km]],25,0)*Materiallista!$AF$6)/1000,"")</f>
        <v/>
      </c>
      <c r="R128" s="162"/>
      <c r="S128" s="3"/>
      <c r="T128" s="3"/>
    </row>
    <row r="129" spans="1:20" x14ac:dyDescent="0.25">
      <c r="A129" s="3"/>
      <c r="B129" s="185">
        <v>124</v>
      </c>
      <c r="C129" s="170"/>
      <c r="D129" s="103"/>
      <c r="E129" s="103"/>
      <c r="F129" s="78"/>
      <c r="G129" s="103"/>
      <c r="H129" s="102"/>
      <c r="I129" s="105" t="str">
        <f>IFERROR(VLOOKUP(KalkylSlut[[#This Row],[Klimatmaterial]],Materialtabell[[#All],[Materialnamn]:[Materialtyp]],2,0),"")</f>
        <v/>
      </c>
      <c r="J129" s="104" t="str">
        <f>IFERROR(IF(G129="kg",1,IF(G129="ton",1000,IF(G129=RIGHT(VLOOKUP(H129,Materialtabell[[#All],[Materialnamn]:[Enhet]],4,0),LEN(VLOOKUP(H129,Materialtabell[[#All],[Materialnamn]:[Enhet]],4,0))-3),VLOOKUP(H129,Materialtabell[[#All],[Materialnamn]:[Enhet]],3,0),"Enhetsfel"))),"")</f>
        <v/>
      </c>
      <c r="K129" s="105" t="str">
        <f>IFERROR(IF(G129="kg","kg/kg",IF(G129="ton","kg/ton",IF(RIGHT(VLOOKUP(H129,Materialtabell[[#All],[Materialnamn]:[Enhet]],4,0),LEN(VLOOKUP(H129,Materialtabell[[#All],[Materialnamn]:[Enhet]],4,0))-3)=G129,VLOOKUP(H129,Materialtabell[[#All],[Materialnamn]:[Enhet]],4,0),"kg/ton/"&amp;RIGHT(VLOOKUP(H129,Materialtabell[[#All],[Materialnamn]:[Enhet]],4,0),LEN(VLOOKUP(H129,Materialtabell[[#All],[Materialnamn]:[Enhet]],4,0))-3)))),"")</f>
        <v/>
      </c>
      <c r="L129" s="104" t="str">
        <f>IFERROR(KalkylSlut[[#This Row],[Mängd]]*KalkylSlut[[#This Row],[Omräknings-faktor]],"")</f>
        <v/>
      </c>
      <c r="M129" s="104" t="str">
        <f>IFERROR(F129*J129*VLOOKUP(H129,Materialtabell[[#All],[Materialnamn]:[Emissionsfaktor 2019
kg CO2e/kg]],5,0),"")</f>
        <v/>
      </c>
      <c r="N129" s="104" t="str">
        <f>IFERROR(F129*J129*VLOOKUP(H129,Materialtabell[[#All],[Materialnamn]:[Emissionsfaktor 2025
kg CO2e/kg]],6,0),"")</f>
        <v/>
      </c>
      <c r="O129" s="78" t="str">
        <f>IFERROR(VLOOKUP(H129,Materialtabell[[#All],[Materialnamn]:[Kommentar A4]],24,0),"")</f>
        <v/>
      </c>
      <c r="P129" s="94" t="str">
        <f>IFERROR(($F129*$J129*$O129*VLOOKUP($H129,Materialtabell[[#All],[Materialnamn]:[Bränsle 
MJ/ton, km]],25,0)*Materiallista!$AF$5)/1000,"")</f>
        <v/>
      </c>
      <c r="Q129" s="94" t="str">
        <f>IFERROR(($F129*$J129*$O129*VLOOKUP($H129,Materialtabell[[#All],[Materialnamn]:[Bränsle 
MJ/ton, km]],25,0)*Materiallista!$AF$6)/1000,"")</f>
        <v/>
      </c>
      <c r="R129" s="162"/>
      <c r="S129" s="3"/>
      <c r="T129" s="3"/>
    </row>
    <row r="130" spans="1:20" x14ac:dyDescent="0.25">
      <c r="A130" s="3"/>
      <c r="B130" s="185">
        <v>125</v>
      </c>
      <c r="C130" s="170"/>
      <c r="D130" s="103"/>
      <c r="E130" s="103"/>
      <c r="F130" s="78"/>
      <c r="G130" s="103"/>
      <c r="H130" s="102"/>
      <c r="I130" s="105" t="str">
        <f>IFERROR(VLOOKUP(KalkylSlut[[#This Row],[Klimatmaterial]],Materialtabell[[#All],[Materialnamn]:[Materialtyp]],2,0),"")</f>
        <v/>
      </c>
      <c r="J130" s="104" t="str">
        <f>IFERROR(IF(G130="kg",1,IF(G130="ton",1000,IF(G130=RIGHT(VLOOKUP(H130,Materialtabell[[#All],[Materialnamn]:[Enhet]],4,0),LEN(VLOOKUP(H130,Materialtabell[[#All],[Materialnamn]:[Enhet]],4,0))-3),VLOOKUP(H130,Materialtabell[[#All],[Materialnamn]:[Enhet]],3,0),"Enhetsfel"))),"")</f>
        <v/>
      </c>
      <c r="K130" s="105" t="str">
        <f>IFERROR(IF(G130="kg","kg/kg",IF(G130="ton","kg/ton",IF(RIGHT(VLOOKUP(H130,Materialtabell[[#All],[Materialnamn]:[Enhet]],4,0),LEN(VLOOKUP(H130,Materialtabell[[#All],[Materialnamn]:[Enhet]],4,0))-3)=G130,VLOOKUP(H130,Materialtabell[[#All],[Materialnamn]:[Enhet]],4,0),"kg/ton/"&amp;RIGHT(VLOOKUP(H130,Materialtabell[[#All],[Materialnamn]:[Enhet]],4,0),LEN(VLOOKUP(H130,Materialtabell[[#All],[Materialnamn]:[Enhet]],4,0))-3)))),"")</f>
        <v/>
      </c>
      <c r="L130" s="104" t="str">
        <f>IFERROR(KalkylSlut[[#This Row],[Mängd]]*KalkylSlut[[#This Row],[Omräknings-faktor]],"")</f>
        <v/>
      </c>
      <c r="M130" s="104" t="str">
        <f>IFERROR(F130*J130*VLOOKUP(H130,Materialtabell[[#All],[Materialnamn]:[Emissionsfaktor 2019
kg CO2e/kg]],5,0),"")</f>
        <v/>
      </c>
      <c r="N130" s="104" t="str">
        <f>IFERROR(F130*J130*VLOOKUP(H130,Materialtabell[[#All],[Materialnamn]:[Emissionsfaktor 2025
kg CO2e/kg]],6,0),"")</f>
        <v/>
      </c>
      <c r="O130" s="78" t="str">
        <f>IFERROR(VLOOKUP(H130,Materialtabell[[#All],[Materialnamn]:[Kommentar A4]],24,0),"")</f>
        <v/>
      </c>
      <c r="P130" s="94" t="str">
        <f>IFERROR(($F130*$J130*$O130*VLOOKUP($H130,Materialtabell[[#All],[Materialnamn]:[Bränsle 
MJ/ton, km]],25,0)*Materiallista!$AF$5)/1000,"")</f>
        <v/>
      </c>
      <c r="Q130" s="94" t="str">
        <f>IFERROR(($F130*$J130*$O130*VLOOKUP($H130,Materialtabell[[#All],[Materialnamn]:[Bränsle 
MJ/ton, km]],25,0)*Materiallista!$AF$6)/1000,"")</f>
        <v/>
      </c>
      <c r="R130" s="162"/>
      <c r="S130" s="3"/>
      <c r="T130" s="3"/>
    </row>
    <row r="131" spans="1:20" x14ac:dyDescent="0.25">
      <c r="A131" s="3"/>
      <c r="B131" s="185">
        <v>126</v>
      </c>
      <c r="C131" s="170"/>
      <c r="D131" s="103"/>
      <c r="E131" s="103"/>
      <c r="F131" s="78"/>
      <c r="G131" s="103"/>
      <c r="H131" s="102"/>
      <c r="I131" s="105" t="str">
        <f>IFERROR(VLOOKUP(KalkylSlut[[#This Row],[Klimatmaterial]],Materialtabell[[#All],[Materialnamn]:[Materialtyp]],2,0),"")</f>
        <v/>
      </c>
      <c r="J131" s="104" t="str">
        <f>IFERROR(IF(G131="kg",1,IF(G131="ton",1000,IF(G131=RIGHT(VLOOKUP(H131,Materialtabell[[#All],[Materialnamn]:[Enhet]],4,0),LEN(VLOOKUP(H131,Materialtabell[[#All],[Materialnamn]:[Enhet]],4,0))-3),VLOOKUP(H131,Materialtabell[[#All],[Materialnamn]:[Enhet]],3,0),"Enhetsfel"))),"")</f>
        <v/>
      </c>
      <c r="K131" s="105" t="str">
        <f>IFERROR(IF(G131="kg","kg/kg",IF(G131="ton","kg/ton",IF(RIGHT(VLOOKUP(H131,Materialtabell[[#All],[Materialnamn]:[Enhet]],4,0),LEN(VLOOKUP(H131,Materialtabell[[#All],[Materialnamn]:[Enhet]],4,0))-3)=G131,VLOOKUP(H131,Materialtabell[[#All],[Materialnamn]:[Enhet]],4,0),"kg/ton/"&amp;RIGHT(VLOOKUP(H131,Materialtabell[[#All],[Materialnamn]:[Enhet]],4,0),LEN(VLOOKUP(H131,Materialtabell[[#All],[Materialnamn]:[Enhet]],4,0))-3)))),"")</f>
        <v/>
      </c>
      <c r="L131" s="104" t="str">
        <f>IFERROR(KalkylSlut[[#This Row],[Mängd]]*KalkylSlut[[#This Row],[Omräknings-faktor]],"")</f>
        <v/>
      </c>
      <c r="M131" s="104" t="str">
        <f>IFERROR(F131*J131*VLOOKUP(H131,Materialtabell[[#All],[Materialnamn]:[Emissionsfaktor 2019
kg CO2e/kg]],5,0),"")</f>
        <v/>
      </c>
      <c r="N131" s="104" t="str">
        <f>IFERROR(F131*J131*VLOOKUP(H131,Materialtabell[[#All],[Materialnamn]:[Emissionsfaktor 2025
kg CO2e/kg]],6,0),"")</f>
        <v/>
      </c>
      <c r="O131" s="78" t="str">
        <f>IFERROR(VLOOKUP(H131,Materialtabell[[#All],[Materialnamn]:[Kommentar A4]],24,0),"")</f>
        <v/>
      </c>
      <c r="P131" s="94" t="str">
        <f>IFERROR(($F131*$J131*$O131*VLOOKUP($H131,Materialtabell[[#All],[Materialnamn]:[Bränsle 
MJ/ton, km]],25,0)*Materiallista!$AF$5)/1000,"")</f>
        <v/>
      </c>
      <c r="Q131" s="94" t="str">
        <f>IFERROR(($F131*$J131*$O131*VLOOKUP($H131,Materialtabell[[#All],[Materialnamn]:[Bränsle 
MJ/ton, km]],25,0)*Materiallista!$AF$6)/1000,"")</f>
        <v/>
      </c>
      <c r="R131" s="162"/>
      <c r="S131" s="3"/>
      <c r="T131" s="3"/>
    </row>
    <row r="132" spans="1:20" x14ac:dyDescent="0.25">
      <c r="A132" s="3"/>
      <c r="B132" s="185">
        <v>127</v>
      </c>
      <c r="C132" s="170"/>
      <c r="D132" s="103"/>
      <c r="E132" s="103"/>
      <c r="F132" s="78"/>
      <c r="G132" s="103"/>
      <c r="H132" s="102"/>
      <c r="I132" s="105" t="str">
        <f>IFERROR(VLOOKUP(KalkylSlut[[#This Row],[Klimatmaterial]],Materialtabell[[#All],[Materialnamn]:[Materialtyp]],2,0),"")</f>
        <v/>
      </c>
      <c r="J132" s="104" t="str">
        <f>IFERROR(IF(G132="kg",1,IF(G132="ton",1000,IF(G132=RIGHT(VLOOKUP(H132,Materialtabell[[#All],[Materialnamn]:[Enhet]],4,0),LEN(VLOOKUP(H132,Materialtabell[[#All],[Materialnamn]:[Enhet]],4,0))-3),VLOOKUP(H132,Materialtabell[[#All],[Materialnamn]:[Enhet]],3,0),"Enhetsfel"))),"")</f>
        <v/>
      </c>
      <c r="K132" s="105" t="str">
        <f>IFERROR(IF(G132="kg","kg/kg",IF(G132="ton","kg/ton",IF(RIGHT(VLOOKUP(H132,Materialtabell[[#All],[Materialnamn]:[Enhet]],4,0),LEN(VLOOKUP(H132,Materialtabell[[#All],[Materialnamn]:[Enhet]],4,0))-3)=G132,VLOOKUP(H132,Materialtabell[[#All],[Materialnamn]:[Enhet]],4,0),"kg/ton/"&amp;RIGHT(VLOOKUP(H132,Materialtabell[[#All],[Materialnamn]:[Enhet]],4,0),LEN(VLOOKUP(H132,Materialtabell[[#All],[Materialnamn]:[Enhet]],4,0))-3)))),"")</f>
        <v/>
      </c>
      <c r="L132" s="104" t="str">
        <f>IFERROR(KalkylSlut[[#This Row],[Mängd]]*KalkylSlut[[#This Row],[Omräknings-faktor]],"")</f>
        <v/>
      </c>
      <c r="M132" s="104" t="str">
        <f>IFERROR(F132*J132*VLOOKUP(H132,Materialtabell[[#All],[Materialnamn]:[Emissionsfaktor 2019
kg CO2e/kg]],5,0),"")</f>
        <v/>
      </c>
      <c r="N132" s="104" t="str">
        <f>IFERROR(F132*J132*VLOOKUP(H132,Materialtabell[[#All],[Materialnamn]:[Emissionsfaktor 2025
kg CO2e/kg]],6,0),"")</f>
        <v/>
      </c>
      <c r="O132" s="78" t="str">
        <f>IFERROR(VLOOKUP(H132,Materialtabell[[#All],[Materialnamn]:[Kommentar A4]],24,0),"")</f>
        <v/>
      </c>
      <c r="P132" s="94" t="str">
        <f>IFERROR(($F132*$J132*$O132*VLOOKUP($H132,Materialtabell[[#All],[Materialnamn]:[Bränsle 
MJ/ton, km]],25,0)*Materiallista!$AF$5)/1000,"")</f>
        <v/>
      </c>
      <c r="Q132" s="94" t="str">
        <f>IFERROR(($F132*$J132*$O132*VLOOKUP($H132,Materialtabell[[#All],[Materialnamn]:[Bränsle 
MJ/ton, km]],25,0)*Materiallista!$AF$6)/1000,"")</f>
        <v/>
      </c>
      <c r="R132" s="162"/>
      <c r="S132" s="3"/>
      <c r="T132" s="3"/>
    </row>
    <row r="133" spans="1:20" x14ac:dyDescent="0.25">
      <c r="A133" s="3"/>
      <c r="B133" s="185">
        <v>128</v>
      </c>
      <c r="C133" s="170"/>
      <c r="D133" s="103"/>
      <c r="E133" s="103"/>
      <c r="F133" s="78"/>
      <c r="G133" s="103"/>
      <c r="H133" s="102"/>
      <c r="I133" s="105" t="str">
        <f>IFERROR(VLOOKUP(KalkylSlut[[#This Row],[Klimatmaterial]],Materialtabell[[#All],[Materialnamn]:[Materialtyp]],2,0),"")</f>
        <v/>
      </c>
      <c r="J133" s="104" t="str">
        <f>IFERROR(IF(G133="kg",1,IF(G133="ton",1000,IF(G133=RIGHT(VLOOKUP(H133,Materialtabell[[#All],[Materialnamn]:[Enhet]],4,0),LEN(VLOOKUP(H133,Materialtabell[[#All],[Materialnamn]:[Enhet]],4,0))-3),VLOOKUP(H133,Materialtabell[[#All],[Materialnamn]:[Enhet]],3,0),"Enhetsfel"))),"")</f>
        <v/>
      </c>
      <c r="K133" s="105" t="str">
        <f>IFERROR(IF(G133="kg","kg/kg",IF(G133="ton","kg/ton",IF(RIGHT(VLOOKUP(H133,Materialtabell[[#All],[Materialnamn]:[Enhet]],4,0),LEN(VLOOKUP(H133,Materialtabell[[#All],[Materialnamn]:[Enhet]],4,0))-3)=G133,VLOOKUP(H133,Materialtabell[[#All],[Materialnamn]:[Enhet]],4,0),"kg/ton/"&amp;RIGHT(VLOOKUP(H133,Materialtabell[[#All],[Materialnamn]:[Enhet]],4,0),LEN(VLOOKUP(H133,Materialtabell[[#All],[Materialnamn]:[Enhet]],4,0))-3)))),"")</f>
        <v/>
      </c>
      <c r="L133" s="104" t="str">
        <f>IFERROR(KalkylSlut[[#This Row],[Mängd]]*KalkylSlut[[#This Row],[Omräknings-faktor]],"")</f>
        <v/>
      </c>
      <c r="M133" s="104" t="str">
        <f>IFERROR(F133*J133*VLOOKUP(H133,Materialtabell[[#All],[Materialnamn]:[Emissionsfaktor 2019
kg CO2e/kg]],5,0),"")</f>
        <v/>
      </c>
      <c r="N133" s="104" t="str">
        <f>IFERROR(F133*J133*VLOOKUP(H133,Materialtabell[[#All],[Materialnamn]:[Emissionsfaktor 2025
kg CO2e/kg]],6,0),"")</f>
        <v/>
      </c>
      <c r="O133" s="78" t="str">
        <f>IFERROR(VLOOKUP(H133,Materialtabell[[#All],[Materialnamn]:[Kommentar A4]],24,0),"")</f>
        <v/>
      </c>
      <c r="P133" s="94" t="str">
        <f>IFERROR(($F133*$J133*$O133*VLOOKUP($H133,Materialtabell[[#All],[Materialnamn]:[Bränsle 
MJ/ton, km]],25,0)*Materiallista!$AF$5)/1000,"")</f>
        <v/>
      </c>
      <c r="Q133" s="94" t="str">
        <f>IFERROR(($F133*$J133*$O133*VLOOKUP($H133,Materialtabell[[#All],[Materialnamn]:[Bränsle 
MJ/ton, km]],25,0)*Materiallista!$AF$6)/1000,"")</f>
        <v/>
      </c>
      <c r="R133" s="162"/>
      <c r="S133" s="3"/>
      <c r="T133" s="3"/>
    </row>
    <row r="134" spans="1:20" x14ac:dyDescent="0.25">
      <c r="A134" s="3"/>
      <c r="B134" s="185">
        <v>129</v>
      </c>
      <c r="C134" s="170"/>
      <c r="D134" s="103"/>
      <c r="E134" s="103"/>
      <c r="F134" s="78"/>
      <c r="G134" s="103"/>
      <c r="H134" s="102"/>
      <c r="I134" s="105" t="str">
        <f>IFERROR(VLOOKUP(KalkylSlut[[#This Row],[Klimatmaterial]],Materialtabell[[#All],[Materialnamn]:[Materialtyp]],2,0),"")</f>
        <v/>
      </c>
      <c r="J134" s="104" t="str">
        <f>IFERROR(IF(G134="kg",1,IF(G134="ton",1000,IF(G134=RIGHT(VLOOKUP(H134,Materialtabell[[#All],[Materialnamn]:[Enhet]],4,0),LEN(VLOOKUP(H134,Materialtabell[[#All],[Materialnamn]:[Enhet]],4,0))-3),VLOOKUP(H134,Materialtabell[[#All],[Materialnamn]:[Enhet]],3,0),"Enhetsfel"))),"")</f>
        <v/>
      </c>
      <c r="K134" s="105" t="str">
        <f>IFERROR(IF(G134="kg","kg/kg",IF(G134="ton","kg/ton",IF(RIGHT(VLOOKUP(H134,Materialtabell[[#All],[Materialnamn]:[Enhet]],4,0),LEN(VLOOKUP(H134,Materialtabell[[#All],[Materialnamn]:[Enhet]],4,0))-3)=G134,VLOOKUP(H134,Materialtabell[[#All],[Materialnamn]:[Enhet]],4,0),"kg/ton/"&amp;RIGHT(VLOOKUP(H134,Materialtabell[[#All],[Materialnamn]:[Enhet]],4,0),LEN(VLOOKUP(H134,Materialtabell[[#All],[Materialnamn]:[Enhet]],4,0))-3)))),"")</f>
        <v/>
      </c>
      <c r="L134" s="104" t="str">
        <f>IFERROR(KalkylSlut[[#This Row],[Mängd]]*KalkylSlut[[#This Row],[Omräknings-faktor]],"")</f>
        <v/>
      </c>
      <c r="M134" s="104" t="str">
        <f>IFERROR(F134*J134*VLOOKUP(H134,Materialtabell[[#All],[Materialnamn]:[Emissionsfaktor 2019
kg CO2e/kg]],5,0),"")</f>
        <v/>
      </c>
      <c r="N134" s="104" t="str">
        <f>IFERROR(F134*J134*VLOOKUP(H134,Materialtabell[[#All],[Materialnamn]:[Emissionsfaktor 2025
kg CO2e/kg]],6,0),"")</f>
        <v/>
      </c>
      <c r="O134" s="78" t="str">
        <f>IFERROR(VLOOKUP(H134,Materialtabell[[#All],[Materialnamn]:[Kommentar A4]],24,0),"")</f>
        <v/>
      </c>
      <c r="P134" s="94" t="str">
        <f>IFERROR(($F134*$J134*$O134*VLOOKUP($H134,Materialtabell[[#All],[Materialnamn]:[Bränsle 
MJ/ton, km]],25,0)*Materiallista!$AF$5)/1000,"")</f>
        <v/>
      </c>
      <c r="Q134" s="94" t="str">
        <f>IFERROR(($F134*$J134*$O134*VLOOKUP($H134,Materialtabell[[#All],[Materialnamn]:[Bränsle 
MJ/ton, km]],25,0)*Materiallista!$AF$6)/1000,"")</f>
        <v/>
      </c>
      <c r="R134" s="162"/>
      <c r="S134" s="3"/>
      <c r="T134" s="3"/>
    </row>
    <row r="135" spans="1:20" x14ac:dyDescent="0.25">
      <c r="A135" s="3"/>
      <c r="B135" s="185">
        <v>130</v>
      </c>
      <c r="C135" s="170"/>
      <c r="D135" s="103"/>
      <c r="E135" s="103"/>
      <c r="F135" s="78"/>
      <c r="G135" s="103"/>
      <c r="H135" s="102"/>
      <c r="I135" s="105" t="str">
        <f>IFERROR(VLOOKUP(KalkylSlut[[#This Row],[Klimatmaterial]],Materialtabell[[#All],[Materialnamn]:[Materialtyp]],2,0),"")</f>
        <v/>
      </c>
      <c r="J135" s="104" t="str">
        <f>IFERROR(IF(G135="kg",1,IF(G135="ton",1000,IF(G135=RIGHT(VLOOKUP(H135,Materialtabell[[#All],[Materialnamn]:[Enhet]],4,0),LEN(VLOOKUP(H135,Materialtabell[[#All],[Materialnamn]:[Enhet]],4,0))-3),VLOOKUP(H135,Materialtabell[[#All],[Materialnamn]:[Enhet]],3,0),"Enhetsfel"))),"")</f>
        <v/>
      </c>
      <c r="K135" s="105" t="str">
        <f>IFERROR(IF(G135="kg","kg/kg",IF(G135="ton","kg/ton",IF(RIGHT(VLOOKUP(H135,Materialtabell[[#All],[Materialnamn]:[Enhet]],4,0),LEN(VLOOKUP(H135,Materialtabell[[#All],[Materialnamn]:[Enhet]],4,0))-3)=G135,VLOOKUP(H135,Materialtabell[[#All],[Materialnamn]:[Enhet]],4,0),"kg/ton/"&amp;RIGHT(VLOOKUP(H135,Materialtabell[[#All],[Materialnamn]:[Enhet]],4,0),LEN(VLOOKUP(H135,Materialtabell[[#All],[Materialnamn]:[Enhet]],4,0))-3)))),"")</f>
        <v/>
      </c>
      <c r="L135" s="104" t="str">
        <f>IFERROR(KalkylSlut[[#This Row],[Mängd]]*KalkylSlut[[#This Row],[Omräknings-faktor]],"")</f>
        <v/>
      </c>
      <c r="M135" s="104" t="str">
        <f>IFERROR(F135*J135*VLOOKUP(H135,Materialtabell[[#All],[Materialnamn]:[Emissionsfaktor 2019
kg CO2e/kg]],5,0),"")</f>
        <v/>
      </c>
      <c r="N135" s="104" t="str">
        <f>IFERROR(F135*J135*VLOOKUP(H135,Materialtabell[[#All],[Materialnamn]:[Emissionsfaktor 2025
kg CO2e/kg]],6,0),"")</f>
        <v/>
      </c>
      <c r="O135" s="78" t="str">
        <f>IFERROR(VLOOKUP(H135,Materialtabell[[#All],[Materialnamn]:[Kommentar A4]],24,0),"")</f>
        <v/>
      </c>
      <c r="P135" s="94" t="str">
        <f>IFERROR(($F135*$J135*$O135*VLOOKUP($H135,Materialtabell[[#All],[Materialnamn]:[Bränsle 
MJ/ton, km]],25,0)*Materiallista!$AF$5)/1000,"")</f>
        <v/>
      </c>
      <c r="Q135" s="94" t="str">
        <f>IFERROR(($F135*$J135*$O135*VLOOKUP($H135,Materialtabell[[#All],[Materialnamn]:[Bränsle 
MJ/ton, km]],25,0)*Materiallista!$AF$6)/1000,"")</f>
        <v/>
      </c>
      <c r="R135" s="162"/>
      <c r="S135" s="3"/>
      <c r="T135" s="3"/>
    </row>
    <row r="136" spans="1:20" x14ac:dyDescent="0.25">
      <c r="A136" s="3"/>
      <c r="B136" s="185">
        <v>131</v>
      </c>
      <c r="C136" s="170"/>
      <c r="D136" s="103"/>
      <c r="E136" s="103"/>
      <c r="F136" s="78"/>
      <c r="G136" s="103"/>
      <c r="H136" s="102"/>
      <c r="I136" s="105" t="str">
        <f>IFERROR(VLOOKUP(KalkylSlut[[#This Row],[Klimatmaterial]],Materialtabell[[#All],[Materialnamn]:[Materialtyp]],2,0),"")</f>
        <v/>
      </c>
      <c r="J136" s="104" t="str">
        <f>IFERROR(IF(G136="kg",1,IF(G136="ton",1000,IF(G136=RIGHT(VLOOKUP(H136,Materialtabell[[#All],[Materialnamn]:[Enhet]],4,0),LEN(VLOOKUP(H136,Materialtabell[[#All],[Materialnamn]:[Enhet]],4,0))-3),VLOOKUP(H136,Materialtabell[[#All],[Materialnamn]:[Enhet]],3,0),"Enhetsfel"))),"")</f>
        <v/>
      </c>
      <c r="K136" s="105" t="str">
        <f>IFERROR(IF(G136="kg","kg/kg",IF(G136="ton","kg/ton",IF(RIGHT(VLOOKUP(H136,Materialtabell[[#All],[Materialnamn]:[Enhet]],4,0),LEN(VLOOKUP(H136,Materialtabell[[#All],[Materialnamn]:[Enhet]],4,0))-3)=G136,VLOOKUP(H136,Materialtabell[[#All],[Materialnamn]:[Enhet]],4,0),"kg/ton/"&amp;RIGHT(VLOOKUP(H136,Materialtabell[[#All],[Materialnamn]:[Enhet]],4,0),LEN(VLOOKUP(H136,Materialtabell[[#All],[Materialnamn]:[Enhet]],4,0))-3)))),"")</f>
        <v/>
      </c>
      <c r="L136" s="104" t="str">
        <f>IFERROR(KalkylSlut[[#This Row],[Mängd]]*KalkylSlut[[#This Row],[Omräknings-faktor]],"")</f>
        <v/>
      </c>
      <c r="M136" s="104" t="str">
        <f>IFERROR(F136*J136*VLOOKUP(H136,Materialtabell[[#All],[Materialnamn]:[Emissionsfaktor 2019
kg CO2e/kg]],5,0),"")</f>
        <v/>
      </c>
      <c r="N136" s="104" t="str">
        <f>IFERROR(F136*J136*VLOOKUP(H136,Materialtabell[[#All],[Materialnamn]:[Emissionsfaktor 2025
kg CO2e/kg]],6,0),"")</f>
        <v/>
      </c>
      <c r="O136" s="78" t="str">
        <f>IFERROR(VLOOKUP(H136,Materialtabell[[#All],[Materialnamn]:[Kommentar A4]],24,0),"")</f>
        <v/>
      </c>
      <c r="P136" s="94" t="str">
        <f>IFERROR(($F136*$J136*$O136*VLOOKUP($H136,Materialtabell[[#All],[Materialnamn]:[Bränsle 
MJ/ton, km]],25,0)*Materiallista!$AF$5)/1000,"")</f>
        <v/>
      </c>
      <c r="Q136" s="94" t="str">
        <f>IFERROR(($F136*$J136*$O136*VLOOKUP($H136,Materialtabell[[#All],[Materialnamn]:[Bränsle 
MJ/ton, km]],25,0)*Materiallista!$AF$6)/1000,"")</f>
        <v/>
      </c>
      <c r="R136" s="162"/>
      <c r="S136" s="3"/>
      <c r="T136" s="3"/>
    </row>
    <row r="137" spans="1:20" x14ac:dyDescent="0.25">
      <c r="A137" s="3"/>
      <c r="B137" s="185">
        <v>132</v>
      </c>
      <c r="C137" s="170"/>
      <c r="D137" s="103"/>
      <c r="E137" s="103"/>
      <c r="F137" s="78"/>
      <c r="G137" s="103"/>
      <c r="H137" s="102"/>
      <c r="I137" s="105" t="str">
        <f>IFERROR(VLOOKUP(KalkylSlut[[#This Row],[Klimatmaterial]],Materialtabell[[#All],[Materialnamn]:[Materialtyp]],2,0),"")</f>
        <v/>
      </c>
      <c r="J137" s="104" t="str">
        <f>IFERROR(IF(G137="kg",1,IF(G137="ton",1000,IF(G137=RIGHT(VLOOKUP(H137,Materialtabell[[#All],[Materialnamn]:[Enhet]],4,0),LEN(VLOOKUP(H137,Materialtabell[[#All],[Materialnamn]:[Enhet]],4,0))-3),VLOOKUP(H137,Materialtabell[[#All],[Materialnamn]:[Enhet]],3,0),"Enhetsfel"))),"")</f>
        <v/>
      </c>
      <c r="K137" s="105" t="str">
        <f>IFERROR(IF(G137="kg","kg/kg",IF(G137="ton","kg/ton",IF(RIGHT(VLOOKUP(H137,Materialtabell[[#All],[Materialnamn]:[Enhet]],4,0),LEN(VLOOKUP(H137,Materialtabell[[#All],[Materialnamn]:[Enhet]],4,0))-3)=G137,VLOOKUP(H137,Materialtabell[[#All],[Materialnamn]:[Enhet]],4,0),"kg/ton/"&amp;RIGHT(VLOOKUP(H137,Materialtabell[[#All],[Materialnamn]:[Enhet]],4,0),LEN(VLOOKUP(H137,Materialtabell[[#All],[Materialnamn]:[Enhet]],4,0))-3)))),"")</f>
        <v/>
      </c>
      <c r="L137" s="104" t="str">
        <f>IFERROR(KalkylSlut[[#This Row],[Mängd]]*KalkylSlut[[#This Row],[Omräknings-faktor]],"")</f>
        <v/>
      </c>
      <c r="M137" s="104" t="str">
        <f>IFERROR(F137*J137*VLOOKUP(H137,Materialtabell[[#All],[Materialnamn]:[Emissionsfaktor 2019
kg CO2e/kg]],5,0),"")</f>
        <v/>
      </c>
      <c r="N137" s="104" t="str">
        <f>IFERROR(F137*J137*VLOOKUP(H137,Materialtabell[[#All],[Materialnamn]:[Emissionsfaktor 2025
kg CO2e/kg]],6,0),"")</f>
        <v/>
      </c>
      <c r="O137" s="78" t="str">
        <f>IFERROR(VLOOKUP(H137,Materialtabell[[#All],[Materialnamn]:[Kommentar A4]],24,0),"")</f>
        <v/>
      </c>
      <c r="P137" s="94" t="str">
        <f>IFERROR(($F137*$J137*$O137*VLOOKUP($H137,Materialtabell[[#All],[Materialnamn]:[Bränsle 
MJ/ton, km]],25,0)*Materiallista!$AF$5)/1000,"")</f>
        <v/>
      </c>
      <c r="Q137" s="94" t="str">
        <f>IFERROR(($F137*$J137*$O137*VLOOKUP($H137,Materialtabell[[#All],[Materialnamn]:[Bränsle 
MJ/ton, km]],25,0)*Materiallista!$AF$6)/1000,"")</f>
        <v/>
      </c>
      <c r="R137" s="162"/>
      <c r="S137" s="3"/>
      <c r="T137" s="3"/>
    </row>
    <row r="138" spans="1:20" x14ac:dyDescent="0.25">
      <c r="A138" s="3"/>
      <c r="B138" s="185">
        <v>133</v>
      </c>
      <c r="C138" s="170"/>
      <c r="D138" s="103"/>
      <c r="E138" s="103"/>
      <c r="F138" s="78"/>
      <c r="G138" s="103"/>
      <c r="H138" s="102"/>
      <c r="I138" s="105" t="str">
        <f>IFERROR(VLOOKUP(KalkylSlut[[#This Row],[Klimatmaterial]],Materialtabell[[#All],[Materialnamn]:[Materialtyp]],2,0),"")</f>
        <v/>
      </c>
      <c r="J138" s="104" t="str">
        <f>IFERROR(IF(G138="kg",1,IF(G138="ton",1000,IF(G138=RIGHT(VLOOKUP(H138,Materialtabell[[#All],[Materialnamn]:[Enhet]],4,0),LEN(VLOOKUP(H138,Materialtabell[[#All],[Materialnamn]:[Enhet]],4,0))-3),VLOOKUP(H138,Materialtabell[[#All],[Materialnamn]:[Enhet]],3,0),"Enhetsfel"))),"")</f>
        <v/>
      </c>
      <c r="K138" s="105" t="str">
        <f>IFERROR(IF(G138="kg","kg/kg",IF(G138="ton","kg/ton",IF(RIGHT(VLOOKUP(H138,Materialtabell[[#All],[Materialnamn]:[Enhet]],4,0),LEN(VLOOKUP(H138,Materialtabell[[#All],[Materialnamn]:[Enhet]],4,0))-3)=G138,VLOOKUP(H138,Materialtabell[[#All],[Materialnamn]:[Enhet]],4,0),"kg/ton/"&amp;RIGHT(VLOOKUP(H138,Materialtabell[[#All],[Materialnamn]:[Enhet]],4,0),LEN(VLOOKUP(H138,Materialtabell[[#All],[Materialnamn]:[Enhet]],4,0))-3)))),"")</f>
        <v/>
      </c>
      <c r="L138" s="104" t="str">
        <f>IFERROR(KalkylSlut[[#This Row],[Mängd]]*KalkylSlut[[#This Row],[Omräknings-faktor]],"")</f>
        <v/>
      </c>
      <c r="M138" s="104" t="str">
        <f>IFERROR(F138*J138*VLOOKUP(H138,Materialtabell[[#All],[Materialnamn]:[Emissionsfaktor 2019
kg CO2e/kg]],5,0),"")</f>
        <v/>
      </c>
      <c r="N138" s="104" t="str">
        <f>IFERROR(F138*J138*VLOOKUP(H138,Materialtabell[[#All],[Materialnamn]:[Emissionsfaktor 2025
kg CO2e/kg]],6,0),"")</f>
        <v/>
      </c>
      <c r="O138" s="78" t="str">
        <f>IFERROR(VLOOKUP(H138,Materialtabell[[#All],[Materialnamn]:[Kommentar A4]],24,0),"")</f>
        <v/>
      </c>
      <c r="P138" s="94" t="str">
        <f>IFERROR(($F138*$J138*$O138*VLOOKUP($H138,Materialtabell[[#All],[Materialnamn]:[Bränsle 
MJ/ton, km]],25,0)*Materiallista!$AF$5)/1000,"")</f>
        <v/>
      </c>
      <c r="Q138" s="94" t="str">
        <f>IFERROR(($F138*$J138*$O138*VLOOKUP($H138,Materialtabell[[#All],[Materialnamn]:[Bränsle 
MJ/ton, km]],25,0)*Materiallista!$AF$6)/1000,"")</f>
        <v/>
      </c>
      <c r="R138" s="162"/>
      <c r="S138" s="3"/>
      <c r="T138" s="3"/>
    </row>
    <row r="139" spans="1:20" x14ac:dyDescent="0.25">
      <c r="A139" s="3"/>
      <c r="B139" s="185">
        <v>134</v>
      </c>
      <c r="C139" s="170"/>
      <c r="D139" s="103"/>
      <c r="E139" s="103"/>
      <c r="F139" s="78"/>
      <c r="G139" s="103"/>
      <c r="H139" s="102"/>
      <c r="I139" s="105" t="str">
        <f>IFERROR(VLOOKUP(KalkylSlut[[#This Row],[Klimatmaterial]],Materialtabell[[#All],[Materialnamn]:[Materialtyp]],2,0),"")</f>
        <v/>
      </c>
      <c r="J139" s="104" t="str">
        <f>IFERROR(IF(G139="kg",1,IF(G139="ton",1000,IF(G139=RIGHT(VLOOKUP(H139,Materialtabell[[#All],[Materialnamn]:[Enhet]],4,0),LEN(VLOOKUP(H139,Materialtabell[[#All],[Materialnamn]:[Enhet]],4,0))-3),VLOOKUP(H139,Materialtabell[[#All],[Materialnamn]:[Enhet]],3,0),"Enhetsfel"))),"")</f>
        <v/>
      </c>
      <c r="K139" s="105" t="str">
        <f>IFERROR(IF(G139="kg","kg/kg",IF(G139="ton","kg/ton",IF(RIGHT(VLOOKUP(H139,Materialtabell[[#All],[Materialnamn]:[Enhet]],4,0),LEN(VLOOKUP(H139,Materialtabell[[#All],[Materialnamn]:[Enhet]],4,0))-3)=G139,VLOOKUP(H139,Materialtabell[[#All],[Materialnamn]:[Enhet]],4,0),"kg/ton/"&amp;RIGHT(VLOOKUP(H139,Materialtabell[[#All],[Materialnamn]:[Enhet]],4,0),LEN(VLOOKUP(H139,Materialtabell[[#All],[Materialnamn]:[Enhet]],4,0))-3)))),"")</f>
        <v/>
      </c>
      <c r="L139" s="104" t="str">
        <f>IFERROR(KalkylSlut[[#This Row],[Mängd]]*KalkylSlut[[#This Row],[Omräknings-faktor]],"")</f>
        <v/>
      </c>
      <c r="M139" s="104" t="str">
        <f>IFERROR(F139*J139*VLOOKUP(H139,Materialtabell[[#All],[Materialnamn]:[Emissionsfaktor 2019
kg CO2e/kg]],5,0),"")</f>
        <v/>
      </c>
      <c r="N139" s="104" t="str">
        <f>IFERROR(F139*J139*VLOOKUP(H139,Materialtabell[[#All],[Materialnamn]:[Emissionsfaktor 2025
kg CO2e/kg]],6,0),"")</f>
        <v/>
      </c>
      <c r="O139" s="78" t="str">
        <f>IFERROR(VLOOKUP(H139,Materialtabell[[#All],[Materialnamn]:[Kommentar A4]],24,0),"")</f>
        <v/>
      </c>
      <c r="P139" s="94" t="str">
        <f>IFERROR(($F139*$J139*$O139*VLOOKUP($H139,Materialtabell[[#All],[Materialnamn]:[Bränsle 
MJ/ton, km]],25,0)*Materiallista!$AF$5)/1000,"")</f>
        <v/>
      </c>
      <c r="Q139" s="94" t="str">
        <f>IFERROR(($F139*$J139*$O139*VLOOKUP($H139,Materialtabell[[#All],[Materialnamn]:[Bränsle 
MJ/ton, km]],25,0)*Materiallista!$AF$6)/1000,"")</f>
        <v/>
      </c>
      <c r="R139" s="162"/>
      <c r="S139" s="3"/>
      <c r="T139" s="3"/>
    </row>
    <row r="140" spans="1:20" x14ac:dyDescent="0.25">
      <c r="A140" s="3"/>
      <c r="B140" s="185">
        <v>135</v>
      </c>
      <c r="C140" s="170"/>
      <c r="D140" s="103"/>
      <c r="E140" s="103"/>
      <c r="F140" s="78"/>
      <c r="G140" s="103"/>
      <c r="H140" s="102"/>
      <c r="I140" s="105" t="str">
        <f>IFERROR(VLOOKUP(KalkylSlut[[#This Row],[Klimatmaterial]],Materialtabell[[#All],[Materialnamn]:[Materialtyp]],2,0),"")</f>
        <v/>
      </c>
      <c r="J140" s="104" t="str">
        <f>IFERROR(IF(G140="kg",1,IF(G140="ton",1000,IF(G140=RIGHT(VLOOKUP(H140,Materialtabell[[#All],[Materialnamn]:[Enhet]],4,0),LEN(VLOOKUP(H140,Materialtabell[[#All],[Materialnamn]:[Enhet]],4,0))-3),VLOOKUP(H140,Materialtabell[[#All],[Materialnamn]:[Enhet]],3,0),"Enhetsfel"))),"")</f>
        <v/>
      </c>
      <c r="K140" s="105" t="str">
        <f>IFERROR(IF(G140="kg","kg/kg",IF(G140="ton","kg/ton",IF(RIGHT(VLOOKUP(H140,Materialtabell[[#All],[Materialnamn]:[Enhet]],4,0),LEN(VLOOKUP(H140,Materialtabell[[#All],[Materialnamn]:[Enhet]],4,0))-3)=G140,VLOOKUP(H140,Materialtabell[[#All],[Materialnamn]:[Enhet]],4,0),"kg/ton/"&amp;RIGHT(VLOOKUP(H140,Materialtabell[[#All],[Materialnamn]:[Enhet]],4,0),LEN(VLOOKUP(H140,Materialtabell[[#All],[Materialnamn]:[Enhet]],4,0))-3)))),"")</f>
        <v/>
      </c>
      <c r="L140" s="104" t="str">
        <f>IFERROR(KalkylSlut[[#This Row],[Mängd]]*KalkylSlut[[#This Row],[Omräknings-faktor]],"")</f>
        <v/>
      </c>
      <c r="M140" s="104" t="str">
        <f>IFERROR(F140*J140*VLOOKUP(H140,Materialtabell[[#All],[Materialnamn]:[Emissionsfaktor 2019
kg CO2e/kg]],5,0),"")</f>
        <v/>
      </c>
      <c r="N140" s="104" t="str">
        <f>IFERROR(F140*J140*VLOOKUP(H140,Materialtabell[[#All],[Materialnamn]:[Emissionsfaktor 2025
kg CO2e/kg]],6,0),"")</f>
        <v/>
      </c>
      <c r="O140" s="78" t="str">
        <f>IFERROR(VLOOKUP(H140,Materialtabell[[#All],[Materialnamn]:[Kommentar A4]],24,0),"")</f>
        <v/>
      </c>
      <c r="P140" s="94" t="str">
        <f>IFERROR(($F140*$J140*$O140*VLOOKUP($H140,Materialtabell[[#All],[Materialnamn]:[Bränsle 
MJ/ton, km]],25,0)*Materiallista!$AF$5)/1000,"")</f>
        <v/>
      </c>
      <c r="Q140" s="94" t="str">
        <f>IFERROR(($F140*$J140*$O140*VLOOKUP($H140,Materialtabell[[#All],[Materialnamn]:[Bränsle 
MJ/ton, km]],25,0)*Materiallista!$AF$6)/1000,"")</f>
        <v/>
      </c>
      <c r="R140" s="162"/>
      <c r="S140" s="3"/>
      <c r="T140" s="3"/>
    </row>
    <row r="141" spans="1:20" x14ac:dyDescent="0.25">
      <c r="A141" s="3"/>
      <c r="B141" s="185">
        <v>136</v>
      </c>
      <c r="C141" s="170"/>
      <c r="D141" s="103"/>
      <c r="E141" s="103"/>
      <c r="F141" s="78"/>
      <c r="G141" s="103"/>
      <c r="H141" s="102"/>
      <c r="I141" s="105" t="str">
        <f>IFERROR(VLOOKUP(KalkylSlut[[#This Row],[Klimatmaterial]],Materialtabell[[#All],[Materialnamn]:[Materialtyp]],2,0),"")</f>
        <v/>
      </c>
      <c r="J141" s="104" t="str">
        <f>IFERROR(IF(G141="kg",1,IF(G141="ton",1000,IF(G141=RIGHT(VLOOKUP(H141,Materialtabell[[#All],[Materialnamn]:[Enhet]],4,0),LEN(VLOOKUP(H141,Materialtabell[[#All],[Materialnamn]:[Enhet]],4,0))-3),VLOOKUP(H141,Materialtabell[[#All],[Materialnamn]:[Enhet]],3,0),"Enhetsfel"))),"")</f>
        <v/>
      </c>
      <c r="K141" s="105" t="str">
        <f>IFERROR(IF(G141="kg","kg/kg",IF(G141="ton","kg/ton",IF(RIGHT(VLOOKUP(H141,Materialtabell[[#All],[Materialnamn]:[Enhet]],4,0),LEN(VLOOKUP(H141,Materialtabell[[#All],[Materialnamn]:[Enhet]],4,0))-3)=G141,VLOOKUP(H141,Materialtabell[[#All],[Materialnamn]:[Enhet]],4,0),"kg/ton/"&amp;RIGHT(VLOOKUP(H141,Materialtabell[[#All],[Materialnamn]:[Enhet]],4,0),LEN(VLOOKUP(H141,Materialtabell[[#All],[Materialnamn]:[Enhet]],4,0))-3)))),"")</f>
        <v/>
      </c>
      <c r="L141" s="104" t="str">
        <f>IFERROR(KalkylSlut[[#This Row],[Mängd]]*KalkylSlut[[#This Row],[Omräknings-faktor]],"")</f>
        <v/>
      </c>
      <c r="M141" s="104" t="str">
        <f>IFERROR(F141*J141*VLOOKUP(H141,Materialtabell[[#All],[Materialnamn]:[Emissionsfaktor 2019
kg CO2e/kg]],5,0),"")</f>
        <v/>
      </c>
      <c r="N141" s="104" t="str">
        <f>IFERROR(F141*J141*VLOOKUP(H141,Materialtabell[[#All],[Materialnamn]:[Emissionsfaktor 2025
kg CO2e/kg]],6,0),"")</f>
        <v/>
      </c>
      <c r="O141" s="78" t="str">
        <f>IFERROR(VLOOKUP(H141,Materialtabell[[#All],[Materialnamn]:[Kommentar A4]],24,0),"")</f>
        <v/>
      </c>
      <c r="P141" s="94" t="str">
        <f>IFERROR(($F141*$J141*$O141*VLOOKUP($H141,Materialtabell[[#All],[Materialnamn]:[Bränsle 
MJ/ton, km]],25,0)*Materiallista!$AF$5)/1000,"")</f>
        <v/>
      </c>
      <c r="Q141" s="94" t="str">
        <f>IFERROR(($F141*$J141*$O141*VLOOKUP($H141,Materialtabell[[#All],[Materialnamn]:[Bränsle 
MJ/ton, km]],25,0)*Materiallista!$AF$6)/1000,"")</f>
        <v/>
      </c>
      <c r="R141" s="162"/>
      <c r="S141" s="3"/>
      <c r="T141" s="3"/>
    </row>
    <row r="142" spans="1:20" x14ac:dyDescent="0.25">
      <c r="A142" s="3"/>
      <c r="B142" s="185">
        <v>137</v>
      </c>
      <c r="C142" s="170"/>
      <c r="D142" s="103"/>
      <c r="E142" s="103"/>
      <c r="F142" s="78"/>
      <c r="G142" s="103"/>
      <c r="H142" s="102"/>
      <c r="I142" s="105" t="str">
        <f>IFERROR(VLOOKUP(KalkylSlut[[#This Row],[Klimatmaterial]],Materialtabell[[#All],[Materialnamn]:[Materialtyp]],2,0),"")</f>
        <v/>
      </c>
      <c r="J142" s="104" t="str">
        <f>IFERROR(IF(G142="kg",1,IF(G142="ton",1000,IF(G142=RIGHT(VLOOKUP(H142,Materialtabell[[#All],[Materialnamn]:[Enhet]],4,0),LEN(VLOOKUP(H142,Materialtabell[[#All],[Materialnamn]:[Enhet]],4,0))-3),VLOOKUP(H142,Materialtabell[[#All],[Materialnamn]:[Enhet]],3,0),"Enhetsfel"))),"")</f>
        <v/>
      </c>
      <c r="K142" s="105" t="str">
        <f>IFERROR(IF(G142="kg","kg/kg",IF(G142="ton","kg/ton",IF(RIGHT(VLOOKUP(H142,Materialtabell[[#All],[Materialnamn]:[Enhet]],4,0),LEN(VLOOKUP(H142,Materialtabell[[#All],[Materialnamn]:[Enhet]],4,0))-3)=G142,VLOOKUP(H142,Materialtabell[[#All],[Materialnamn]:[Enhet]],4,0),"kg/ton/"&amp;RIGHT(VLOOKUP(H142,Materialtabell[[#All],[Materialnamn]:[Enhet]],4,0),LEN(VLOOKUP(H142,Materialtabell[[#All],[Materialnamn]:[Enhet]],4,0))-3)))),"")</f>
        <v/>
      </c>
      <c r="L142" s="104" t="str">
        <f>IFERROR(KalkylSlut[[#This Row],[Mängd]]*KalkylSlut[[#This Row],[Omräknings-faktor]],"")</f>
        <v/>
      </c>
      <c r="M142" s="104" t="str">
        <f>IFERROR(F142*J142*VLOOKUP(H142,Materialtabell[[#All],[Materialnamn]:[Emissionsfaktor 2019
kg CO2e/kg]],5,0),"")</f>
        <v/>
      </c>
      <c r="N142" s="104" t="str">
        <f>IFERROR(F142*J142*VLOOKUP(H142,Materialtabell[[#All],[Materialnamn]:[Emissionsfaktor 2025
kg CO2e/kg]],6,0),"")</f>
        <v/>
      </c>
      <c r="O142" s="78" t="str">
        <f>IFERROR(VLOOKUP(H142,Materialtabell[[#All],[Materialnamn]:[Kommentar A4]],24,0),"")</f>
        <v/>
      </c>
      <c r="P142" s="94" t="str">
        <f>IFERROR(($F142*$J142*$O142*VLOOKUP($H142,Materialtabell[[#All],[Materialnamn]:[Bränsle 
MJ/ton, km]],25,0)*Materiallista!$AF$5)/1000,"")</f>
        <v/>
      </c>
      <c r="Q142" s="94" t="str">
        <f>IFERROR(($F142*$J142*$O142*VLOOKUP($H142,Materialtabell[[#All],[Materialnamn]:[Bränsle 
MJ/ton, km]],25,0)*Materiallista!$AF$6)/1000,"")</f>
        <v/>
      </c>
      <c r="R142" s="162"/>
      <c r="S142" s="3"/>
      <c r="T142" s="3"/>
    </row>
    <row r="143" spans="1:20" x14ac:dyDescent="0.25">
      <c r="A143" s="3"/>
      <c r="B143" s="185">
        <v>138</v>
      </c>
      <c r="C143" s="170"/>
      <c r="D143" s="103"/>
      <c r="E143" s="103"/>
      <c r="F143" s="78"/>
      <c r="G143" s="103"/>
      <c r="H143" s="102"/>
      <c r="I143" s="105" t="str">
        <f>IFERROR(VLOOKUP(KalkylSlut[[#This Row],[Klimatmaterial]],Materialtabell[[#All],[Materialnamn]:[Materialtyp]],2,0),"")</f>
        <v/>
      </c>
      <c r="J143" s="104" t="str">
        <f>IFERROR(IF(G143="kg",1,IF(G143="ton",1000,IF(G143=RIGHT(VLOOKUP(H143,Materialtabell[[#All],[Materialnamn]:[Enhet]],4,0),LEN(VLOOKUP(H143,Materialtabell[[#All],[Materialnamn]:[Enhet]],4,0))-3),VLOOKUP(H143,Materialtabell[[#All],[Materialnamn]:[Enhet]],3,0),"Enhetsfel"))),"")</f>
        <v/>
      </c>
      <c r="K143" s="105" t="str">
        <f>IFERROR(IF(G143="kg","kg/kg",IF(G143="ton","kg/ton",IF(RIGHT(VLOOKUP(H143,Materialtabell[[#All],[Materialnamn]:[Enhet]],4,0),LEN(VLOOKUP(H143,Materialtabell[[#All],[Materialnamn]:[Enhet]],4,0))-3)=G143,VLOOKUP(H143,Materialtabell[[#All],[Materialnamn]:[Enhet]],4,0),"kg/ton/"&amp;RIGHT(VLOOKUP(H143,Materialtabell[[#All],[Materialnamn]:[Enhet]],4,0),LEN(VLOOKUP(H143,Materialtabell[[#All],[Materialnamn]:[Enhet]],4,0))-3)))),"")</f>
        <v/>
      </c>
      <c r="L143" s="104" t="str">
        <f>IFERROR(KalkylSlut[[#This Row],[Mängd]]*KalkylSlut[[#This Row],[Omräknings-faktor]],"")</f>
        <v/>
      </c>
      <c r="M143" s="104" t="str">
        <f>IFERROR(F143*J143*VLOOKUP(H143,Materialtabell[[#All],[Materialnamn]:[Emissionsfaktor 2019
kg CO2e/kg]],5,0),"")</f>
        <v/>
      </c>
      <c r="N143" s="104" t="str">
        <f>IFERROR(F143*J143*VLOOKUP(H143,Materialtabell[[#All],[Materialnamn]:[Emissionsfaktor 2025
kg CO2e/kg]],6,0),"")</f>
        <v/>
      </c>
      <c r="O143" s="78" t="str">
        <f>IFERROR(VLOOKUP(H143,Materialtabell[[#All],[Materialnamn]:[Kommentar A4]],24,0),"")</f>
        <v/>
      </c>
      <c r="P143" s="94" t="str">
        <f>IFERROR(($F143*$J143*$O143*VLOOKUP($H143,Materialtabell[[#All],[Materialnamn]:[Bränsle 
MJ/ton, km]],25,0)*Materiallista!$AF$5)/1000,"")</f>
        <v/>
      </c>
      <c r="Q143" s="94" t="str">
        <f>IFERROR(($F143*$J143*$O143*VLOOKUP($H143,Materialtabell[[#All],[Materialnamn]:[Bränsle 
MJ/ton, km]],25,0)*Materiallista!$AF$6)/1000,"")</f>
        <v/>
      </c>
      <c r="R143" s="162"/>
      <c r="S143" s="3"/>
      <c r="T143" s="3"/>
    </row>
    <row r="144" spans="1:20" x14ac:dyDescent="0.25">
      <c r="A144" s="3"/>
      <c r="B144" s="185">
        <v>139</v>
      </c>
      <c r="C144" s="170"/>
      <c r="D144" s="103"/>
      <c r="E144" s="103"/>
      <c r="F144" s="78"/>
      <c r="G144" s="103"/>
      <c r="H144" s="102"/>
      <c r="I144" s="105" t="str">
        <f>IFERROR(VLOOKUP(KalkylSlut[[#This Row],[Klimatmaterial]],Materialtabell[[#All],[Materialnamn]:[Materialtyp]],2,0),"")</f>
        <v/>
      </c>
      <c r="J144" s="104" t="str">
        <f>IFERROR(IF(G144="kg",1,IF(G144="ton",1000,IF(G144=RIGHT(VLOOKUP(H144,Materialtabell[[#All],[Materialnamn]:[Enhet]],4,0),LEN(VLOOKUP(H144,Materialtabell[[#All],[Materialnamn]:[Enhet]],4,0))-3),VLOOKUP(H144,Materialtabell[[#All],[Materialnamn]:[Enhet]],3,0),"Enhetsfel"))),"")</f>
        <v/>
      </c>
      <c r="K144" s="105" t="str">
        <f>IFERROR(IF(G144="kg","kg/kg",IF(G144="ton","kg/ton",IF(RIGHT(VLOOKUP(H144,Materialtabell[[#All],[Materialnamn]:[Enhet]],4,0),LEN(VLOOKUP(H144,Materialtabell[[#All],[Materialnamn]:[Enhet]],4,0))-3)=G144,VLOOKUP(H144,Materialtabell[[#All],[Materialnamn]:[Enhet]],4,0),"kg/ton/"&amp;RIGHT(VLOOKUP(H144,Materialtabell[[#All],[Materialnamn]:[Enhet]],4,0),LEN(VLOOKUP(H144,Materialtabell[[#All],[Materialnamn]:[Enhet]],4,0))-3)))),"")</f>
        <v/>
      </c>
      <c r="L144" s="104" t="str">
        <f>IFERROR(KalkylSlut[[#This Row],[Mängd]]*KalkylSlut[[#This Row],[Omräknings-faktor]],"")</f>
        <v/>
      </c>
      <c r="M144" s="104" t="str">
        <f>IFERROR(F144*J144*VLOOKUP(H144,Materialtabell[[#All],[Materialnamn]:[Emissionsfaktor 2019
kg CO2e/kg]],5,0),"")</f>
        <v/>
      </c>
      <c r="N144" s="104" t="str">
        <f>IFERROR(F144*J144*VLOOKUP(H144,Materialtabell[[#All],[Materialnamn]:[Emissionsfaktor 2025
kg CO2e/kg]],6,0),"")</f>
        <v/>
      </c>
      <c r="O144" s="78" t="str">
        <f>IFERROR(VLOOKUP(H144,Materialtabell[[#All],[Materialnamn]:[Kommentar A4]],24,0),"")</f>
        <v/>
      </c>
      <c r="P144" s="94" t="str">
        <f>IFERROR(($F144*$J144*$O144*VLOOKUP($H144,Materialtabell[[#All],[Materialnamn]:[Bränsle 
MJ/ton, km]],25,0)*Materiallista!$AF$5)/1000,"")</f>
        <v/>
      </c>
      <c r="Q144" s="94" t="str">
        <f>IFERROR(($F144*$J144*$O144*VLOOKUP($H144,Materialtabell[[#All],[Materialnamn]:[Bränsle 
MJ/ton, km]],25,0)*Materiallista!$AF$6)/1000,"")</f>
        <v/>
      </c>
      <c r="R144" s="162"/>
      <c r="S144" s="3"/>
      <c r="T144" s="3"/>
    </row>
    <row r="145" spans="1:20" x14ac:dyDescent="0.25">
      <c r="A145" s="3"/>
      <c r="B145" s="185">
        <v>140</v>
      </c>
      <c r="C145" s="170"/>
      <c r="D145" s="103"/>
      <c r="E145" s="103"/>
      <c r="F145" s="78"/>
      <c r="G145" s="103"/>
      <c r="H145" s="102"/>
      <c r="I145" s="105" t="str">
        <f>IFERROR(VLOOKUP(KalkylSlut[[#This Row],[Klimatmaterial]],Materialtabell[[#All],[Materialnamn]:[Materialtyp]],2,0),"")</f>
        <v/>
      </c>
      <c r="J145" s="104" t="str">
        <f>IFERROR(IF(G145="kg",1,IF(G145="ton",1000,IF(G145=RIGHT(VLOOKUP(H145,Materialtabell[[#All],[Materialnamn]:[Enhet]],4,0),LEN(VLOOKUP(H145,Materialtabell[[#All],[Materialnamn]:[Enhet]],4,0))-3),VLOOKUP(H145,Materialtabell[[#All],[Materialnamn]:[Enhet]],3,0),"Enhetsfel"))),"")</f>
        <v/>
      </c>
      <c r="K145" s="105" t="str">
        <f>IFERROR(IF(G145="kg","kg/kg",IF(G145="ton","kg/ton",IF(RIGHT(VLOOKUP(H145,Materialtabell[[#All],[Materialnamn]:[Enhet]],4,0),LEN(VLOOKUP(H145,Materialtabell[[#All],[Materialnamn]:[Enhet]],4,0))-3)=G145,VLOOKUP(H145,Materialtabell[[#All],[Materialnamn]:[Enhet]],4,0),"kg/ton/"&amp;RIGHT(VLOOKUP(H145,Materialtabell[[#All],[Materialnamn]:[Enhet]],4,0),LEN(VLOOKUP(H145,Materialtabell[[#All],[Materialnamn]:[Enhet]],4,0))-3)))),"")</f>
        <v/>
      </c>
      <c r="L145" s="104" t="str">
        <f>IFERROR(KalkylSlut[[#This Row],[Mängd]]*KalkylSlut[[#This Row],[Omräknings-faktor]],"")</f>
        <v/>
      </c>
      <c r="M145" s="104" t="str">
        <f>IFERROR(F145*J145*VLOOKUP(H145,Materialtabell[[#All],[Materialnamn]:[Emissionsfaktor 2019
kg CO2e/kg]],5,0),"")</f>
        <v/>
      </c>
      <c r="N145" s="104" t="str">
        <f>IFERROR(F145*J145*VLOOKUP(H145,Materialtabell[[#All],[Materialnamn]:[Emissionsfaktor 2025
kg CO2e/kg]],6,0),"")</f>
        <v/>
      </c>
      <c r="O145" s="78" t="str">
        <f>IFERROR(VLOOKUP(H145,Materialtabell[[#All],[Materialnamn]:[Kommentar A4]],24,0),"")</f>
        <v/>
      </c>
      <c r="P145" s="94" t="str">
        <f>IFERROR(($F145*$J145*$O145*VLOOKUP($H145,Materialtabell[[#All],[Materialnamn]:[Bränsle 
MJ/ton, km]],25,0)*Materiallista!$AF$5)/1000,"")</f>
        <v/>
      </c>
      <c r="Q145" s="94" t="str">
        <f>IFERROR(($F145*$J145*$O145*VLOOKUP($H145,Materialtabell[[#All],[Materialnamn]:[Bränsle 
MJ/ton, km]],25,0)*Materiallista!$AF$6)/1000,"")</f>
        <v/>
      </c>
      <c r="R145" s="162"/>
      <c r="S145" s="3"/>
      <c r="T145" s="3"/>
    </row>
    <row r="146" spans="1:20" x14ac:dyDescent="0.25">
      <c r="A146" s="3"/>
      <c r="B146" s="185">
        <v>141</v>
      </c>
      <c r="C146" s="170"/>
      <c r="D146" s="103"/>
      <c r="E146" s="103"/>
      <c r="F146" s="78"/>
      <c r="G146" s="103"/>
      <c r="H146" s="102"/>
      <c r="I146" s="105" t="str">
        <f>IFERROR(VLOOKUP(KalkylSlut[[#This Row],[Klimatmaterial]],Materialtabell[[#All],[Materialnamn]:[Materialtyp]],2,0),"")</f>
        <v/>
      </c>
      <c r="J146" s="104" t="str">
        <f>IFERROR(IF(G146="kg",1,IF(G146="ton",1000,IF(G146=RIGHT(VLOOKUP(H146,Materialtabell[[#All],[Materialnamn]:[Enhet]],4,0),LEN(VLOOKUP(H146,Materialtabell[[#All],[Materialnamn]:[Enhet]],4,0))-3),VLOOKUP(H146,Materialtabell[[#All],[Materialnamn]:[Enhet]],3,0),"Enhetsfel"))),"")</f>
        <v/>
      </c>
      <c r="K146" s="105" t="str">
        <f>IFERROR(IF(G146="kg","kg/kg",IF(G146="ton","kg/ton",IF(RIGHT(VLOOKUP(H146,Materialtabell[[#All],[Materialnamn]:[Enhet]],4,0),LEN(VLOOKUP(H146,Materialtabell[[#All],[Materialnamn]:[Enhet]],4,0))-3)=G146,VLOOKUP(H146,Materialtabell[[#All],[Materialnamn]:[Enhet]],4,0),"kg/ton/"&amp;RIGHT(VLOOKUP(H146,Materialtabell[[#All],[Materialnamn]:[Enhet]],4,0),LEN(VLOOKUP(H146,Materialtabell[[#All],[Materialnamn]:[Enhet]],4,0))-3)))),"")</f>
        <v/>
      </c>
      <c r="L146" s="104" t="str">
        <f>IFERROR(KalkylSlut[[#This Row],[Mängd]]*KalkylSlut[[#This Row],[Omräknings-faktor]],"")</f>
        <v/>
      </c>
      <c r="M146" s="104" t="str">
        <f>IFERROR(F146*J146*VLOOKUP(H146,Materialtabell[[#All],[Materialnamn]:[Emissionsfaktor 2019
kg CO2e/kg]],5,0),"")</f>
        <v/>
      </c>
      <c r="N146" s="104" t="str">
        <f>IFERROR(F146*J146*VLOOKUP(H146,Materialtabell[[#All],[Materialnamn]:[Emissionsfaktor 2025
kg CO2e/kg]],6,0),"")</f>
        <v/>
      </c>
      <c r="O146" s="78" t="str">
        <f>IFERROR(VLOOKUP(H146,Materialtabell[[#All],[Materialnamn]:[Kommentar A4]],24,0),"")</f>
        <v/>
      </c>
      <c r="P146" s="94" t="str">
        <f>IFERROR(($F146*$J146*$O146*VLOOKUP($H146,Materialtabell[[#All],[Materialnamn]:[Bränsle 
MJ/ton, km]],25,0)*Materiallista!$AF$5)/1000,"")</f>
        <v/>
      </c>
      <c r="Q146" s="94" t="str">
        <f>IFERROR(($F146*$J146*$O146*VLOOKUP($H146,Materialtabell[[#All],[Materialnamn]:[Bränsle 
MJ/ton, km]],25,0)*Materiallista!$AF$6)/1000,"")</f>
        <v/>
      </c>
      <c r="R146" s="162"/>
      <c r="S146" s="3"/>
      <c r="T146" s="3"/>
    </row>
    <row r="147" spans="1:20" x14ac:dyDescent="0.25">
      <c r="A147" s="3"/>
      <c r="B147" s="185">
        <v>142</v>
      </c>
      <c r="C147" s="170"/>
      <c r="D147" s="103"/>
      <c r="E147" s="103"/>
      <c r="F147" s="78"/>
      <c r="G147" s="103"/>
      <c r="H147" s="102"/>
      <c r="I147" s="105" t="str">
        <f>IFERROR(VLOOKUP(KalkylSlut[[#This Row],[Klimatmaterial]],Materialtabell[[#All],[Materialnamn]:[Materialtyp]],2,0),"")</f>
        <v/>
      </c>
      <c r="J147" s="104" t="str">
        <f>IFERROR(IF(G147="kg",1,IF(G147="ton",1000,IF(G147=RIGHT(VLOOKUP(H147,Materialtabell[[#All],[Materialnamn]:[Enhet]],4,0),LEN(VLOOKUP(H147,Materialtabell[[#All],[Materialnamn]:[Enhet]],4,0))-3),VLOOKUP(H147,Materialtabell[[#All],[Materialnamn]:[Enhet]],3,0),"Enhetsfel"))),"")</f>
        <v/>
      </c>
      <c r="K147" s="105" t="str">
        <f>IFERROR(IF(G147="kg","kg/kg",IF(G147="ton","kg/ton",IF(RIGHT(VLOOKUP(H147,Materialtabell[[#All],[Materialnamn]:[Enhet]],4,0),LEN(VLOOKUP(H147,Materialtabell[[#All],[Materialnamn]:[Enhet]],4,0))-3)=G147,VLOOKUP(H147,Materialtabell[[#All],[Materialnamn]:[Enhet]],4,0),"kg/ton/"&amp;RIGHT(VLOOKUP(H147,Materialtabell[[#All],[Materialnamn]:[Enhet]],4,0),LEN(VLOOKUP(H147,Materialtabell[[#All],[Materialnamn]:[Enhet]],4,0))-3)))),"")</f>
        <v/>
      </c>
      <c r="L147" s="104" t="str">
        <f>IFERROR(KalkylSlut[[#This Row],[Mängd]]*KalkylSlut[[#This Row],[Omräknings-faktor]],"")</f>
        <v/>
      </c>
      <c r="M147" s="104" t="str">
        <f>IFERROR(F147*J147*VLOOKUP(H147,Materialtabell[[#All],[Materialnamn]:[Emissionsfaktor 2019
kg CO2e/kg]],5,0),"")</f>
        <v/>
      </c>
      <c r="N147" s="104" t="str">
        <f>IFERROR(F147*J147*VLOOKUP(H147,Materialtabell[[#All],[Materialnamn]:[Emissionsfaktor 2025
kg CO2e/kg]],6,0),"")</f>
        <v/>
      </c>
      <c r="O147" s="78" t="str">
        <f>IFERROR(VLOOKUP(H147,Materialtabell[[#All],[Materialnamn]:[Kommentar A4]],24,0),"")</f>
        <v/>
      </c>
      <c r="P147" s="94" t="str">
        <f>IFERROR(($F147*$J147*$O147*VLOOKUP($H147,Materialtabell[[#All],[Materialnamn]:[Bränsle 
MJ/ton, km]],25,0)*Materiallista!$AF$5)/1000,"")</f>
        <v/>
      </c>
      <c r="Q147" s="94" t="str">
        <f>IFERROR(($F147*$J147*$O147*VLOOKUP($H147,Materialtabell[[#All],[Materialnamn]:[Bränsle 
MJ/ton, km]],25,0)*Materiallista!$AF$6)/1000,"")</f>
        <v/>
      </c>
      <c r="R147" s="162"/>
      <c r="S147" s="3"/>
      <c r="T147" s="3"/>
    </row>
    <row r="148" spans="1:20" x14ac:dyDescent="0.25">
      <c r="A148" s="3"/>
      <c r="B148" s="185">
        <v>143</v>
      </c>
      <c r="C148" s="170"/>
      <c r="D148" s="103"/>
      <c r="E148" s="103"/>
      <c r="F148" s="78"/>
      <c r="G148" s="103"/>
      <c r="H148" s="102"/>
      <c r="I148" s="105" t="str">
        <f>IFERROR(VLOOKUP(KalkylSlut[[#This Row],[Klimatmaterial]],Materialtabell[[#All],[Materialnamn]:[Materialtyp]],2,0),"")</f>
        <v/>
      </c>
      <c r="J148" s="104" t="str">
        <f>IFERROR(IF(G148="kg",1,IF(G148="ton",1000,IF(G148=RIGHT(VLOOKUP(H148,Materialtabell[[#All],[Materialnamn]:[Enhet]],4,0),LEN(VLOOKUP(H148,Materialtabell[[#All],[Materialnamn]:[Enhet]],4,0))-3),VLOOKUP(H148,Materialtabell[[#All],[Materialnamn]:[Enhet]],3,0),"Enhetsfel"))),"")</f>
        <v/>
      </c>
      <c r="K148" s="105" t="str">
        <f>IFERROR(IF(G148="kg","kg/kg",IF(G148="ton","kg/ton",IF(RIGHT(VLOOKUP(H148,Materialtabell[[#All],[Materialnamn]:[Enhet]],4,0),LEN(VLOOKUP(H148,Materialtabell[[#All],[Materialnamn]:[Enhet]],4,0))-3)=G148,VLOOKUP(H148,Materialtabell[[#All],[Materialnamn]:[Enhet]],4,0),"kg/ton/"&amp;RIGHT(VLOOKUP(H148,Materialtabell[[#All],[Materialnamn]:[Enhet]],4,0),LEN(VLOOKUP(H148,Materialtabell[[#All],[Materialnamn]:[Enhet]],4,0))-3)))),"")</f>
        <v/>
      </c>
      <c r="L148" s="104" t="str">
        <f>IFERROR(KalkylSlut[[#This Row],[Mängd]]*KalkylSlut[[#This Row],[Omräknings-faktor]],"")</f>
        <v/>
      </c>
      <c r="M148" s="104" t="str">
        <f>IFERROR(F148*J148*VLOOKUP(H148,Materialtabell[[#All],[Materialnamn]:[Emissionsfaktor 2019
kg CO2e/kg]],5,0),"")</f>
        <v/>
      </c>
      <c r="N148" s="104" t="str">
        <f>IFERROR(F148*J148*VLOOKUP(H148,Materialtabell[[#All],[Materialnamn]:[Emissionsfaktor 2025
kg CO2e/kg]],6,0),"")</f>
        <v/>
      </c>
      <c r="O148" s="78" t="str">
        <f>IFERROR(VLOOKUP(H148,Materialtabell[[#All],[Materialnamn]:[Kommentar A4]],24,0),"")</f>
        <v/>
      </c>
      <c r="P148" s="94" t="str">
        <f>IFERROR(($F148*$J148*$O148*VLOOKUP($H148,Materialtabell[[#All],[Materialnamn]:[Bränsle 
MJ/ton, km]],25,0)*Materiallista!$AF$5)/1000,"")</f>
        <v/>
      </c>
      <c r="Q148" s="94" t="str">
        <f>IFERROR(($F148*$J148*$O148*VLOOKUP($H148,Materialtabell[[#All],[Materialnamn]:[Bränsle 
MJ/ton, km]],25,0)*Materiallista!$AF$6)/1000,"")</f>
        <v/>
      </c>
      <c r="R148" s="162"/>
      <c r="S148" s="3"/>
      <c r="T148" s="3"/>
    </row>
    <row r="149" spans="1:20" x14ac:dyDescent="0.25">
      <c r="A149" s="3"/>
      <c r="B149" s="185">
        <v>144</v>
      </c>
      <c r="C149" s="170"/>
      <c r="D149" s="103"/>
      <c r="E149" s="103"/>
      <c r="F149" s="78"/>
      <c r="G149" s="103"/>
      <c r="H149" s="102"/>
      <c r="I149" s="105" t="str">
        <f>IFERROR(VLOOKUP(KalkylSlut[[#This Row],[Klimatmaterial]],Materialtabell[[#All],[Materialnamn]:[Materialtyp]],2,0),"")</f>
        <v/>
      </c>
      <c r="J149" s="104" t="str">
        <f>IFERROR(IF(G149="kg",1,IF(G149="ton",1000,IF(G149=RIGHT(VLOOKUP(H149,Materialtabell[[#All],[Materialnamn]:[Enhet]],4,0),LEN(VLOOKUP(H149,Materialtabell[[#All],[Materialnamn]:[Enhet]],4,0))-3),VLOOKUP(H149,Materialtabell[[#All],[Materialnamn]:[Enhet]],3,0),"Enhetsfel"))),"")</f>
        <v/>
      </c>
      <c r="K149" s="105" t="str">
        <f>IFERROR(IF(G149="kg","kg/kg",IF(G149="ton","kg/ton",IF(RIGHT(VLOOKUP(H149,Materialtabell[[#All],[Materialnamn]:[Enhet]],4,0),LEN(VLOOKUP(H149,Materialtabell[[#All],[Materialnamn]:[Enhet]],4,0))-3)=G149,VLOOKUP(H149,Materialtabell[[#All],[Materialnamn]:[Enhet]],4,0),"kg/ton/"&amp;RIGHT(VLOOKUP(H149,Materialtabell[[#All],[Materialnamn]:[Enhet]],4,0),LEN(VLOOKUP(H149,Materialtabell[[#All],[Materialnamn]:[Enhet]],4,0))-3)))),"")</f>
        <v/>
      </c>
      <c r="L149" s="104" t="str">
        <f>IFERROR(KalkylSlut[[#This Row],[Mängd]]*KalkylSlut[[#This Row],[Omräknings-faktor]],"")</f>
        <v/>
      </c>
      <c r="M149" s="104" t="str">
        <f>IFERROR(F149*J149*VLOOKUP(H149,Materialtabell[[#All],[Materialnamn]:[Emissionsfaktor 2019
kg CO2e/kg]],5,0),"")</f>
        <v/>
      </c>
      <c r="N149" s="104" t="str">
        <f>IFERROR(F149*J149*VLOOKUP(H149,Materialtabell[[#All],[Materialnamn]:[Emissionsfaktor 2025
kg CO2e/kg]],6,0),"")</f>
        <v/>
      </c>
      <c r="O149" s="78" t="str">
        <f>IFERROR(VLOOKUP(H149,Materialtabell[[#All],[Materialnamn]:[Kommentar A4]],24,0),"")</f>
        <v/>
      </c>
      <c r="P149" s="94" t="str">
        <f>IFERROR(($F149*$J149*$O149*VLOOKUP($H149,Materialtabell[[#All],[Materialnamn]:[Bränsle 
MJ/ton, km]],25,0)*Materiallista!$AF$5)/1000,"")</f>
        <v/>
      </c>
      <c r="Q149" s="94" t="str">
        <f>IFERROR(($F149*$J149*$O149*VLOOKUP($H149,Materialtabell[[#All],[Materialnamn]:[Bränsle 
MJ/ton, km]],25,0)*Materiallista!$AF$6)/1000,"")</f>
        <v/>
      </c>
      <c r="R149" s="162"/>
      <c r="S149" s="3"/>
      <c r="T149" s="3"/>
    </row>
    <row r="150" spans="1:20" x14ac:dyDescent="0.25">
      <c r="A150" s="3"/>
      <c r="B150" s="185">
        <v>145</v>
      </c>
      <c r="C150" s="170"/>
      <c r="D150" s="103"/>
      <c r="E150" s="103"/>
      <c r="F150" s="78"/>
      <c r="G150" s="103"/>
      <c r="H150" s="102"/>
      <c r="I150" s="105" t="str">
        <f>IFERROR(VLOOKUP(KalkylSlut[[#This Row],[Klimatmaterial]],Materialtabell[[#All],[Materialnamn]:[Materialtyp]],2,0),"")</f>
        <v/>
      </c>
      <c r="J150" s="104" t="str">
        <f>IFERROR(IF(G150="kg",1,IF(G150="ton",1000,IF(G150=RIGHT(VLOOKUP(H150,Materialtabell[[#All],[Materialnamn]:[Enhet]],4,0),LEN(VLOOKUP(H150,Materialtabell[[#All],[Materialnamn]:[Enhet]],4,0))-3),VLOOKUP(H150,Materialtabell[[#All],[Materialnamn]:[Enhet]],3,0),"Enhetsfel"))),"")</f>
        <v/>
      </c>
      <c r="K150" s="105" t="str">
        <f>IFERROR(IF(G150="kg","kg/kg",IF(G150="ton","kg/ton",IF(RIGHT(VLOOKUP(H150,Materialtabell[[#All],[Materialnamn]:[Enhet]],4,0),LEN(VLOOKUP(H150,Materialtabell[[#All],[Materialnamn]:[Enhet]],4,0))-3)=G150,VLOOKUP(H150,Materialtabell[[#All],[Materialnamn]:[Enhet]],4,0),"kg/ton/"&amp;RIGHT(VLOOKUP(H150,Materialtabell[[#All],[Materialnamn]:[Enhet]],4,0),LEN(VLOOKUP(H150,Materialtabell[[#All],[Materialnamn]:[Enhet]],4,0))-3)))),"")</f>
        <v/>
      </c>
      <c r="L150" s="104" t="str">
        <f>IFERROR(KalkylSlut[[#This Row],[Mängd]]*KalkylSlut[[#This Row],[Omräknings-faktor]],"")</f>
        <v/>
      </c>
      <c r="M150" s="104" t="str">
        <f>IFERROR(F150*J150*VLOOKUP(H150,Materialtabell[[#All],[Materialnamn]:[Emissionsfaktor 2019
kg CO2e/kg]],5,0),"")</f>
        <v/>
      </c>
      <c r="N150" s="104" t="str">
        <f>IFERROR(F150*J150*VLOOKUP(H150,Materialtabell[[#All],[Materialnamn]:[Emissionsfaktor 2025
kg CO2e/kg]],6,0),"")</f>
        <v/>
      </c>
      <c r="O150" s="78" t="str">
        <f>IFERROR(VLOOKUP(H150,Materialtabell[[#All],[Materialnamn]:[Kommentar A4]],24,0),"")</f>
        <v/>
      </c>
      <c r="P150" s="94" t="str">
        <f>IFERROR(($F150*$J150*$O150*VLOOKUP($H150,Materialtabell[[#All],[Materialnamn]:[Bränsle 
MJ/ton, km]],25,0)*Materiallista!$AF$5)/1000,"")</f>
        <v/>
      </c>
      <c r="Q150" s="94" t="str">
        <f>IFERROR(($F150*$J150*$O150*VLOOKUP($H150,Materialtabell[[#All],[Materialnamn]:[Bränsle 
MJ/ton, km]],25,0)*Materiallista!$AF$6)/1000,"")</f>
        <v/>
      </c>
      <c r="R150" s="162"/>
      <c r="S150" s="3"/>
      <c r="T150" s="3"/>
    </row>
    <row r="151" spans="1:20" x14ac:dyDescent="0.25">
      <c r="A151" s="3"/>
      <c r="B151" s="185">
        <v>146</v>
      </c>
      <c r="C151" s="170"/>
      <c r="D151" s="103"/>
      <c r="E151" s="103"/>
      <c r="F151" s="78"/>
      <c r="G151" s="103"/>
      <c r="H151" s="102"/>
      <c r="I151" s="105" t="str">
        <f>IFERROR(VLOOKUP(KalkylSlut[[#This Row],[Klimatmaterial]],Materialtabell[[#All],[Materialnamn]:[Materialtyp]],2,0),"")</f>
        <v/>
      </c>
      <c r="J151" s="104" t="str">
        <f>IFERROR(IF(G151="kg",1,IF(G151="ton",1000,IF(G151=RIGHT(VLOOKUP(H151,Materialtabell[[#All],[Materialnamn]:[Enhet]],4,0),LEN(VLOOKUP(H151,Materialtabell[[#All],[Materialnamn]:[Enhet]],4,0))-3),VLOOKUP(H151,Materialtabell[[#All],[Materialnamn]:[Enhet]],3,0),"Enhetsfel"))),"")</f>
        <v/>
      </c>
      <c r="K151" s="105" t="str">
        <f>IFERROR(IF(G151="kg","kg/kg",IF(G151="ton","kg/ton",IF(RIGHT(VLOOKUP(H151,Materialtabell[[#All],[Materialnamn]:[Enhet]],4,0),LEN(VLOOKUP(H151,Materialtabell[[#All],[Materialnamn]:[Enhet]],4,0))-3)=G151,VLOOKUP(H151,Materialtabell[[#All],[Materialnamn]:[Enhet]],4,0),"kg/ton/"&amp;RIGHT(VLOOKUP(H151,Materialtabell[[#All],[Materialnamn]:[Enhet]],4,0),LEN(VLOOKUP(H151,Materialtabell[[#All],[Materialnamn]:[Enhet]],4,0))-3)))),"")</f>
        <v/>
      </c>
      <c r="L151" s="104" t="str">
        <f>IFERROR(KalkylSlut[[#This Row],[Mängd]]*KalkylSlut[[#This Row],[Omräknings-faktor]],"")</f>
        <v/>
      </c>
      <c r="M151" s="104" t="str">
        <f>IFERROR(F151*J151*VLOOKUP(H151,Materialtabell[[#All],[Materialnamn]:[Emissionsfaktor 2019
kg CO2e/kg]],5,0),"")</f>
        <v/>
      </c>
      <c r="N151" s="104" t="str">
        <f>IFERROR(F151*J151*VLOOKUP(H151,Materialtabell[[#All],[Materialnamn]:[Emissionsfaktor 2025
kg CO2e/kg]],6,0),"")</f>
        <v/>
      </c>
      <c r="O151" s="78" t="str">
        <f>IFERROR(VLOOKUP(H151,Materialtabell[[#All],[Materialnamn]:[Kommentar A4]],24,0),"")</f>
        <v/>
      </c>
      <c r="P151" s="94" t="str">
        <f>IFERROR(($F151*$J151*$O151*VLOOKUP($H151,Materialtabell[[#All],[Materialnamn]:[Bränsle 
MJ/ton, km]],25,0)*Materiallista!$AF$5)/1000,"")</f>
        <v/>
      </c>
      <c r="Q151" s="94" t="str">
        <f>IFERROR(($F151*$J151*$O151*VLOOKUP($H151,Materialtabell[[#All],[Materialnamn]:[Bränsle 
MJ/ton, km]],25,0)*Materiallista!$AF$6)/1000,"")</f>
        <v/>
      </c>
      <c r="R151" s="162"/>
      <c r="S151" s="3"/>
      <c r="T151" s="3"/>
    </row>
    <row r="152" spans="1:20" x14ac:dyDescent="0.25">
      <c r="A152" s="3"/>
      <c r="B152" s="185">
        <v>147</v>
      </c>
      <c r="C152" s="170"/>
      <c r="D152" s="103"/>
      <c r="E152" s="103"/>
      <c r="F152" s="78"/>
      <c r="G152" s="103"/>
      <c r="H152" s="102"/>
      <c r="I152" s="105" t="str">
        <f>IFERROR(VLOOKUP(KalkylSlut[[#This Row],[Klimatmaterial]],Materialtabell[[#All],[Materialnamn]:[Materialtyp]],2,0),"")</f>
        <v/>
      </c>
      <c r="J152" s="104" t="str">
        <f>IFERROR(IF(G152="kg",1,IF(G152="ton",1000,IF(G152=RIGHT(VLOOKUP(H152,Materialtabell[[#All],[Materialnamn]:[Enhet]],4,0),LEN(VLOOKUP(H152,Materialtabell[[#All],[Materialnamn]:[Enhet]],4,0))-3),VLOOKUP(H152,Materialtabell[[#All],[Materialnamn]:[Enhet]],3,0),"Enhetsfel"))),"")</f>
        <v/>
      </c>
      <c r="K152" s="105" t="str">
        <f>IFERROR(IF(G152="kg","kg/kg",IF(G152="ton","kg/ton",IF(RIGHT(VLOOKUP(H152,Materialtabell[[#All],[Materialnamn]:[Enhet]],4,0),LEN(VLOOKUP(H152,Materialtabell[[#All],[Materialnamn]:[Enhet]],4,0))-3)=G152,VLOOKUP(H152,Materialtabell[[#All],[Materialnamn]:[Enhet]],4,0),"kg/ton/"&amp;RIGHT(VLOOKUP(H152,Materialtabell[[#All],[Materialnamn]:[Enhet]],4,0),LEN(VLOOKUP(H152,Materialtabell[[#All],[Materialnamn]:[Enhet]],4,0))-3)))),"")</f>
        <v/>
      </c>
      <c r="L152" s="104" t="str">
        <f>IFERROR(KalkylSlut[[#This Row],[Mängd]]*KalkylSlut[[#This Row],[Omräknings-faktor]],"")</f>
        <v/>
      </c>
      <c r="M152" s="104" t="str">
        <f>IFERROR(F152*J152*VLOOKUP(H152,Materialtabell[[#All],[Materialnamn]:[Emissionsfaktor 2019
kg CO2e/kg]],5,0),"")</f>
        <v/>
      </c>
      <c r="N152" s="104" t="str">
        <f>IFERROR(F152*J152*VLOOKUP(H152,Materialtabell[[#All],[Materialnamn]:[Emissionsfaktor 2025
kg CO2e/kg]],6,0),"")</f>
        <v/>
      </c>
      <c r="O152" s="78" t="str">
        <f>IFERROR(VLOOKUP(H152,Materialtabell[[#All],[Materialnamn]:[Kommentar A4]],24,0),"")</f>
        <v/>
      </c>
      <c r="P152" s="94" t="str">
        <f>IFERROR(($F152*$J152*$O152*VLOOKUP($H152,Materialtabell[[#All],[Materialnamn]:[Bränsle 
MJ/ton, km]],25,0)*Materiallista!$AF$5)/1000,"")</f>
        <v/>
      </c>
      <c r="Q152" s="94" t="str">
        <f>IFERROR(($F152*$J152*$O152*VLOOKUP($H152,Materialtabell[[#All],[Materialnamn]:[Bränsle 
MJ/ton, km]],25,0)*Materiallista!$AF$6)/1000,"")</f>
        <v/>
      </c>
      <c r="R152" s="162"/>
      <c r="S152" s="3"/>
      <c r="T152" s="3"/>
    </row>
    <row r="153" spans="1:20" x14ac:dyDescent="0.25">
      <c r="A153" s="3"/>
      <c r="B153" s="185">
        <v>148</v>
      </c>
      <c r="C153" s="170"/>
      <c r="D153" s="103"/>
      <c r="E153" s="103"/>
      <c r="F153" s="78"/>
      <c r="G153" s="103"/>
      <c r="H153" s="102"/>
      <c r="I153" s="105" t="str">
        <f>IFERROR(VLOOKUP(KalkylSlut[[#This Row],[Klimatmaterial]],Materialtabell[[#All],[Materialnamn]:[Materialtyp]],2,0),"")</f>
        <v/>
      </c>
      <c r="J153" s="104" t="str">
        <f>IFERROR(IF(G153="kg",1,IF(G153="ton",1000,IF(G153=RIGHT(VLOOKUP(H153,Materialtabell[[#All],[Materialnamn]:[Enhet]],4,0),LEN(VLOOKUP(H153,Materialtabell[[#All],[Materialnamn]:[Enhet]],4,0))-3),VLOOKUP(H153,Materialtabell[[#All],[Materialnamn]:[Enhet]],3,0),"Enhetsfel"))),"")</f>
        <v/>
      </c>
      <c r="K153" s="105" t="str">
        <f>IFERROR(IF(G153="kg","kg/kg",IF(G153="ton","kg/ton",IF(RIGHT(VLOOKUP(H153,Materialtabell[[#All],[Materialnamn]:[Enhet]],4,0),LEN(VLOOKUP(H153,Materialtabell[[#All],[Materialnamn]:[Enhet]],4,0))-3)=G153,VLOOKUP(H153,Materialtabell[[#All],[Materialnamn]:[Enhet]],4,0),"kg/ton/"&amp;RIGHT(VLOOKUP(H153,Materialtabell[[#All],[Materialnamn]:[Enhet]],4,0),LEN(VLOOKUP(H153,Materialtabell[[#All],[Materialnamn]:[Enhet]],4,0))-3)))),"")</f>
        <v/>
      </c>
      <c r="L153" s="104" t="str">
        <f>IFERROR(KalkylSlut[[#This Row],[Mängd]]*KalkylSlut[[#This Row],[Omräknings-faktor]],"")</f>
        <v/>
      </c>
      <c r="M153" s="104" t="str">
        <f>IFERROR(F153*J153*VLOOKUP(H153,Materialtabell[[#All],[Materialnamn]:[Emissionsfaktor 2019
kg CO2e/kg]],5,0),"")</f>
        <v/>
      </c>
      <c r="N153" s="104" t="str">
        <f>IFERROR(F153*J153*VLOOKUP(H153,Materialtabell[[#All],[Materialnamn]:[Emissionsfaktor 2025
kg CO2e/kg]],6,0),"")</f>
        <v/>
      </c>
      <c r="O153" s="78" t="str">
        <f>IFERROR(VLOOKUP(H153,Materialtabell[[#All],[Materialnamn]:[Kommentar A4]],24,0),"")</f>
        <v/>
      </c>
      <c r="P153" s="94" t="str">
        <f>IFERROR(($F153*$J153*$O153*VLOOKUP($H153,Materialtabell[[#All],[Materialnamn]:[Bränsle 
MJ/ton, km]],25,0)*Materiallista!$AF$5)/1000,"")</f>
        <v/>
      </c>
      <c r="Q153" s="94" t="str">
        <f>IFERROR(($F153*$J153*$O153*VLOOKUP($H153,Materialtabell[[#All],[Materialnamn]:[Bränsle 
MJ/ton, km]],25,0)*Materiallista!$AF$6)/1000,"")</f>
        <v/>
      </c>
      <c r="R153" s="162"/>
      <c r="S153" s="3"/>
      <c r="T153" s="3"/>
    </row>
    <row r="154" spans="1:20" x14ac:dyDescent="0.25">
      <c r="A154" s="3"/>
      <c r="B154" s="185">
        <v>149</v>
      </c>
      <c r="C154" s="170"/>
      <c r="D154" s="103"/>
      <c r="E154" s="103"/>
      <c r="F154" s="78"/>
      <c r="G154" s="103"/>
      <c r="H154" s="102"/>
      <c r="I154" s="105" t="str">
        <f>IFERROR(VLOOKUP(KalkylSlut[[#This Row],[Klimatmaterial]],Materialtabell[[#All],[Materialnamn]:[Materialtyp]],2,0),"")</f>
        <v/>
      </c>
      <c r="J154" s="104" t="str">
        <f>IFERROR(IF(G154="kg",1,IF(G154="ton",1000,IF(G154=RIGHT(VLOOKUP(H154,Materialtabell[[#All],[Materialnamn]:[Enhet]],4,0),LEN(VLOOKUP(H154,Materialtabell[[#All],[Materialnamn]:[Enhet]],4,0))-3),VLOOKUP(H154,Materialtabell[[#All],[Materialnamn]:[Enhet]],3,0),"Enhetsfel"))),"")</f>
        <v/>
      </c>
      <c r="K154" s="105" t="str">
        <f>IFERROR(IF(G154="kg","kg/kg",IF(G154="ton","kg/ton",IF(RIGHT(VLOOKUP(H154,Materialtabell[[#All],[Materialnamn]:[Enhet]],4,0),LEN(VLOOKUP(H154,Materialtabell[[#All],[Materialnamn]:[Enhet]],4,0))-3)=G154,VLOOKUP(H154,Materialtabell[[#All],[Materialnamn]:[Enhet]],4,0),"kg/ton/"&amp;RIGHT(VLOOKUP(H154,Materialtabell[[#All],[Materialnamn]:[Enhet]],4,0),LEN(VLOOKUP(H154,Materialtabell[[#All],[Materialnamn]:[Enhet]],4,0))-3)))),"")</f>
        <v/>
      </c>
      <c r="L154" s="104" t="str">
        <f>IFERROR(KalkylSlut[[#This Row],[Mängd]]*KalkylSlut[[#This Row],[Omräknings-faktor]],"")</f>
        <v/>
      </c>
      <c r="M154" s="104" t="str">
        <f>IFERROR(F154*J154*VLOOKUP(H154,Materialtabell[[#All],[Materialnamn]:[Emissionsfaktor 2019
kg CO2e/kg]],5,0),"")</f>
        <v/>
      </c>
      <c r="N154" s="104" t="str">
        <f>IFERROR(F154*J154*VLOOKUP(H154,Materialtabell[[#All],[Materialnamn]:[Emissionsfaktor 2025
kg CO2e/kg]],6,0),"")</f>
        <v/>
      </c>
      <c r="O154" s="78" t="str">
        <f>IFERROR(VLOOKUP(H154,Materialtabell[[#All],[Materialnamn]:[Kommentar A4]],24,0),"")</f>
        <v/>
      </c>
      <c r="P154" s="94" t="str">
        <f>IFERROR(($F154*$J154*$O154*VLOOKUP($H154,Materialtabell[[#All],[Materialnamn]:[Bränsle 
MJ/ton, km]],25,0)*Materiallista!$AF$5)/1000,"")</f>
        <v/>
      </c>
      <c r="Q154" s="94" t="str">
        <f>IFERROR(($F154*$J154*$O154*VLOOKUP($H154,Materialtabell[[#All],[Materialnamn]:[Bränsle 
MJ/ton, km]],25,0)*Materiallista!$AF$6)/1000,"")</f>
        <v/>
      </c>
      <c r="R154" s="162"/>
      <c r="S154" s="3"/>
      <c r="T154" s="3"/>
    </row>
    <row r="155" spans="1:20" x14ac:dyDescent="0.25">
      <c r="A155" s="3"/>
      <c r="B155" s="185">
        <v>150</v>
      </c>
      <c r="C155" s="170"/>
      <c r="D155" s="103"/>
      <c r="E155" s="103"/>
      <c r="F155" s="78"/>
      <c r="G155" s="103"/>
      <c r="H155" s="102"/>
      <c r="I155" s="105" t="str">
        <f>IFERROR(VLOOKUP(KalkylSlut[[#This Row],[Klimatmaterial]],Materialtabell[[#All],[Materialnamn]:[Materialtyp]],2,0),"")</f>
        <v/>
      </c>
      <c r="J155" s="104" t="str">
        <f>IFERROR(IF(G155="kg",1,IF(G155="ton",1000,IF(G155=RIGHT(VLOOKUP(H155,Materialtabell[[#All],[Materialnamn]:[Enhet]],4,0),LEN(VLOOKUP(H155,Materialtabell[[#All],[Materialnamn]:[Enhet]],4,0))-3),VLOOKUP(H155,Materialtabell[[#All],[Materialnamn]:[Enhet]],3,0),"Enhetsfel"))),"")</f>
        <v/>
      </c>
      <c r="K155" s="105" t="str">
        <f>IFERROR(IF(G155="kg","kg/kg",IF(G155="ton","kg/ton",IF(RIGHT(VLOOKUP(H155,Materialtabell[[#All],[Materialnamn]:[Enhet]],4,0),LEN(VLOOKUP(H155,Materialtabell[[#All],[Materialnamn]:[Enhet]],4,0))-3)=G155,VLOOKUP(H155,Materialtabell[[#All],[Materialnamn]:[Enhet]],4,0),"kg/ton/"&amp;RIGHT(VLOOKUP(H155,Materialtabell[[#All],[Materialnamn]:[Enhet]],4,0),LEN(VLOOKUP(H155,Materialtabell[[#All],[Materialnamn]:[Enhet]],4,0))-3)))),"")</f>
        <v/>
      </c>
      <c r="L155" s="104" t="str">
        <f>IFERROR(KalkylSlut[[#This Row],[Mängd]]*KalkylSlut[[#This Row],[Omräknings-faktor]],"")</f>
        <v/>
      </c>
      <c r="M155" s="104" t="str">
        <f>IFERROR(F155*J155*VLOOKUP(H155,Materialtabell[[#All],[Materialnamn]:[Emissionsfaktor 2019
kg CO2e/kg]],5,0),"")</f>
        <v/>
      </c>
      <c r="N155" s="104" t="str">
        <f>IFERROR(F155*J155*VLOOKUP(H155,Materialtabell[[#All],[Materialnamn]:[Emissionsfaktor 2025
kg CO2e/kg]],6,0),"")</f>
        <v/>
      </c>
      <c r="O155" s="78" t="str">
        <f>IFERROR(VLOOKUP(H155,Materialtabell[[#All],[Materialnamn]:[Kommentar A4]],24,0),"")</f>
        <v/>
      </c>
      <c r="P155" s="94" t="str">
        <f>IFERROR(($F155*$J155*$O155*VLOOKUP($H155,Materialtabell[[#All],[Materialnamn]:[Bränsle 
MJ/ton, km]],25,0)*Materiallista!$AF$5)/1000,"")</f>
        <v/>
      </c>
      <c r="Q155" s="94" t="str">
        <f>IFERROR(($F155*$J155*$O155*VLOOKUP($H155,Materialtabell[[#All],[Materialnamn]:[Bränsle 
MJ/ton, km]],25,0)*Materiallista!$AF$6)/1000,"")</f>
        <v/>
      </c>
      <c r="R155" s="162"/>
      <c r="S155" s="3"/>
      <c r="T155" s="3"/>
    </row>
    <row r="156" spans="1:20" x14ac:dyDescent="0.25">
      <c r="A156" s="3"/>
      <c r="B156" s="185">
        <v>151</v>
      </c>
      <c r="C156" s="170"/>
      <c r="D156" s="103"/>
      <c r="E156" s="103"/>
      <c r="F156" s="78"/>
      <c r="G156" s="103"/>
      <c r="H156" s="102"/>
      <c r="I156" s="105" t="str">
        <f>IFERROR(VLOOKUP(KalkylSlut[[#This Row],[Klimatmaterial]],Materialtabell[[#All],[Materialnamn]:[Materialtyp]],2,0),"")</f>
        <v/>
      </c>
      <c r="J156" s="104" t="str">
        <f>IFERROR(IF(G156="kg",1,IF(G156="ton",1000,IF(G156=RIGHT(VLOOKUP(H156,Materialtabell[[#All],[Materialnamn]:[Enhet]],4,0),LEN(VLOOKUP(H156,Materialtabell[[#All],[Materialnamn]:[Enhet]],4,0))-3),VLOOKUP(H156,Materialtabell[[#All],[Materialnamn]:[Enhet]],3,0),"Enhetsfel"))),"")</f>
        <v/>
      </c>
      <c r="K156" s="105" t="str">
        <f>IFERROR(IF(G156="kg","kg/kg",IF(G156="ton","kg/ton",IF(RIGHT(VLOOKUP(H156,Materialtabell[[#All],[Materialnamn]:[Enhet]],4,0),LEN(VLOOKUP(H156,Materialtabell[[#All],[Materialnamn]:[Enhet]],4,0))-3)=G156,VLOOKUP(H156,Materialtabell[[#All],[Materialnamn]:[Enhet]],4,0),"kg/ton/"&amp;RIGHT(VLOOKUP(H156,Materialtabell[[#All],[Materialnamn]:[Enhet]],4,0),LEN(VLOOKUP(H156,Materialtabell[[#All],[Materialnamn]:[Enhet]],4,0))-3)))),"")</f>
        <v/>
      </c>
      <c r="L156" s="104" t="str">
        <f>IFERROR(KalkylSlut[[#This Row],[Mängd]]*KalkylSlut[[#This Row],[Omräknings-faktor]],"")</f>
        <v/>
      </c>
      <c r="M156" s="104" t="str">
        <f>IFERROR(F156*J156*VLOOKUP(H156,Materialtabell[[#All],[Materialnamn]:[Emissionsfaktor 2019
kg CO2e/kg]],5,0),"")</f>
        <v/>
      </c>
      <c r="N156" s="104" t="str">
        <f>IFERROR(F156*J156*VLOOKUP(H156,Materialtabell[[#All],[Materialnamn]:[Emissionsfaktor 2025
kg CO2e/kg]],6,0),"")</f>
        <v/>
      </c>
      <c r="O156" s="78" t="str">
        <f>IFERROR(VLOOKUP(H156,Materialtabell[[#All],[Materialnamn]:[Kommentar A4]],24,0),"")</f>
        <v/>
      </c>
      <c r="P156" s="94" t="str">
        <f>IFERROR(($F156*$J156*$O156*VLOOKUP($H156,Materialtabell[[#All],[Materialnamn]:[Bränsle 
MJ/ton, km]],25,0)*Materiallista!$AF$5)/1000,"")</f>
        <v/>
      </c>
      <c r="Q156" s="94" t="str">
        <f>IFERROR(($F156*$J156*$O156*VLOOKUP($H156,Materialtabell[[#All],[Materialnamn]:[Bränsle 
MJ/ton, km]],25,0)*Materiallista!$AF$6)/1000,"")</f>
        <v/>
      </c>
      <c r="R156" s="162"/>
      <c r="S156" s="3"/>
      <c r="T156" s="3"/>
    </row>
    <row r="157" spans="1:20" x14ac:dyDescent="0.25">
      <c r="A157" s="3"/>
      <c r="B157" s="185">
        <v>152</v>
      </c>
      <c r="C157" s="170"/>
      <c r="D157" s="103"/>
      <c r="E157" s="103"/>
      <c r="F157" s="78"/>
      <c r="G157" s="103"/>
      <c r="H157" s="102"/>
      <c r="I157" s="105" t="str">
        <f>IFERROR(VLOOKUP(KalkylSlut[[#This Row],[Klimatmaterial]],Materialtabell[[#All],[Materialnamn]:[Materialtyp]],2,0),"")</f>
        <v/>
      </c>
      <c r="J157" s="104" t="str">
        <f>IFERROR(IF(G157="kg",1,IF(G157="ton",1000,IF(G157=RIGHT(VLOOKUP(H157,Materialtabell[[#All],[Materialnamn]:[Enhet]],4,0),LEN(VLOOKUP(H157,Materialtabell[[#All],[Materialnamn]:[Enhet]],4,0))-3),VLOOKUP(H157,Materialtabell[[#All],[Materialnamn]:[Enhet]],3,0),"Enhetsfel"))),"")</f>
        <v/>
      </c>
      <c r="K157" s="105" t="str">
        <f>IFERROR(IF(G157="kg","kg/kg",IF(G157="ton","kg/ton",IF(RIGHT(VLOOKUP(H157,Materialtabell[[#All],[Materialnamn]:[Enhet]],4,0),LEN(VLOOKUP(H157,Materialtabell[[#All],[Materialnamn]:[Enhet]],4,0))-3)=G157,VLOOKUP(H157,Materialtabell[[#All],[Materialnamn]:[Enhet]],4,0),"kg/ton/"&amp;RIGHT(VLOOKUP(H157,Materialtabell[[#All],[Materialnamn]:[Enhet]],4,0),LEN(VLOOKUP(H157,Materialtabell[[#All],[Materialnamn]:[Enhet]],4,0))-3)))),"")</f>
        <v/>
      </c>
      <c r="L157" s="104" t="str">
        <f>IFERROR(KalkylSlut[[#This Row],[Mängd]]*KalkylSlut[[#This Row],[Omräknings-faktor]],"")</f>
        <v/>
      </c>
      <c r="M157" s="104" t="str">
        <f>IFERROR(F157*J157*VLOOKUP(H157,Materialtabell[[#All],[Materialnamn]:[Emissionsfaktor 2019
kg CO2e/kg]],5,0),"")</f>
        <v/>
      </c>
      <c r="N157" s="104" t="str">
        <f>IFERROR(F157*J157*VLOOKUP(H157,Materialtabell[[#All],[Materialnamn]:[Emissionsfaktor 2025
kg CO2e/kg]],6,0),"")</f>
        <v/>
      </c>
      <c r="O157" s="78" t="str">
        <f>IFERROR(VLOOKUP(H157,Materialtabell[[#All],[Materialnamn]:[Kommentar A4]],24,0),"")</f>
        <v/>
      </c>
      <c r="P157" s="94" t="str">
        <f>IFERROR(($F157*$J157*$O157*VLOOKUP($H157,Materialtabell[[#All],[Materialnamn]:[Bränsle 
MJ/ton, km]],25,0)*Materiallista!$AF$5)/1000,"")</f>
        <v/>
      </c>
      <c r="Q157" s="94" t="str">
        <f>IFERROR(($F157*$J157*$O157*VLOOKUP($H157,Materialtabell[[#All],[Materialnamn]:[Bränsle 
MJ/ton, km]],25,0)*Materiallista!$AF$6)/1000,"")</f>
        <v/>
      </c>
      <c r="R157" s="162"/>
      <c r="S157" s="3"/>
      <c r="T157" s="3"/>
    </row>
    <row r="158" spans="1:20" x14ac:dyDescent="0.25">
      <c r="A158" s="3"/>
      <c r="B158" s="185">
        <v>153</v>
      </c>
      <c r="C158" s="170"/>
      <c r="D158" s="103"/>
      <c r="E158" s="103"/>
      <c r="F158" s="78"/>
      <c r="G158" s="103"/>
      <c r="H158" s="102"/>
      <c r="I158" s="105" t="str">
        <f>IFERROR(VLOOKUP(KalkylSlut[[#This Row],[Klimatmaterial]],Materialtabell[[#All],[Materialnamn]:[Materialtyp]],2,0),"")</f>
        <v/>
      </c>
      <c r="J158" s="104" t="str">
        <f>IFERROR(IF(G158="kg",1,IF(G158="ton",1000,IF(G158=RIGHT(VLOOKUP(H158,Materialtabell[[#All],[Materialnamn]:[Enhet]],4,0),LEN(VLOOKUP(H158,Materialtabell[[#All],[Materialnamn]:[Enhet]],4,0))-3),VLOOKUP(H158,Materialtabell[[#All],[Materialnamn]:[Enhet]],3,0),"Enhetsfel"))),"")</f>
        <v/>
      </c>
      <c r="K158" s="105" t="str">
        <f>IFERROR(IF(G158="kg","kg/kg",IF(G158="ton","kg/ton",IF(RIGHT(VLOOKUP(H158,Materialtabell[[#All],[Materialnamn]:[Enhet]],4,0),LEN(VLOOKUP(H158,Materialtabell[[#All],[Materialnamn]:[Enhet]],4,0))-3)=G158,VLOOKUP(H158,Materialtabell[[#All],[Materialnamn]:[Enhet]],4,0),"kg/ton/"&amp;RIGHT(VLOOKUP(H158,Materialtabell[[#All],[Materialnamn]:[Enhet]],4,0),LEN(VLOOKUP(H158,Materialtabell[[#All],[Materialnamn]:[Enhet]],4,0))-3)))),"")</f>
        <v/>
      </c>
      <c r="L158" s="104" t="str">
        <f>IFERROR(KalkylSlut[[#This Row],[Mängd]]*KalkylSlut[[#This Row],[Omräknings-faktor]],"")</f>
        <v/>
      </c>
      <c r="M158" s="104" t="str">
        <f>IFERROR(F158*J158*VLOOKUP(H158,Materialtabell[[#All],[Materialnamn]:[Emissionsfaktor 2019
kg CO2e/kg]],5,0),"")</f>
        <v/>
      </c>
      <c r="N158" s="104" t="str">
        <f>IFERROR(F158*J158*VLOOKUP(H158,Materialtabell[[#All],[Materialnamn]:[Emissionsfaktor 2025
kg CO2e/kg]],6,0),"")</f>
        <v/>
      </c>
      <c r="O158" s="78" t="str">
        <f>IFERROR(VLOOKUP(H158,Materialtabell[[#All],[Materialnamn]:[Kommentar A4]],24,0),"")</f>
        <v/>
      </c>
      <c r="P158" s="94" t="str">
        <f>IFERROR(($F158*$J158*$O158*VLOOKUP($H158,Materialtabell[[#All],[Materialnamn]:[Bränsle 
MJ/ton, km]],25,0)*Materiallista!$AF$5)/1000,"")</f>
        <v/>
      </c>
      <c r="Q158" s="94" t="str">
        <f>IFERROR(($F158*$J158*$O158*VLOOKUP($H158,Materialtabell[[#All],[Materialnamn]:[Bränsle 
MJ/ton, km]],25,0)*Materiallista!$AF$6)/1000,"")</f>
        <v/>
      </c>
      <c r="R158" s="162"/>
      <c r="S158" s="3"/>
      <c r="T158" s="3"/>
    </row>
    <row r="159" spans="1:20" x14ac:dyDescent="0.25">
      <c r="A159" s="3"/>
      <c r="B159" s="185">
        <v>154</v>
      </c>
      <c r="C159" s="170"/>
      <c r="D159" s="103"/>
      <c r="E159" s="103"/>
      <c r="F159" s="78"/>
      <c r="G159" s="103"/>
      <c r="H159" s="102"/>
      <c r="I159" s="105" t="str">
        <f>IFERROR(VLOOKUP(KalkylSlut[[#This Row],[Klimatmaterial]],Materialtabell[[#All],[Materialnamn]:[Materialtyp]],2,0),"")</f>
        <v/>
      </c>
      <c r="J159" s="104" t="str">
        <f>IFERROR(IF(G159="kg",1,IF(G159="ton",1000,IF(G159=RIGHT(VLOOKUP(H159,Materialtabell[[#All],[Materialnamn]:[Enhet]],4,0),LEN(VLOOKUP(H159,Materialtabell[[#All],[Materialnamn]:[Enhet]],4,0))-3),VLOOKUP(H159,Materialtabell[[#All],[Materialnamn]:[Enhet]],3,0),"Enhetsfel"))),"")</f>
        <v/>
      </c>
      <c r="K159" s="105" t="str">
        <f>IFERROR(IF(G159="kg","kg/kg",IF(G159="ton","kg/ton",IF(RIGHT(VLOOKUP(H159,Materialtabell[[#All],[Materialnamn]:[Enhet]],4,0),LEN(VLOOKUP(H159,Materialtabell[[#All],[Materialnamn]:[Enhet]],4,0))-3)=G159,VLOOKUP(H159,Materialtabell[[#All],[Materialnamn]:[Enhet]],4,0),"kg/ton/"&amp;RIGHT(VLOOKUP(H159,Materialtabell[[#All],[Materialnamn]:[Enhet]],4,0),LEN(VLOOKUP(H159,Materialtabell[[#All],[Materialnamn]:[Enhet]],4,0))-3)))),"")</f>
        <v/>
      </c>
      <c r="L159" s="104" t="str">
        <f>IFERROR(KalkylSlut[[#This Row],[Mängd]]*KalkylSlut[[#This Row],[Omräknings-faktor]],"")</f>
        <v/>
      </c>
      <c r="M159" s="104" t="str">
        <f>IFERROR(F159*J159*VLOOKUP(H159,Materialtabell[[#All],[Materialnamn]:[Emissionsfaktor 2019
kg CO2e/kg]],5,0),"")</f>
        <v/>
      </c>
      <c r="N159" s="104" t="str">
        <f>IFERROR(F159*J159*VLOOKUP(H159,Materialtabell[[#All],[Materialnamn]:[Emissionsfaktor 2025
kg CO2e/kg]],6,0),"")</f>
        <v/>
      </c>
      <c r="O159" s="78" t="str">
        <f>IFERROR(VLOOKUP(H159,Materialtabell[[#All],[Materialnamn]:[Kommentar A4]],24,0),"")</f>
        <v/>
      </c>
      <c r="P159" s="94" t="str">
        <f>IFERROR(($F159*$J159*$O159*VLOOKUP($H159,Materialtabell[[#All],[Materialnamn]:[Bränsle 
MJ/ton, km]],25,0)*Materiallista!$AF$5)/1000,"")</f>
        <v/>
      </c>
      <c r="Q159" s="94" t="str">
        <f>IFERROR(($F159*$J159*$O159*VLOOKUP($H159,Materialtabell[[#All],[Materialnamn]:[Bränsle 
MJ/ton, km]],25,0)*Materiallista!$AF$6)/1000,"")</f>
        <v/>
      </c>
      <c r="R159" s="162"/>
      <c r="S159" s="3"/>
      <c r="T159" s="3"/>
    </row>
    <row r="160" spans="1:20" x14ac:dyDescent="0.25">
      <c r="A160" s="3"/>
      <c r="B160" s="185">
        <v>155</v>
      </c>
      <c r="C160" s="170"/>
      <c r="D160" s="103"/>
      <c r="E160" s="103"/>
      <c r="F160" s="78"/>
      <c r="G160" s="103"/>
      <c r="H160" s="102"/>
      <c r="I160" s="105" t="str">
        <f>IFERROR(VLOOKUP(KalkylSlut[[#This Row],[Klimatmaterial]],Materialtabell[[#All],[Materialnamn]:[Materialtyp]],2,0),"")</f>
        <v/>
      </c>
      <c r="J160" s="104" t="str">
        <f>IFERROR(IF(G160="kg",1,IF(G160="ton",1000,IF(G160=RIGHT(VLOOKUP(H160,Materialtabell[[#All],[Materialnamn]:[Enhet]],4,0),LEN(VLOOKUP(H160,Materialtabell[[#All],[Materialnamn]:[Enhet]],4,0))-3),VLOOKUP(H160,Materialtabell[[#All],[Materialnamn]:[Enhet]],3,0),"Enhetsfel"))),"")</f>
        <v/>
      </c>
      <c r="K160" s="105" t="str">
        <f>IFERROR(IF(G160="kg","kg/kg",IF(G160="ton","kg/ton",IF(RIGHT(VLOOKUP(H160,Materialtabell[[#All],[Materialnamn]:[Enhet]],4,0),LEN(VLOOKUP(H160,Materialtabell[[#All],[Materialnamn]:[Enhet]],4,0))-3)=G160,VLOOKUP(H160,Materialtabell[[#All],[Materialnamn]:[Enhet]],4,0),"kg/ton/"&amp;RIGHT(VLOOKUP(H160,Materialtabell[[#All],[Materialnamn]:[Enhet]],4,0),LEN(VLOOKUP(H160,Materialtabell[[#All],[Materialnamn]:[Enhet]],4,0))-3)))),"")</f>
        <v/>
      </c>
      <c r="L160" s="104" t="str">
        <f>IFERROR(KalkylSlut[[#This Row],[Mängd]]*KalkylSlut[[#This Row],[Omräknings-faktor]],"")</f>
        <v/>
      </c>
      <c r="M160" s="104" t="str">
        <f>IFERROR(F160*J160*VLOOKUP(H160,Materialtabell[[#All],[Materialnamn]:[Emissionsfaktor 2019
kg CO2e/kg]],5,0),"")</f>
        <v/>
      </c>
      <c r="N160" s="104" t="str">
        <f>IFERROR(F160*J160*VLOOKUP(H160,Materialtabell[[#All],[Materialnamn]:[Emissionsfaktor 2025
kg CO2e/kg]],6,0),"")</f>
        <v/>
      </c>
      <c r="O160" s="78" t="str">
        <f>IFERROR(VLOOKUP(H160,Materialtabell[[#All],[Materialnamn]:[Kommentar A4]],24,0),"")</f>
        <v/>
      </c>
      <c r="P160" s="94" t="str">
        <f>IFERROR(($F160*$J160*$O160*VLOOKUP($H160,Materialtabell[[#All],[Materialnamn]:[Bränsle 
MJ/ton, km]],25,0)*Materiallista!$AF$5)/1000,"")</f>
        <v/>
      </c>
      <c r="Q160" s="94" t="str">
        <f>IFERROR(($F160*$J160*$O160*VLOOKUP($H160,Materialtabell[[#All],[Materialnamn]:[Bränsle 
MJ/ton, km]],25,0)*Materiallista!$AF$6)/1000,"")</f>
        <v/>
      </c>
      <c r="R160" s="162"/>
      <c r="S160" s="3"/>
      <c r="T160" s="3"/>
    </row>
    <row r="161" spans="1:20" x14ac:dyDescent="0.25">
      <c r="A161" s="3"/>
      <c r="B161" s="185">
        <v>156</v>
      </c>
      <c r="C161" s="170"/>
      <c r="D161" s="103"/>
      <c r="E161" s="103"/>
      <c r="F161" s="78"/>
      <c r="G161" s="103"/>
      <c r="H161" s="102"/>
      <c r="I161" s="105" t="str">
        <f>IFERROR(VLOOKUP(KalkylSlut[[#This Row],[Klimatmaterial]],Materialtabell[[#All],[Materialnamn]:[Materialtyp]],2,0),"")</f>
        <v/>
      </c>
      <c r="J161" s="104" t="str">
        <f>IFERROR(IF(G161="kg",1,IF(G161="ton",1000,IF(G161=RIGHT(VLOOKUP(H161,Materialtabell[[#All],[Materialnamn]:[Enhet]],4,0),LEN(VLOOKUP(H161,Materialtabell[[#All],[Materialnamn]:[Enhet]],4,0))-3),VLOOKUP(H161,Materialtabell[[#All],[Materialnamn]:[Enhet]],3,0),"Enhetsfel"))),"")</f>
        <v/>
      </c>
      <c r="K161" s="105" t="str">
        <f>IFERROR(IF(G161="kg","kg/kg",IF(G161="ton","kg/ton",IF(RIGHT(VLOOKUP(H161,Materialtabell[[#All],[Materialnamn]:[Enhet]],4,0),LEN(VLOOKUP(H161,Materialtabell[[#All],[Materialnamn]:[Enhet]],4,0))-3)=G161,VLOOKUP(H161,Materialtabell[[#All],[Materialnamn]:[Enhet]],4,0),"kg/ton/"&amp;RIGHT(VLOOKUP(H161,Materialtabell[[#All],[Materialnamn]:[Enhet]],4,0),LEN(VLOOKUP(H161,Materialtabell[[#All],[Materialnamn]:[Enhet]],4,0))-3)))),"")</f>
        <v/>
      </c>
      <c r="L161" s="104" t="str">
        <f>IFERROR(KalkylSlut[[#This Row],[Mängd]]*KalkylSlut[[#This Row],[Omräknings-faktor]],"")</f>
        <v/>
      </c>
      <c r="M161" s="104" t="str">
        <f>IFERROR(F161*J161*VLOOKUP(H161,Materialtabell[[#All],[Materialnamn]:[Emissionsfaktor 2019
kg CO2e/kg]],5,0),"")</f>
        <v/>
      </c>
      <c r="N161" s="104" t="str">
        <f>IFERROR(F161*J161*VLOOKUP(H161,Materialtabell[[#All],[Materialnamn]:[Emissionsfaktor 2025
kg CO2e/kg]],6,0),"")</f>
        <v/>
      </c>
      <c r="O161" s="78" t="str">
        <f>IFERROR(VLOOKUP(H161,Materialtabell[[#All],[Materialnamn]:[Kommentar A4]],24,0),"")</f>
        <v/>
      </c>
      <c r="P161" s="94" t="str">
        <f>IFERROR(($F161*$J161*$O161*VLOOKUP($H161,Materialtabell[[#All],[Materialnamn]:[Bränsle 
MJ/ton, km]],25,0)*Materiallista!$AF$5)/1000,"")</f>
        <v/>
      </c>
      <c r="Q161" s="94" t="str">
        <f>IFERROR(($F161*$J161*$O161*VLOOKUP($H161,Materialtabell[[#All],[Materialnamn]:[Bränsle 
MJ/ton, km]],25,0)*Materiallista!$AF$6)/1000,"")</f>
        <v/>
      </c>
      <c r="R161" s="162"/>
      <c r="S161" s="3"/>
      <c r="T161" s="3"/>
    </row>
    <row r="162" spans="1:20" x14ac:dyDescent="0.25">
      <c r="A162" s="3"/>
      <c r="B162" s="185">
        <v>157</v>
      </c>
      <c r="C162" s="170"/>
      <c r="D162" s="103"/>
      <c r="E162" s="103"/>
      <c r="F162" s="78"/>
      <c r="G162" s="103"/>
      <c r="H162" s="102"/>
      <c r="I162" s="105" t="str">
        <f>IFERROR(VLOOKUP(KalkylSlut[[#This Row],[Klimatmaterial]],Materialtabell[[#All],[Materialnamn]:[Materialtyp]],2,0),"")</f>
        <v/>
      </c>
      <c r="J162" s="104" t="str">
        <f>IFERROR(IF(G162="kg",1,IF(G162="ton",1000,IF(G162=RIGHT(VLOOKUP(H162,Materialtabell[[#All],[Materialnamn]:[Enhet]],4,0),LEN(VLOOKUP(H162,Materialtabell[[#All],[Materialnamn]:[Enhet]],4,0))-3),VLOOKUP(H162,Materialtabell[[#All],[Materialnamn]:[Enhet]],3,0),"Enhetsfel"))),"")</f>
        <v/>
      </c>
      <c r="K162" s="105" t="str">
        <f>IFERROR(IF(G162="kg","kg/kg",IF(G162="ton","kg/ton",IF(RIGHT(VLOOKUP(H162,Materialtabell[[#All],[Materialnamn]:[Enhet]],4,0),LEN(VLOOKUP(H162,Materialtabell[[#All],[Materialnamn]:[Enhet]],4,0))-3)=G162,VLOOKUP(H162,Materialtabell[[#All],[Materialnamn]:[Enhet]],4,0),"kg/ton/"&amp;RIGHT(VLOOKUP(H162,Materialtabell[[#All],[Materialnamn]:[Enhet]],4,0),LEN(VLOOKUP(H162,Materialtabell[[#All],[Materialnamn]:[Enhet]],4,0))-3)))),"")</f>
        <v/>
      </c>
      <c r="L162" s="104" t="str">
        <f>IFERROR(KalkylSlut[[#This Row],[Mängd]]*KalkylSlut[[#This Row],[Omräknings-faktor]],"")</f>
        <v/>
      </c>
      <c r="M162" s="104" t="str">
        <f>IFERROR(F162*J162*VLOOKUP(H162,Materialtabell[[#All],[Materialnamn]:[Emissionsfaktor 2019
kg CO2e/kg]],5,0),"")</f>
        <v/>
      </c>
      <c r="N162" s="104" t="str">
        <f>IFERROR(F162*J162*VLOOKUP(H162,Materialtabell[[#All],[Materialnamn]:[Emissionsfaktor 2025
kg CO2e/kg]],6,0),"")</f>
        <v/>
      </c>
      <c r="O162" s="78" t="str">
        <f>IFERROR(VLOOKUP(H162,Materialtabell[[#All],[Materialnamn]:[Kommentar A4]],24,0),"")</f>
        <v/>
      </c>
      <c r="P162" s="94" t="str">
        <f>IFERROR(($F162*$J162*$O162*VLOOKUP($H162,Materialtabell[[#All],[Materialnamn]:[Bränsle 
MJ/ton, km]],25,0)*Materiallista!$AF$5)/1000,"")</f>
        <v/>
      </c>
      <c r="Q162" s="94" t="str">
        <f>IFERROR(($F162*$J162*$O162*VLOOKUP($H162,Materialtabell[[#All],[Materialnamn]:[Bränsle 
MJ/ton, km]],25,0)*Materiallista!$AF$6)/1000,"")</f>
        <v/>
      </c>
      <c r="R162" s="162"/>
      <c r="S162" s="3"/>
      <c r="T162" s="3"/>
    </row>
    <row r="163" spans="1:20" x14ac:dyDescent="0.25">
      <c r="A163" s="3"/>
      <c r="B163" s="185">
        <v>158</v>
      </c>
      <c r="C163" s="170"/>
      <c r="D163" s="103"/>
      <c r="E163" s="103"/>
      <c r="F163" s="78"/>
      <c r="G163" s="103"/>
      <c r="H163" s="102"/>
      <c r="I163" s="105" t="str">
        <f>IFERROR(VLOOKUP(KalkylSlut[[#This Row],[Klimatmaterial]],Materialtabell[[#All],[Materialnamn]:[Materialtyp]],2,0),"")</f>
        <v/>
      </c>
      <c r="J163" s="104" t="str">
        <f>IFERROR(IF(G163="kg",1,IF(G163="ton",1000,IF(G163=RIGHT(VLOOKUP(H163,Materialtabell[[#All],[Materialnamn]:[Enhet]],4,0),LEN(VLOOKUP(H163,Materialtabell[[#All],[Materialnamn]:[Enhet]],4,0))-3),VLOOKUP(H163,Materialtabell[[#All],[Materialnamn]:[Enhet]],3,0),"Enhetsfel"))),"")</f>
        <v/>
      </c>
      <c r="K163" s="105" t="str">
        <f>IFERROR(IF(G163="kg","kg/kg",IF(G163="ton","kg/ton",IF(RIGHT(VLOOKUP(H163,Materialtabell[[#All],[Materialnamn]:[Enhet]],4,0),LEN(VLOOKUP(H163,Materialtabell[[#All],[Materialnamn]:[Enhet]],4,0))-3)=G163,VLOOKUP(H163,Materialtabell[[#All],[Materialnamn]:[Enhet]],4,0),"kg/ton/"&amp;RIGHT(VLOOKUP(H163,Materialtabell[[#All],[Materialnamn]:[Enhet]],4,0),LEN(VLOOKUP(H163,Materialtabell[[#All],[Materialnamn]:[Enhet]],4,0))-3)))),"")</f>
        <v/>
      </c>
      <c r="L163" s="104" t="str">
        <f>IFERROR(KalkylSlut[[#This Row],[Mängd]]*KalkylSlut[[#This Row],[Omräknings-faktor]],"")</f>
        <v/>
      </c>
      <c r="M163" s="104" t="str">
        <f>IFERROR(F163*J163*VLOOKUP(H163,Materialtabell[[#All],[Materialnamn]:[Emissionsfaktor 2019
kg CO2e/kg]],5,0),"")</f>
        <v/>
      </c>
      <c r="N163" s="104" t="str">
        <f>IFERROR(F163*J163*VLOOKUP(H163,Materialtabell[[#All],[Materialnamn]:[Emissionsfaktor 2025
kg CO2e/kg]],6,0),"")</f>
        <v/>
      </c>
      <c r="O163" s="78" t="str">
        <f>IFERROR(VLOOKUP(H163,Materialtabell[[#All],[Materialnamn]:[Kommentar A4]],24,0),"")</f>
        <v/>
      </c>
      <c r="P163" s="94" t="str">
        <f>IFERROR(($F163*$J163*$O163*VLOOKUP($H163,Materialtabell[[#All],[Materialnamn]:[Bränsle 
MJ/ton, km]],25,0)*Materiallista!$AF$5)/1000,"")</f>
        <v/>
      </c>
      <c r="Q163" s="94" t="str">
        <f>IFERROR(($F163*$J163*$O163*VLOOKUP($H163,Materialtabell[[#All],[Materialnamn]:[Bränsle 
MJ/ton, km]],25,0)*Materiallista!$AF$6)/1000,"")</f>
        <v/>
      </c>
      <c r="R163" s="162"/>
      <c r="S163" s="3"/>
      <c r="T163" s="3"/>
    </row>
    <row r="164" spans="1:20" x14ac:dyDescent="0.25">
      <c r="A164" s="3"/>
      <c r="B164" s="185">
        <v>159</v>
      </c>
      <c r="C164" s="170"/>
      <c r="D164" s="103"/>
      <c r="E164" s="103"/>
      <c r="F164" s="78"/>
      <c r="G164" s="103"/>
      <c r="H164" s="102"/>
      <c r="I164" s="105" t="str">
        <f>IFERROR(VLOOKUP(KalkylSlut[[#This Row],[Klimatmaterial]],Materialtabell[[#All],[Materialnamn]:[Materialtyp]],2,0),"")</f>
        <v/>
      </c>
      <c r="J164" s="104" t="str">
        <f>IFERROR(IF(G164="kg",1,IF(G164="ton",1000,IF(G164=RIGHT(VLOOKUP(H164,Materialtabell[[#All],[Materialnamn]:[Enhet]],4,0),LEN(VLOOKUP(H164,Materialtabell[[#All],[Materialnamn]:[Enhet]],4,0))-3),VLOOKUP(H164,Materialtabell[[#All],[Materialnamn]:[Enhet]],3,0),"Enhetsfel"))),"")</f>
        <v/>
      </c>
      <c r="K164" s="105" t="str">
        <f>IFERROR(IF(G164="kg","kg/kg",IF(G164="ton","kg/ton",IF(RIGHT(VLOOKUP(H164,Materialtabell[[#All],[Materialnamn]:[Enhet]],4,0),LEN(VLOOKUP(H164,Materialtabell[[#All],[Materialnamn]:[Enhet]],4,0))-3)=G164,VLOOKUP(H164,Materialtabell[[#All],[Materialnamn]:[Enhet]],4,0),"kg/ton/"&amp;RIGHT(VLOOKUP(H164,Materialtabell[[#All],[Materialnamn]:[Enhet]],4,0),LEN(VLOOKUP(H164,Materialtabell[[#All],[Materialnamn]:[Enhet]],4,0))-3)))),"")</f>
        <v/>
      </c>
      <c r="L164" s="104" t="str">
        <f>IFERROR(KalkylSlut[[#This Row],[Mängd]]*KalkylSlut[[#This Row],[Omräknings-faktor]],"")</f>
        <v/>
      </c>
      <c r="M164" s="104" t="str">
        <f>IFERROR(F164*J164*VLOOKUP(H164,Materialtabell[[#All],[Materialnamn]:[Emissionsfaktor 2019
kg CO2e/kg]],5,0),"")</f>
        <v/>
      </c>
      <c r="N164" s="104" t="str">
        <f>IFERROR(F164*J164*VLOOKUP(H164,Materialtabell[[#All],[Materialnamn]:[Emissionsfaktor 2025
kg CO2e/kg]],6,0),"")</f>
        <v/>
      </c>
      <c r="O164" s="78" t="str">
        <f>IFERROR(VLOOKUP(H164,Materialtabell[[#All],[Materialnamn]:[Kommentar A4]],24,0),"")</f>
        <v/>
      </c>
      <c r="P164" s="94" t="str">
        <f>IFERROR(($F164*$J164*$O164*VLOOKUP($H164,Materialtabell[[#All],[Materialnamn]:[Bränsle 
MJ/ton, km]],25,0)*Materiallista!$AF$5)/1000,"")</f>
        <v/>
      </c>
      <c r="Q164" s="94" t="str">
        <f>IFERROR(($F164*$J164*$O164*VLOOKUP($H164,Materialtabell[[#All],[Materialnamn]:[Bränsle 
MJ/ton, km]],25,0)*Materiallista!$AF$6)/1000,"")</f>
        <v/>
      </c>
      <c r="R164" s="162"/>
      <c r="S164" s="3"/>
      <c r="T164" s="3"/>
    </row>
    <row r="165" spans="1:20" x14ac:dyDescent="0.25">
      <c r="A165" s="3"/>
      <c r="B165" s="185">
        <v>160</v>
      </c>
      <c r="C165" s="170"/>
      <c r="D165" s="103"/>
      <c r="E165" s="103"/>
      <c r="F165" s="78"/>
      <c r="G165" s="103"/>
      <c r="H165" s="102"/>
      <c r="I165" s="105" t="str">
        <f>IFERROR(VLOOKUP(KalkylSlut[[#This Row],[Klimatmaterial]],Materialtabell[[#All],[Materialnamn]:[Materialtyp]],2,0),"")</f>
        <v/>
      </c>
      <c r="J165" s="104" t="str">
        <f>IFERROR(IF(G165="kg",1,IF(G165="ton",1000,IF(G165=RIGHT(VLOOKUP(H165,Materialtabell[[#All],[Materialnamn]:[Enhet]],4,0),LEN(VLOOKUP(H165,Materialtabell[[#All],[Materialnamn]:[Enhet]],4,0))-3),VLOOKUP(H165,Materialtabell[[#All],[Materialnamn]:[Enhet]],3,0),"Enhetsfel"))),"")</f>
        <v/>
      </c>
      <c r="K165" s="105" t="str">
        <f>IFERROR(IF(G165="kg","kg/kg",IF(G165="ton","kg/ton",IF(RIGHT(VLOOKUP(H165,Materialtabell[[#All],[Materialnamn]:[Enhet]],4,0),LEN(VLOOKUP(H165,Materialtabell[[#All],[Materialnamn]:[Enhet]],4,0))-3)=G165,VLOOKUP(H165,Materialtabell[[#All],[Materialnamn]:[Enhet]],4,0),"kg/ton/"&amp;RIGHT(VLOOKUP(H165,Materialtabell[[#All],[Materialnamn]:[Enhet]],4,0),LEN(VLOOKUP(H165,Materialtabell[[#All],[Materialnamn]:[Enhet]],4,0))-3)))),"")</f>
        <v/>
      </c>
      <c r="L165" s="104" t="str">
        <f>IFERROR(KalkylSlut[[#This Row],[Mängd]]*KalkylSlut[[#This Row],[Omräknings-faktor]],"")</f>
        <v/>
      </c>
      <c r="M165" s="104" t="str">
        <f>IFERROR(F165*J165*VLOOKUP(H165,Materialtabell[[#All],[Materialnamn]:[Emissionsfaktor 2019
kg CO2e/kg]],5,0),"")</f>
        <v/>
      </c>
      <c r="N165" s="104" t="str">
        <f>IFERROR(F165*J165*VLOOKUP(H165,Materialtabell[[#All],[Materialnamn]:[Emissionsfaktor 2025
kg CO2e/kg]],6,0),"")</f>
        <v/>
      </c>
      <c r="O165" s="78" t="str">
        <f>IFERROR(VLOOKUP(H165,Materialtabell[[#All],[Materialnamn]:[Kommentar A4]],24,0),"")</f>
        <v/>
      </c>
      <c r="P165" s="94" t="str">
        <f>IFERROR(($F165*$J165*$O165*VLOOKUP($H165,Materialtabell[[#All],[Materialnamn]:[Bränsle 
MJ/ton, km]],25,0)*Materiallista!$AF$5)/1000,"")</f>
        <v/>
      </c>
      <c r="Q165" s="94" t="str">
        <f>IFERROR(($F165*$J165*$O165*VLOOKUP($H165,Materialtabell[[#All],[Materialnamn]:[Bränsle 
MJ/ton, km]],25,0)*Materiallista!$AF$6)/1000,"")</f>
        <v/>
      </c>
      <c r="R165" s="162"/>
      <c r="S165" s="3"/>
      <c r="T165" s="3"/>
    </row>
    <row r="166" spans="1:20" x14ac:dyDescent="0.25">
      <c r="A166" s="3"/>
      <c r="B166" s="185">
        <v>161</v>
      </c>
      <c r="C166" s="170"/>
      <c r="D166" s="103"/>
      <c r="E166" s="103"/>
      <c r="F166" s="78"/>
      <c r="G166" s="103"/>
      <c r="H166" s="102"/>
      <c r="I166" s="105" t="str">
        <f>IFERROR(VLOOKUP(KalkylSlut[[#This Row],[Klimatmaterial]],Materialtabell[[#All],[Materialnamn]:[Materialtyp]],2,0),"")</f>
        <v/>
      </c>
      <c r="J166" s="104" t="str">
        <f>IFERROR(IF(G166="kg",1,IF(G166="ton",1000,IF(G166=RIGHT(VLOOKUP(H166,Materialtabell[[#All],[Materialnamn]:[Enhet]],4,0),LEN(VLOOKUP(H166,Materialtabell[[#All],[Materialnamn]:[Enhet]],4,0))-3),VLOOKUP(H166,Materialtabell[[#All],[Materialnamn]:[Enhet]],3,0),"Enhetsfel"))),"")</f>
        <v/>
      </c>
      <c r="K166" s="105" t="str">
        <f>IFERROR(IF(G166="kg","kg/kg",IF(G166="ton","kg/ton",IF(RIGHT(VLOOKUP(H166,Materialtabell[[#All],[Materialnamn]:[Enhet]],4,0),LEN(VLOOKUP(H166,Materialtabell[[#All],[Materialnamn]:[Enhet]],4,0))-3)=G166,VLOOKUP(H166,Materialtabell[[#All],[Materialnamn]:[Enhet]],4,0),"kg/ton/"&amp;RIGHT(VLOOKUP(H166,Materialtabell[[#All],[Materialnamn]:[Enhet]],4,0),LEN(VLOOKUP(H166,Materialtabell[[#All],[Materialnamn]:[Enhet]],4,0))-3)))),"")</f>
        <v/>
      </c>
      <c r="L166" s="104" t="str">
        <f>IFERROR(KalkylSlut[[#This Row],[Mängd]]*KalkylSlut[[#This Row],[Omräknings-faktor]],"")</f>
        <v/>
      </c>
      <c r="M166" s="104" t="str">
        <f>IFERROR(F166*J166*VLOOKUP(H166,Materialtabell[[#All],[Materialnamn]:[Emissionsfaktor 2019
kg CO2e/kg]],5,0),"")</f>
        <v/>
      </c>
      <c r="N166" s="104" t="str">
        <f>IFERROR(F166*J166*VLOOKUP(H166,Materialtabell[[#All],[Materialnamn]:[Emissionsfaktor 2025
kg CO2e/kg]],6,0),"")</f>
        <v/>
      </c>
      <c r="O166" s="78" t="str">
        <f>IFERROR(VLOOKUP(H166,Materialtabell[[#All],[Materialnamn]:[Kommentar A4]],24,0),"")</f>
        <v/>
      </c>
      <c r="P166" s="94" t="str">
        <f>IFERROR(($F166*$J166*$O166*VLOOKUP($H166,Materialtabell[[#All],[Materialnamn]:[Bränsle 
MJ/ton, km]],25,0)*Materiallista!$AF$5)/1000,"")</f>
        <v/>
      </c>
      <c r="Q166" s="94" t="str">
        <f>IFERROR(($F166*$J166*$O166*VLOOKUP($H166,Materialtabell[[#All],[Materialnamn]:[Bränsle 
MJ/ton, km]],25,0)*Materiallista!$AF$6)/1000,"")</f>
        <v/>
      </c>
      <c r="R166" s="162"/>
      <c r="S166" s="3"/>
      <c r="T166" s="3"/>
    </row>
    <row r="167" spans="1:20" x14ac:dyDescent="0.25">
      <c r="A167" s="3"/>
      <c r="B167" s="185">
        <v>162</v>
      </c>
      <c r="C167" s="170"/>
      <c r="D167" s="103"/>
      <c r="E167" s="103"/>
      <c r="F167" s="78"/>
      <c r="G167" s="103"/>
      <c r="H167" s="102"/>
      <c r="I167" s="105" t="str">
        <f>IFERROR(VLOOKUP(KalkylSlut[[#This Row],[Klimatmaterial]],Materialtabell[[#All],[Materialnamn]:[Materialtyp]],2,0),"")</f>
        <v/>
      </c>
      <c r="J167" s="104" t="str">
        <f>IFERROR(IF(G167="kg",1,IF(G167="ton",1000,IF(G167=RIGHT(VLOOKUP(H167,Materialtabell[[#All],[Materialnamn]:[Enhet]],4,0),LEN(VLOOKUP(H167,Materialtabell[[#All],[Materialnamn]:[Enhet]],4,0))-3),VLOOKUP(H167,Materialtabell[[#All],[Materialnamn]:[Enhet]],3,0),"Enhetsfel"))),"")</f>
        <v/>
      </c>
      <c r="K167" s="105" t="str">
        <f>IFERROR(IF(G167="kg","kg/kg",IF(G167="ton","kg/ton",IF(RIGHT(VLOOKUP(H167,Materialtabell[[#All],[Materialnamn]:[Enhet]],4,0),LEN(VLOOKUP(H167,Materialtabell[[#All],[Materialnamn]:[Enhet]],4,0))-3)=G167,VLOOKUP(H167,Materialtabell[[#All],[Materialnamn]:[Enhet]],4,0),"kg/ton/"&amp;RIGHT(VLOOKUP(H167,Materialtabell[[#All],[Materialnamn]:[Enhet]],4,0),LEN(VLOOKUP(H167,Materialtabell[[#All],[Materialnamn]:[Enhet]],4,0))-3)))),"")</f>
        <v/>
      </c>
      <c r="L167" s="104" t="str">
        <f>IFERROR(KalkylSlut[[#This Row],[Mängd]]*KalkylSlut[[#This Row],[Omräknings-faktor]],"")</f>
        <v/>
      </c>
      <c r="M167" s="104" t="str">
        <f>IFERROR(F167*J167*VLOOKUP(H167,Materialtabell[[#All],[Materialnamn]:[Emissionsfaktor 2019
kg CO2e/kg]],5,0),"")</f>
        <v/>
      </c>
      <c r="N167" s="104" t="str">
        <f>IFERROR(F167*J167*VLOOKUP(H167,Materialtabell[[#All],[Materialnamn]:[Emissionsfaktor 2025
kg CO2e/kg]],6,0),"")</f>
        <v/>
      </c>
      <c r="O167" s="78" t="str">
        <f>IFERROR(VLOOKUP(H167,Materialtabell[[#All],[Materialnamn]:[Kommentar A4]],24,0),"")</f>
        <v/>
      </c>
      <c r="P167" s="94" t="str">
        <f>IFERROR(($F167*$J167*$O167*VLOOKUP($H167,Materialtabell[[#All],[Materialnamn]:[Bränsle 
MJ/ton, km]],25,0)*Materiallista!$AF$5)/1000,"")</f>
        <v/>
      </c>
      <c r="Q167" s="94" t="str">
        <f>IFERROR(($F167*$J167*$O167*VLOOKUP($H167,Materialtabell[[#All],[Materialnamn]:[Bränsle 
MJ/ton, km]],25,0)*Materiallista!$AF$6)/1000,"")</f>
        <v/>
      </c>
      <c r="R167" s="162"/>
      <c r="S167" s="3"/>
      <c r="T167" s="3"/>
    </row>
    <row r="168" spans="1:20" x14ac:dyDescent="0.25">
      <c r="A168" s="3"/>
      <c r="B168" s="185">
        <v>163</v>
      </c>
      <c r="C168" s="170"/>
      <c r="D168" s="103"/>
      <c r="E168" s="103"/>
      <c r="F168" s="78"/>
      <c r="G168" s="103"/>
      <c r="H168" s="102"/>
      <c r="I168" s="105" t="str">
        <f>IFERROR(VLOOKUP(KalkylSlut[[#This Row],[Klimatmaterial]],Materialtabell[[#All],[Materialnamn]:[Materialtyp]],2,0),"")</f>
        <v/>
      </c>
      <c r="J168" s="104" t="str">
        <f>IFERROR(IF(G168="kg",1,IF(G168="ton",1000,IF(G168=RIGHT(VLOOKUP(H168,Materialtabell[[#All],[Materialnamn]:[Enhet]],4,0),LEN(VLOOKUP(H168,Materialtabell[[#All],[Materialnamn]:[Enhet]],4,0))-3),VLOOKUP(H168,Materialtabell[[#All],[Materialnamn]:[Enhet]],3,0),"Enhetsfel"))),"")</f>
        <v/>
      </c>
      <c r="K168" s="105" t="str">
        <f>IFERROR(IF(G168="kg","kg/kg",IF(G168="ton","kg/ton",IF(RIGHT(VLOOKUP(H168,Materialtabell[[#All],[Materialnamn]:[Enhet]],4,0),LEN(VLOOKUP(H168,Materialtabell[[#All],[Materialnamn]:[Enhet]],4,0))-3)=G168,VLOOKUP(H168,Materialtabell[[#All],[Materialnamn]:[Enhet]],4,0),"kg/ton/"&amp;RIGHT(VLOOKUP(H168,Materialtabell[[#All],[Materialnamn]:[Enhet]],4,0),LEN(VLOOKUP(H168,Materialtabell[[#All],[Materialnamn]:[Enhet]],4,0))-3)))),"")</f>
        <v/>
      </c>
      <c r="L168" s="104" t="str">
        <f>IFERROR(KalkylSlut[[#This Row],[Mängd]]*KalkylSlut[[#This Row],[Omräknings-faktor]],"")</f>
        <v/>
      </c>
      <c r="M168" s="104" t="str">
        <f>IFERROR(F168*J168*VLOOKUP(H168,Materialtabell[[#All],[Materialnamn]:[Emissionsfaktor 2019
kg CO2e/kg]],5,0),"")</f>
        <v/>
      </c>
      <c r="N168" s="104" t="str">
        <f>IFERROR(F168*J168*VLOOKUP(H168,Materialtabell[[#All],[Materialnamn]:[Emissionsfaktor 2025
kg CO2e/kg]],6,0),"")</f>
        <v/>
      </c>
      <c r="O168" s="78" t="str">
        <f>IFERROR(VLOOKUP(H168,Materialtabell[[#All],[Materialnamn]:[Kommentar A4]],24,0),"")</f>
        <v/>
      </c>
      <c r="P168" s="94" t="str">
        <f>IFERROR(($F168*$J168*$O168*VLOOKUP($H168,Materialtabell[[#All],[Materialnamn]:[Bränsle 
MJ/ton, km]],25,0)*Materiallista!$AF$5)/1000,"")</f>
        <v/>
      </c>
      <c r="Q168" s="94" t="str">
        <f>IFERROR(($F168*$J168*$O168*VLOOKUP($H168,Materialtabell[[#All],[Materialnamn]:[Bränsle 
MJ/ton, km]],25,0)*Materiallista!$AF$6)/1000,"")</f>
        <v/>
      </c>
      <c r="R168" s="162"/>
      <c r="S168" s="3"/>
      <c r="T168" s="3"/>
    </row>
    <row r="169" spans="1:20" x14ac:dyDescent="0.25">
      <c r="A169" s="3"/>
      <c r="B169" s="185">
        <v>164</v>
      </c>
      <c r="C169" s="170"/>
      <c r="D169" s="103"/>
      <c r="E169" s="103"/>
      <c r="F169" s="78"/>
      <c r="G169" s="103"/>
      <c r="H169" s="102"/>
      <c r="I169" s="105" t="str">
        <f>IFERROR(VLOOKUP(KalkylSlut[[#This Row],[Klimatmaterial]],Materialtabell[[#All],[Materialnamn]:[Materialtyp]],2,0),"")</f>
        <v/>
      </c>
      <c r="J169" s="104" t="str">
        <f>IFERROR(IF(G169="kg",1,IF(G169="ton",1000,IF(G169=RIGHT(VLOOKUP(H169,Materialtabell[[#All],[Materialnamn]:[Enhet]],4,0),LEN(VLOOKUP(H169,Materialtabell[[#All],[Materialnamn]:[Enhet]],4,0))-3),VLOOKUP(H169,Materialtabell[[#All],[Materialnamn]:[Enhet]],3,0),"Enhetsfel"))),"")</f>
        <v/>
      </c>
      <c r="K169" s="105" t="str">
        <f>IFERROR(IF(G169="kg","kg/kg",IF(G169="ton","kg/ton",IF(RIGHT(VLOOKUP(H169,Materialtabell[[#All],[Materialnamn]:[Enhet]],4,0),LEN(VLOOKUP(H169,Materialtabell[[#All],[Materialnamn]:[Enhet]],4,0))-3)=G169,VLOOKUP(H169,Materialtabell[[#All],[Materialnamn]:[Enhet]],4,0),"kg/ton/"&amp;RIGHT(VLOOKUP(H169,Materialtabell[[#All],[Materialnamn]:[Enhet]],4,0),LEN(VLOOKUP(H169,Materialtabell[[#All],[Materialnamn]:[Enhet]],4,0))-3)))),"")</f>
        <v/>
      </c>
      <c r="L169" s="104" t="str">
        <f>IFERROR(KalkylSlut[[#This Row],[Mängd]]*KalkylSlut[[#This Row],[Omräknings-faktor]],"")</f>
        <v/>
      </c>
      <c r="M169" s="104" t="str">
        <f>IFERROR(F169*J169*VLOOKUP(H169,Materialtabell[[#All],[Materialnamn]:[Emissionsfaktor 2019
kg CO2e/kg]],5,0),"")</f>
        <v/>
      </c>
      <c r="N169" s="104" t="str">
        <f>IFERROR(F169*J169*VLOOKUP(H169,Materialtabell[[#All],[Materialnamn]:[Emissionsfaktor 2025
kg CO2e/kg]],6,0),"")</f>
        <v/>
      </c>
      <c r="O169" s="78" t="str">
        <f>IFERROR(VLOOKUP(H169,Materialtabell[[#All],[Materialnamn]:[Kommentar A4]],24,0),"")</f>
        <v/>
      </c>
      <c r="P169" s="94" t="str">
        <f>IFERROR(($F169*$J169*$O169*VLOOKUP($H169,Materialtabell[[#All],[Materialnamn]:[Bränsle 
MJ/ton, km]],25,0)*Materiallista!$AF$5)/1000,"")</f>
        <v/>
      </c>
      <c r="Q169" s="94" t="str">
        <f>IFERROR(($F169*$J169*$O169*VLOOKUP($H169,Materialtabell[[#All],[Materialnamn]:[Bränsle 
MJ/ton, km]],25,0)*Materiallista!$AF$6)/1000,"")</f>
        <v/>
      </c>
      <c r="R169" s="162"/>
      <c r="S169" s="3"/>
      <c r="T169" s="3"/>
    </row>
    <row r="170" spans="1:20" x14ac:dyDescent="0.25">
      <c r="A170" s="3"/>
      <c r="B170" s="185">
        <v>165</v>
      </c>
      <c r="C170" s="170"/>
      <c r="D170" s="103"/>
      <c r="E170" s="103"/>
      <c r="F170" s="78"/>
      <c r="G170" s="103"/>
      <c r="H170" s="102"/>
      <c r="I170" s="105" t="str">
        <f>IFERROR(VLOOKUP(KalkylSlut[[#This Row],[Klimatmaterial]],Materialtabell[[#All],[Materialnamn]:[Materialtyp]],2,0),"")</f>
        <v/>
      </c>
      <c r="J170" s="104" t="str">
        <f>IFERROR(IF(G170="kg",1,IF(G170="ton",1000,IF(G170=RIGHT(VLOOKUP(H170,Materialtabell[[#All],[Materialnamn]:[Enhet]],4,0),LEN(VLOOKUP(H170,Materialtabell[[#All],[Materialnamn]:[Enhet]],4,0))-3),VLOOKUP(H170,Materialtabell[[#All],[Materialnamn]:[Enhet]],3,0),"Enhetsfel"))),"")</f>
        <v/>
      </c>
      <c r="K170" s="105" t="str">
        <f>IFERROR(IF(G170="kg","kg/kg",IF(G170="ton","kg/ton",IF(RIGHT(VLOOKUP(H170,Materialtabell[[#All],[Materialnamn]:[Enhet]],4,0),LEN(VLOOKUP(H170,Materialtabell[[#All],[Materialnamn]:[Enhet]],4,0))-3)=G170,VLOOKUP(H170,Materialtabell[[#All],[Materialnamn]:[Enhet]],4,0),"kg/ton/"&amp;RIGHT(VLOOKUP(H170,Materialtabell[[#All],[Materialnamn]:[Enhet]],4,0),LEN(VLOOKUP(H170,Materialtabell[[#All],[Materialnamn]:[Enhet]],4,0))-3)))),"")</f>
        <v/>
      </c>
      <c r="L170" s="104" t="str">
        <f>IFERROR(KalkylSlut[[#This Row],[Mängd]]*KalkylSlut[[#This Row],[Omräknings-faktor]],"")</f>
        <v/>
      </c>
      <c r="M170" s="104" t="str">
        <f>IFERROR(F170*J170*VLOOKUP(H170,Materialtabell[[#All],[Materialnamn]:[Emissionsfaktor 2019
kg CO2e/kg]],5,0),"")</f>
        <v/>
      </c>
      <c r="N170" s="104" t="str">
        <f>IFERROR(F170*J170*VLOOKUP(H170,Materialtabell[[#All],[Materialnamn]:[Emissionsfaktor 2025
kg CO2e/kg]],6,0),"")</f>
        <v/>
      </c>
      <c r="O170" s="78" t="str">
        <f>IFERROR(VLOOKUP(H170,Materialtabell[[#All],[Materialnamn]:[Kommentar A4]],24,0),"")</f>
        <v/>
      </c>
      <c r="P170" s="94" t="str">
        <f>IFERROR(($F170*$J170*$O170*VLOOKUP($H170,Materialtabell[[#All],[Materialnamn]:[Bränsle 
MJ/ton, km]],25,0)*Materiallista!$AF$5)/1000,"")</f>
        <v/>
      </c>
      <c r="Q170" s="94" t="str">
        <f>IFERROR(($F170*$J170*$O170*VLOOKUP($H170,Materialtabell[[#All],[Materialnamn]:[Bränsle 
MJ/ton, km]],25,0)*Materiallista!$AF$6)/1000,"")</f>
        <v/>
      </c>
      <c r="R170" s="162"/>
      <c r="S170" s="3"/>
      <c r="T170" s="3"/>
    </row>
    <row r="171" spans="1:20" x14ac:dyDescent="0.25">
      <c r="A171" s="3"/>
      <c r="B171" s="185">
        <v>166</v>
      </c>
      <c r="C171" s="170"/>
      <c r="D171" s="103"/>
      <c r="E171" s="103"/>
      <c r="F171" s="78"/>
      <c r="G171" s="103"/>
      <c r="H171" s="102"/>
      <c r="I171" s="105" t="str">
        <f>IFERROR(VLOOKUP(KalkylSlut[[#This Row],[Klimatmaterial]],Materialtabell[[#All],[Materialnamn]:[Materialtyp]],2,0),"")</f>
        <v/>
      </c>
      <c r="J171" s="104" t="str">
        <f>IFERROR(IF(G171="kg",1,IF(G171="ton",1000,IF(G171=RIGHT(VLOOKUP(H171,Materialtabell[[#All],[Materialnamn]:[Enhet]],4,0),LEN(VLOOKUP(H171,Materialtabell[[#All],[Materialnamn]:[Enhet]],4,0))-3),VLOOKUP(H171,Materialtabell[[#All],[Materialnamn]:[Enhet]],3,0),"Enhetsfel"))),"")</f>
        <v/>
      </c>
      <c r="K171" s="105" t="str">
        <f>IFERROR(IF(G171="kg","kg/kg",IF(G171="ton","kg/ton",IF(RIGHT(VLOOKUP(H171,Materialtabell[[#All],[Materialnamn]:[Enhet]],4,0),LEN(VLOOKUP(H171,Materialtabell[[#All],[Materialnamn]:[Enhet]],4,0))-3)=G171,VLOOKUP(H171,Materialtabell[[#All],[Materialnamn]:[Enhet]],4,0),"kg/ton/"&amp;RIGHT(VLOOKUP(H171,Materialtabell[[#All],[Materialnamn]:[Enhet]],4,0),LEN(VLOOKUP(H171,Materialtabell[[#All],[Materialnamn]:[Enhet]],4,0))-3)))),"")</f>
        <v/>
      </c>
      <c r="L171" s="104" t="str">
        <f>IFERROR(KalkylSlut[[#This Row],[Mängd]]*KalkylSlut[[#This Row],[Omräknings-faktor]],"")</f>
        <v/>
      </c>
      <c r="M171" s="104" t="str">
        <f>IFERROR(F171*J171*VLOOKUP(H171,Materialtabell[[#All],[Materialnamn]:[Emissionsfaktor 2019
kg CO2e/kg]],5,0),"")</f>
        <v/>
      </c>
      <c r="N171" s="104" t="str">
        <f>IFERROR(F171*J171*VLOOKUP(H171,Materialtabell[[#All],[Materialnamn]:[Emissionsfaktor 2025
kg CO2e/kg]],6,0),"")</f>
        <v/>
      </c>
      <c r="O171" s="78" t="str">
        <f>IFERROR(VLOOKUP(H171,Materialtabell[[#All],[Materialnamn]:[Kommentar A4]],24,0),"")</f>
        <v/>
      </c>
      <c r="P171" s="94" t="str">
        <f>IFERROR(($F171*$J171*$O171*VLOOKUP($H171,Materialtabell[[#All],[Materialnamn]:[Bränsle 
MJ/ton, km]],25,0)*Materiallista!$AF$5)/1000,"")</f>
        <v/>
      </c>
      <c r="Q171" s="94" t="str">
        <f>IFERROR(($F171*$J171*$O171*VLOOKUP($H171,Materialtabell[[#All],[Materialnamn]:[Bränsle 
MJ/ton, km]],25,0)*Materiallista!$AF$6)/1000,"")</f>
        <v/>
      </c>
      <c r="R171" s="162"/>
      <c r="S171" s="3"/>
      <c r="T171" s="3"/>
    </row>
    <row r="172" spans="1:20" x14ac:dyDescent="0.25">
      <c r="A172" s="3"/>
      <c r="B172" s="185">
        <v>167</v>
      </c>
      <c r="C172" s="170"/>
      <c r="D172" s="103"/>
      <c r="E172" s="103"/>
      <c r="F172" s="78"/>
      <c r="G172" s="103"/>
      <c r="H172" s="102"/>
      <c r="I172" s="105" t="str">
        <f>IFERROR(VLOOKUP(KalkylSlut[[#This Row],[Klimatmaterial]],Materialtabell[[#All],[Materialnamn]:[Materialtyp]],2,0),"")</f>
        <v/>
      </c>
      <c r="J172" s="104" t="str">
        <f>IFERROR(IF(G172="kg",1,IF(G172="ton",1000,IF(G172=RIGHT(VLOOKUP(H172,Materialtabell[[#All],[Materialnamn]:[Enhet]],4,0),LEN(VLOOKUP(H172,Materialtabell[[#All],[Materialnamn]:[Enhet]],4,0))-3),VLOOKUP(H172,Materialtabell[[#All],[Materialnamn]:[Enhet]],3,0),"Enhetsfel"))),"")</f>
        <v/>
      </c>
      <c r="K172" s="105" t="str">
        <f>IFERROR(IF(G172="kg","kg/kg",IF(G172="ton","kg/ton",IF(RIGHT(VLOOKUP(H172,Materialtabell[[#All],[Materialnamn]:[Enhet]],4,0),LEN(VLOOKUP(H172,Materialtabell[[#All],[Materialnamn]:[Enhet]],4,0))-3)=G172,VLOOKUP(H172,Materialtabell[[#All],[Materialnamn]:[Enhet]],4,0),"kg/ton/"&amp;RIGHT(VLOOKUP(H172,Materialtabell[[#All],[Materialnamn]:[Enhet]],4,0),LEN(VLOOKUP(H172,Materialtabell[[#All],[Materialnamn]:[Enhet]],4,0))-3)))),"")</f>
        <v/>
      </c>
      <c r="L172" s="104" t="str">
        <f>IFERROR(KalkylSlut[[#This Row],[Mängd]]*KalkylSlut[[#This Row],[Omräknings-faktor]],"")</f>
        <v/>
      </c>
      <c r="M172" s="104" t="str">
        <f>IFERROR(F172*J172*VLOOKUP(H172,Materialtabell[[#All],[Materialnamn]:[Emissionsfaktor 2019
kg CO2e/kg]],5,0),"")</f>
        <v/>
      </c>
      <c r="N172" s="104" t="str">
        <f>IFERROR(F172*J172*VLOOKUP(H172,Materialtabell[[#All],[Materialnamn]:[Emissionsfaktor 2025
kg CO2e/kg]],6,0),"")</f>
        <v/>
      </c>
      <c r="O172" s="78" t="str">
        <f>IFERROR(VLOOKUP(H172,Materialtabell[[#All],[Materialnamn]:[Kommentar A4]],24,0),"")</f>
        <v/>
      </c>
      <c r="P172" s="94" t="str">
        <f>IFERROR(($F172*$J172*$O172*VLOOKUP($H172,Materialtabell[[#All],[Materialnamn]:[Bränsle 
MJ/ton, km]],25,0)*Materiallista!$AF$5)/1000,"")</f>
        <v/>
      </c>
      <c r="Q172" s="94" t="str">
        <f>IFERROR(($F172*$J172*$O172*VLOOKUP($H172,Materialtabell[[#All],[Materialnamn]:[Bränsle 
MJ/ton, km]],25,0)*Materiallista!$AF$6)/1000,"")</f>
        <v/>
      </c>
      <c r="R172" s="162"/>
      <c r="S172" s="3"/>
      <c r="T172" s="3"/>
    </row>
    <row r="173" spans="1:20" x14ac:dyDescent="0.25">
      <c r="A173" s="3"/>
      <c r="B173" s="185">
        <v>168</v>
      </c>
      <c r="C173" s="170"/>
      <c r="D173" s="103"/>
      <c r="E173" s="103"/>
      <c r="F173" s="78"/>
      <c r="G173" s="103"/>
      <c r="H173" s="102"/>
      <c r="I173" s="105" t="str">
        <f>IFERROR(VLOOKUP(KalkylSlut[[#This Row],[Klimatmaterial]],Materialtabell[[#All],[Materialnamn]:[Materialtyp]],2,0),"")</f>
        <v/>
      </c>
      <c r="J173" s="104" t="str">
        <f>IFERROR(IF(G173="kg",1,IF(G173="ton",1000,IF(G173=RIGHT(VLOOKUP(H173,Materialtabell[[#All],[Materialnamn]:[Enhet]],4,0),LEN(VLOOKUP(H173,Materialtabell[[#All],[Materialnamn]:[Enhet]],4,0))-3),VLOOKUP(H173,Materialtabell[[#All],[Materialnamn]:[Enhet]],3,0),"Enhetsfel"))),"")</f>
        <v/>
      </c>
      <c r="K173" s="105" t="str">
        <f>IFERROR(IF(G173="kg","kg/kg",IF(G173="ton","kg/ton",IF(RIGHT(VLOOKUP(H173,Materialtabell[[#All],[Materialnamn]:[Enhet]],4,0),LEN(VLOOKUP(H173,Materialtabell[[#All],[Materialnamn]:[Enhet]],4,0))-3)=G173,VLOOKUP(H173,Materialtabell[[#All],[Materialnamn]:[Enhet]],4,0),"kg/ton/"&amp;RIGHT(VLOOKUP(H173,Materialtabell[[#All],[Materialnamn]:[Enhet]],4,0),LEN(VLOOKUP(H173,Materialtabell[[#All],[Materialnamn]:[Enhet]],4,0))-3)))),"")</f>
        <v/>
      </c>
      <c r="L173" s="104" t="str">
        <f>IFERROR(KalkylSlut[[#This Row],[Mängd]]*KalkylSlut[[#This Row],[Omräknings-faktor]],"")</f>
        <v/>
      </c>
      <c r="M173" s="104" t="str">
        <f>IFERROR(F173*J173*VLOOKUP(H173,Materialtabell[[#All],[Materialnamn]:[Emissionsfaktor 2019
kg CO2e/kg]],5,0),"")</f>
        <v/>
      </c>
      <c r="N173" s="104" t="str">
        <f>IFERROR(F173*J173*VLOOKUP(H173,Materialtabell[[#All],[Materialnamn]:[Emissionsfaktor 2025
kg CO2e/kg]],6,0),"")</f>
        <v/>
      </c>
      <c r="O173" s="78" t="str">
        <f>IFERROR(VLOOKUP(H173,Materialtabell[[#All],[Materialnamn]:[Kommentar A4]],24,0),"")</f>
        <v/>
      </c>
      <c r="P173" s="94" t="str">
        <f>IFERROR(($F173*$J173*$O173*VLOOKUP($H173,Materialtabell[[#All],[Materialnamn]:[Bränsle 
MJ/ton, km]],25,0)*Materiallista!$AF$5)/1000,"")</f>
        <v/>
      </c>
      <c r="Q173" s="94" t="str">
        <f>IFERROR(($F173*$J173*$O173*VLOOKUP($H173,Materialtabell[[#All],[Materialnamn]:[Bränsle 
MJ/ton, km]],25,0)*Materiallista!$AF$6)/1000,"")</f>
        <v/>
      </c>
      <c r="R173" s="162"/>
      <c r="S173" s="3"/>
      <c r="T173" s="3"/>
    </row>
    <row r="174" spans="1:20" x14ac:dyDescent="0.25">
      <c r="A174" s="3"/>
      <c r="B174" s="185">
        <v>169</v>
      </c>
      <c r="C174" s="170"/>
      <c r="D174" s="103"/>
      <c r="E174" s="103"/>
      <c r="F174" s="78"/>
      <c r="G174" s="103"/>
      <c r="H174" s="102"/>
      <c r="I174" s="105" t="str">
        <f>IFERROR(VLOOKUP(KalkylSlut[[#This Row],[Klimatmaterial]],Materialtabell[[#All],[Materialnamn]:[Materialtyp]],2,0),"")</f>
        <v/>
      </c>
      <c r="J174" s="104" t="str">
        <f>IFERROR(IF(G174="kg",1,IF(G174="ton",1000,IF(G174=RIGHT(VLOOKUP(H174,Materialtabell[[#All],[Materialnamn]:[Enhet]],4,0),LEN(VLOOKUP(H174,Materialtabell[[#All],[Materialnamn]:[Enhet]],4,0))-3),VLOOKUP(H174,Materialtabell[[#All],[Materialnamn]:[Enhet]],3,0),"Enhetsfel"))),"")</f>
        <v/>
      </c>
      <c r="K174" s="105" t="str">
        <f>IFERROR(IF(G174="kg","kg/kg",IF(G174="ton","kg/ton",IF(RIGHT(VLOOKUP(H174,Materialtabell[[#All],[Materialnamn]:[Enhet]],4,0),LEN(VLOOKUP(H174,Materialtabell[[#All],[Materialnamn]:[Enhet]],4,0))-3)=G174,VLOOKUP(H174,Materialtabell[[#All],[Materialnamn]:[Enhet]],4,0),"kg/ton/"&amp;RIGHT(VLOOKUP(H174,Materialtabell[[#All],[Materialnamn]:[Enhet]],4,0),LEN(VLOOKUP(H174,Materialtabell[[#All],[Materialnamn]:[Enhet]],4,0))-3)))),"")</f>
        <v/>
      </c>
      <c r="L174" s="104" t="str">
        <f>IFERROR(KalkylSlut[[#This Row],[Mängd]]*KalkylSlut[[#This Row],[Omräknings-faktor]],"")</f>
        <v/>
      </c>
      <c r="M174" s="104" t="str">
        <f>IFERROR(F174*J174*VLOOKUP(H174,Materialtabell[[#All],[Materialnamn]:[Emissionsfaktor 2019
kg CO2e/kg]],5,0),"")</f>
        <v/>
      </c>
      <c r="N174" s="104" t="str">
        <f>IFERROR(F174*J174*VLOOKUP(H174,Materialtabell[[#All],[Materialnamn]:[Emissionsfaktor 2025
kg CO2e/kg]],6,0),"")</f>
        <v/>
      </c>
      <c r="O174" s="78" t="str">
        <f>IFERROR(VLOOKUP(H174,Materialtabell[[#All],[Materialnamn]:[Kommentar A4]],24,0),"")</f>
        <v/>
      </c>
      <c r="P174" s="94" t="str">
        <f>IFERROR(($F174*$J174*$O174*VLOOKUP($H174,Materialtabell[[#All],[Materialnamn]:[Bränsle 
MJ/ton, km]],25,0)*Materiallista!$AF$5)/1000,"")</f>
        <v/>
      </c>
      <c r="Q174" s="94" t="str">
        <f>IFERROR(($F174*$J174*$O174*VLOOKUP($H174,Materialtabell[[#All],[Materialnamn]:[Bränsle 
MJ/ton, km]],25,0)*Materiallista!$AF$6)/1000,"")</f>
        <v/>
      </c>
      <c r="R174" s="162"/>
      <c r="S174" s="3"/>
      <c r="T174" s="3"/>
    </row>
    <row r="175" spans="1:20" x14ac:dyDescent="0.25">
      <c r="A175" s="3"/>
      <c r="B175" s="185">
        <v>170</v>
      </c>
      <c r="C175" s="170"/>
      <c r="D175" s="103"/>
      <c r="E175" s="103"/>
      <c r="F175" s="78"/>
      <c r="G175" s="103"/>
      <c r="H175" s="102"/>
      <c r="I175" s="105" t="str">
        <f>IFERROR(VLOOKUP(KalkylSlut[[#This Row],[Klimatmaterial]],Materialtabell[[#All],[Materialnamn]:[Materialtyp]],2,0),"")</f>
        <v/>
      </c>
      <c r="J175" s="104" t="str">
        <f>IFERROR(IF(G175="kg",1,IF(G175="ton",1000,IF(G175=RIGHT(VLOOKUP(H175,Materialtabell[[#All],[Materialnamn]:[Enhet]],4,0),LEN(VLOOKUP(H175,Materialtabell[[#All],[Materialnamn]:[Enhet]],4,0))-3),VLOOKUP(H175,Materialtabell[[#All],[Materialnamn]:[Enhet]],3,0),"Enhetsfel"))),"")</f>
        <v/>
      </c>
      <c r="K175" s="105" t="str">
        <f>IFERROR(IF(G175="kg","kg/kg",IF(G175="ton","kg/ton",IF(RIGHT(VLOOKUP(H175,Materialtabell[[#All],[Materialnamn]:[Enhet]],4,0),LEN(VLOOKUP(H175,Materialtabell[[#All],[Materialnamn]:[Enhet]],4,0))-3)=G175,VLOOKUP(H175,Materialtabell[[#All],[Materialnamn]:[Enhet]],4,0),"kg/ton/"&amp;RIGHT(VLOOKUP(H175,Materialtabell[[#All],[Materialnamn]:[Enhet]],4,0),LEN(VLOOKUP(H175,Materialtabell[[#All],[Materialnamn]:[Enhet]],4,0))-3)))),"")</f>
        <v/>
      </c>
      <c r="L175" s="104" t="str">
        <f>IFERROR(KalkylSlut[[#This Row],[Mängd]]*KalkylSlut[[#This Row],[Omräknings-faktor]],"")</f>
        <v/>
      </c>
      <c r="M175" s="104" t="str">
        <f>IFERROR(F175*J175*VLOOKUP(H175,Materialtabell[[#All],[Materialnamn]:[Emissionsfaktor 2019
kg CO2e/kg]],5,0),"")</f>
        <v/>
      </c>
      <c r="N175" s="104" t="str">
        <f>IFERROR(F175*J175*VLOOKUP(H175,Materialtabell[[#All],[Materialnamn]:[Emissionsfaktor 2025
kg CO2e/kg]],6,0),"")</f>
        <v/>
      </c>
      <c r="O175" s="78" t="str">
        <f>IFERROR(VLOOKUP(H175,Materialtabell[[#All],[Materialnamn]:[Kommentar A4]],24,0),"")</f>
        <v/>
      </c>
      <c r="P175" s="94" t="str">
        <f>IFERROR(($F175*$J175*$O175*VLOOKUP($H175,Materialtabell[[#All],[Materialnamn]:[Bränsle 
MJ/ton, km]],25,0)*Materiallista!$AF$5)/1000,"")</f>
        <v/>
      </c>
      <c r="Q175" s="94" t="str">
        <f>IFERROR(($F175*$J175*$O175*VLOOKUP($H175,Materialtabell[[#All],[Materialnamn]:[Bränsle 
MJ/ton, km]],25,0)*Materiallista!$AF$6)/1000,"")</f>
        <v/>
      </c>
      <c r="R175" s="162"/>
      <c r="S175" s="3"/>
      <c r="T175" s="3"/>
    </row>
    <row r="176" spans="1:20" x14ac:dyDescent="0.25">
      <c r="A176" s="3"/>
      <c r="B176" s="185">
        <v>171</v>
      </c>
      <c r="C176" s="170"/>
      <c r="D176" s="103"/>
      <c r="E176" s="103"/>
      <c r="F176" s="78"/>
      <c r="G176" s="103"/>
      <c r="H176" s="102"/>
      <c r="I176" s="105" t="str">
        <f>IFERROR(VLOOKUP(KalkylSlut[[#This Row],[Klimatmaterial]],Materialtabell[[#All],[Materialnamn]:[Materialtyp]],2,0),"")</f>
        <v/>
      </c>
      <c r="J176" s="104" t="str">
        <f>IFERROR(IF(G176="kg",1,IF(G176="ton",1000,IF(G176=RIGHT(VLOOKUP(H176,Materialtabell[[#All],[Materialnamn]:[Enhet]],4,0),LEN(VLOOKUP(H176,Materialtabell[[#All],[Materialnamn]:[Enhet]],4,0))-3),VLOOKUP(H176,Materialtabell[[#All],[Materialnamn]:[Enhet]],3,0),"Enhetsfel"))),"")</f>
        <v/>
      </c>
      <c r="K176" s="105" t="str">
        <f>IFERROR(IF(G176="kg","kg/kg",IF(G176="ton","kg/ton",IF(RIGHT(VLOOKUP(H176,Materialtabell[[#All],[Materialnamn]:[Enhet]],4,0),LEN(VLOOKUP(H176,Materialtabell[[#All],[Materialnamn]:[Enhet]],4,0))-3)=G176,VLOOKUP(H176,Materialtabell[[#All],[Materialnamn]:[Enhet]],4,0),"kg/ton/"&amp;RIGHT(VLOOKUP(H176,Materialtabell[[#All],[Materialnamn]:[Enhet]],4,0),LEN(VLOOKUP(H176,Materialtabell[[#All],[Materialnamn]:[Enhet]],4,0))-3)))),"")</f>
        <v/>
      </c>
      <c r="L176" s="104" t="str">
        <f>IFERROR(KalkylSlut[[#This Row],[Mängd]]*KalkylSlut[[#This Row],[Omräknings-faktor]],"")</f>
        <v/>
      </c>
      <c r="M176" s="104" t="str">
        <f>IFERROR(F176*J176*VLOOKUP(H176,Materialtabell[[#All],[Materialnamn]:[Emissionsfaktor 2019
kg CO2e/kg]],5,0),"")</f>
        <v/>
      </c>
      <c r="N176" s="104" t="str">
        <f>IFERROR(F176*J176*VLOOKUP(H176,Materialtabell[[#All],[Materialnamn]:[Emissionsfaktor 2025
kg CO2e/kg]],6,0),"")</f>
        <v/>
      </c>
      <c r="O176" s="78" t="str">
        <f>IFERROR(VLOOKUP(H176,Materialtabell[[#All],[Materialnamn]:[Kommentar A4]],24,0),"")</f>
        <v/>
      </c>
      <c r="P176" s="94" t="str">
        <f>IFERROR(($F176*$J176*$O176*VLOOKUP($H176,Materialtabell[[#All],[Materialnamn]:[Bränsle 
MJ/ton, km]],25,0)*Materiallista!$AF$5)/1000,"")</f>
        <v/>
      </c>
      <c r="Q176" s="94" t="str">
        <f>IFERROR(($F176*$J176*$O176*VLOOKUP($H176,Materialtabell[[#All],[Materialnamn]:[Bränsle 
MJ/ton, km]],25,0)*Materiallista!$AF$6)/1000,"")</f>
        <v/>
      </c>
      <c r="R176" s="162"/>
      <c r="S176" s="3"/>
      <c r="T176" s="3"/>
    </row>
    <row r="177" spans="1:20" x14ac:dyDescent="0.25">
      <c r="A177" s="3"/>
      <c r="B177" s="185">
        <v>172</v>
      </c>
      <c r="C177" s="170"/>
      <c r="D177" s="103"/>
      <c r="E177" s="103"/>
      <c r="F177" s="78"/>
      <c r="G177" s="103"/>
      <c r="H177" s="102"/>
      <c r="I177" s="105" t="str">
        <f>IFERROR(VLOOKUP(KalkylSlut[[#This Row],[Klimatmaterial]],Materialtabell[[#All],[Materialnamn]:[Materialtyp]],2,0),"")</f>
        <v/>
      </c>
      <c r="J177" s="104" t="str">
        <f>IFERROR(IF(G177="kg",1,IF(G177="ton",1000,IF(G177=RIGHT(VLOOKUP(H177,Materialtabell[[#All],[Materialnamn]:[Enhet]],4,0),LEN(VLOOKUP(H177,Materialtabell[[#All],[Materialnamn]:[Enhet]],4,0))-3),VLOOKUP(H177,Materialtabell[[#All],[Materialnamn]:[Enhet]],3,0),"Enhetsfel"))),"")</f>
        <v/>
      </c>
      <c r="K177" s="105" t="str">
        <f>IFERROR(IF(G177="kg","kg/kg",IF(G177="ton","kg/ton",IF(RIGHT(VLOOKUP(H177,Materialtabell[[#All],[Materialnamn]:[Enhet]],4,0),LEN(VLOOKUP(H177,Materialtabell[[#All],[Materialnamn]:[Enhet]],4,0))-3)=G177,VLOOKUP(H177,Materialtabell[[#All],[Materialnamn]:[Enhet]],4,0),"kg/ton/"&amp;RIGHT(VLOOKUP(H177,Materialtabell[[#All],[Materialnamn]:[Enhet]],4,0),LEN(VLOOKUP(H177,Materialtabell[[#All],[Materialnamn]:[Enhet]],4,0))-3)))),"")</f>
        <v/>
      </c>
      <c r="L177" s="104" t="str">
        <f>IFERROR(KalkylSlut[[#This Row],[Mängd]]*KalkylSlut[[#This Row],[Omräknings-faktor]],"")</f>
        <v/>
      </c>
      <c r="M177" s="104" t="str">
        <f>IFERROR(F177*J177*VLOOKUP(H177,Materialtabell[[#All],[Materialnamn]:[Emissionsfaktor 2019
kg CO2e/kg]],5,0),"")</f>
        <v/>
      </c>
      <c r="N177" s="104" t="str">
        <f>IFERROR(F177*J177*VLOOKUP(H177,Materialtabell[[#All],[Materialnamn]:[Emissionsfaktor 2025
kg CO2e/kg]],6,0),"")</f>
        <v/>
      </c>
      <c r="O177" s="78" t="str">
        <f>IFERROR(VLOOKUP(H177,Materialtabell[[#All],[Materialnamn]:[Kommentar A4]],24,0),"")</f>
        <v/>
      </c>
      <c r="P177" s="94" t="str">
        <f>IFERROR(($F177*$J177*$O177*VLOOKUP($H177,Materialtabell[[#All],[Materialnamn]:[Bränsle 
MJ/ton, km]],25,0)*Materiallista!$AF$5)/1000,"")</f>
        <v/>
      </c>
      <c r="Q177" s="94" t="str">
        <f>IFERROR(($F177*$J177*$O177*VLOOKUP($H177,Materialtabell[[#All],[Materialnamn]:[Bränsle 
MJ/ton, km]],25,0)*Materiallista!$AF$6)/1000,"")</f>
        <v/>
      </c>
      <c r="R177" s="162"/>
      <c r="S177" s="3"/>
      <c r="T177" s="3"/>
    </row>
    <row r="178" spans="1:20" x14ac:dyDescent="0.25">
      <c r="A178" s="3"/>
      <c r="B178" s="185">
        <v>173</v>
      </c>
      <c r="C178" s="170"/>
      <c r="D178" s="103"/>
      <c r="E178" s="103"/>
      <c r="F178" s="78"/>
      <c r="G178" s="103"/>
      <c r="H178" s="102"/>
      <c r="I178" s="105" t="str">
        <f>IFERROR(VLOOKUP(KalkylSlut[[#This Row],[Klimatmaterial]],Materialtabell[[#All],[Materialnamn]:[Materialtyp]],2,0),"")</f>
        <v/>
      </c>
      <c r="J178" s="104" t="str">
        <f>IFERROR(IF(G178="kg",1,IF(G178="ton",1000,IF(G178=RIGHT(VLOOKUP(H178,Materialtabell[[#All],[Materialnamn]:[Enhet]],4,0),LEN(VLOOKUP(H178,Materialtabell[[#All],[Materialnamn]:[Enhet]],4,0))-3),VLOOKUP(H178,Materialtabell[[#All],[Materialnamn]:[Enhet]],3,0),"Enhetsfel"))),"")</f>
        <v/>
      </c>
      <c r="K178" s="105" t="str">
        <f>IFERROR(IF(G178="kg","kg/kg",IF(G178="ton","kg/ton",IF(RIGHT(VLOOKUP(H178,Materialtabell[[#All],[Materialnamn]:[Enhet]],4,0),LEN(VLOOKUP(H178,Materialtabell[[#All],[Materialnamn]:[Enhet]],4,0))-3)=G178,VLOOKUP(H178,Materialtabell[[#All],[Materialnamn]:[Enhet]],4,0),"kg/ton/"&amp;RIGHT(VLOOKUP(H178,Materialtabell[[#All],[Materialnamn]:[Enhet]],4,0),LEN(VLOOKUP(H178,Materialtabell[[#All],[Materialnamn]:[Enhet]],4,0))-3)))),"")</f>
        <v/>
      </c>
      <c r="L178" s="104" t="str">
        <f>IFERROR(KalkylSlut[[#This Row],[Mängd]]*KalkylSlut[[#This Row],[Omräknings-faktor]],"")</f>
        <v/>
      </c>
      <c r="M178" s="104" t="str">
        <f>IFERROR(F178*J178*VLOOKUP(H178,Materialtabell[[#All],[Materialnamn]:[Emissionsfaktor 2019
kg CO2e/kg]],5,0),"")</f>
        <v/>
      </c>
      <c r="N178" s="104" t="str">
        <f>IFERROR(F178*J178*VLOOKUP(H178,Materialtabell[[#All],[Materialnamn]:[Emissionsfaktor 2025
kg CO2e/kg]],6,0),"")</f>
        <v/>
      </c>
      <c r="O178" s="78" t="str">
        <f>IFERROR(VLOOKUP(H178,Materialtabell[[#All],[Materialnamn]:[Kommentar A4]],24,0),"")</f>
        <v/>
      </c>
      <c r="P178" s="94" t="str">
        <f>IFERROR(($F178*$J178*$O178*VLOOKUP($H178,Materialtabell[[#All],[Materialnamn]:[Bränsle 
MJ/ton, km]],25,0)*Materiallista!$AF$5)/1000,"")</f>
        <v/>
      </c>
      <c r="Q178" s="94" t="str">
        <f>IFERROR(($F178*$J178*$O178*VLOOKUP($H178,Materialtabell[[#All],[Materialnamn]:[Bränsle 
MJ/ton, km]],25,0)*Materiallista!$AF$6)/1000,"")</f>
        <v/>
      </c>
      <c r="R178" s="162"/>
      <c r="S178" s="3"/>
      <c r="T178" s="3"/>
    </row>
    <row r="179" spans="1:20" x14ac:dyDescent="0.25">
      <c r="A179" s="3"/>
      <c r="B179" s="185">
        <v>174</v>
      </c>
      <c r="C179" s="170"/>
      <c r="D179" s="103"/>
      <c r="E179" s="103"/>
      <c r="F179" s="78"/>
      <c r="G179" s="103"/>
      <c r="H179" s="102"/>
      <c r="I179" s="105" t="str">
        <f>IFERROR(VLOOKUP(KalkylSlut[[#This Row],[Klimatmaterial]],Materialtabell[[#All],[Materialnamn]:[Materialtyp]],2,0),"")</f>
        <v/>
      </c>
      <c r="J179" s="104" t="str">
        <f>IFERROR(IF(G179="kg",1,IF(G179="ton",1000,IF(G179=RIGHT(VLOOKUP(H179,Materialtabell[[#All],[Materialnamn]:[Enhet]],4,0),LEN(VLOOKUP(H179,Materialtabell[[#All],[Materialnamn]:[Enhet]],4,0))-3),VLOOKUP(H179,Materialtabell[[#All],[Materialnamn]:[Enhet]],3,0),"Enhetsfel"))),"")</f>
        <v/>
      </c>
      <c r="K179" s="105" t="str">
        <f>IFERROR(IF(G179="kg","kg/kg",IF(G179="ton","kg/ton",IF(RIGHT(VLOOKUP(H179,Materialtabell[[#All],[Materialnamn]:[Enhet]],4,0),LEN(VLOOKUP(H179,Materialtabell[[#All],[Materialnamn]:[Enhet]],4,0))-3)=G179,VLOOKUP(H179,Materialtabell[[#All],[Materialnamn]:[Enhet]],4,0),"kg/ton/"&amp;RIGHT(VLOOKUP(H179,Materialtabell[[#All],[Materialnamn]:[Enhet]],4,0),LEN(VLOOKUP(H179,Materialtabell[[#All],[Materialnamn]:[Enhet]],4,0))-3)))),"")</f>
        <v/>
      </c>
      <c r="L179" s="104" t="str">
        <f>IFERROR(KalkylSlut[[#This Row],[Mängd]]*KalkylSlut[[#This Row],[Omräknings-faktor]],"")</f>
        <v/>
      </c>
      <c r="M179" s="104" t="str">
        <f>IFERROR(F179*J179*VLOOKUP(H179,Materialtabell[[#All],[Materialnamn]:[Emissionsfaktor 2019
kg CO2e/kg]],5,0),"")</f>
        <v/>
      </c>
      <c r="N179" s="104" t="str">
        <f>IFERROR(F179*J179*VLOOKUP(H179,Materialtabell[[#All],[Materialnamn]:[Emissionsfaktor 2025
kg CO2e/kg]],6,0),"")</f>
        <v/>
      </c>
      <c r="O179" s="78" t="str">
        <f>IFERROR(VLOOKUP(H179,Materialtabell[[#All],[Materialnamn]:[Kommentar A4]],24,0),"")</f>
        <v/>
      </c>
      <c r="P179" s="94" t="str">
        <f>IFERROR(($F179*$J179*$O179*VLOOKUP($H179,Materialtabell[[#All],[Materialnamn]:[Bränsle 
MJ/ton, km]],25,0)*Materiallista!$AF$5)/1000,"")</f>
        <v/>
      </c>
      <c r="Q179" s="94" t="str">
        <f>IFERROR(($F179*$J179*$O179*VLOOKUP($H179,Materialtabell[[#All],[Materialnamn]:[Bränsle 
MJ/ton, km]],25,0)*Materiallista!$AF$6)/1000,"")</f>
        <v/>
      </c>
      <c r="R179" s="162"/>
      <c r="S179" s="3"/>
      <c r="T179" s="3"/>
    </row>
    <row r="180" spans="1:20" x14ac:dyDescent="0.25">
      <c r="A180" s="3"/>
      <c r="B180" s="185">
        <v>175</v>
      </c>
      <c r="C180" s="170"/>
      <c r="D180" s="103"/>
      <c r="E180" s="103"/>
      <c r="F180" s="78"/>
      <c r="G180" s="103"/>
      <c r="H180" s="102"/>
      <c r="I180" s="105" t="str">
        <f>IFERROR(VLOOKUP(KalkylSlut[[#This Row],[Klimatmaterial]],Materialtabell[[#All],[Materialnamn]:[Materialtyp]],2,0),"")</f>
        <v/>
      </c>
      <c r="J180" s="104" t="str">
        <f>IFERROR(IF(G180="kg",1,IF(G180="ton",1000,IF(G180=RIGHT(VLOOKUP(H180,Materialtabell[[#All],[Materialnamn]:[Enhet]],4,0),LEN(VLOOKUP(H180,Materialtabell[[#All],[Materialnamn]:[Enhet]],4,0))-3),VLOOKUP(H180,Materialtabell[[#All],[Materialnamn]:[Enhet]],3,0),"Enhetsfel"))),"")</f>
        <v/>
      </c>
      <c r="K180" s="105" t="str">
        <f>IFERROR(IF(G180="kg","kg/kg",IF(G180="ton","kg/ton",IF(RIGHT(VLOOKUP(H180,Materialtabell[[#All],[Materialnamn]:[Enhet]],4,0),LEN(VLOOKUP(H180,Materialtabell[[#All],[Materialnamn]:[Enhet]],4,0))-3)=G180,VLOOKUP(H180,Materialtabell[[#All],[Materialnamn]:[Enhet]],4,0),"kg/ton/"&amp;RIGHT(VLOOKUP(H180,Materialtabell[[#All],[Materialnamn]:[Enhet]],4,0),LEN(VLOOKUP(H180,Materialtabell[[#All],[Materialnamn]:[Enhet]],4,0))-3)))),"")</f>
        <v/>
      </c>
      <c r="L180" s="104" t="str">
        <f>IFERROR(KalkylSlut[[#This Row],[Mängd]]*KalkylSlut[[#This Row],[Omräknings-faktor]],"")</f>
        <v/>
      </c>
      <c r="M180" s="104" t="str">
        <f>IFERROR(F180*J180*VLOOKUP(H180,Materialtabell[[#All],[Materialnamn]:[Emissionsfaktor 2019
kg CO2e/kg]],5,0),"")</f>
        <v/>
      </c>
      <c r="N180" s="104" t="str">
        <f>IFERROR(F180*J180*VLOOKUP(H180,Materialtabell[[#All],[Materialnamn]:[Emissionsfaktor 2025
kg CO2e/kg]],6,0),"")</f>
        <v/>
      </c>
      <c r="O180" s="78" t="str">
        <f>IFERROR(VLOOKUP(H180,Materialtabell[[#All],[Materialnamn]:[Kommentar A4]],24,0),"")</f>
        <v/>
      </c>
      <c r="P180" s="94" t="str">
        <f>IFERROR(($F180*$J180*$O180*VLOOKUP($H180,Materialtabell[[#All],[Materialnamn]:[Bränsle 
MJ/ton, km]],25,0)*Materiallista!$AF$5)/1000,"")</f>
        <v/>
      </c>
      <c r="Q180" s="94" t="str">
        <f>IFERROR(($F180*$J180*$O180*VLOOKUP($H180,Materialtabell[[#All],[Materialnamn]:[Bränsle 
MJ/ton, km]],25,0)*Materiallista!$AF$6)/1000,"")</f>
        <v/>
      </c>
      <c r="R180" s="162"/>
      <c r="S180" s="3"/>
      <c r="T180" s="3"/>
    </row>
    <row r="181" spans="1:20" x14ac:dyDescent="0.25">
      <c r="A181" s="3"/>
      <c r="B181" s="185">
        <v>176</v>
      </c>
      <c r="C181" s="170"/>
      <c r="D181" s="103"/>
      <c r="E181" s="103"/>
      <c r="F181" s="78"/>
      <c r="G181" s="103"/>
      <c r="H181" s="102"/>
      <c r="I181" s="105" t="str">
        <f>IFERROR(VLOOKUP(KalkylSlut[[#This Row],[Klimatmaterial]],Materialtabell[[#All],[Materialnamn]:[Materialtyp]],2,0),"")</f>
        <v/>
      </c>
      <c r="J181" s="104" t="str">
        <f>IFERROR(IF(G181="kg",1,IF(G181="ton",1000,IF(G181=RIGHT(VLOOKUP(H181,Materialtabell[[#All],[Materialnamn]:[Enhet]],4,0),LEN(VLOOKUP(H181,Materialtabell[[#All],[Materialnamn]:[Enhet]],4,0))-3),VLOOKUP(H181,Materialtabell[[#All],[Materialnamn]:[Enhet]],3,0),"Enhetsfel"))),"")</f>
        <v/>
      </c>
      <c r="K181" s="105" t="str">
        <f>IFERROR(IF(G181="kg","kg/kg",IF(G181="ton","kg/ton",IF(RIGHT(VLOOKUP(H181,Materialtabell[[#All],[Materialnamn]:[Enhet]],4,0),LEN(VLOOKUP(H181,Materialtabell[[#All],[Materialnamn]:[Enhet]],4,0))-3)=G181,VLOOKUP(H181,Materialtabell[[#All],[Materialnamn]:[Enhet]],4,0),"kg/ton/"&amp;RIGHT(VLOOKUP(H181,Materialtabell[[#All],[Materialnamn]:[Enhet]],4,0),LEN(VLOOKUP(H181,Materialtabell[[#All],[Materialnamn]:[Enhet]],4,0))-3)))),"")</f>
        <v/>
      </c>
      <c r="L181" s="104" t="str">
        <f>IFERROR(KalkylSlut[[#This Row],[Mängd]]*KalkylSlut[[#This Row],[Omräknings-faktor]],"")</f>
        <v/>
      </c>
      <c r="M181" s="104" t="str">
        <f>IFERROR(F181*J181*VLOOKUP(H181,Materialtabell[[#All],[Materialnamn]:[Emissionsfaktor 2019
kg CO2e/kg]],5,0),"")</f>
        <v/>
      </c>
      <c r="N181" s="104" t="str">
        <f>IFERROR(F181*J181*VLOOKUP(H181,Materialtabell[[#All],[Materialnamn]:[Emissionsfaktor 2025
kg CO2e/kg]],6,0),"")</f>
        <v/>
      </c>
      <c r="O181" s="78" t="str">
        <f>IFERROR(VLOOKUP(H181,Materialtabell[[#All],[Materialnamn]:[Kommentar A4]],24,0),"")</f>
        <v/>
      </c>
      <c r="P181" s="94" t="str">
        <f>IFERROR(($F181*$J181*$O181*VLOOKUP($H181,Materialtabell[[#All],[Materialnamn]:[Bränsle 
MJ/ton, km]],25,0)*Materiallista!$AF$5)/1000,"")</f>
        <v/>
      </c>
      <c r="Q181" s="94" t="str">
        <f>IFERROR(($F181*$J181*$O181*VLOOKUP($H181,Materialtabell[[#All],[Materialnamn]:[Bränsle 
MJ/ton, km]],25,0)*Materiallista!$AF$6)/1000,"")</f>
        <v/>
      </c>
      <c r="R181" s="162"/>
      <c r="S181" s="3"/>
      <c r="T181" s="3"/>
    </row>
    <row r="182" spans="1:20" x14ac:dyDescent="0.25">
      <c r="A182" s="3"/>
      <c r="B182" s="185">
        <v>177</v>
      </c>
      <c r="C182" s="170"/>
      <c r="D182" s="103"/>
      <c r="E182" s="103"/>
      <c r="F182" s="78"/>
      <c r="G182" s="103"/>
      <c r="H182" s="102"/>
      <c r="I182" s="105" t="str">
        <f>IFERROR(VLOOKUP(KalkylSlut[[#This Row],[Klimatmaterial]],Materialtabell[[#All],[Materialnamn]:[Materialtyp]],2,0),"")</f>
        <v/>
      </c>
      <c r="J182" s="104" t="str">
        <f>IFERROR(IF(G182="kg",1,IF(G182="ton",1000,IF(G182=RIGHT(VLOOKUP(H182,Materialtabell[[#All],[Materialnamn]:[Enhet]],4,0),LEN(VLOOKUP(H182,Materialtabell[[#All],[Materialnamn]:[Enhet]],4,0))-3),VLOOKUP(H182,Materialtabell[[#All],[Materialnamn]:[Enhet]],3,0),"Enhetsfel"))),"")</f>
        <v/>
      </c>
      <c r="K182" s="105" t="str">
        <f>IFERROR(IF(G182="kg","kg/kg",IF(G182="ton","kg/ton",IF(RIGHT(VLOOKUP(H182,Materialtabell[[#All],[Materialnamn]:[Enhet]],4,0),LEN(VLOOKUP(H182,Materialtabell[[#All],[Materialnamn]:[Enhet]],4,0))-3)=G182,VLOOKUP(H182,Materialtabell[[#All],[Materialnamn]:[Enhet]],4,0),"kg/ton/"&amp;RIGHT(VLOOKUP(H182,Materialtabell[[#All],[Materialnamn]:[Enhet]],4,0),LEN(VLOOKUP(H182,Materialtabell[[#All],[Materialnamn]:[Enhet]],4,0))-3)))),"")</f>
        <v/>
      </c>
      <c r="L182" s="104" t="str">
        <f>IFERROR(KalkylSlut[[#This Row],[Mängd]]*KalkylSlut[[#This Row],[Omräknings-faktor]],"")</f>
        <v/>
      </c>
      <c r="M182" s="104" t="str">
        <f>IFERROR(F182*J182*VLOOKUP(H182,Materialtabell[[#All],[Materialnamn]:[Emissionsfaktor 2019
kg CO2e/kg]],5,0),"")</f>
        <v/>
      </c>
      <c r="N182" s="104" t="str">
        <f>IFERROR(F182*J182*VLOOKUP(H182,Materialtabell[[#All],[Materialnamn]:[Emissionsfaktor 2025
kg CO2e/kg]],6,0),"")</f>
        <v/>
      </c>
      <c r="O182" s="78" t="str">
        <f>IFERROR(VLOOKUP(H182,Materialtabell[[#All],[Materialnamn]:[Kommentar A4]],24,0),"")</f>
        <v/>
      </c>
      <c r="P182" s="94" t="str">
        <f>IFERROR(($F182*$J182*$O182*VLOOKUP($H182,Materialtabell[[#All],[Materialnamn]:[Bränsle 
MJ/ton, km]],25,0)*Materiallista!$AF$5)/1000,"")</f>
        <v/>
      </c>
      <c r="Q182" s="94" t="str">
        <f>IFERROR(($F182*$J182*$O182*VLOOKUP($H182,Materialtabell[[#All],[Materialnamn]:[Bränsle 
MJ/ton, km]],25,0)*Materiallista!$AF$6)/1000,"")</f>
        <v/>
      </c>
      <c r="R182" s="162"/>
      <c r="S182" s="3"/>
      <c r="T182" s="3"/>
    </row>
    <row r="183" spans="1:20" x14ac:dyDescent="0.25">
      <c r="A183" s="3"/>
      <c r="B183" s="185">
        <v>178</v>
      </c>
      <c r="C183" s="170"/>
      <c r="D183" s="103"/>
      <c r="E183" s="103"/>
      <c r="F183" s="78"/>
      <c r="G183" s="103"/>
      <c r="H183" s="102"/>
      <c r="I183" s="105" t="str">
        <f>IFERROR(VLOOKUP(KalkylSlut[[#This Row],[Klimatmaterial]],Materialtabell[[#All],[Materialnamn]:[Materialtyp]],2,0),"")</f>
        <v/>
      </c>
      <c r="J183" s="104" t="str">
        <f>IFERROR(IF(G183="kg",1,IF(G183="ton",1000,IF(G183=RIGHT(VLOOKUP(H183,Materialtabell[[#All],[Materialnamn]:[Enhet]],4,0),LEN(VLOOKUP(H183,Materialtabell[[#All],[Materialnamn]:[Enhet]],4,0))-3),VLOOKUP(H183,Materialtabell[[#All],[Materialnamn]:[Enhet]],3,0),"Enhetsfel"))),"")</f>
        <v/>
      </c>
      <c r="K183" s="105" t="str">
        <f>IFERROR(IF(G183="kg","kg/kg",IF(G183="ton","kg/ton",IF(RIGHT(VLOOKUP(H183,Materialtabell[[#All],[Materialnamn]:[Enhet]],4,0),LEN(VLOOKUP(H183,Materialtabell[[#All],[Materialnamn]:[Enhet]],4,0))-3)=G183,VLOOKUP(H183,Materialtabell[[#All],[Materialnamn]:[Enhet]],4,0),"kg/ton/"&amp;RIGHT(VLOOKUP(H183,Materialtabell[[#All],[Materialnamn]:[Enhet]],4,0),LEN(VLOOKUP(H183,Materialtabell[[#All],[Materialnamn]:[Enhet]],4,0))-3)))),"")</f>
        <v/>
      </c>
      <c r="L183" s="104" t="str">
        <f>IFERROR(KalkylSlut[[#This Row],[Mängd]]*KalkylSlut[[#This Row],[Omräknings-faktor]],"")</f>
        <v/>
      </c>
      <c r="M183" s="104" t="str">
        <f>IFERROR(F183*J183*VLOOKUP(H183,Materialtabell[[#All],[Materialnamn]:[Emissionsfaktor 2019
kg CO2e/kg]],5,0),"")</f>
        <v/>
      </c>
      <c r="N183" s="104" t="str">
        <f>IFERROR(F183*J183*VLOOKUP(H183,Materialtabell[[#All],[Materialnamn]:[Emissionsfaktor 2025
kg CO2e/kg]],6,0),"")</f>
        <v/>
      </c>
      <c r="O183" s="78" t="str">
        <f>IFERROR(VLOOKUP(H183,Materialtabell[[#All],[Materialnamn]:[Kommentar A4]],24,0),"")</f>
        <v/>
      </c>
      <c r="P183" s="94" t="str">
        <f>IFERROR(($F183*$J183*$O183*VLOOKUP($H183,Materialtabell[[#All],[Materialnamn]:[Bränsle 
MJ/ton, km]],25,0)*Materiallista!$AF$5)/1000,"")</f>
        <v/>
      </c>
      <c r="Q183" s="94" t="str">
        <f>IFERROR(($F183*$J183*$O183*VLOOKUP($H183,Materialtabell[[#All],[Materialnamn]:[Bränsle 
MJ/ton, km]],25,0)*Materiallista!$AF$6)/1000,"")</f>
        <v/>
      </c>
      <c r="R183" s="162"/>
      <c r="S183" s="3"/>
      <c r="T183" s="3"/>
    </row>
    <row r="184" spans="1:20" x14ac:dyDescent="0.25">
      <c r="A184" s="3"/>
      <c r="B184" s="185">
        <v>179</v>
      </c>
      <c r="C184" s="170"/>
      <c r="D184" s="103"/>
      <c r="E184" s="103"/>
      <c r="F184" s="78"/>
      <c r="G184" s="103"/>
      <c r="H184" s="102"/>
      <c r="I184" s="105" t="str">
        <f>IFERROR(VLOOKUP(KalkylSlut[[#This Row],[Klimatmaterial]],Materialtabell[[#All],[Materialnamn]:[Materialtyp]],2,0),"")</f>
        <v/>
      </c>
      <c r="J184" s="104" t="str">
        <f>IFERROR(IF(G184="kg",1,IF(G184="ton",1000,IF(G184=RIGHT(VLOOKUP(H184,Materialtabell[[#All],[Materialnamn]:[Enhet]],4,0),LEN(VLOOKUP(H184,Materialtabell[[#All],[Materialnamn]:[Enhet]],4,0))-3),VLOOKUP(H184,Materialtabell[[#All],[Materialnamn]:[Enhet]],3,0),"Enhetsfel"))),"")</f>
        <v/>
      </c>
      <c r="K184" s="105" t="str">
        <f>IFERROR(IF(G184="kg","kg/kg",IF(G184="ton","kg/ton",IF(RIGHT(VLOOKUP(H184,Materialtabell[[#All],[Materialnamn]:[Enhet]],4,0),LEN(VLOOKUP(H184,Materialtabell[[#All],[Materialnamn]:[Enhet]],4,0))-3)=G184,VLOOKUP(H184,Materialtabell[[#All],[Materialnamn]:[Enhet]],4,0),"kg/ton/"&amp;RIGHT(VLOOKUP(H184,Materialtabell[[#All],[Materialnamn]:[Enhet]],4,0),LEN(VLOOKUP(H184,Materialtabell[[#All],[Materialnamn]:[Enhet]],4,0))-3)))),"")</f>
        <v/>
      </c>
      <c r="L184" s="104" t="str">
        <f>IFERROR(KalkylSlut[[#This Row],[Mängd]]*KalkylSlut[[#This Row],[Omräknings-faktor]],"")</f>
        <v/>
      </c>
      <c r="M184" s="104" t="str">
        <f>IFERROR(F184*J184*VLOOKUP(H184,Materialtabell[[#All],[Materialnamn]:[Emissionsfaktor 2019
kg CO2e/kg]],5,0),"")</f>
        <v/>
      </c>
      <c r="N184" s="104" t="str">
        <f>IFERROR(F184*J184*VLOOKUP(H184,Materialtabell[[#All],[Materialnamn]:[Emissionsfaktor 2025
kg CO2e/kg]],6,0),"")</f>
        <v/>
      </c>
      <c r="O184" s="78" t="str">
        <f>IFERROR(VLOOKUP(H184,Materialtabell[[#All],[Materialnamn]:[Kommentar A4]],24,0),"")</f>
        <v/>
      </c>
      <c r="P184" s="94" t="str">
        <f>IFERROR(($F184*$J184*$O184*VLOOKUP($H184,Materialtabell[[#All],[Materialnamn]:[Bränsle 
MJ/ton, km]],25,0)*Materiallista!$AF$5)/1000,"")</f>
        <v/>
      </c>
      <c r="Q184" s="94" t="str">
        <f>IFERROR(($F184*$J184*$O184*VLOOKUP($H184,Materialtabell[[#All],[Materialnamn]:[Bränsle 
MJ/ton, km]],25,0)*Materiallista!$AF$6)/1000,"")</f>
        <v/>
      </c>
      <c r="R184" s="162"/>
      <c r="S184" s="3"/>
      <c r="T184" s="3"/>
    </row>
    <row r="185" spans="1:20" x14ac:dyDescent="0.25">
      <c r="A185" s="3"/>
      <c r="B185" s="185">
        <v>180</v>
      </c>
      <c r="C185" s="170"/>
      <c r="D185" s="103"/>
      <c r="E185" s="103"/>
      <c r="F185" s="78"/>
      <c r="G185" s="103"/>
      <c r="H185" s="102"/>
      <c r="I185" s="105" t="str">
        <f>IFERROR(VLOOKUP(KalkylSlut[[#This Row],[Klimatmaterial]],Materialtabell[[#All],[Materialnamn]:[Materialtyp]],2,0),"")</f>
        <v/>
      </c>
      <c r="J185" s="104" t="str">
        <f>IFERROR(IF(G185="kg",1,IF(G185="ton",1000,IF(G185=RIGHT(VLOOKUP(H185,Materialtabell[[#All],[Materialnamn]:[Enhet]],4,0),LEN(VLOOKUP(H185,Materialtabell[[#All],[Materialnamn]:[Enhet]],4,0))-3),VLOOKUP(H185,Materialtabell[[#All],[Materialnamn]:[Enhet]],3,0),"Enhetsfel"))),"")</f>
        <v/>
      </c>
      <c r="K185" s="105" t="str">
        <f>IFERROR(IF(G185="kg","kg/kg",IF(G185="ton","kg/ton",IF(RIGHT(VLOOKUP(H185,Materialtabell[[#All],[Materialnamn]:[Enhet]],4,0),LEN(VLOOKUP(H185,Materialtabell[[#All],[Materialnamn]:[Enhet]],4,0))-3)=G185,VLOOKUP(H185,Materialtabell[[#All],[Materialnamn]:[Enhet]],4,0),"kg/ton/"&amp;RIGHT(VLOOKUP(H185,Materialtabell[[#All],[Materialnamn]:[Enhet]],4,0),LEN(VLOOKUP(H185,Materialtabell[[#All],[Materialnamn]:[Enhet]],4,0))-3)))),"")</f>
        <v/>
      </c>
      <c r="L185" s="104" t="str">
        <f>IFERROR(KalkylSlut[[#This Row],[Mängd]]*KalkylSlut[[#This Row],[Omräknings-faktor]],"")</f>
        <v/>
      </c>
      <c r="M185" s="104" t="str">
        <f>IFERROR(F185*J185*VLOOKUP(H185,Materialtabell[[#All],[Materialnamn]:[Emissionsfaktor 2019
kg CO2e/kg]],5,0),"")</f>
        <v/>
      </c>
      <c r="N185" s="104" t="str">
        <f>IFERROR(F185*J185*VLOOKUP(H185,Materialtabell[[#All],[Materialnamn]:[Emissionsfaktor 2025
kg CO2e/kg]],6,0),"")</f>
        <v/>
      </c>
      <c r="O185" s="78" t="str">
        <f>IFERROR(VLOOKUP(H185,Materialtabell[[#All],[Materialnamn]:[Kommentar A4]],24,0),"")</f>
        <v/>
      </c>
      <c r="P185" s="94" t="str">
        <f>IFERROR(($F185*$J185*$O185*VLOOKUP($H185,Materialtabell[[#All],[Materialnamn]:[Bränsle 
MJ/ton, km]],25,0)*Materiallista!$AF$5)/1000,"")</f>
        <v/>
      </c>
      <c r="Q185" s="94" t="str">
        <f>IFERROR(($F185*$J185*$O185*VLOOKUP($H185,Materialtabell[[#All],[Materialnamn]:[Bränsle 
MJ/ton, km]],25,0)*Materiallista!$AF$6)/1000,"")</f>
        <v/>
      </c>
      <c r="R185" s="162"/>
      <c r="S185" s="3"/>
      <c r="T185" s="3"/>
    </row>
    <row r="186" spans="1:20" x14ac:dyDescent="0.25">
      <c r="A186" s="3"/>
      <c r="B186" s="185">
        <v>181</v>
      </c>
      <c r="C186" s="170"/>
      <c r="D186" s="103"/>
      <c r="E186" s="103"/>
      <c r="F186" s="78"/>
      <c r="G186" s="103"/>
      <c r="H186" s="102"/>
      <c r="I186" s="105" t="str">
        <f>IFERROR(VLOOKUP(KalkylSlut[[#This Row],[Klimatmaterial]],Materialtabell[[#All],[Materialnamn]:[Materialtyp]],2,0),"")</f>
        <v/>
      </c>
      <c r="J186" s="104" t="str">
        <f>IFERROR(IF(G186="kg",1,IF(G186="ton",1000,IF(G186=RIGHT(VLOOKUP(H186,Materialtabell[[#All],[Materialnamn]:[Enhet]],4,0),LEN(VLOOKUP(H186,Materialtabell[[#All],[Materialnamn]:[Enhet]],4,0))-3),VLOOKUP(H186,Materialtabell[[#All],[Materialnamn]:[Enhet]],3,0),"Enhetsfel"))),"")</f>
        <v/>
      </c>
      <c r="K186" s="105" t="str">
        <f>IFERROR(IF(G186="kg","kg/kg",IF(G186="ton","kg/ton",IF(RIGHT(VLOOKUP(H186,Materialtabell[[#All],[Materialnamn]:[Enhet]],4,0),LEN(VLOOKUP(H186,Materialtabell[[#All],[Materialnamn]:[Enhet]],4,0))-3)=G186,VLOOKUP(H186,Materialtabell[[#All],[Materialnamn]:[Enhet]],4,0),"kg/ton/"&amp;RIGHT(VLOOKUP(H186,Materialtabell[[#All],[Materialnamn]:[Enhet]],4,0),LEN(VLOOKUP(H186,Materialtabell[[#All],[Materialnamn]:[Enhet]],4,0))-3)))),"")</f>
        <v/>
      </c>
      <c r="L186" s="104" t="str">
        <f>IFERROR(KalkylSlut[[#This Row],[Mängd]]*KalkylSlut[[#This Row],[Omräknings-faktor]],"")</f>
        <v/>
      </c>
      <c r="M186" s="104" t="str">
        <f>IFERROR(F186*J186*VLOOKUP(H186,Materialtabell[[#All],[Materialnamn]:[Emissionsfaktor 2019
kg CO2e/kg]],5,0),"")</f>
        <v/>
      </c>
      <c r="N186" s="104" t="str">
        <f>IFERROR(F186*J186*VLOOKUP(H186,Materialtabell[[#All],[Materialnamn]:[Emissionsfaktor 2025
kg CO2e/kg]],6,0),"")</f>
        <v/>
      </c>
      <c r="O186" s="78" t="str">
        <f>IFERROR(VLOOKUP(H186,Materialtabell[[#All],[Materialnamn]:[Kommentar A4]],24,0),"")</f>
        <v/>
      </c>
      <c r="P186" s="94" t="str">
        <f>IFERROR(($F186*$J186*$O186*VLOOKUP($H186,Materialtabell[[#All],[Materialnamn]:[Bränsle 
MJ/ton, km]],25,0)*Materiallista!$AF$5)/1000,"")</f>
        <v/>
      </c>
      <c r="Q186" s="94" t="str">
        <f>IFERROR(($F186*$J186*$O186*VLOOKUP($H186,Materialtabell[[#All],[Materialnamn]:[Bränsle 
MJ/ton, km]],25,0)*Materiallista!$AF$6)/1000,"")</f>
        <v/>
      </c>
      <c r="R186" s="162"/>
      <c r="S186" s="3"/>
      <c r="T186" s="3"/>
    </row>
    <row r="187" spans="1:20" x14ac:dyDescent="0.25">
      <c r="A187" s="3"/>
      <c r="B187" s="185">
        <v>182</v>
      </c>
      <c r="C187" s="170"/>
      <c r="D187" s="103"/>
      <c r="E187" s="103"/>
      <c r="F187" s="78"/>
      <c r="G187" s="103"/>
      <c r="H187" s="102"/>
      <c r="I187" s="105" t="str">
        <f>IFERROR(VLOOKUP(KalkylSlut[[#This Row],[Klimatmaterial]],Materialtabell[[#All],[Materialnamn]:[Materialtyp]],2,0),"")</f>
        <v/>
      </c>
      <c r="J187" s="104" t="str">
        <f>IFERROR(IF(G187="kg",1,IF(G187="ton",1000,IF(G187=RIGHT(VLOOKUP(H187,Materialtabell[[#All],[Materialnamn]:[Enhet]],4,0),LEN(VLOOKUP(H187,Materialtabell[[#All],[Materialnamn]:[Enhet]],4,0))-3),VLOOKUP(H187,Materialtabell[[#All],[Materialnamn]:[Enhet]],3,0),"Enhetsfel"))),"")</f>
        <v/>
      </c>
      <c r="K187" s="105" t="str">
        <f>IFERROR(IF(G187="kg","kg/kg",IF(G187="ton","kg/ton",IF(RIGHT(VLOOKUP(H187,Materialtabell[[#All],[Materialnamn]:[Enhet]],4,0),LEN(VLOOKUP(H187,Materialtabell[[#All],[Materialnamn]:[Enhet]],4,0))-3)=G187,VLOOKUP(H187,Materialtabell[[#All],[Materialnamn]:[Enhet]],4,0),"kg/ton/"&amp;RIGHT(VLOOKUP(H187,Materialtabell[[#All],[Materialnamn]:[Enhet]],4,0),LEN(VLOOKUP(H187,Materialtabell[[#All],[Materialnamn]:[Enhet]],4,0))-3)))),"")</f>
        <v/>
      </c>
      <c r="L187" s="104" t="str">
        <f>IFERROR(KalkylSlut[[#This Row],[Mängd]]*KalkylSlut[[#This Row],[Omräknings-faktor]],"")</f>
        <v/>
      </c>
      <c r="M187" s="104" t="str">
        <f>IFERROR(F187*J187*VLOOKUP(H187,Materialtabell[[#All],[Materialnamn]:[Emissionsfaktor 2019
kg CO2e/kg]],5,0),"")</f>
        <v/>
      </c>
      <c r="N187" s="104" t="str">
        <f>IFERROR(F187*J187*VLOOKUP(H187,Materialtabell[[#All],[Materialnamn]:[Emissionsfaktor 2025
kg CO2e/kg]],6,0),"")</f>
        <v/>
      </c>
      <c r="O187" s="78" t="str">
        <f>IFERROR(VLOOKUP(H187,Materialtabell[[#All],[Materialnamn]:[Kommentar A4]],24,0),"")</f>
        <v/>
      </c>
      <c r="P187" s="94" t="str">
        <f>IFERROR(($F187*$J187*$O187*VLOOKUP($H187,Materialtabell[[#All],[Materialnamn]:[Bränsle 
MJ/ton, km]],25,0)*Materiallista!$AF$5)/1000,"")</f>
        <v/>
      </c>
      <c r="Q187" s="94" t="str">
        <f>IFERROR(($F187*$J187*$O187*VLOOKUP($H187,Materialtabell[[#All],[Materialnamn]:[Bränsle 
MJ/ton, km]],25,0)*Materiallista!$AF$6)/1000,"")</f>
        <v/>
      </c>
      <c r="R187" s="162"/>
      <c r="S187" s="3"/>
      <c r="T187" s="3"/>
    </row>
    <row r="188" spans="1:20" x14ac:dyDescent="0.25">
      <c r="A188" s="3"/>
      <c r="B188" s="185">
        <v>183</v>
      </c>
      <c r="C188" s="170"/>
      <c r="D188" s="103"/>
      <c r="E188" s="103"/>
      <c r="F188" s="78"/>
      <c r="G188" s="103"/>
      <c r="H188" s="102"/>
      <c r="I188" s="105" t="str">
        <f>IFERROR(VLOOKUP(KalkylSlut[[#This Row],[Klimatmaterial]],Materialtabell[[#All],[Materialnamn]:[Materialtyp]],2,0),"")</f>
        <v/>
      </c>
      <c r="J188" s="104" t="str">
        <f>IFERROR(IF(G188="kg",1,IF(G188="ton",1000,IF(G188=RIGHT(VLOOKUP(H188,Materialtabell[[#All],[Materialnamn]:[Enhet]],4,0),LEN(VLOOKUP(H188,Materialtabell[[#All],[Materialnamn]:[Enhet]],4,0))-3),VLOOKUP(H188,Materialtabell[[#All],[Materialnamn]:[Enhet]],3,0),"Enhetsfel"))),"")</f>
        <v/>
      </c>
      <c r="K188" s="105" t="str">
        <f>IFERROR(IF(G188="kg","kg/kg",IF(G188="ton","kg/ton",IF(RIGHT(VLOOKUP(H188,Materialtabell[[#All],[Materialnamn]:[Enhet]],4,0),LEN(VLOOKUP(H188,Materialtabell[[#All],[Materialnamn]:[Enhet]],4,0))-3)=G188,VLOOKUP(H188,Materialtabell[[#All],[Materialnamn]:[Enhet]],4,0),"kg/ton/"&amp;RIGHT(VLOOKUP(H188,Materialtabell[[#All],[Materialnamn]:[Enhet]],4,0),LEN(VLOOKUP(H188,Materialtabell[[#All],[Materialnamn]:[Enhet]],4,0))-3)))),"")</f>
        <v/>
      </c>
      <c r="L188" s="104" t="str">
        <f>IFERROR(KalkylSlut[[#This Row],[Mängd]]*KalkylSlut[[#This Row],[Omräknings-faktor]],"")</f>
        <v/>
      </c>
      <c r="M188" s="104" t="str">
        <f>IFERROR(F188*J188*VLOOKUP(H188,Materialtabell[[#All],[Materialnamn]:[Emissionsfaktor 2019
kg CO2e/kg]],5,0),"")</f>
        <v/>
      </c>
      <c r="N188" s="104" t="str">
        <f>IFERROR(F188*J188*VLOOKUP(H188,Materialtabell[[#All],[Materialnamn]:[Emissionsfaktor 2025
kg CO2e/kg]],6,0),"")</f>
        <v/>
      </c>
      <c r="O188" s="78" t="str">
        <f>IFERROR(VLOOKUP(H188,Materialtabell[[#All],[Materialnamn]:[Kommentar A4]],24,0),"")</f>
        <v/>
      </c>
      <c r="P188" s="94" t="str">
        <f>IFERROR(($F188*$J188*$O188*VLOOKUP($H188,Materialtabell[[#All],[Materialnamn]:[Bränsle 
MJ/ton, km]],25,0)*Materiallista!$AF$5)/1000,"")</f>
        <v/>
      </c>
      <c r="Q188" s="94" t="str">
        <f>IFERROR(($F188*$J188*$O188*VLOOKUP($H188,Materialtabell[[#All],[Materialnamn]:[Bränsle 
MJ/ton, km]],25,0)*Materiallista!$AF$6)/1000,"")</f>
        <v/>
      </c>
      <c r="R188" s="162"/>
      <c r="S188" s="3"/>
      <c r="T188" s="3"/>
    </row>
    <row r="189" spans="1:20" x14ac:dyDescent="0.25">
      <c r="A189" s="3"/>
      <c r="B189" s="185">
        <v>184</v>
      </c>
      <c r="C189" s="170"/>
      <c r="D189" s="103"/>
      <c r="E189" s="103"/>
      <c r="F189" s="78"/>
      <c r="G189" s="103"/>
      <c r="H189" s="102"/>
      <c r="I189" s="105" t="str">
        <f>IFERROR(VLOOKUP(KalkylSlut[[#This Row],[Klimatmaterial]],Materialtabell[[#All],[Materialnamn]:[Materialtyp]],2,0),"")</f>
        <v/>
      </c>
      <c r="J189" s="104" t="str">
        <f>IFERROR(IF(G189="kg",1,IF(G189="ton",1000,IF(G189=RIGHT(VLOOKUP(H189,Materialtabell[[#All],[Materialnamn]:[Enhet]],4,0),LEN(VLOOKUP(H189,Materialtabell[[#All],[Materialnamn]:[Enhet]],4,0))-3),VLOOKUP(H189,Materialtabell[[#All],[Materialnamn]:[Enhet]],3,0),"Enhetsfel"))),"")</f>
        <v/>
      </c>
      <c r="K189" s="105" t="str">
        <f>IFERROR(IF(G189="kg","kg/kg",IF(G189="ton","kg/ton",IF(RIGHT(VLOOKUP(H189,Materialtabell[[#All],[Materialnamn]:[Enhet]],4,0),LEN(VLOOKUP(H189,Materialtabell[[#All],[Materialnamn]:[Enhet]],4,0))-3)=G189,VLOOKUP(H189,Materialtabell[[#All],[Materialnamn]:[Enhet]],4,0),"kg/ton/"&amp;RIGHT(VLOOKUP(H189,Materialtabell[[#All],[Materialnamn]:[Enhet]],4,0),LEN(VLOOKUP(H189,Materialtabell[[#All],[Materialnamn]:[Enhet]],4,0))-3)))),"")</f>
        <v/>
      </c>
      <c r="L189" s="104" t="str">
        <f>IFERROR(KalkylSlut[[#This Row],[Mängd]]*KalkylSlut[[#This Row],[Omräknings-faktor]],"")</f>
        <v/>
      </c>
      <c r="M189" s="104" t="str">
        <f>IFERROR(F189*J189*VLOOKUP(H189,Materialtabell[[#All],[Materialnamn]:[Emissionsfaktor 2019
kg CO2e/kg]],5,0),"")</f>
        <v/>
      </c>
      <c r="N189" s="104" t="str">
        <f>IFERROR(F189*J189*VLOOKUP(H189,Materialtabell[[#All],[Materialnamn]:[Emissionsfaktor 2025
kg CO2e/kg]],6,0),"")</f>
        <v/>
      </c>
      <c r="O189" s="78" t="str">
        <f>IFERROR(VLOOKUP(H189,Materialtabell[[#All],[Materialnamn]:[Kommentar A4]],24,0),"")</f>
        <v/>
      </c>
      <c r="P189" s="94" t="str">
        <f>IFERROR(($F189*$J189*$O189*VLOOKUP($H189,Materialtabell[[#All],[Materialnamn]:[Bränsle 
MJ/ton, km]],25,0)*Materiallista!$AF$5)/1000,"")</f>
        <v/>
      </c>
      <c r="Q189" s="94" t="str">
        <f>IFERROR(($F189*$J189*$O189*VLOOKUP($H189,Materialtabell[[#All],[Materialnamn]:[Bränsle 
MJ/ton, km]],25,0)*Materiallista!$AF$6)/1000,"")</f>
        <v/>
      </c>
      <c r="R189" s="162"/>
      <c r="S189" s="3"/>
      <c r="T189" s="3"/>
    </row>
    <row r="190" spans="1:20" x14ac:dyDescent="0.25">
      <c r="A190" s="3"/>
      <c r="B190" s="185">
        <v>185</v>
      </c>
      <c r="C190" s="170"/>
      <c r="D190" s="103"/>
      <c r="E190" s="103"/>
      <c r="F190" s="78"/>
      <c r="G190" s="103"/>
      <c r="H190" s="102"/>
      <c r="I190" s="105" t="str">
        <f>IFERROR(VLOOKUP(KalkylSlut[[#This Row],[Klimatmaterial]],Materialtabell[[#All],[Materialnamn]:[Materialtyp]],2,0),"")</f>
        <v/>
      </c>
      <c r="J190" s="104" t="str">
        <f>IFERROR(IF(G190="kg",1,IF(G190="ton",1000,IF(G190=RIGHT(VLOOKUP(H190,Materialtabell[[#All],[Materialnamn]:[Enhet]],4,0),LEN(VLOOKUP(H190,Materialtabell[[#All],[Materialnamn]:[Enhet]],4,0))-3),VLOOKUP(H190,Materialtabell[[#All],[Materialnamn]:[Enhet]],3,0),"Enhetsfel"))),"")</f>
        <v/>
      </c>
      <c r="K190" s="105" t="str">
        <f>IFERROR(IF(G190="kg","kg/kg",IF(G190="ton","kg/ton",IF(RIGHT(VLOOKUP(H190,Materialtabell[[#All],[Materialnamn]:[Enhet]],4,0),LEN(VLOOKUP(H190,Materialtabell[[#All],[Materialnamn]:[Enhet]],4,0))-3)=G190,VLOOKUP(H190,Materialtabell[[#All],[Materialnamn]:[Enhet]],4,0),"kg/ton/"&amp;RIGHT(VLOOKUP(H190,Materialtabell[[#All],[Materialnamn]:[Enhet]],4,0),LEN(VLOOKUP(H190,Materialtabell[[#All],[Materialnamn]:[Enhet]],4,0))-3)))),"")</f>
        <v/>
      </c>
      <c r="L190" s="104" t="str">
        <f>IFERROR(KalkylSlut[[#This Row],[Mängd]]*KalkylSlut[[#This Row],[Omräknings-faktor]],"")</f>
        <v/>
      </c>
      <c r="M190" s="104" t="str">
        <f>IFERROR(F190*J190*VLOOKUP(H190,Materialtabell[[#All],[Materialnamn]:[Emissionsfaktor 2019
kg CO2e/kg]],5,0),"")</f>
        <v/>
      </c>
      <c r="N190" s="104" t="str">
        <f>IFERROR(F190*J190*VLOOKUP(H190,Materialtabell[[#All],[Materialnamn]:[Emissionsfaktor 2025
kg CO2e/kg]],6,0),"")</f>
        <v/>
      </c>
      <c r="O190" s="78" t="str">
        <f>IFERROR(VLOOKUP(H190,Materialtabell[[#All],[Materialnamn]:[Kommentar A4]],24,0),"")</f>
        <v/>
      </c>
      <c r="P190" s="94" t="str">
        <f>IFERROR(($F190*$J190*$O190*VLOOKUP($H190,Materialtabell[[#All],[Materialnamn]:[Bränsle 
MJ/ton, km]],25,0)*Materiallista!$AF$5)/1000,"")</f>
        <v/>
      </c>
      <c r="Q190" s="94" t="str">
        <f>IFERROR(($F190*$J190*$O190*VLOOKUP($H190,Materialtabell[[#All],[Materialnamn]:[Bränsle 
MJ/ton, km]],25,0)*Materiallista!$AF$6)/1000,"")</f>
        <v/>
      </c>
      <c r="R190" s="162"/>
      <c r="S190" s="3"/>
      <c r="T190" s="3"/>
    </row>
    <row r="191" spans="1:20" x14ac:dyDescent="0.25">
      <c r="A191" s="3"/>
      <c r="B191" s="185">
        <v>186</v>
      </c>
      <c r="C191" s="170"/>
      <c r="D191" s="103"/>
      <c r="E191" s="103"/>
      <c r="F191" s="78"/>
      <c r="G191" s="103"/>
      <c r="H191" s="102"/>
      <c r="I191" s="105" t="str">
        <f>IFERROR(VLOOKUP(KalkylSlut[[#This Row],[Klimatmaterial]],Materialtabell[[#All],[Materialnamn]:[Materialtyp]],2,0),"")</f>
        <v/>
      </c>
      <c r="J191" s="104" t="str">
        <f>IFERROR(IF(G191="kg",1,IF(G191="ton",1000,IF(G191=RIGHT(VLOOKUP(H191,Materialtabell[[#All],[Materialnamn]:[Enhet]],4,0),LEN(VLOOKUP(H191,Materialtabell[[#All],[Materialnamn]:[Enhet]],4,0))-3),VLOOKUP(H191,Materialtabell[[#All],[Materialnamn]:[Enhet]],3,0),"Enhetsfel"))),"")</f>
        <v/>
      </c>
      <c r="K191" s="105" t="str">
        <f>IFERROR(IF(G191="kg","kg/kg",IF(G191="ton","kg/ton",IF(RIGHT(VLOOKUP(H191,Materialtabell[[#All],[Materialnamn]:[Enhet]],4,0),LEN(VLOOKUP(H191,Materialtabell[[#All],[Materialnamn]:[Enhet]],4,0))-3)=G191,VLOOKUP(H191,Materialtabell[[#All],[Materialnamn]:[Enhet]],4,0),"kg/ton/"&amp;RIGHT(VLOOKUP(H191,Materialtabell[[#All],[Materialnamn]:[Enhet]],4,0),LEN(VLOOKUP(H191,Materialtabell[[#All],[Materialnamn]:[Enhet]],4,0))-3)))),"")</f>
        <v/>
      </c>
      <c r="L191" s="104" t="str">
        <f>IFERROR(KalkylSlut[[#This Row],[Mängd]]*KalkylSlut[[#This Row],[Omräknings-faktor]],"")</f>
        <v/>
      </c>
      <c r="M191" s="104" t="str">
        <f>IFERROR(F191*J191*VLOOKUP(H191,Materialtabell[[#All],[Materialnamn]:[Emissionsfaktor 2019
kg CO2e/kg]],5,0),"")</f>
        <v/>
      </c>
      <c r="N191" s="104" t="str">
        <f>IFERROR(F191*J191*VLOOKUP(H191,Materialtabell[[#All],[Materialnamn]:[Emissionsfaktor 2025
kg CO2e/kg]],6,0),"")</f>
        <v/>
      </c>
      <c r="O191" s="78" t="str">
        <f>IFERROR(VLOOKUP(H191,Materialtabell[[#All],[Materialnamn]:[Kommentar A4]],24,0),"")</f>
        <v/>
      </c>
      <c r="P191" s="94" t="str">
        <f>IFERROR(($F191*$J191*$O191*VLOOKUP($H191,Materialtabell[[#All],[Materialnamn]:[Bränsle 
MJ/ton, km]],25,0)*Materiallista!$AF$5)/1000,"")</f>
        <v/>
      </c>
      <c r="Q191" s="94" t="str">
        <f>IFERROR(($F191*$J191*$O191*VLOOKUP($H191,Materialtabell[[#All],[Materialnamn]:[Bränsle 
MJ/ton, km]],25,0)*Materiallista!$AF$6)/1000,"")</f>
        <v/>
      </c>
      <c r="R191" s="162"/>
      <c r="S191" s="3"/>
      <c r="T191" s="3"/>
    </row>
    <row r="192" spans="1:20" x14ac:dyDescent="0.25">
      <c r="A192" s="3"/>
      <c r="B192" s="185">
        <v>187</v>
      </c>
      <c r="C192" s="170"/>
      <c r="D192" s="103"/>
      <c r="E192" s="103"/>
      <c r="F192" s="78"/>
      <c r="G192" s="103"/>
      <c r="H192" s="102"/>
      <c r="I192" s="105" t="str">
        <f>IFERROR(VLOOKUP(KalkylSlut[[#This Row],[Klimatmaterial]],Materialtabell[[#All],[Materialnamn]:[Materialtyp]],2,0),"")</f>
        <v/>
      </c>
      <c r="J192" s="104" t="str">
        <f>IFERROR(IF(G192="kg",1,IF(G192="ton",1000,IF(G192=RIGHT(VLOOKUP(H192,Materialtabell[[#All],[Materialnamn]:[Enhet]],4,0),LEN(VLOOKUP(H192,Materialtabell[[#All],[Materialnamn]:[Enhet]],4,0))-3),VLOOKUP(H192,Materialtabell[[#All],[Materialnamn]:[Enhet]],3,0),"Enhetsfel"))),"")</f>
        <v/>
      </c>
      <c r="K192" s="105" t="str">
        <f>IFERROR(IF(G192="kg","kg/kg",IF(G192="ton","kg/ton",IF(RIGHT(VLOOKUP(H192,Materialtabell[[#All],[Materialnamn]:[Enhet]],4,0),LEN(VLOOKUP(H192,Materialtabell[[#All],[Materialnamn]:[Enhet]],4,0))-3)=G192,VLOOKUP(H192,Materialtabell[[#All],[Materialnamn]:[Enhet]],4,0),"kg/ton/"&amp;RIGHT(VLOOKUP(H192,Materialtabell[[#All],[Materialnamn]:[Enhet]],4,0),LEN(VLOOKUP(H192,Materialtabell[[#All],[Materialnamn]:[Enhet]],4,0))-3)))),"")</f>
        <v/>
      </c>
      <c r="L192" s="104" t="str">
        <f>IFERROR(KalkylSlut[[#This Row],[Mängd]]*KalkylSlut[[#This Row],[Omräknings-faktor]],"")</f>
        <v/>
      </c>
      <c r="M192" s="104" t="str">
        <f>IFERROR(F192*J192*VLOOKUP(H192,Materialtabell[[#All],[Materialnamn]:[Emissionsfaktor 2019
kg CO2e/kg]],5,0),"")</f>
        <v/>
      </c>
      <c r="N192" s="104" t="str">
        <f>IFERROR(F192*J192*VLOOKUP(H192,Materialtabell[[#All],[Materialnamn]:[Emissionsfaktor 2025
kg CO2e/kg]],6,0),"")</f>
        <v/>
      </c>
      <c r="O192" s="78" t="str">
        <f>IFERROR(VLOOKUP(H192,Materialtabell[[#All],[Materialnamn]:[Kommentar A4]],24,0),"")</f>
        <v/>
      </c>
      <c r="P192" s="94" t="str">
        <f>IFERROR(($F192*$J192*$O192*VLOOKUP($H192,Materialtabell[[#All],[Materialnamn]:[Bränsle 
MJ/ton, km]],25,0)*Materiallista!$AF$5)/1000,"")</f>
        <v/>
      </c>
      <c r="Q192" s="94" t="str">
        <f>IFERROR(($F192*$J192*$O192*VLOOKUP($H192,Materialtabell[[#All],[Materialnamn]:[Bränsle 
MJ/ton, km]],25,0)*Materiallista!$AF$6)/1000,"")</f>
        <v/>
      </c>
      <c r="R192" s="162"/>
      <c r="S192" s="3"/>
      <c r="T192" s="3"/>
    </row>
    <row r="193" spans="1:20" x14ac:dyDescent="0.25">
      <c r="A193" s="3"/>
      <c r="B193" s="185">
        <v>188</v>
      </c>
      <c r="C193" s="170"/>
      <c r="D193" s="103"/>
      <c r="E193" s="103"/>
      <c r="F193" s="78"/>
      <c r="G193" s="103"/>
      <c r="H193" s="102"/>
      <c r="I193" s="105" t="str">
        <f>IFERROR(VLOOKUP(KalkylSlut[[#This Row],[Klimatmaterial]],Materialtabell[[#All],[Materialnamn]:[Materialtyp]],2,0),"")</f>
        <v/>
      </c>
      <c r="J193" s="104" t="str">
        <f>IFERROR(IF(G193="kg",1,IF(G193="ton",1000,IF(G193=RIGHT(VLOOKUP(H193,Materialtabell[[#All],[Materialnamn]:[Enhet]],4,0),LEN(VLOOKUP(H193,Materialtabell[[#All],[Materialnamn]:[Enhet]],4,0))-3),VLOOKUP(H193,Materialtabell[[#All],[Materialnamn]:[Enhet]],3,0),"Enhetsfel"))),"")</f>
        <v/>
      </c>
      <c r="K193" s="105" t="str">
        <f>IFERROR(IF(G193="kg","kg/kg",IF(G193="ton","kg/ton",IF(RIGHT(VLOOKUP(H193,Materialtabell[[#All],[Materialnamn]:[Enhet]],4,0),LEN(VLOOKUP(H193,Materialtabell[[#All],[Materialnamn]:[Enhet]],4,0))-3)=G193,VLOOKUP(H193,Materialtabell[[#All],[Materialnamn]:[Enhet]],4,0),"kg/ton/"&amp;RIGHT(VLOOKUP(H193,Materialtabell[[#All],[Materialnamn]:[Enhet]],4,0),LEN(VLOOKUP(H193,Materialtabell[[#All],[Materialnamn]:[Enhet]],4,0))-3)))),"")</f>
        <v/>
      </c>
      <c r="L193" s="104" t="str">
        <f>IFERROR(KalkylSlut[[#This Row],[Mängd]]*KalkylSlut[[#This Row],[Omräknings-faktor]],"")</f>
        <v/>
      </c>
      <c r="M193" s="104" t="str">
        <f>IFERROR(F193*J193*VLOOKUP(H193,Materialtabell[[#All],[Materialnamn]:[Emissionsfaktor 2019
kg CO2e/kg]],5,0),"")</f>
        <v/>
      </c>
      <c r="N193" s="104" t="str">
        <f>IFERROR(F193*J193*VLOOKUP(H193,Materialtabell[[#All],[Materialnamn]:[Emissionsfaktor 2025
kg CO2e/kg]],6,0),"")</f>
        <v/>
      </c>
      <c r="O193" s="78" t="str">
        <f>IFERROR(VLOOKUP(H193,Materialtabell[[#All],[Materialnamn]:[Kommentar A4]],24,0),"")</f>
        <v/>
      </c>
      <c r="P193" s="94" t="str">
        <f>IFERROR(($F193*$J193*$O193*VLOOKUP($H193,Materialtabell[[#All],[Materialnamn]:[Bränsle 
MJ/ton, km]],25,0)*Materiallista!$AF$5)/1000,"")</f>
        <v/>
      </c>
      <c r="Q193" s="94" t="str">
        <f>IFERROR(($F193*$J193*$O193*VLOOKUP($H193,Materialtabell[[#All],[Materialnamn]:[Bränsle 
MJ/ton, km]],25,0)*Materiallista!$AF$6)/1000,"")</f>
        <v/>
      </c>
      <c r="R193" s="162"/>
      <c r="S193" s="3"/>
      <c r="T193" s="3"/>
    </row>
    <row r="194" spans="1:20" x14ac:dyDescent="0.25">
      <c r="A194" s="3"/>
      <c r="B194" s="185">
        <v>189</v>
      </c>
      <c r="C194" s="170"/>
      <c r="D194" s="103"/>
      <c r="E194" s="103"/>
      <c r="F194" s="78"/>
      <c r="G194" s="103"/>
      <c r="H194" s="102"/>
      <c r="I194" s="105" t="str">
        <f>IFERROR(VLOOKUP(KalkylSlut[[#This Row],[Klimatmaterial]],Materialtabell[[#All],[Materialnamn]:[Materialtyp]],2,0),"")</f>
        <v/>
      </c>
      <c r="J194" s="104" t="str">
        <f>IFERROR(IF(G194="kg",1,IF(G194="ton",1000,IF(G194=RIGHT(VLOOKUP(H194,Materialtabell[[#All],[Materialnamn]:[Enhet]],4,0),LEN(VLOOKUP(H194,Materialtabell[[#All],[Materialnamn]:[Enhet]],4,0))-3),VLOOKUP(H194,Materialtabell[[#All],[Materialnamn]:[Enhet]],3,0),"Enhetsfel"))),"")</f>
        <v/>
      </c>
      <c r="K194" s="105" t="str">
        <f>IFERROR(IF(G194="kg","kg/kg",IF(G194="ton","kg/ton",IF(RIGHT(VLOOKUP(H194,Materialtabell[[#All],[Materialnamn]:[Enhet]],4,0),LEN(VLOOKUP(H194,Materialtabell[[#All],[Materialnamn]:[Enhet]],4,0))-3)=G194,VLOOKUP(H194,Materialtabell[[#All],[Materialnamn]:[Enhet]],4,0),"kg/ton/"&amp;RIGHT(VLOOKUP(H194,Materialtabell[[#All],[Materialnamn]:[Enhet]],4,0),LEN(VLOOKUP(H194,Materialtabell[[#All],[Materialnamn]:[Enhet]],4,0))-3)))),"")</f>
        <v/>
      </c>
      <c r="L194" s="104" t="str">
        <f>IFERROR(KalkylSlut[[#This Row],[Mängd]]*KalkylSlut[[#This Row],[Omräknings-faktor]],"")</f>
        <v/>
      </c>
      <c r="M194" s="104" t="str">
        <f>IFERROR(F194*J194*VLOOKUP(H194,Materialtabell[[#All],[Materialnamn]:[Emissionsfaktor 2019
kg CO2e/kg]],5,0),"")</f>
        <v/>
      </c>
      <c r="N194" s="104" t="str">
        <f>IFERROR(F194*J194*VLOOKUP(H194,Materialtabell[[#All],[Materialnamn]:[Emissionsfaktor 2025
kg CO2e/kg]],6,0),"")</f>
        <v/>
      </c>
      <c r="O194" s="78" t="str">
        <f>IFERROR(VLOOKUP(H194,Materialtabell[[#All],[Materialnamn]:[Kommentar A4]],24,0),"")</f>
        <v/>
      </c>
      <c r="P194" s="94" t="str">
        <f>IFERROR(($F194*$J194*$O194*VLOOKUP($H194,Materialtabell[[#All],[Materialnamn]:[Bränsle 
MJ/ton, km]],25,0)*Materiallista!$AF$5)/1000,"")</f>
        <v/>
      </c>
      <c r="Q194" s="94" t="str">
        <f>IFERROR(($F194*$J194*$O194*VLOOKUP($H194,Materialtabell[[#All],[Materialnamn]:[Bränsle 
MJ/ton, km]],25,0)*Materiallista!$AF$6)/1000,"")</f>
        <v/>
      </c>
      <c r="R194" s="162"/>
      <c r="S194" s="3"/>
      <c r="T194" s="3"/>
    </row>
    <row r="195" spans="1:20" x14ac:dyDescent="0.25">
      <c r="A195" s="3"/>
      <c r="B195" s="185">
        <v>190</v>
      </c>
      <c r="C195" s="170"/>
      <c r="D195" s="103"/>
      <c r="E195" s="103"/>
      <c r="F195" s="78"/>
      <c r="G195" s="103"/>
      <c r="H195" s="102"/>
      <c r="I195" s="105" t="str">
        <f>IFERROR(VLOOKUP(KalkylSlut[[#This Row],[Klimatmaterial]],Materialtabell[[#All],[Materialnamn]:[Materialtyp]],2,0),"")</f>
        <v/>
      </c>
      <c r="J195" s="104" t="str">
        <f>IFERROR(IF(G195="kg",1,IF(G195="ton",1000,IF(G195=RIGHT(VLOOKUP(H195,Materialtabell[[#All],[Materialnamn]:[Enhet]],4,0),LEN(VLOOKUP(H195,Materialtabell[[#All],[Materialnamn]:[Enhet]],4,0))-3),VLOOKUP(H195,Materialtabell[[#All],[Materialnamn]:[Enhet]],3,0),"Enhetsfel"))),"")</f>
        <v/>
      </c>
      <c r="K195" s="105" t="str">
        <f>IFERROR(IF(G195="kg","kg/kg",IF(G195="ton","kg/ton",IF(RIGHT(VLOOKUP(H195,Materialtabell[[#All],[Materialnamn]:[Enhet]],4,0),LEN(VLOOKUP(H195,Materialtabell[[#All],[Materialnamn]:[Enhet]],4,0))-3)=G195,VLOOKUP(H195,Materialtabell[[#All],[Materialnamn]:[Enhet]],4,0),"kg/ton/"&amp;RIGHT(VLOOKUP(H195,Materialtabell[[#All],[Materialnamn]:[Enhet]],4,0),LEN(VLOOKUP(H195,Materialtabell[[#All],[Materialnamn]:[Enhet]],4,0))-3)))),"")</f>
        <v/>
      </c>
      <c r="L195" s="104" t="str">
        <f>IFERROR(KalkylSlut[[#This Row],[Mängd]]*KalkylSlut[[#This Row],[Omräknings-faktor]],"")</f>
        <v/>
      </c>
      <c r="M195" s="104" t="str">
        <f>IFERROR(F195*J195*VLOOKUP(H195,Materialtabell[[#All],[Materialnamn]:[Emissionsfaktor 2019
kg CO2e/kg]],5,0),"")</f>
        <v/>
      </c>
      <c r="N195" s="104" t="str">
        <f>IFERROR(F195*J195*VLOOKUP(H195,Materialtabell[[#All],[Materialnamn]:[Emissionsfaktor 2025
kg CO2e/kg]],6,0),"")</f>
        <v/>
      </c>
      <c r="O195" s="78" t="str">
        <f>IFERROR(VLOOKUP(H195,Materialtabell[[#All],[Materialnamn]:[Kommentar A4]],24,0),"")</f>
        <v/>
      </c>
      <c r="P195" s="94" t="str">
        <f>IFERROR(($F195*$J195*$O195*VLOOKUP($H195,Materialtabell[[#All],[Materialnamn]:[Bränsle 
MJ/ton, km]],25,0)*Materiallista!$AF$5)/1000,"")</f>
        <v/>
      </c>
      <c r="Q195" s="94" t="str">
        <f>IFERROR(($F195*$J195*$O195*VLOOKUP($H195,Materialtabell[[#All],[Materialnamn]:[Bränsle 
MJ/ton, km]],25,0)*Materiallista!$AF$6)/1000,"")</f>
        <v/>
      </c>
      <c r="R195" s="162"/>
      <c r="S195" s="3"/>
      <c r="T195" s="3"/>
    </row>
    <row r="196" spans="1:20" x14ac:dyDescent="0.25">
      <c r="A196" s="3"/>
      <c r="B196" s="185">
        <v>191</v>
      </c>
      <c r="C196" s="170"/>
      <c r="D196" s="103"/>
      <c r="E196" s="103"/>
      <c r="F196" s="78"/>
      <c r="G196" s="103"/>
      <c r="H196" s="102"/>
      <c r="I196" s="105" t="str">
        <f>IFERROR(VLOOKUP(KalkylSlut[[#This Row],[Klimatmaterial]],Materialtabell[[#All],[Materialnamn]:[Materialtyp]],2,0),"")</f>
        <v/>
      </c>
      <c r="J196" s="104" t="str">
        <f>IFERROR(IF(G196="kg",1,IF(G196="ton",1000,IF(G196=RIGHT(VLOOKUP(H196,Materialtabell[[#All],[Materialnamn]:[Enhet]],4,0),LEN(VLOOKUP(H196,Materialtabell[[#All],[Materialnamn]:[Enhet]],4,0))-3),VLOOKUP(H196,Materialtabell[[#All],[Materialnamn]:[Enhet]],3,0),"Enhetsfel"))),"")</f>
        <v/>
      </c>
      <c r="K196" s="105" t="str">
        <f>IFERROR(IF(G196="kg","kg/kg",IF(G196="ton","kg/ton",IF(RIGHT(VLOOKUP(H196,Materialtabell[[#All],[Materialnamn]:[Enhet]],4,0),LEN(VLOOKUP(H196,Materialtabell[[#All],[Materialnamn]:[Enhet]],4,0))-3)=G196,VLOOKUP(H196,Materialtabell[[#All],[Materialnamn]:[Enhet]],4,0),"kg/ton/"&amp;RIGHT(VLOOKUP(H196,Materialtabell[[#All],[Materialnamn]:[Enhet]],4,0),LEN(VLOOKUP(H196,Materialtabell[[#All],[Materialnamn]:[Enhet]],4,0))-3)))),"")</f>
        <v/>
      </c>
      <c r="L196" s="104" t="str">
        <f>IFERROR(KalkylSlut[[#This Row],[Mängd]]*KalkylSlut[[#This Row],[Omräknings-faktor]],"")</f>
        <v/>
      </c>
      <c r="M196" s="104" t="str">
        <f>IFERROR(F196*J196*VLOOKUP(H196,Materialtabell[[#All],[Materialnamn]:[Emissionsfaktor 2019
kg CO2e/kg]],5,0),"")</f>
        <v/>
      </c>
      <c r="N196" s="104" t="str">
        <f>IFERROR(F196*J196*VLOOKUP(H196,Materialtabell[[#All],[Materialnamn]:[Emissionsfaktor 2025
kg CO2e/kg]],6,0),"")</f>
        <v/>
      </c>
      <c r="O196" s="78" t="str">
        <f>IFERROR(VLOOKUP(H196,Materialtabell[[#All],[Materialnamn]:[Kommentar A4]],24,0),"")</f>
        <v/>
      </c>
      <c r="P196" s="94" t="str">
        <f>IFERROR(($F196*$J196*$O196*VLOOKUP($H196,Materialtabell[[#All],[Materialnamn]:[Bränsle 
MJ/ton, km]],25,0)*Materiallista!$AF$5)/1000,"")</f>
        <v/>
      </c>
      <c r="Q196" s="94" t="str">
        <f>IFERROR(($F196*$J196*$O196*VLOOKUP($H196,Materialtabell[[#All],[Materialnamn]:[Bränsle 
MJ/ton, km]],25,0)*Materiallista!$AF$6)/1000,"")</f>
        <v/>
      </c>
      <c r="R196" s="162"/>
      <c r="S196" s="3"/>
      <c r="T196" s="3"/>
    </row>
    <row r="197" spans="1:20" x14ac:dyDescent="0.25">
      <c r="A197" s="3"/>
      <c r="B197" s="185">
        <v>192</v>
      </c>
      <c r="C197" s="170"/>
      <c r="D197" s="103"/>
      <c r="E197" s="103"/>
      <c r="F197" s="78"/>
      <c r="G197" s="103"/>
      <c r="H197" s="102"/>
      <c r="I197" s="105" t="str">
        <f>IFERROR(VLOOKUP(KalkylSlut[[#This Row],[Klimatmaterial]],Materialtabell[[#All],[Materialnamn]:[Materialtyp]],2,0),"")</f>
        <v/>
      </c>
      <c r="J197" s="104" t="str">
        <f>IFERROR(IF(G197="kg",1,IF(G197="ton",1000,IF(G197=RIGHT(VLOOKUP(H197,Materialtabell[[#All],[Materialnamn]:[Enhet]],4,0),LEN(VLOOKUP(H197,Materialtabell[[#All],[Materialnamn]:[Enhet]],4,0))-3),VLOOKUP(H197,Materialtabell[[#All],[Materialnamn]:[Enhet]],3,0),"Enhetsfel"))),"")</f>
        <v/>
      </c>
      <c r="K197" s="105" t="str">
        <f>IFERROR(IF(G197="kg","kg/kg",IF(G197="ton","kg/ton",IF(RIGHT(VLOOKUP(H197,Materialtabell[[#All],[Materialnamn]:[Enhet]],4,0),LEN(VLOOKUP(H197,Materialtabell[[#All],[Materialnamn]:[Enhet]],4,0))-3)=G197,VLOOKUP(H197,Materialtabell[[#All],[Materialnamn]:[Enhet]],4,0),"kg/ton/"&amp;RIGHT(VLOOKUP(H197,Materialtabell[[#All],[Materialnamn]:[Enhet]],4,0),LEN(VLOOKUP(H197,Materialtabell[[#All],[Materialnamn]:[Enhet]],4,0))-3)))),"")</f>
        <v/>
      </c>
      <c r="L197" s="104" t="str">
        <f>IFERROR(KalkylSlut[[#This Row],[Mängd]]*KalkylSlut[[#This Row],[Omräknings-faktor]],"")</f>
        <v/>
      </c>
      <c r="M197" s="104" t="str">
        <f>IFERROR(F197*J197*VLOOKUP(H197,Materialtabell[[#All],[Materialnamn]:[Emissionsfaktor 2019
kg CO2e/kg]],5,0),"")</f>
        <v/>
      </c>
      <c r="N197" s="104" t="str">
        <f>IFERROR(F197*J197*VLOOKUP(H197,Materialtabell[[#All],[Materialnamn]:[Emissionsfaktor 2025
kg CO2e/kg]],6,0),"")</f>
        <v/>
      </c>
      <c r="O197" s="78" t="str">
        <f>IFERROR(VLOOKUP(H197,Materialtabell[[#All],[Materialnamn]:[Kommentar A4]],24,0),"")</f>
        <v/>
      </c>
      <c r="P197" s="94" t="str">
        <f>IFERROR(($F197*$J197*$O197*VLOOKUP($H197,Materialtabell[[#All],[Materialnamn]:[Bränsle 
MJ/ton, km]],25,0)*Materiallista!$AF$5)/1000,"")</f>
        <v/>
      </c>
      <c r="Q197" s="94" t="str">
        <f>IFERROR(($F197*$J197*$O197*VLOOKUP($H197,Materialtabell[[#All],[Materialnamn]:[Bränsle 
MJ/ton, km]],25,0)*Materiallista!$AF$6)/1000,"")</f>
        <v/>
      </c>
      <c r="R197" s="162"/>
      <c r="S197" s="3"/>
      <c r="T197" s="3"/>
    </row>
    <row r="198" spans="1:20" x14ac:dyDescent="0.25">
      <c r="A198" s="3"/>
      <c r="B198" s="185">
        <v>193</v>
      </c>
      <c r="C198" s="170"/>
      <c r="D198" s="103"/>
      <c r="E198" s="103"/>
      <c r="F198" s="78"/>
      <c r="G198" s="103"/>
      <c r="H198" s="102"/>
      <c r="I198" s="105" t="str">
        <f>IFERROR(VLOOKUP(KalkylSlut[[#This Row],[Klimatmaterial]],Materialtabell[[#All],[Materialnamn]:[Materialtyp]],2,0),"")</f>
        <v/>
      </c>
      <c r="J198" s="104" t="str">
        <f>IFERROR(IF(G198="kg",1,IF(G198="ton",1000,IF(G198=RIGHT(VLOOKUP(H198,Materialtabell[[#All],[Materialnamn]:[Enhet]],4,0),LEN(VLOOKUP(H198,Materialtabell[[#All],[Materialnamn]:[Enhet]],4,0))-3),VLOOKUP(H198,Materialtabell[[#All],[Materialnamn]:[Enhet]],3,0),"Enhetsfel"))),"")</f>
        <v/>
      </c>
      <c r="K198" s="105" t="str">
        <f>IFERROR(IF(G198="kg","kg/kg",IF(G198="ton","kg/ton",IF(RIGHT(VLOOKUP(H198,Materialtabell[[#All],[Materialnamn]:[Enhet]],4,0),LEN(VLOOKUP(H198,Materialtabell[[#All],[Materialnamn]:[Enhet]],4,0))-3)=G198,VLOOKUP(H198,Materialtabell[[#All],[Materialnamn]:[Enhet]],4,0),"kg/ton/"&amp;RIGHT(VLOOKUP(H198,Materialtabell[[#All],[Materialnamn]:[Enhet]],4,0),LEN(VLOOKUP(H198,Materialtabell[[#All],[Materialnamn]:[Enhet]],4,0))-3)))),"")</f>
        <v/>
      </c>
      <c r="L198" s="104" t="str">
        <f>IFERROR(KalkylSlut[[#This Row],[Mängd]]*KalkylSlut[[#This Row],[Omräknings-faktor]],"")</f>
        <v/>
      </c>
      <c r="M198" s="104" t="str">
        <f>IFERROR(F198*J198*VLOOKUP(H198,Materialtabell[[#All],[Materialnamn]:[Emissionsfaktor 2019
kg CO2e/kg]],5,0),"")</f>
        <v/>
      </c>
      <c r="N198" s="104" t="str">
        <f>IFERROR(F198*J198*VLOOKUP(H198,Materialtabell[[#All],[Materialnamn]:[Emissionsfaktor 2025
kg CO2e/kg]],6,0),"")</f>
        <v/>
      </c>
      <c r="O198" s="78" t="str">
        <f>IFERROR(VLOOKUP(H198,Materialtabell[[#All],[Materialnamn]:[Kommentar A4]],24,0),"")</f>
        <v/>
      </c>
      <c r="P198" s="94" t="str">
        <f>IFERROR(($F198*$J198*$O198*VLOOKUP($H198,Materialtabell[[#All],[Materialnamn]:[Bränsle 
MJ/ton, km]],25,0)*Materiallista!$AF$5)/1000,"")</f>
        <v/>
      </c>
      <c r="Q198" s="94" t="str">
        <f>IFERROR(($F198*$J198*$O198*VLOOKUP($H198,Materialtabell[[#All],[Materialnamn]:[Bränsle 
MJ/ton, km]],25,0)*Materiallista!$AF$6)/1000,"")</f>
        <v/>
      </c>
      <c r="R198" s="162"/>
      <c r="S198" s="3"/>
      <c r="T198" s="3"/>
    </row>
    <row r="199" spans="1:20" x14ac:dyDescent="0.25">
      <c r="A199" s="3"/>
      <c r="B199" s="185">
        <v>194</v>
      </c>
      <c r="C199" s="170"/>
      <c r="D199" s="103"/>
      <c r="E199" s="103"/>
      <c r="F199" s="78"/>
      <c r="G199" s="103"/>
      <c r="H199" s="102"/>
      <c r="I199" s="105" t="str">
        <f>IFERROR(VLOOKUP(KalkylSlut[[#This Row],[Klimatmaterial]],Materialtabell[[#All],[Materialnamn]:[Materialtyp]],2,0),"")</f>
        <v/>
      </c>
      <c r="J199" s="104" t="str">
        <f>IFERROR(IF(G199="kg",1,IF(G199="ton",1000,IF(G199=RIGHT(VLOOKUP(H199,Materialtabell[[#All],[Materialnamn]:[Enhet]],4,0),LEN(VLOOKUP(H199,Materialtabell[[#All],[Materialnamn]:[Enhet]],4,0))-3),VLOOKUP(H199,Materialtabell[[#All],[Materialnamn]:[Enhet]],3,0),"Enhetsfel"))),"")</f>
        <v/>
      </c>
      <c r="K199" s="105" t="str">
        <f>IFERROR(IF(G199="kg","kg/kg",IF(G199="ton","kg/ton",IF(RIGHT(VLOOKUP(H199,Materialtabell[[#All],[Materialnamn]:[Enhet]],4,0),LEN(VLOOKUP(H199,Materialtabell[[#All],[Materialnamn]:[Enhet]],4,0))-3)=G199,VLOOKUP(H199,Materialtabell[[#All],[Materialnamn]:[Enhet]],4,0),"kg/ton/"&amp;RIGHT(VLOOKUP(H199,Materialtabell[[#All],[Materialnamn]:[Enhet]],4,0),LEN(VLOOKUP(H199,Materialtabell[[#All],[Materialnamn]:[Enhet]],4,0))-3)))),"")</f>
        <v/>
      </c>
      <c r="L199" s="104" t="str">
        <f>IFERROR(KalkylSlut[[#This Row],[Mängd]]*KalkylSlut[[#This Row],[Omräknings-faktor]],"")</f>
        <v/>
      </c>
      <c r="M199" s="104" t="str">
        <f>IFERROR(F199*J199*VLOOKUP(H199,Materialtabell[[#All],[Materialnamn]:[Emissionsfaktor 2019
kg CO2e/kg]],5,0),"")</f>
        <v/>
      </c>
      <c r="N199" s="104" t="str">
        <f>IFERROR(F199*J199*VLOOKUP(H199,Materialtabell[[#All],[Materialnamn]:[Emissionsfaktor 2025
kg CO2e/kg]],6,0),"")</f>
        <v/>
      </c>
      <c r="O199" s="78" t="str">
        <f>IFERROR(VLOOKUP(H199,Materialtabell[[#All],[Materialnamn]:[Kommentar A4]],24,0),"")</f>
        <v/>
      </c>
      <c r="P199" s="94" t="str">
        <f>IFERROR(($F199*$J199*$O199*VLOOKUP($H199,Materialtabell[[#All],[Materialnamn]:[Bränsle 
MJ/ton, km]],25,0)*Materiallista!$AF$5)/1000,"")</f>
        <v/>
      </c>
      <c r="Q199" s="94" t="str">
        <f>IFERROR(($F199*$J199*$O199*VLOOKUP($H199,Materialtabell[[#All],[Materialnamn]:[Bränsle 
MJ/ton, km]],25,0)*Materiallista!$AF$6)/1000,"")</f>
        <v/>
      </c>
      <c r="R199" s="162"/>
      <c r="S199" s="3"/>
      <c r="T199" s="3"/>
    </row>
    <row r="200" spans="1:20" x14ac:dyDescent="0.25">
      <c r="A200" s="3"/>
      <c r="B200" s="185">
        <v>195</v>
      </c>
      <c r="C200" s="170"/>
      <c r="D200" s="103"/>
      <c r="E200" s="103"/>
      <c r="F200" s="78"/>
      <c r="G200" s="103"/>
      <c r="H200" s="102"/>
      <c r="I200" s="105" t="str">
        <f>IFERROR(VLOOKUP(KalkylSlut[[#This Row],[Klimatmaterial]],Materialtabell[[#All],[Materialnamn]:[Materialtyp]],2,0),"")</f>
        <v/>
      </c>
      <c r="J200" s="104" t="str">
        <f>IFERROR(IF(G200="kg",1,IF(G200="ton",1000,IF(G200=RIGHT(VLOOKUP(H200,Materialtabell[[#All],[Materialnamn]:[Enhet]],4,0),LEN(VLOOKUP(H200,Materialtabell[[#All],[Materialnamn]:[Enhet]],4,0))-3),VLOOKUP(H200,Materialtabell[[#All],[Materialnamn]:[Enhet]],3,0),"Enhetsfel"))),"")</f>
        <v/>
      </c>
      <c r="K200" s="105" t="str">
        <f>IFERROR(IF(G200="kg","kg/kg",IF(G200="ton","kg/ton",IF(RIGHT(VLOOKUP(H200,Materialtabell[[#All],[Materialnamn]:[Enhet]],4,0),LEN(VLOOKUP(H200,Materialtabell[[#All],[Materialnamn]:[Enhet]],4,0))-3)=G200,VLOOKUP(H200,Materialtabell[[#All],[Materialnamn]:[Enhet]],4,0),"kg/ton/"&amp;RIGHT(VLOOKUP(H200,Materialtabell[[#All],[Materialnamn]:[Enhet]],4,0),LEN(VLOOKUP(H200,Materialtabell[[#All],[Materialnamn]:[Enhet]],4,0))-3)))),"")</f>
        <v/>
      </c>
      <c r="L200" s="104" t="str">
        <f>IFERROR(KalkylSlut[[#This Row],[Mängd]]*KalkylSlut[[#This Row],[Omräknings-faktor]],"")</f>
        <v/>
      </c>
      <c r="M200" s="104" t="str">
        <f>IFERROR(F200*J200*VLOOKUP(H200,Materialtabell[[#All],[Materialnamn]:[Emissionsfaktor 2019
kg CO2e/kg]],5,0),"")</f>
        <v/>
      </c>
      <c r="N200" s="104" t="str">
        <f>IFERROR(F200*J200*VLOOKUP(H200,Materialtabell[[#All],[Materialnamn]:[Emissionsfaktor 2025
kg CO2e/kg]],6,0),"")</f>
        <v/>
      </c>
      <c r="O200" s="78" t="str">
        <f>IFERROR(VLOOKUP(H200,Materialtabell[[#All],[Materialnamn]:[Kommentar A4]],24,0),"")</f>
        <v/>
      </c>
      <c r="P200" s="94" t="str">
        <f>IFERROR(($F200*$J200*$O200*VLOOKUP($H200,Materialtabell[[#All],[Materialnamn]:[Bränsle 
MJ/ton, km]],25,0)*Materiallista!$AF$5)/1000,"")</f>
        <v/>
      </c>
      <c r="Q200" s="94" t="str">
        <f>IFERROR(($F200*$J200*$O200*VLOOKUP($H200,Materialtabell[[#All],[Materialnamn]:[Bränsle 
MJ/ton, km]],25,0)*Materiallista!$AF$6)/1000,"")</f>
        <v/>
      </c>
      <c r="R200" s="162"/>
      <c r="S200" s="3"/>
      <c r="T200" s="3"/>
    </row>
    <row r="201" spans="1:20" x14ac:dyDescent="0.25">
      <c r="A201" s="3"/>
      <c r="B201" s="185">
        <v>196</v>
      </c>
      <c r="C201" s="170"/>
      <c r="D201" s="103"/>
      <c r="E201" s="103"/>
      <c r="F201" s="78"/>
      <c r="G201" s="103"/>
      <c r="H201" s="102"/>
      <c r="I201" s="105" t="str">
        <f>IFERROR(VLOOKUP(KalkylSlut[[#This Row],[Klimatmaterial]],Materialtabell[[#All],[Materialnamn]:[Materialtyp]],2,0),"")</f>
        <v/>
      </c>
      <c r="J201" s="104" t="str">
        <f>IFERROR(IF(G201="kg",1,IF(G201="ton",1000,IF(G201=RIGHT(VLOOKUP(H201,Materialtabell[[#All],[Materialnamn]:[Enhet]],4,0),LEN(VLOOKUP(H201,Materialtabell[[#All],[Materialnamn]:[Enhet]],4,0))-3),VLOOKUP(H201,Materialtabell[[#All],[Materialnamn]:[Enhet]],3,0),"Enhetsfel"))),"")</f>
        <v/>
      </c>
      <c r="K201" s="105" t="str">
        <f>IFERROR(IF(G201="kg","kg/kg",IF(G201="ton","kg/ton",IF(RIGHT(VLOOKUP(H201,Materialtabell[[#All],[Materialnamn]:[Enhet]],4,0),LEN(VLOOKUP(H201,Materialtabell[[#All],[Materialnamn]:[Enhet]],4,0))-3)=G201,VLOOKUP(H201,Materialtabell[[#All],[Materialnamn]:[Enhet]],4,0),"kg/ton/"&amp;RIGHT(VLOOKUP(H201,Materialtabell[[#All],[Materialnamn]:[Enhet]],4,0),LEN(VLOOKUP(H201,Materialtabell[[#All],[Materialnamn]:[Enhet]],4,0))-3)))),"")</f>
        <v/>
      </c>
      <c r="L201" s="104" t="str">
        <f>IFERROR(KalkylSlut[[#This Row],[Mängd]]*KalkylSlut[[#This Row],[Omräknings-faktor]],"")</f>
        <v/>
      </c>
      <c r="M201" s="104" t="str">
        <f>IFERROR(F201*J201*VLOOKUP(H201,Materialtabell[[#All],[Materialnamn]:[Emissionsfaktor 2019
kg CO2e/kg]],5,0),"")</f>
        <v/>
      </c>
      <c r="N201" s="104" t="str">
        <f>IFERROR(F201*J201*VLOOKUP(H201,Materialtabell[[#All],[Materialnamn]:[Emissionsfaktor 2025
kg CO2e/kg]],6,0),"")</f>
        <v/>
      </c>
      <c r="O201" s="78" t="str">
        <f>IFERROR(VLOOKUP(H201,Materialtabell[[#All],[Materialnamn]:[Kommentar A4]],24,0),"")</f>
        <v/>
      </c>
      <c r="P201" s="94" t="str">
        <f>IFERROR(($F201*$J201*$O201*VLOOKUP($H201,Materialtabell[[#All],[Materialnamn]:[Bränsle 
MJ/ton, km]],25,0)*Materiallista!$AF$5)/1000,"")</f>
        <v/>
      </c>
      <c r="Q201" s="94" t="str">
        <f>IFERROR(($F201*$J201*$O201*VLOOKUP($H201,Materialtabell[[#All],[Materialnamn]:[Bränsle 
MJ/ton, km]],25,0)*Materiallista!$AF$6)/1000,"")</f>
        <v/>
      </c>
      <c r="R201" s="162"/>
      <c r="S201" s="3"/>
      <c r="T201" s="3"/>
    </row>
    <row r="202" spans="1:20" x14ac:dyDescent="0.25">
      <c r="A202" s="3"/>
      <c r="B202" s="185">
        <v>197</v>
      </c>
      <c r="C202" s="170"/>
      <c r="D202" s="103"/>
      <c r="E202" s="103"/>
      <c r="F202" s="78"/>
      <c r="G202" s="103"/>
      <c r="H202" s="102"/>
      <c r="I202" s="105" t="str">
        <f>IFERROR(VLOOKUP(KalkylSlut[[#This Row],[Klimatmaterial]],Materialtabell[[#All],[Materialnamn]:[Materialtyp]],2,0),"")</f>
        <v/>
      </c>
      <c r="J202" s="104" t="str">
        <f>IFERROR(IF(G202="kg",1,IF(G202="ton",1000,IF(G202=RIGHT(VLOOKUP(H202,Materialtabell[[#All],[Materialnamn]:[Enhet]],4,0),LEN(VLOOKUP(H202,Materialtabell[[#All],[Materialnamn]:[Enhet]],4,0))-3),VLOOKUP(H202,Materialtabell[[#All],[Materialnamn]:[Enhet]],3,0),"Enhetsfel"))),"")</f>
        <v/>
      </c>
      <c r="K202" s="105" t="str">
        <f>IFERROR(IF(G202="kg","kg/kg",IF(G202="ton","kg/ton",IF(RIGHT(VLOOKUP(H202,Materialtabell[[#All],[Materialnamn]:[Enhet]],4,0),LEN(VLOOKUP(H202,Materialtabell[[#All],[Materialnamn]:[Enhet]],4,0))-3)=G202,VLOOKUP(H202,Materialtabell[[#All],[Materialnamn]:[Enhet]],4,0),"kg/ton/"&amp;RIGHT(VLOOKUP(H202,Materialtabell[[#All],[Materialnamn]:[Enhet]],4,0),LEN(VLOOKUP(H202,Materialtabell[[#All],[Materialnamn]:[Enhet]],4,0))-3)))),"")</f>
        <v/>
      </c>
      <c r="L202" s="104" t="str">
        <f>IFERROR(KalkylSlut[[#This Row],[Mängd]]*KalkylSlut[[#This Row],[Omräknings-faktor]],"")</f>
        <v/>
      </c>
      <c r="M202" s="104" t="str">
        <f>IFERROR(F202*J202*VLOOKUP(H202,Materialtabell[[#All],[Materialnamn]:[Emissionsfaktor 2019
kg CO2e/kg]],5,0),"")</f>
        <v/>
      </c>
      <c r="N202" s="104" t="str">
        <f>IFERROR(F202*J202*VLOOKUP(H202,Materialtabell[[#All],[Materialnamn]:[Emissionsfaktor 2025
kg CO2e/kg]],6,0),"")</f>
        <v/>
      </c>
      <c r="O202" s="78" t="str">
        <f>IFERROR(VLOOKUP(H202,Materialtabell[[#All],[Materialnamn]:[Kommentar A4]],24,0),"")</f>
        <v/>
      </c>
      <c r="P202" s="94" t="str">
        <f>IFERROR(($F202*$J202*$O202*VLOOKUP($H202,Materialtabell[[#All],[Materialnamn]:[Bränsle 
MJ/ton, km]],25,0)*Materiallista!$AF$5)/1000,"")</f>
        <v/>
      </c>
      <c r="Q202" s="94" t="str">
        <f>IFERROR(($F202*$J202*$O202*VLOOKUP($H202,Materialtabell[[#All],[Materialnamn]:[Bränsle 
MJ/ton, km]],25,0)*Materiallista!$AF$6)/1000,"")</f>
        <v/>
      </c>
      <c r="R202" s="162"/>
      <c r="S202" s="3"/>
      <c r="T202" s="3"/>
    </row>
    <row r="203" spans="1:20" x14ac:dyDescent="0.25">
      <c r="A203" s="3"/>
      <c r="B203" s="185">
        <v>198</v>
      </c>
      <c r="C203" s="170"/>
      <c r="D203" s="103"/>
      <c r="E203" s="103"/>
      <c r="F203" s="78"/>
      <c r="G203" s="103"/>
      <c r="H203" s="102"/>
      <c r="I203" s="105" t="str">
        <f>IFERROR(VLOOKUP(KalkylSlut[[#This Row],[Klimatmaterial]],Materialtabell[[#All],[Materialnamn]:[Materialtyp]],2,0),"")</f>
        <v/>
      </c>
      <c r="J203" s="104" t="str">
        <f>IFERROR(IF(G203="kg",1,IF(G203="ton",1000,IF(G203=RIGHT(VLOOKUP(H203,Materialtabell[[#All],[Materialnamn]:[Enhet]],4,0),LEN(VLOOKUP(H203,Materialtabell[[#All],[Materialnamn]:[Enhet]],4,0))-3),VLOOKUP(H203,Materialtabell[[#All],[Materialnamn]:[Enhet]],3,0),"Enhetsfel"))),"")</f>
        <v/>
      </c>
      <c r="K203" s="105" t="str">
        <f>IFERROR(IF(G203="kg","kg/kg",IF(G203="ton","kg/ton",IF(RIGHT(VLOOKUP(H203,Materialtabell[[#All],[Materialnamn]:[Enhet]],4,0),LEN(VLOOKUP(H203,Materialtabell[[#All],[Materialnamn]:[Enhet]],4,0))-3)=G203,VLOOKUP(H203,Materialtabell[[#All],[Materialnamn]:[Enhet]],4,0),"kg/ton/"&amp;RIGHT(VLOOKUP(H203,Materialtabell[[#All],[Materialnamn]:[Enhet]],4,0),LEN(VLOOKUP(H203,Materialtabell[[#All],[Materialnamn]:[Enhet]],4,0))-3)))),"")</f>
        <v/>
      </c>
      <c r="L203" s="104" t="str">
        <f>IFERROR(KalkylSlut[[#This Row],[Mängd]]*KalkylSlut[[#This Row],[Omräknings-faktor]],"")</f>
        <v/>
      </c>
      <c r="M203" s="104" t="str">
        <f>IFERROR(F203*J203*VLOOKUP(H203,Materialtabell[[#All],[Materialnamn]:[Emissionsfaktor 2019
kg CO2e/kg]],5,0),"")</f>
        <v/>
      </c>
      <c r="N203" s="104" t="str">
        <f>IFERROR(F203*J203*VLOOKUP(H203,Materialtabell[[#All],[Materialnamn]:[Emissionsfaktor 2025
kg CO2e/kg]],6,0),"")</f>
        <v/>
      </c>
      <c r="O203" s="78" t="str">
        <f>IFERROR(VLOOKUP(H203,Materialtabell[[#All],[Materialnamn]:[Kommentar A4]],24,0),"")</f>
        <v/>
      </c>
      <c r="P203" s="94" t="str">
        <f>IFERROR(($F203*$J203*$O203*VLOOKUP($H203,Materialtabell[[#All],[Materialnamn]:[Bränsle 
MJ/ton, km]],25,0)*Materiallista!$AF$5)/1000,"")</f>
        <v/>
      </c>
      <c r="Q203" s="94" t="str">
        <f>IFERROR(($F203*$J203*$O203*VLOOKUP($H203,Materialtabell[[#All],[Materialnamn]:[Bränsle 
MJ/ton, km]],25,0)*Materiallista!$AF$6)/1000,"")</f>
        <v/>
      </c>
      <c r="R203" s="162"/>
      <c r="S203" s="3"/>
      <c r="T203" s="3"/>
    </row>
    <row r="204" spans="1:20" x14ac:dyDescent="0.25">
      <c r="A204" s="3"/>
      <c r="B204" s="185">
        <v>199</v>
      </c>
      <c r="C204" s="170"/>
      <c r="D204" s="103"/>
      <c r="E204" s="103"/>
      <c r="F204" s="78"/>
      <c r="G204" s="103"/>
      <c r="H204" s="102"/>
      <c r="I204" s="105" t="str">
        <f>IFERROR(VLOOKUP(KalkylSlut[[#This Row],[Klimatmaterial]],Materialtabell[[#All],[Materialnamn]:[Materialtyp]],2,0),"")</f>
        <v/>
      </c>
      <c r="J204" s="104" t="str">
        <f>IFERROR(IF(G204="kg",1,IF(G204="ton",1000,IF(G204=RIGHT(VLOOKUP(H204,Materialtabell[[#All],[Materialnamn]:[Enhet]],4,0),LEN(VLOOKUP(H204,Materialtabell[[#All],[Materialnamn]:[Enhet]],4,0))-3),VLOOKUP(H204,Materialtabell[[#All],[Materialnamn]:[Enhet]],3,0),"Enhetsfel"))),"")</f>
        <v/>
      </c>
      <c r="K204" s="105" t="str">
        <f>IFERROR(IF(G204="kg","kg/kg",IF(G204="ton","kg/ton",IF(RIGHT(VLOOKUP(H204,Materialtabell[[#All],[Materialnamn]:[Enhet]],4,0),LEN(VLOOKUP(H204,Materialtabell[[#All],[Materialnamn]:[Enhet]],4,0))-3)=G204,VLOOKUP(H204,Materialtabell[[#All],[Materialnamn]:[Enhet]],4,0),"kg/ton/"&amp;RIGHT(VLOOKUP(H204,Materialtabell[[#All],[Materialnamn]:[Enhet]],4,0),LEN(VLOOKUP(H204,Materialtabell[[#All],[Materialnamn]:[Enhet]],4,0))-3)))),"")</f>
        <v/>
      </c>
      <c r="L204" s="104" t="str">
        <f>IFERROR(KalkylSlut[[#This Row],[Mängd]]*KalkylSlut[[#This Row],[Omräknings-faktor]],"")</f>
        <v/>
      </c>
      <c r="M204" s="104" t="str">
        <f>IFERROR(F204*J204*VLOOKUP(H204,Materialtabell[[#All],[Materialnamn]:[Emissionsfaktor 2019
kg CO2e/kg]],5,0),"")</f>
        <v/>
      </c>
      <c r="N204" s="104" t="str">
        <f>IFERROR(F204*J204*VLOOKUP(H204,Materialtabell[[#All],[Materialnamn]:[Emissionsfaktor 2025
kg CO2e/kg]],6,0),"")</f>
        <v/>
      </c>
      <c r="O204" s="78" t="str">
        <f>IFERROR(VLOOKUP(H204,Materialtabell[[#All],[Materialnamn]:[Kommentar A4]],24,0),"")</f>
        <v/>
      </c>
      <c r="P204" s="94" t="str">
        <f>IFERROR(($F204*$J204*$O204*VLOOKUP($H204,Materialtabell[[#All],[Materialnamn]:[Bränsle 
MJ/ton, km]],25,0)*Materiallista!$AF$5)/1000,"")</f>
        <v/>
      </c>
      <c r="Q204" s="94" t="str">
        <f>IFERROR(($F204*$J204*$O204*VLOOKUP($H204,Materialtabell[[#All],[Materialnamn]:[Bränsle 
MJ/ton, km]],25,0)*Materiallista!$AF$6)/1000,"")</f>
        <v/>
      </c>
      <c r="R204" s="162"/>
      <c r="S204" s="3"/>
      <c r="T204" s="3"/>
    </row>
    <row r="205" spans="1:20" x14ac:dyDescent="0.25">
      <c r="A205" s="3"/>
      <c r="B205" s="185">
        <v>200</v>
      </c>
      <c r="C205" s="171"/>
      <c r="D205" s="164"/>
      <c r="E205" s="164"/>
      <c r="F205" s="165"/>
      <c r="G205" s="164"/>
      <c r="H205" s="163"/>
      <c r="I205" s="166" t="str">
        <f>IFERROR(VLOOKUP(KalkylSlut[[#This Row],[Klimatmaterial]],Materialtabell[[#All],[Materialnamn]:[Materialtyp]],2,0),"")</f>
        <v/>
      </c>
      <c r="J205" s="167" t="str">
        <f>IFERROR(IF(G205="kg",1,IF(G205="ton",1000,IF(G205=RIGHT(VLOOKUP(H205,Materialtabell[[#All],[Materialnamn]:[Enhet]],4,0),LEN(VLOOKUP(H205,Materialtabell[[#All],[Materialnamn]:[Enhet]],4,0))-3),VLOOKUP(H205,Materialtabell[[#All],[Materialnamn]:[Enhet]],3,0),"Enhetsfel"))),"")</f>
        <v/>
      </c>
      <c r="K205" s="166" t="str">
        <f>IFERROR(IF(G205="kg","kg/kg",IF(G205="ton","kg/ton",IF(RIGHT(VLOOKUP(H205,Materialtabell[[#All],[Materialnamn]:[Enhet]],4,0),LEN(VLOOKUP(H205,Materialtabell[[#All],[Materialnamn]:[Enhet]],4,0))-3)=G205,VLOOKUP(H205,Materialtabell[[#All],[Materialnamn]:[Enhet]],4,0),"kg/ton/"&amp;RIGHT(VLOOKUP(H205,Materialtabell[[#All],[Materialnamn]:[Enhet]],4,0),LEN(VLOOKUP(H205,Materialtabell[[#All],[Materialnamn]:[Enhet]],4,0))-3)))),"")</f>
        <v/>
      </c>
      <c r="L205" s="167" t="str">
        <f>IFERROR(KalkylSlut[[#This Row],[Mängd]]*KalkylSlut[[#This Row],[Omräknings-faktor]],"")</f>
        <v/>
      </c>
      <c r="M205" s="167" t="str">
        <f>IFERROR(F205*J205*VLOOKUP(H205,Materialtabell[[#All],[Materialnamn]:[Emissionsfaktor 2019
kg CO2e/kg]],5,0),"")</f>
        <v/>
      </c>
      <c r="N205" s="167" t="str">
        <f>IFERROR(F205*J205*VLOOKUP(H205,Materialtabell[[#All],[Materialnamn]:[Emissionsfaktor 2025
kg CO2e/kg]],6,0),"")</f>
        <v/>
      </c>
      <c r="O205" s="78" t="str">
        <f>IFERROR(VLOOKUP(H205,Materialtabell[[#All],[Materialnamn]:[Kommentar A4]],24,0),"")</f>
        <v/>
      </c>
      <c r="P205" s="168" t="str">
        <f>IFERROR(($F205*$J205*$O205*VLOOKUP($H205,Materialtabell[[#All],[Materialnamn]:[Bränsle 
MJ/ton, km]],25,0)*Materiallista!$AF$5)/1000,"")</f>
        <v/>
      </c>
      <c r="Q205" s="168" t="str">
        <f>IFERROR(($F205*$J205*$O205*VLOOKUP($H205,Materialtabell[[#All],[Materialnamn]:[Bränsle 
MJ/ton, km]],25,0)*Materiallista!$AF$6)/1000,"")</f>
        <v/>
      </c>
      <c r="R205" s="169"/>
      <c r="S205" s="3"/>
      <c r="T205" s="3"/>
    </row>
    <row r="206" spans="1:20" x14ac:dyDescent="0.25">
      <c r="A206" s="3"/>
      <c r="B206" s="185">
        <v>201</v>
      </c>
      <c r="C206" s="170"/>
      <c r="D206" s="103"/>
      <c r="E206" s="103"/>
      <c r="F206" s="78"/>
      <c r="G206" s="103"/>
      <c r="H206" s="102"/>
      <c r="I206" s="105" t="str">
        <f>IFERROR(VLOOKUP(KalkylSlut[[#This Row],[Klimatmaterial]],Materialtabell[[#All],[Materialnamn]:[Materialtyp]],2,0),"")</f>
        <v/>
      </c>
      <c r="J206" s="104" t="str">
        <f>IFERROR(IF(G206="kg",1,IF(G206="ton",1000,IF(G206=RIGHT(VLOOKUP(H206,Materialtabell[[#All],[Materialnamn]:[Enhet]],4,0),LEN(VLOOKUP(H206,Materialtabell[[#All],[Materialnamn]:[Enhet]],4,0))-3),VLOOKUP(H206,Materialtabell[[#All],[Materialnamn]:[Enhet]],3,0),"Enhetsfel"))),"")</f>
        <v/>
      </c>
      <c r="K206" s="105" t="str">
        <f>IFERROR(IF(G206="kg","kg/kg",IF(G206="ton","kg/ton",IF(RIGHT(VLOOKUP(H206,Materialtabell[[#All],[Materialnamn]:[Enhet]],4,0),LEN(VLOOKUP(H206,Materialtabell[[#All],[Materialnamn]:[Enhet]],4,0))-3)=G206,VLOOKUP(H206,Materialtabell[[#All],[Materialnamn]:[Enhet]],4,0),"kg/ton/"&amp;RIGHT(VLOOKUP(H206,Materialtabell[[#All],[Materialnamn]:[Enhet]],4,0),LEN(VLOOKUP(H206,Materialtabell[[#All],[Materialnamn]:[Enhet]],4,0))-3)))),"")</f>
        <v/>
      </c>
      <c r="L206" s="104" t="str">
        <f>IFERROR(KalkylSlut[[#This Row],[Mängd]]*KalkylSlut[[#This Row],[Omräknings-faktor]],"")</f>
        <v/>
      </c>
      <c r="M206" s="104" t="str">
        <f>IFERROR(F206*J206*VLOOKUP(H206,Materialtabell[[#All],[Materialnamn]:[Emissionsfaktor 2019
kg CO2e/kg]],5,0),"")</f>
        <v/>
      </c>
      <c r="N206" s="104" t="str">
        <f>IFERROR(F206*J206*VLOOKUP(H206,Materialtabell[[#All],[Materialnamn]:[Emissionsfaktor 2025
kg CO2e/kg]],6,0),"")</f>
        <v/>
      </c>
      <c r="O206" s="78" t="str">
        <f>IFERROR(VLOOKUP(H206,Materialtabell[[#All],[Materialnamn]:[Kommentar A4]],24,0),"")</f>
        <v/>
      </c>
      <c r="P206" s="94" t="str">
        <f>IFERROR(($F206*$J206*$O206*VLOOKUP($H206,Materialtabell[[#All],[Materialnamn]:[Bränsle 
MJ/ton, km]],25,0)*Materiallista!$AF$5)/1000,"")</f>
        <v/>
      </c>
      <c r="Q206" s="94" t="str">
        <f>IFERROR(($F206*$J206*$O206*VLOOKUP($H206,Materialtabell[[#All],[Materialnamn]:[Bränsle 
MJ/ton, km]],25,0)*Materiallista!$AF$6)/1000,"")</f>
        <v/>
      </c>
      <c r="R206" s="162"/>
      <c r="S206" s="3"/>
      <c r="T206" s="3"/>
    </row>
    <row r="207" spans="1:20" x14ac:dyDescent="0.25">
      <c r="A207" s="3"/>
      <c r="B207" s="185">
        <v>202</v>
      </c>
      <c r="C207" s="170"/>
      <c r="D207" s="103"/>
      <c r="E207" s="103"/>
      <c r="F207" s="78"/>
      <c r="G207" s="103"/>
      <c r="H207" s="102"/>
      <c r="I207" s="105" t="str">
        <f>IFERROR(VLOOKUP(KalkylSlut[[#This Row],[Klimatmaterial]],Materialtabell[[#All],[Materialnamn]:[Materialtyp]],2,0),"")</f>
        <v/>
      </c>
      <c r="J207" s="104" t="str">
        <f>IFERROR(IF(G207="kg",1,IF(G207="ton",1000,IF(G207=RIGHT(VLOOKUP(H207,Materialtabell[[#All],[Materialnamn]:[Enhet]],4,0),LEN(VLOOKUP(H207,Materialtabell[[#All],[Materialnamn]:[Enhet]],4,0))-3),VLOOKUP(H207,Materialtabell[[#All],[Materialnamn]:[Enhet]],3,0),"Enhetsfel"))),"")</f>
        <v/>
      </c>
      <c r="K207" s="105" t="str">
        <f>IFERROR(IF(G207="kg","kg/kg",IF(G207="ton","kg/ton",IF(RIGHT(VLOOKUP(H207,Materialtabell[[#All],[Materialnamn]:[Enhet]],4,0),LEN(VLOOKUP(H207,Materialtabell[[#All],[Materialnamn]:[Enhet]],4,0))-3)=G207,VLOOKUP(H207,Materialtabell[[#All],[Materialnamn]:[Enhet]],4,0),"kg/ton/"&amp;RIGHT(VLOOKUP(H207,Materialtabell[[#All],[Materialnamn]:[Enhet]],4,0),LEN(VLOOKUP(H207,Materialtabell[[#All],[Materialnamn]:[Enhet]],4,0))-3)))),"")</f>
        <v/>
      </c>
      <c r="L207" s="104" t="str">
        <f>IFERROR(KalkylSlut[[#This Row],[Mängd]]*KalkylSlut[[#This Row],[Omräknings-faktor]],"")</f>
        <v/>
      </c>
      <c r="M207" s="104" t="str">
        <f>IFERROR(F207*J207*VLOOKUP(H207,Materialtabell[[#All],[Materialnamn]:[Emissionsfaktor 2019
kg CO2e/kg]],5,0),"")</f>
        <v/>
      </c>
      <c r="N207" s="104" t="str">
        <f>IFERROR(F207*J207*VLOOKUP(H207,Materialtabell[[#All],[Materialnamn]:[Emissionsfaktor 2025
kg CO2e/kg]],6,0),"")</f>
        <v/>
      </c>
      <c r="O207" s="78" t="str">
        <f>IFERROR(VLOOKUP(H207,Materialtabell[[#All],[Materialnamn]:[Kommentar A4]],24,0),"")</f>
        <v/>
      </c>
      <c r="P207" s="94" t="str">
        <f>IFERROR(($F207*$J207*$O207*VLOOKUP($H207,Materialtabell[[#All],[Materialnamn]:[Bränsle 
MJ/ton, km]],25,0)*Materiallista!$AF$5)/1000,"")</f>
        <v/>
      </c>
      <c r="Q207" s="94" t="str">
        <f>IFERROR(($F207*$J207*$O207*VLOOKUP($H207,Materialtabell[[#All],[Materialnamn]:[Bränsle 
MJ/ton, km]],25,0)*Materiallista!$AF$6)/1000,"")</f>
        <v/>
      </c>
      <c r="R207" s="162"/>
      <c r="S207" s="3"/>
      <c r="T207" s="3"/>
    </row>
    <row r="208" spans="1:20" x14ac:dyDescent="0.25">
      <c r="A208" s="3"/>
      <c r="B208" s="185">
        <v>203</v>
      </c>
      <c r="C208" s="170"/>
      <c r="D208" s="103"/>
      <c r="E208" s="103"/>
      <c r="F208" s="78"/>
      <c r="G208" s="103"/>
      <c r="H208" s="102"/>
      <c r="I208" s="105" t="str">
        <f>IFERROR(VLOOKUP(KalkylSlut[[#This Row],[Klimatmaterial]],Materialtabell[[#All],[Materialnamn]:[Materialtyp]],2,0),"")</f>
        <v/>
      </c>
      <c r="J208" s="104" t="str">
        <f>IFERROR(IF(G208="kg",1,IF(G208="ton",1000,IF(G208=RIGHT(VLOOKUP(H208,Materialtabell[[#All],[Materialnamn]:[Enhet]],4,0),LEN(VLOOKUP(H208,Materialtabell[[#All],[Materialnamn]:[Enhet]],4,0))-3),VLOOKUP(H208,Materialtabell[[#All],[Materialnamn]:[Enhet]],3,0),"Enhetsfel"))),"")</f>
        <v/>
      </c>
      <c r="K208" s="105" t="str">
        <f>IFERROR(IF(G208="kg","kg/kg",IF(G208="ton","kg/ton",IF(RIGHT(VLOOKUP(H208,Materialtabell[[#All],[Materialnamn]:[Enhet]],4,0),LEN(VLOOKUP(H208,Materialtabell[[#All],[Materialnamn]:[Enhet]],4,0))-3)=G208,VLOOKUP(H208,Materialtabell[[#All],[Materialnamn]:[Enhet]],4,0),"kg/ton/"&amp;RIGHT(VLOOKUP(H208,Materialtabell[[#All],[Materialnamn]:[Enhet]],4,0),LEN(VLOOKUP(H208,Materialtabell[[#All],[Materialnamn]:[Enhet]],4,0))-3)))),"")</f>
        <v/>
      </c>
      <c r="L208" s="104" t="str">
        <f>IFERROR(KalkylSlut[[#This Row],[Mängd]]*KalkylSlut[[#This Row],[Omräknings-faktor]],"")</f>
        <v/>
      </c>
      <c r="M208" s="104" t="str">
        <f>IFERROR(F208*J208*VLOOKUP(H208,Materialtabell[[#All],[Materialnamn]:[Emissionsfaktor 2019
kg CO2e/kg]],5,0),"")</f>
        <v/>
      </c>
      <c r="N208" s="104" t="str">
        <f>IFERROR(F208*J208*VLOOKUP(H208,Materialtabell[[#All],[Materialnamn]:[Emissionsfaktor 2025
kg CO2e/kg]],6,0),"")</f>
        <v/>
      </c>
      <c r="O208" s="78" t="str">
        <f>IFERROR(VLOOKUP(H208,Materialtabell[[#All],[Materialnamn]:[Kommentar A4]],24,0),"")</f>
        <v/>
      </c>
      <c r="P208" s="94" t="str">
        <f>IFERROR(($F208*$J208*$O208*VLOOKUP($H208,Materialtabell[[#All],[Materialnamn]:[Bränsle 
MJ/ton, km]],25,0)*Materiallista!$AF$5)/1000,"")</f>
        <v/>
      </c>
      <c r="Q208" s="94" t="str">
        <f>IFERROR(($F208*$J208*$O208*VLOOKUP($H208,Materialtabell[[#All],[Materialnamn]:[Bränsle 
MJ/ton, km]],25,0)*Materiallista!$AF$6)/1000,"")</f>
        <v/>
      </c>
      <c r="R208" s="162"/>
      <c r="S208" s="3"/>
      <c r="T208" s="3"/>
    </row>
    <row r="209" spans="1:20" x14ac:dyDescent="0.25">
      <c r="A209" s="3"/>
      <c r="B209" s="185">
        <v>204</v>
      </c>
      <c r="C209" s="170"/>
      <c r="D209" s="103"/>
      <c r="E209" s="103"/>
      <c r="F209" s="78"/>
      <c r="G209" s="103"/>
      <c r="H209" s="102"/>
      <c r="I209" s="105" t="str">
        <f>IFERROR(VLOOKUP(KalkylSlut[[#This Row],[Klimatmaterial]],Materialtabell[[#All],[Materialnamn]:[Materialtyp]],2,0),"")</f>
        <v/>
      </c>
      <c r="J209" s="104" t="str">
        <f>IFERROR(IF(G209="kg",1,IF(G209="ton",1000,IF(G209=RIGHT(VLOOKUP(H209,Materialtabell[[#All],[Materialnamn]:[Enhet]],4,0),LEN(VLOOKUP(H209,Materialtabell[[#All],[Materialnamn]:[Enhet]],4,0))-3),VLOOKUP(H209,Materialtabell[[#All],[Materialnamn]:[Enhet]],3,0),"Enhetsfel"))),"")</f>
        <v/>
      </c>
      <c r="K209" s="105" t="str">
        <f>IFERROR(IF(G209="kg","kg/kg",IF(G209="ton","kg/ton",IF(RIGHT(VLOOKUP(H209,Materialtabell[[#All],[Materialnamn]:[Enhet]],4,0),LEN(VLOOKUP(H209,Materialtabell[[#All],[Materialnamn]:[Enhet]],4,0))-3)=G209,VLOOKUP(H209,Materialtabell[[#All],[Materialnamn]:[Enhet]],4,0),"kg/ton/"&amp;RIGHT(VLOOKUP(H209,Materialtabell[[#All],[Materialnamn]:[Enhet]],4,0),LEN(VLOOKUP(H209,Materialtabell[[#All],[Materialnamn]:[Enhet]],4,0))-3)))),"")</f>
        <v/>
      </c>
      <c r="L209" s="104" t="str">
        <f>IFERROR(KalkylSlut[[#This Row],[Mängd]]*KalkylSlut[[#This Row],[Omräknings-faktor]],"")</f>
        <v/>
      </c>
      <c r="M209" s="104" t="str">
        <f>IFERROR(F209*J209*VLOOKUP(H209,Materialtabell[[#All],[Materialnamn]:[Emissionsfaktor 2019
kg CO2e/kg]],5,0),"")</f>
        <v/>
      </c>
      <c r="N209" s="104" t="str">
        <f>IFERROR(F209*J209*VLOOKUP(H209,Materialtabell[[#All],[Materialnamn]:[Emissionsfaktor 2025
kg CO2e/kg]],6,0),"")</f>
        <v/>
      </c>
      <c r="O209" s="78" t="str">
        <f>IFERROR(VLOOKUP(H209,Materialtabell[[#All],[Materialnamn]:[Kommentar A4]],24,0),"")</f>
        <v/>
      </c>
      <c r="P209" s="94" t="str">
        <f>IFERROR(($F209*$J209*$O209*VLOOKUP($H209,Materialtabell[[#All],[Materialnamn]:[Bränsle 
MJ/ton, km]],25,0)*Materiallista!$AF$5)/1000,"")</f>
        <v/>
      </c>
      <c r="Q209" s="94" t="str">
        <f>IFERROR(($F209*$J209*$O209*VLOOKUP($H209,Materialtabell[[#All],[Materialnamn]:[Bränsle 
MJ/ton, km]],25,0)*Materiallista!$AF$6)/1000,"")</f>
        <v/>
      </c>
      <c r="R209" s="162"/>
      <c r="S209" s="3"/>
      <c r="T209" s="3"/>
    </row>
    <row r="210" spans="1:20" x14ac:dyDescent="0.25">
      <c r="A210" s="3"/>
      <c r="B210" s="185">
        <v>205</v>
      </c>
      <c r="C210" s="170"/>
      <c r="D210" s="103"/>
      <c r="E210" s="103"/>
      <c r="F210" s="78"/>
      <c r="G210" s="103"/>
      <c r="H210" s="102"/>
      <c r="I210" s="105" t="str">
        <f>IFERROR(VLOOKUP(KalkylSlut[[#This Row],[Klimatmaterial]],Materialtabell[[#All],[Materialnamn]:[Materialtyp]],2,0),"")</f>
        <v/>
      </c>
      <c r="J210" s="104" t="str">
        <f>IFERROR(IF(G210="kg",1,IF(G210="ton",1000,IF(G210=RIGHT(VLOOKUP(H210,Materialtabell[[#All],[Materialnamn]:[Enhet]],4,0),LEN(VLOOKUP(H210,Materialtabell[[#All],[Materialnamn]:[Enhet]],4,0))-3),VLOOKUP(H210,Materialtabell[[#All],[Materialnamn]:[Enhet]],3,0),"Enhetsfel"))),"")</f>
        <v/>
      </c>
      <c r="K210" s="105" t="str">
        <f>IFERROR(IF(G210="kg","kg/kg",IF(G210="ton","kg/ton",IF(RIGHT(VLOOKUP(H210,Materialtabell[[#All],[Materialnamn]:[Enhet]],4,0),LEN(VLOOKUP(H210,Materialtabell[[#All],[Materialnamn]:[Enhet]],4,0))-3)=G210,VLOOKUP(H210,Materialtabell[[#All],[Materialnamn]:[Enhet]],4,0),"kg/ton/"&amp;RIGHT(VLOOKUP(H210,Materialtabell[[#All],[Materialnamn]:[Enhet]],4,0),LEN(VLOOKUP(H210,Materialtabell[[#All],[Materialnamn]:[Enhet]],4,0))-3)))),"")</f>
        <v/>
      </c>
      <c r="L210" s="104" t="str">
        <f>IFERROR(KalkylSlut[[#This Row],[Mängd]]*KalkylSlut[[#This Row],[Omräknings-faktor]],"")</f>
        <v/>
      </c>
      <c r="M210" s="104" t="str">
        <f>IFERROR(F210*J210*VLOOKUP(H210,Materialtabell[[#All],[Materialnamn]:[Emissionsfaktor 2019
kg CO2e/kg]],5,0),"")</f>
        <v/>
      </c>
      <c r="N210" s="104" t="str">
        <f>IFERROR(F210*J210*VLOOKUP(H210,Materialtabell[[#All],[Materialnamn]:[Emissionsfaktor 2025
kg CO2e/kg]],6,0),"")</f>
        <v/>
      </c>
      <c r="O210" s="78" t="str">
        <f>IFERROR(VLOOKUP(H210,Materialtabell[[#All],[Materialnamn]:[Kommentar A4]],24,0),"")</f>
        <v/>
      </c>
      <c r="P210" s="94" t="str">
        <f>IFERROR(($F210*$J210*$O210*VLOOKUP($H210,Materialtabell[[#All],[Materialnamn]:[Bränsle 
MJ/ton, km]],25,0)*Materiallista!$AF$5)/1000,"")</f>
        <v/>
      </c>
      <c r="Q210" s="94" t="str">
        <f>IFERROR(($F210*$J210*$O210*VLOOKUP($H210,Materialtabell[[#All],[Materialnamn]:[Bränsle 
MJ/ton, km]],25,0)*Materiallista!$AF$6)/1000,"")</f>
        <v/>
      </c>
      <c r="R210" s="162"/>
      <c r="S210" s="3"/>
      <c r="T210" s="3"/>
    </row>
    <row r="211" spans="1:20" x14ac:dyDescent="0.25">
      <c r="A211" s="3"/>
      <c r="B211" s="185">
        <v>206</v>
      </c>
      <c r="C211" s="170"/>
      <c r="D211" s="103"/>
      <c r="E211" s="103"/>
      <c r="F211" s="78"/>
      <c r="G211" s="103"/>
      <c r="H211" s="102"/>
      <c r="I211" s="105" t="str">
        <f>IFERROR(VLOOKUP(KalkylSlut[[#This Row],[Klimatmaterial]],Materialtabell[[#All],[Materialnamn]:[Materialtyp]],2,0),"")</f>
        <v/>
      </c>
      <c r="J211" s="104" t="str">
        <f>IFERROR(IF(G211="kg",1,IF(G211="ton",1000,IF(G211=RIGHT(VLOOKUP(H211,Materialtabell[[#All],[Materialnamn]:[Enhet]],4,0),LEN(VLOOKUP(H211,Materialtabell[[#All],[Materialnamn]:[Enhet]],4,0))-3),VLOOKUP(H211,Materialtabell[[#All],[Materialnamn]:[Enhet]],3,0),"Enhetsfel"))),"")</f>
        <v/>
      </c>
      <c r="K211" s="105" t="str">
        <f>IFERROR(IF(G211="kg","kg/kg",IF(G211="ton","kg/ton",IF(RIGHT(VLOOKUP(H211,Materialtabell[[#All],[Materialnamn]:[Enhet]],4,0),LEN(VLOOKUP(H211,Materialtabell[[#All],[Materialnamn]:[Enhet]],4,0))-3)=G211,VLOOKUP(H211,Materialtabell[[#All],[Materialnamn]:[Enhet]],4,0),"kg/ton/"&amp;RIGHT(VLOOKUP(H211,Materialtabell[[#All],[Materialnamn]:[Enhet]],4,0),LEN(VLOOKUP(H211,Materialtabell[[#All],[Materialnamn]:[Enhet]],4,0))-3)))),"")</f>
        <v/>
      </c>
      <c r="L211" s="104" t="str">
        <f>IFERROR(KalkylSlut[[#This Row],[Mängd]]*KalkylSlut[[#This Row],[Omräknings-faktor]],"")</f>
        <v/>
      </c>
      <c r="M211" s="104" t="str">
        <f>IFERROR(F211*J211*VLOOKUP(H211,Materialtabell[[#All],[Materialnamn]:[Emissionsfaktor 2019
kg CO2e/kg]],5,0),"")</f>
        <v/>
      </c>
      <c r="N211" s="104" t="str">
        <f>IFERROR(F211*J211*VLOOKUP(H211,Materialtabell[[#All],[Materialnamn]:[Emissionsfaktor 2025
kg CO2e/kg]],6,0),"")</f>
        <v/>
      </c>
      <c r="O211" s="78" t="str">
        <f>IFERROR(VLOOKUP(H211,Materialtabell[[#All],[Materialnamn]:[Kommentar A4]],24,0),"")</f>
        <v/>
      </c>
      <c r="P211" s="94" t="str">
        <f>IFERROR(($F211*$J211*$O211*VLOOKUP($H211,Materialtabell[[#All],[Materialnamn]:[Bränsle 
MJ/ton, km]],25,0)*Materiallista!$AF$5)/1000,"")</f>
        <v/>
      </c>
      <c r="Q211" s="94" t="str">
        <f>IFERROR(($F211*$J211*$O211*VLOOKUP($H211,Materialtabell[[#All],[Materialnamn]:[Bränsle 
MJ/ton, km]],25,0)*Materiallista!$AF$6)/1000,"")</f>
        <v/>
      </c>
      <c r="R211" s="162"/>
      <c r="S211" s="3"/>
      <c r="T211" s="3"/>
    </row>
    <row r="212" spans="1:20" x14ac:dyDescent="0.25">
      <c r="A212" s="3"/>
      <c r="B212" s="185">
        <v>207</v>
      </c>
      <c r="C212" s="170"/>
      <c r="D212" s="103"/>
      <c r="E212" s="103"/>
      <c r="F212" s="78"/>
      <c r="G212" s="103"/>
      <c r="H212" s="102"/>
      <c r="I212" s="105" t="str">
        <f>IFERROR(VLOOKUP(KalkylSlut[[#This Row],[Klimatmaterial]],Materialtabell[[#All],[Materialnamn]:[Materialtyp]],2,0),"")</f>
        <v/>
      </c>
      <c r="J212" s="104" t="str">
        <f>IFERROR(IF(G212="kg",1,IF(G212="ton",1000,IF(G212=RIGHT(VLOOKUP(H212,Materialtabell[[#All],[Materialnamn]:[Enhet]],4,0),LEN(VLOOKUP(H212,Materialtabell[[#All],[Materialnamn]:[Enhet]],4,0))-3),VLOOKUP(H212,Materialtabell[[#All],[Materialnamn]:[Enhet]],3,0),"Enhetsfel"))),"")</f>
        <v/>
      </c>
      <c r="K212" s="105" t="str">
        <f>IFERROR(IF(G212="kg","kg/kg",IF(G212="ton","kg/ton",IF(RIGHT(VLOOKUP(H212,Materialtabell[[#All],[Materialnamn]:[Enhet]],4,0),LEN(VLOOKUP(H212,Materialtabell[[#All],[Materialnamn]:[Enhet]],4,0))-3)=G212,VLOOKUP(H212,Materialtabell[[#All],[Materialnamn]:[Enhet]],4,0),"kg/ton/"&amp;RIGHT(VLOOKUP(H212,Materialtabell[[#All],[Materialnamn]:[Enhet]],4,0),LEN(VLOOKUP(H212,Materialtabell[[#All],[Materialnamn]:[Enhet]],4,0))-3)))),"")</f>
        <v/>
      </c>
      <c r="L212" s="104" t="str">
        <f>IFERROR(KalkylSlut[[#This Row],[Mängd]]*KalkylSlut[[#This Row],[Omräknings-faktor]],"")</f>
        <v/>
      </c>
      <c r="M212" s="104" t="str">
        <f>IFERROR(F212*J212*VLOOKUP(H212,Materialtabell[[#All],[Materialnamn]:[Emissionsfaktor 2019
kg CO2e/kg]],5,0),"")</f>
        <v/>
      </c>
      <c r="N212" s="104" t="str">
        <f>IFERROR(F212*J212*VLOOKUP(H212,Materialtabell[[#All],[Materialnamn]:[Emissionsfaktor 2025
kg CO2e/kg]],6,0),"")</f>
        <v/>
      </c>
      <c r="O212" s="78" t="str">
        <f>IFERROR(VLOOKUP(H212,Materialtabell[[#All],[Materialnamn]:[Kommentar A4]],24,0),"")</f>
        <v/>
      </c>
      <c r="P212" s="94" t="str">
        <f>IFERROR(($F212*$J212*$O212*VLOOKUP($H212,Materialtabell[[#All],[Materialnamn]:[Bränsle 
MJ/ton, km]],25,0)*Materiallista!$AF$5)/1000,"")</f>
        <v/>
      </c>
      <c r="Q212" s="94" t="str">
        <f>IFERROR(($F212*$J212*$O212*VLOOKUP($H212,Materialtabell[[#All],[Materialnamn]:[Bränsle 
MJ/ton, km]],25,0)*Materiallista!$AF$6)/1000,"")</f>
        <v/>
      </c>
      <c r="R212" s="162"/>
      <c r="S212" s="3"/>
      <c r="T212" s="3"/>
    </row>
    <row r="213" spans="1:20" x14ac:dyDescent="0.25">
      <c r="A213" s="3"/>
      <c r="B213" s="185">
        <v>208</v>
      </c>
      <c r="C213" s="170"/>
      <c r="D213" s="103"/>
      <c r="E213" s="103"/>
      <c r="F213" s="78"/>
      <c r="G213" s="103"/>
      <c r="H213" s="102"/>
      <c r="I213" s="105" t="str">
        <f>IFERROR(VLOOKUP(KalkylSlut[[#This Row],[Klimatmaterial]],Materialtabell[[#All],[Materialnamn]:[Materialtyp]],2,0),"")</f>
        <v/>
      </c>
      <c r="J213" s="104" t="str">
        <f>IFERROR(IF(G213="kg",1,IF(G213="ton",1000,IF(G213=RIGHT(VLOOKUP(H213,Materialtabell[[#All],[Materialnamn]:[Enhet]],4,0),LEN(VLOOKUP(H213,Materialtabell[[#All],[Materialnamn]:[Enhet]],4,0))-3),VLOOKUP(H213,Materialtabell[[#All],[Materialnamn]:[Enhet]],3,0),"Enhetsfel"))),"")</f>
        <v/>
      </c>
      <c r="K213" s="105" t="str">
        <f>IFERROR(IF(G213="kg","kg/kg",IF(G213="ton","kg/ton",IF(RIGHT(VLOOKUP(H213,Materialtabell[[#All],[Materialnamn]:[Enhet]],4,0),LEN(VLOOKUP(H213,Materialtabell[[#All],[Materialnamn]:[Enhet]],4,0))-3)=G213,VLOOKUP(H213,Materialtabell[[#All],[Materialnamn]:[Enhet]],4,0),"kg/ton/"&amp;RIGHT(VLOOKUP(H213,Materialtabell[[#All],[Materialnamn]:[Enhet]],4,0),LEN(VLOOKUP(H213,Materialtabell[[#All],[Materialnamn]:[Enhet]],4,0))-3)))),"")</f>
        <v/>
      </c>
      <c r="L213" s="104" t="str">
        <f>IFERROR(KalkylSlut[[#This Row],[Mängd]]*KalkylSlut[[#This Row],[Omräknings-faktor]],"")</f>
        <v/>
      </c>
      <c r="M213" s="104" t="str">
        <f>IFERROR(F213*J213*VLOOKUP(H213,Materialtabell[[#All],[Materialnamn]:[Emissionsfaktor 2019
kg CO2e/kg]],5,0),"")</f>
        <v/>
      </c>
      <c r="N213" s="104" t="str">
        <f>IFERROR(F213*J213*VLOOKUP(H213,Materialtabell[[#All],[Materialnamn]:[Emissionsfaktor 2025
kg CO2e/kg]],6,0),"")</f>
        <v/>
      </c>
      <c r="O213" s="78" t="str">
        <f>IFERROR(VLOOKUP(H213,Materialtabell[[#All],[Materialnamn]:[Kommentar A4]],24,0),"")</f>
        <v/>
      </c>
      <c r="P213" s="94" t="str">
        <f>IFERROR(($F213*$J213*$O213*VLOOKUP($H213,Materialtabell[[#All],[Materialnamn]:[Bränsle 
MJ/ton, km]],25,0)*Materiallista!$AF$5)/1000,"")</f>
        <v/>
      </c>
      <c r="Q213" s="94" t="str">
        <f>IFERROR(($F213*$J213*$O213*VLOOKUP($H213,Materialtabell[[#All],[Materialnamn]:[Bränsle 
MJ/ton, km]],25,0)*Materiallista!$AF$6)/1000,"")</f>
        <v/>
      </c>
      <c r="R213" s="162"/>
      <c r="S213" s="3"/>
      <c r="T213" s="3"/>
    </row>
    <row r="214" spans="1:20" x14ac:dyDescent="0.25">
      <c r="A214" s="3"/>
      <c r="B214" s="185">
        <v>209</v>
      </c>
      <c r="C214" s="170"/>
      <c r="D214" s="103"/>
      <c r="E214" s="103"/>
      <c r="F214" s="78"/>
      <c r="G214" s="103"/>
      <c r="H214" s="102"/>
      <c r="I214" s="105" t="str">
        <f>IFERROR(VLOOKUP(KalkylSlut[[#This Row],[Klimatmaterial]],Materialtabell[[#All],[Materialnamn]:[Materialtyp]],2,0),"")</f>
        <v/>
      </c>
      <c r="J214" s="104" t="str">
        <f>IFERROR(IF(G214="kg",1,IF(G214="ton",1000,IF(G214=RIGHT(VLOOKUP(H214,Materialtabell[[#All],[Materialnamn]:[Enhet]],4,0),LEN(VLOOKUP(H214,Materialtabell[[#All],[Materialnamn]:[Enhet]],4,0))-3),VLOOKUP(H214,Materialtabell[[#All],[Materialnamn]:[Enhet]],3,0),"Enhetsfel"))),"")</f>
        <v/>
      </c>
      <c r="K214" s="105" t="str">
        <f>IFERROR(IF(G214="kg","kg/kg",IF(G214="ton","kg/ton",IF(RIGHT(VLOOKUP(H214,Materialtabell[[#All],[Materialnamn]:[Enhet]],4,0),LEN(VLOOKUP(H214,Materialtabell[[#All],[Materialnamn]:[Enhet]],4,0))-3)=G214,VLOOKUP(H214,Materialtabell[[#All],[Materialnamn]:[Enhet]],4,0),"kg/ton/"&amp;RIGHT(VLOOKUP(H214,Materialtabell[[#All],[Materialnamn]:[Enhet]],4,0),LEN(VLOOKUP(H214,Materialtabell[[#All],[Materialnamn]:[Enhet]],4,0))-3)))),"")</f>
        <v/>
      </c>
      <c r="L214" s="104" t="str">
        <f>IFERROR(KalkylSlut[[#This Row],[Mängd]]*KalkylSlut[[#This Row],[Omräknings-faktor]],"")</f>
        <v/>
      </c>
      <c r="M214" s="104" t="str">
        <f>IFERROR(F214*J214*VLOOKUP(H214,Materialtabell[[#All],[Materialnamn]:[Emissionsfaktor 2019
kg CO2e/kg]],5,0),"")</f>
        <v/>
      </c>
      <c r="N214" s="104" t="str">
        <f>IFERROR(F214*J214*VLOOKUP(H214,Materialtabell[[#All],[Materialnamn]:[Emissionsfaktor 2025
kg CO2e/kg]],6,0),"")</f>
        <v/>
      </c>
      <c r="O214" s="78" t="str">
        <f>IFERROR(VLOOKUP(H214,Materialtabell[[#All],[Materialnamn]:[Kommentar A4]],24,0),"")</f>
        <v/>
      </c>
      <c r="P214" s="94" t="str">
        <f>IFERROR(($F214*$J214*$O214*VLOOKUP($H214,Materialtabell[[#All],[Materialnamn]:[Bränsle 
MJ/ton, km]],25,0)*Materiallista!$AF$5)/1000,"")</f>
        <v/>
      </c>
      <c r="Q214" s="94" t="str">
        <f>IFERROR(($F214*$J214*$O214*VLOOKUP($H214,Materialtabell[[#All],[Materialnamn]:[Bränsle 
MJ/ton, km]],25,0)*Materiallista!$AF$6)/1000,"")</f>
        <v/>
      </c>
      <c r="R214" s="162"/>
      <c r="S214" s="3"/>
      <c r="T214" s="3"/>
    </row>
    <row r="215" spans="1:20" x14ac:dyDescent="0.25">
      <c r="A215" s="3"/>
      <c r="B215" s="185">
        <v>210</v>
      </c>
      <c r="C215" s="170"/>
      <c r="D215" s="103"/>
      <c r="E215" s="103"/>
      <c r="F215" s="78"/>
      <c r="G215" s="103"/>
      <c r="H215" s="102"/>
      <c r="I215" s="105" t="str">
        <f>IFERROR(VLOOKUP(KalkylSlut[[#This Row],[Klimatmaterial]],Materialtabell[[#All],[Materialnamn]:[Materialtyp]],2,0),"")</f>
        <v/>
      </c>
      <c r="J215" s="104" t="str">
        <f>IFERROR(IF(G215="kg",1,IF(G215="ton",1000,IF(G215=RIGHT(VLOOKUP(H215,Materialtabell[[#All],[Materialnamn]:[Enhet]],4,0),LEN(VLOOKUP(H215,Materialtabell[[#All],[Materialnamn]:[Enhet]],4,0))-3),VLOOKUP(H215,Materialtabell[[#All],[Materialnamn]:[Enhet]],3,0),"Enhetsfel"))),"")</f>
        <v/>
      </c>
      <c r="K215" s="105" t="str">
        <f>IFERROR(IF(G215="kg","kg/kg",IF(G215="ton","kg/ton",IF(RIGHT(VLOOKUP(H215,Materialtabell[[#All],[Materialnamn]:[Enhet]],4,0),LEN(VLOOKUP(H215,Materialtabell[[#All],[Materialnamn]:[Enhet]],4,0))-3)=G215,VLOOKUP(H215,Materialtabell[[#All],[Materialnamn]:[Enhet]],4,0),"kg/ton/"&amp;RIGHT(VLOOKUP(H215,Materialtabell[[#All],[Materialnamn]:[Enhet]],4,0),LEN(VLOOKUP(H215,Materialtabell[[#All],[Materialnamn]:[Enhet]],4,0))-3)))),"")</f>
        <v/>
      </c>
      <c r="L215" s="104" t="str">
        <f>IFERROR(KalkylSlut[[#This Row],[Mängd]]*KalkylSlut[[#This Row],[Omräknings-faktor]],"")</f>
        <v/>
      </c>
      <c r="M215" s="104" t="str">
        <f>IFERROR(F215*J215*VLOOKUP(H215,Materialtabell[[#All],[Materialnamn]:[Emissionsfaktor 2019
kg CO2e/kg]],5,0),"")</f>
        <v/>
      </c>
      <c r="N215" s="104" t="str">
        <f>IFERROR(F215*J215*VLOOKUP(H215,Materialtabell[[#All],[Materialnamn]:[Emissionsfaktor 2025
kg CO2e/kg]],6,0),"")</f>
        <v/>
      </c>
      <c r="O215" s="78" t="str">
        <f>IFERROR(VLOOKUP(H215,Materialtabell[[#All],[Materialnamn]:[Kommentar A4]],24,0),"")</f>
        <v/>
      </c>
      <c r="P215" s="94" t="str">
        <f>IFERROR(($F215*$J215*$O215*VLOOKUP($H215,Materialtabell[[#All],[Materialnamn]:[Bränsle 
MJ/ton, km]],25,0)*Materiallista!$AF$5)/1000,"")</f>
        <v/>
      </c>
      <c r="Q215" s="94" t="str">
        <f>IFERROR(($F215*$J215*$O215*VLOOKUP($H215,Materialtabell[[#All],[Materialnamn]:[Bränsle 
MJ/ton, km]],25,0)*Materiallista!$AF$6)/1000,"")</f>
        <v/>
      </c>
      <c r="R215" s="162"/>
      <c r="S215" s="3"/>
      <c r="T215" s="3"/>
    </row>
    <row r="216" spans="1:20" x14ac:dyDescent="0.25">
      <c r="A216" s="3"/>
      <c r="B216" s="185">
        <v>211</v>
      </c>
      <c r="C216" s="170"/>
      <c r="D216" s="103"/>
      <c r="E216" s="103"/>
      <c r="F216" s="78"/>
      <c r="G216" s="103"/>
      <c r="H216" s="102"/>
      <c r="I216" s="105" t="str">
        <f>IFERROR(VLOOKUP(KalkylSlut[[#This Row],[Klimatmaterial]],Materialtabell[[#All],[Materialnamn]:[Materialtyp]],2,0),"")</f>
        <v/>
      </c>
      <c r="J216" s="104" t="str">
        <f>IFERROR(IF(G216="kg",1,IF(G216="ton",1000,IF(G216=RIGHT(VLOOKUP(H216,Materialtabell[[#All],[Materialnamn]:[Enhet]],4,0),LEN(VLOOKUP(H216,Materialtabell[[#All],[Materialnamn]:[Enhet]],4,0))-3),VLOOKUP(H216,Materialtabell[[#All],[Materialnamn]:[Enhet]],3,0),"Enhetsfel"))),"")</f>
        <v/>
      </c>
      <c r="K216" s="105" t="str">
        <f>IFERROR(IF(G216="kg","kg/kg",IF(G216="ton","kg/ton",IF(RIGHT(VLOOKUP(H216,Materialtabell[[#All],[Materialnamn]:[Enhet]],4,0),LEN(VLOOKUP(H216,Materialtabell[[#All],[Materialnamn]:[Enhet]],4,0))-3)=G216,VLOOKUP(H216,Materialtabell[[#All],[Materialnamn]:[Enhet]],4,0),"kg/ton/"&amp;RIGHT(VLOOKUP(H216,Materialtabell[[#All],[Materialnamn]:[Enhet]],4,0),LEN(VLOOKUP(H216,Materialtabell[[#All],[Materialnamn]:[Enhet]],4,0))-3)))),"")</f>
        <v/>
      </c>
      <c r="L216" s="104" t="str">
        <f>IFERROR(KalkylSlut[[#This Row],[Mängd]]*KalkylSlut[[#This Row],[Omräknings-faktor]],"")</f>
        <v/>
      </c>
      <c r="M216" s="104" t="str">
        <f>IFERROR(F216*J216*VLOOKUP(H216,Materialtabell[[#All],[Materialnamn]:[Emissionsfaktor 2019
kg CO2e/kg]],5,0),"")</f>
        <v/>
      </c>
      <c r="N216" s="104" t="str">
        <f>IFERROR(F216*J216*VLOOKUP(H216,Materialtabell[[#All],[Materialnamn]:[Emissionsfaktor 2025
kg CO2e/kg]],6,0),"")</f>
        <v/>
      </c>
      <c r="O216" s="78" t="str">
        <f>IFERROR(VLOOKUP(H216,Materialtabell[[#All],[Materialnamn]:[Kommentar A4]],24,0),"")</f>
        <v/>
      </c>
      <c r="P216" s="94" t="str">
        <f>IFERROR(($F216*$J216*$O216*VLOOKUP($H216,Materialtabell[[#All],[Materialnamn]:[Bränsle 
MJ/ton, km]],25,0)*Materiallista!$AF$5)/1000,"")</f>
        <v/>
      </c>
      <c r="Q216" s="94" t="str">
        <f>IFERROR(($F216*$J216*$O216*VLOOKUP($H216,Materialtabell[[#All],[Materialnamn]:[Bränsle 
MJ/ton, km]],25,0)*Materiallista!$AF$6)/1000,"")</f>
        <v/>
      </c>
      <c r="R216" s="162"/>
      <c r="S216" s="3"/>
      <c r="T216" s="3"/>
    </row>
    <row r="217" spans="1:20" x14ac:dyDescent="0.25">
      <c r="A217" s="3"/>
      <c r="B217" s="185">
        <v>212</v>
      </c>
      <c r="C217" s="170"/>
      <c r="D217" s="103"/>
      <c r="E217" s="103"/>
      <c r="F217" s="78"/>
      <c r="G217" s="103"/>
      <c r="H217" s="102"/>
      <c r="I217" s="105" t="str">
        <f>IFERROR(VLOOKUP(KalkylSlut[[#This Row],[Klimatmaterial]],Materialtabell[[#All],[Materialnamn]:[Materialtyp]],2,0),"")</f>
        <v/>
      </c>
      <c r="J217" s="104" t="str">
        <f>IFERROR(IF(G217="kg",1,IF(G217="ton",1000,IF(G217=RIGHT(VLOOKUP(H217,Materialtabell[[#All],[Materialnamn]:[Enhet]],4,0),LEN(VLOOKUP(H217,Materialtabell[[#All],[Materialnamn]:[Enhet]],4,0))-3),VLOOKUP(H217,Materialtabell[[#All],[Materialnamn]:[Enhet]],3,0),"Enhetsfel"))),"")</f>
        <v/>
      </c>
      <c r="K217" s="105" t="str">
        <f>IFERROR(IF(G217="kg","kg/kg",IF(G217="ton","kg/ton",IF(RIGHT(VLOOKUP(H217,Materialtabell[[#All],[Materialnamn]:[Enhet]],4,0),LEN(VLOOKUP(H217,Materialtabell[[#All],[Materialnamn]:[Enhet]],4,0))-3)=G217,VLOOKUP(H217,Materialtabell[[#All],[Materialnamn]:[Enhet]],4,0),"kg/ton/"&amp;RIGHT(VLOOKUP(H217,Materialtabell[[#All],[Materialnamn]:[Enhet]],4,0),LEN(VLOOKUP(H217,Materialtabell[[#All],[Materialnamn]:[Enhet]],4,0))-3)))),"")</f>
        <v/>
      </c>
      <c r="L217" s="104" t="str">
        <f>IFERROR(KalkylSlut[[#This Row],[Mängd]]*KalkylSlut[[#This Row],[Omräknings-faktor]],"")</f>
        <v/>
      </c>
      <c r="M217" s="104" t="str">
        <f>IFERROR(F217*J217*VLOOKUP(H217,Materialtabell[[#All],[Materialnamn]:[Emissionsfaktor 2019
kg CO2e/kg]],5,0),"")</f>
        <v/>
      </c>
      <c r="N217" s="104" t="str">
        <f>IFERROR(F217*J217*VLOOKUP(H217,Materialtabell[[#All],[Materialnamn]:[Emissionsfaktor 2025
kg CO2e/kg]],6,0),"")</f>
        <v/>
      </c>
      <c r="O217" s="78" t="str">
        <f>IFERROR(VLOOKUP(H217,Materialtabell[[#All],[Materialnamn]:[Kommentar A4]],24,0),"")</f>
        <v/>
      </c>
      <c r="P217" s="94" t="str">
        <f>IFERROR(($F217*$J217*$O217*VLOOKUP($H217,Materialtabell[[#All],[Materialnamn]:[Bränsle 
MJ/ton, km]],25,0)*Materiallista!$AF$5)/1000,"")</f>
        <v/>
      </c>
      <c r="Q217" s="94" t="str">
        <f>IFERROR(($F217*$J217*$O217*VLOOKUP($H217,Materialtabell[[#All],[Materialnamn]:[Bränsle 
MJ/ton, km]],25,0)*Materiallista!$AF$6)/1000,"")</f>
        <v/>
      </c>
      <c r="R217" s="162"/>
      <c r="S217" s="3"/>
      <c r="T217" s="3"/>
    </row>
    <row r="218" spans="1:20" x14ac:dyDescent="0.25">
      <c r="A218" s="3"/>
      <c r="B218" s="185">
        <v>213</v>
      </c>
      <c r="C218" s="170"/>
      <c r="D218" s="103"/>
      <c r="E218" s="103"/>
      <c r="F218" s="78"/>
      <c r="G218" s="103"/>
      <c r="H218" s="102"/>
      <c r="I218" s="105" t="str">
        <f>IFERROR(VLOOKUP(KalkylSlut[[#This Row],[Klimatmaterial]],Materialtabell[[#All],[Materialnamn]:[Materialtyp]],2,0),"")</f>
        <v/>
      </c>
      <c r="J218" s="104" t="str">
        <f>IFERROR(IF(G218="kg",1,IF(G218="ton",1000,IF(G218=RIGHT(VLOOKUP(H218,Materialtabell[[#All],[Materialnamn]:[Enhet]],4,0),LEN(VLOOKUP(H218,Materialtabell[[#All],[Materialnamn]:[Enhet]],4,0))-3),VLOOKUP(H218,Materialtabell[[#All],[Materialnamn]:[Enhet]],3,0),"Enhetsfel"))),"")</f>
        <v/>
      </c>
      <c r="K218" s="105" t="str">
        <f>IFERROR(IF(G218="kg","kg/kg",IF(G218="ton","kg/ton",IF(RIGHT(VLOOKUP(H218,Materialtabell[[#All],[Materialnamn]:[Enhet]],4,0),LEN(VLOOKUP(H218,Materialtabell[[#All],[Materialnamn]:[Enhet]],4,0))-3)=G218,VLOOKUP(H218,Materialtabell[[#All],[Materialnamn]:[Enhet]],4,0),"kg/ton/"&amp;RIGHT(VLOOKUP(H218,Materialtabell[[#All],[Materialnamn]:[Enhet]],4,0),LEN(VLOOKUP(H218,Materialtabell[[#All],[Materialnamn]:[Enhet]],4,0))-3)))),"")</f>
        <v/>
      </c>
      <c r="L218" s="104" t="str">
        <f>IFERROR(KalkylSlut[[#This Row],[Mängd]]*KalkylSlut[[#This Row],[Omräknings-faktor]],"")</f>
        <v/>
      </c>
      <c r="M218" s="104" t="str">
        <f>IFERROR(F218*J218*VLOOKUP(H218,Materialtabell[[#All],[Materialnamn]:[Emissionsfaktor 2019
kg CO2e/kg]],5,0),"")</f>
        <v/>
      </c>
      <c r="N218" s="104" t="str">
        <f>IFERROR(F218*J218*VLOOKUP(H218,Materialtabell[[#All],[Materialnamn]:[Emissionsfaktor 2025
kg CO2e/kg]],6,0),"")</f>
        <v/>
      </c>
      <c r="O218" s="78" t="str">
        <f>IFERROR(VLOOKUP(H218,Materialtabell[[#All],[Materialnamn]:[Kommentar A4]],24,0),"")</f>
        <v/>
      </c>
      <c r="P218" s="94" t="str">
        <f>IFERROR(($F218*$J218*$O218*VLOOKUP($H218,Materialtabell[[#All],[Materialnamn]:[Bränsle 
MJ/ton, km]],25,0)*Materiallista!$AF$5)/1000,"")</f>
        <v/>
      </c>
      <c r="Q218" s="94" t="str">
        <f>IFERROR(($F218*$J218*$O218*VLOOKUP($H218,Materialtabell[[#All],[Materialnamn]:[Bränsle 
MJ/ton, km]],25,0)*Materiallista!$AF$6)/1000,"")</f>
        <v/>
      </c>
      <c r="R218" s="162"/>
      <c r="S218" s="3"/>
      <c r="T218" s="3"/>
    </row>
    <row r="219" spans="1:20" x14ac:dyDescent="0.25">
      <c r="A219" s="3"/>
      <c r="B219" s="185">
        <v>214</v>
      </c>
      <c r="C219" s="170"/>
      <c r="D219" s="103"/>
      <c r="E219" s="103"/>
      <c r="F219" s="78"/>
      <c r="G219" s="103"/>
      <c r="H219" s="102"/>
      <c r="I219" s="105" t="str">
        <f>IFERROR(VLOOKUP(KalkylSlut[[#This Row],[Klimatmaterial]],Materialtabell[[#All],[Materialnamn]:[Materialtyp]],2,0),"")</f>
        <v/>
      </c>
      <c r="J219" s="104" t="str">
        <f>IFERROR(IF(G219="kg",1,IF(G219="ton",1000,IF(G219=RIGHT(VLOOKUP(H219,Materialtabell[[#All],[Materialnamn]:[Enhet]],4,0),LEN(VLOOKUP(H219,Materialtabell[[#All],[Materialnamn]:[Enhet]],4,0))-3),VLOOKUP(H219,Materialtabell[[#All],[Materialnamn]:[Enhet]],3,0),"Enhetsfel"))),"")</f>
        <v/>
      </c>
      <c r="K219" s="105" t="str">
        <f>IFERROR(IF(G219="kg","kg/kg",IF(G219="ton","kg/ton",IF(RIGHT(VLOOKUP(H219,Materialtabell[[#All],[Materialnamn]:[Enhet]],4,0),LEN(VLOOKUP(H219,Materialtabell[[#All],[Materialnamn]:[Enhet]],4,0))-3)=G219,VLOOKUP(H219,Materialtabell[[#All],[Materialnamn]:[Enhet]],4,0),"kg/ton/"&amp;RIGHT(VLOOKUP(H219,Materialtabell[[#All],[Materialnamn]:[Enhet]],4,0),LEN(VLOOKUP(H219,Materialtabell[[#All],[Materialnamn]:[Enhet]],4,0))-3)))),"")</f>
        <v/>
      </c>
      <c r="L219" s="104" t="str">
        <f>IFERROR(KalkylSlut[[#This Row],[Mängd]]*KalkylSlut[[#This Row],[Omräknings-faktor]],"")</f>
        <v/>
      </c>
      <c r="M219" s="104" t="str">
        <f>IFERROR(F219*J219*VLOOKUP(H219,Materialtabell[[#All],[Materialnamn]:[Emissionsfaktor 2019
kg CO2e/kg]],5,0),"")</f>
        <v/>
      </c>
      <c r="N219" s="104" t="str">
        <f>IFERROR(F219*J219*VLOOKUP(H219,Materialtabell[[#All],[Materialnamn]:[Emissionsfaktor 2025
kg CO2e/kg]],6,0),"")</f>
        <v/>
      </c>
      <c r="O219" s="78" t="str">
        <f>IFERROR(VLOOKUP(H219,Materialtabell[[#All],[Materialnamn]:[Kommentar A4]],24,0),"")</f>
        <v/>
      </c>
      <c r="P219" s="94" t="str">
        <f>IFERROR(($F219*$J219*$O219*VLOOKUP($H219,Materialtabell[[#All],[Materialnamn]:[Bränsle 
MJ/ton, km]],25,0)*Materiallista!$AF$5)/1000,"")</f>
        <v/>
      </c>
      <c r="Q219" s="94" t="str">
        <f>IFERROR(($F219*$J219*$O219*VLOOKUP($H219,Materialtabell[[#All],[Materialnamn]:[Bränsle 
MJ/ton, km]],25,0)*Materiallista!$AF$6)/1000,"")</f>
        <v/>
      </c>
      <c r="R219" s="162"/>
      <c r="S219" s="3"/>
      <c r="T219" s="3"/>
    </row>
    <row r="220" spans="1:20" x14ac:dyDescent="0.25">
      <c r="A220" s="3"/>
      <c r="B220" s="185">
        <v>215</v>
      </c>
      <c r="C220" s="170"/>
      <c r="D220" s="103"/>
      <c r="E220" s="103"/>
      <c r="F220" s="78"/>
      <c r="G220" s="103"/>
      <c r="H220" s="102"/>
      <c r="I220" s="105" t="str">
        <f>IFERROR(VLOOKUP(KalkylSlut[[#This Row],[Klimatmaterial]],Materialtabell[[#All],[Materialnamn]:[Materialtyp]],2,0),"")</f>
        <v/>
      </c>
      <c r="J220" s="104" t="str">
        <f>IFERROR(IF(G220="kg",1,IF(G220="ton",1000,IF(G220=RIGHT(VLOOKUP(H220,Materialtabell[[#All],[Materialnamn]:[Enhet]],4,0),LEN(VLOOKUP(H220,Materialtabell[[#All],[Materialnamn]:[Enhet]],4,0))-3),VLOOKUP(H220,Materialtabell[[#All],[Materialnamn]:[Enhet]],3,0),"Enhetsfel"))),"")</f>
        <v/>
      </c>
      <c r="K220" s="105" t="str">
        <f>IFERROR(IF(G220="kg","kg/kg",IF(G220="ton","kg/ton",IF(RIGHT(VLOOKUP(H220,Materialtabell[[#All],[Materialnamn]:[Enhet]],4,0),LEN(VLOOKUP(H220,Materialtabell[[#All],[Materialnamn]:[Enhet]],4,0))-3)=G220,VLOOKUP(H220,Materialtabell[[#All],[Materialnamn]:[Enhet]],4,0),"kg/ton/"&amp;RIGHT(VLOOKUP(H220,Materialtabell[[#All],[Materialnamn]:[Enhet]],4,0),LEN(VLOOKUP(H220,Materialtabell[[#All],[Materialnamn]:[Enhet]],4,0))-3)))),"")</f>
        <v/>
      </c>
      <c r="L220" s="104" t="str">
        <f>IFERROR(KalkylSlut[[#This Row],[Mängd]]*KalkylSlut[[#This Row],[Omräknings-faktor]],"")</f>
        <v/>
      </c>
      <c r="M220" s="104" t="str">
        <f>IFERROR(F220*J220*VLOOKUP(H220,Materialtabell[[#All],[Materialnamn]:[Emissionsfaktor 2019
kg CO2e/kg]],5,0),"")</f>
        <v/>
      </c>
      <c r="N220" s="104" t="str">
        <f>IFERROR(F220*J220*VLOOKUP(H220,Materialtabell[[#All],[Materialnamn]:[Emissionsfaktor 2025
kg CO2e/kg]],6,0),"")</f>
        <v/>
      </c>
      <c r="O220" s="78" t="str">
        <f>IFERROR(VLOOKUP(H220,Materialtabell[[#All],[Materialnamn]:[Kommentar A4]],24,0),"")</f>
        <v/>
      </c>
      <c r="P220" s="94" t="str">
        <f>IFERROR(($F220*$J220*$O220*VLOOKUP($H220,Materialtabell[[#All],[Materialnamn]:[Bränsle 
MJ/ton, km]],25,0)*Materiallista!$AF$5)/1000,"")</f>
        <v/>
      </c>
      <c r="Q220" s="94" t="str">
        <f>IFERROR(($F220*$J220*$O220*VLOOKUP($H220,Materialtabell[[#All],[Materialnamn]:[Bränsle 
MJ/ton, km]],25,0)*Materiallista!$AF$6)/1000,"")</f>
        <v/>
      </c>
      <c r="R220" s="162"/>
      <c r="S220" s="3"/>
      <c r="T220" s="3"/>
    </row>
    <row r="221" spans="1:20" x14ac:dyDescent="0.25">
      <c r="A221" s="3"/>
      <c r="B221" s="185">
        <v>216</v>
      </c>
      <c r="C221" s="170"/>
      <c r="D221" s="103"/>
      <c r="E221" s="103"/>
      <c r="F221" s="78"/>
      <c r="G221" s="103"/>
      <c r="H221" s="102"/>
      <c r="I221" s="105" t="str">
        <f>IFERROR(VLOOKUP(KalkylSlut[[#This Row],[Klimatmaterial]],Materialtabell[[#All],[Materialnamn]:[Materialtyp]],2,0),"")</f>
        <v/>
      </c>
      <c r="J221" s="104" t="str">
        <f>IFERROR(IF(G221="kg",1,IF(G221="ton",1000,IF(G221=RIGHT(VLOOKUP(H221,Materialtabell[[#All],[Materialnamn]:[Enhet]],4,0),LEN(VLOOKUP(H221,Materialtabell[[#All],[Materialnamn]:[Enhet]],4,0))-3),VLOOKUP(H221,Materialtabell[[#All],[Materialnamn]:[Enhet]],3,0),"Enhetsfel"))),"")</f>
        <v/>
      </c>
      <c r="K221" s="105" t="str">
        <f>IFERROR(IF(G221="kg","kg/kg",IF(G221="ton","kg/ton",IF(RIGHT(VLOOKUP(H221,Materialtabell[[#All],[Materialnamn]:[Enhet]],4,0),LEN(VLOOKUP(H221,Materialtabell[[#All],[Materialnamn]:[Enhet]],4,0))-3)=G221,VLOOKUP(H221,Materialtabell[[#All],[Materialnamn]:[Enhet]],4,0),"kg/ton/"&amp;RIGHT(VLOOKUP(H221,Materialtabell[[#All],[Materialnamn]:[Enhet]],4,0),LEN(VLOOKUP(H221,Materialtabell[[#All],[Materialnamn]:[Enhet]],4,0))-3)))),"")</f>
        <v/>
      </c>
      <c r="L221" s="104" t="str">
        <f>IFERROR(KalkylSlut[[#This Row],[Mängd]]*KalkylSlut[[#This Row],[Omräknings-faktor]],"")</f>
        <v/>
      </c>
      <c r="M221" s="104" t="str">
        <f>IFERROR(F221*J221*VLOOKUP(H221,Materialtabell[[#All],[Materialnamn]:[Emissionsfaktor 2019
kg CO2e/kg]],5,0),"")</f>
        <v/>
      </c>
      <c r="N221" s="104" t="str">
        <f>IFERROR(F221*J221*VLOOKUP(H221,Materialtabell[[#All],[Materialnamn]:[Emissionsfaktor 2025
kg CO2e/kg]],6,0),"")</f>
        <v/>
      </c>
      <c r="O221" s="78" t="str">
        <f>IFERROR(VLOOKUP(H221,Materialtabell[[#All],[Materialnamn]:[Kommentar A4]],24,0),"")</f>
        <v/>
      </c>
      <c r="P221" s="94" t="str">
        <f>IFERROR(($F221*$J221*$O221*VLOOKUP($H221,Materialtabell[[#All],[Materialnamn]:[Bränsle 
MJ/ton, km]],25,0)*Materiallista!$AF$5)/1000,"")</f>
        <v/>
      </c>
      <c r="Q221" s="94" t="str">
        <f>IFERROR(($F221*$J221*$O221*VLOOKUP($H221,Materialtabell[[#All],[Materialnamn]:[Bränsle 
MJ/ton, km]],25,0)*Materiallista!$AF$6)/1000,"")</f>
        <v/>
      </c>
      <c r="R221" s="162"/>
      <c r="S221" s="3"/>
      <c r="T221" s="3"/>
    </row>
    <row r="222" spans="1:20" x14ac:dyDescent="0.25">
      <c r="A222" s="3"/>
      <c r="B222" s="185">
        <v>217</v>
      </c>
      <c r="C222" s="170"/>
      <c r="D222" s="103"/>
      <c r="E222" s="103"/>
      <c r="F222" s="78"/>
      <c r="G222" s="103"/>
      <c r="H222" s="102"/>
      <c r="I222" s="105" t="str">
        <f>IFERROR(VLOOKUP(KalkylSlut[[#This Row],[Klimatmaterial]],Materialtabell[[#All],[Materialnamn]:[Materialtyp]],2,0),"")</f>
        <v/>
      </c>
      <c r="J222" s="104" t="str">
        <f>IFERROR(IF(G222="kg",1,IF(G222="ton",1000,IF(G222=RIGHT(VLOOKUP(H222,Materialtabell[[#All],[Materialnamn]:[Enhet]],4,0),LEN(VLOOKUP(H222,Materialtabell[[#All],[Materialnamn]:[Enhet]],4,0))-3),VLOOKUP(H222,Materialtabell[[#All],[Materialnamn]:[Enhet]],3,0),"Enhetsfel"))),"")</f>
        <v/>
      </c>
      <c r="K222" s="105" t="str">
        <f>IFERROR(IF(G222="kg","kg/kg",IF(G222="ton","kg/ton",IF(RIGHT(VLOOKUP(H222,Materialtabell[[#All],[Materialnamn]:[Enhet]],4,0),LEN(VLOOKUP(H222,Materialtabell[[#All],[Materialnamn]:[Enhet]],4,0))-3)=G222,VLOOKUP(H222,Materialtabell[[#All],[Materialnamn]:[Enhet]],4,0),"kg/ton/"&amp;RIGHT(VLOOKUP(H222,Materialtabell[[#All],[Materialnamn]:[Enhet]],4,0),LEN(VLOOKUP(H222,Materialtabell[[#All],[Materialnamn]:[Enhet]],4,0))-3)))),"")</f>
        <v/>
      </c>
      <c r="L222" s="104" t="str">
        <f>IFERROR(KalkylSlut[[#This Row],[Mängd]]*KalkylSlut[[#This Row],[Omräknings-faktor]],"")</f>
        <v/>
      </c>
      <c r="M222" s="104" t="str">
        <f>IFERROR(F222*J222*VLOOKUP(H222,Materialtabell[[#All],[Materialnamn]:[Emissionsfaktor 2019
kg CO2e/kg]],5,0),"")</f>
        <v/>
      </c>
      <c r="N222" s="104" t="str">
        <f>IFERROR(F222*J222*VLOOKUP(H222,Materialtabell[[#All],[Materialnamn]:[Emissionsfaktor 2025
kg CO2e/kg]],6,0),"")</f>
        <v/>
      </c>
      <c r="O222" s="78" t="str">
        <f>IFERROR(VLOOKUP(H222,Materialtabell[[#All],[Materialnamn]:[Kommentar A4]],24,0),"")</f>
        <v/>
      </c>
      <c r="P222" s="94" t="str">
        <f>IFERROR(($F222*$J222*$O222*VLOOKUP($H222,Materialtabell[[#All],[Materialnamn]:[Bränsle 
MJ/ton, km]],25,0)*Materiallista!$AF$5)/1000,"")</f>
        <v/>
      </c>
      <c r="Q222" s="94" t="str">
        <f>IFERROR(($F222*$J222*$O222*VLOOKUP($H222,Materialtabell[[#All],[Materialnamn]:[Bränsle 
MJ/ton, km]],25,0)*Materiallista!$AF$6)/1000,"")</f>
        <v/>
      </c>
      <c r="R222" s="162"/>
      <c r="S222" s="3"/>
      <c r="T222" s="3"/>
    </row>
    <row r="223" spans="1:20" x14ac:dyDescent="0.25">
      <c r="A223" s="3"/>
      <c r="B223" s="185">
        <v>218</v>
      </c>
      <c r="C223" s="170"/>
      <c r="D223" s="103"/>
      <c r="E223" s="103"/>
      <c r="F223" s="78"/>
      <c r="G223" s="103"/>
      <c r="H223" s="102"/>
      <c r="I223" s="105" t="str">
        <f>IFERROR(VLOOKUP(KalkylSlut[[#This Row],[Klimatmaterial]],Materialtabell[[#All],[Materialnamn]:[Materialtyp]],2,0),"")</f>
        <v/>
      </c>
      <c r="J223" s="104" t="str">
        <f>IFERROR(IF(G223="kg",1,IF(G223="ton",1000,IF(G223=RIGHT(VLOOKUP(H223,Materialtabell[[#All],[Materialnamn]:[Enhet]],4,0),LEN(VLOOKUP(H223,Materialtabell[[#All],[Materialnamn]:[Enhet]],4,0))-3),VLOOKUP(H223,Materialtabell[[#All],[Materialnamn]:[Enhet]],3,0),"Enhetsfel"))),"")</f>
        <v/>
      </c>
      <c r="K223" s="105" t="str">
        <f>IFERROR(IF(G223="kg","kg/kg",IF(G223="ton","kg/ton",IF(RIGHT(VLOOKUP(H223,Materialtabell[[#All],[Materialnamn]:[Enhet]],4,0),LEN(VLOOKUP(H223,Materialtabell[[#All],[Materialnamn]:[Enhet]],4,0))-3)=G223,VLOOKUP(H223,Materialtabell[[#All],[Materialnamn]:[Enhet]],4,0),"kg/ton/"&amp;RIGHT(VLOOKUP(H223,Materialtabell[[#All],[Materialnamn]:[Enhet]],4,0),LEN(VLOOKUP(H223,Materialtabell[[#All],[Materialnamn]:[Enhet]],4,0))-3)))),"")</f>
        <v/>
      </c>
      <c r="L223" s="104" t="str">
        <f>IFERROR(KalkylSlut[[#This Row],[Mängd]]*KalkylSlut[[#This Row],[Omräknings-faktor]],"")</f>
        <v/>
      </c>
      <c r="M223" s="104" t="str">
        <f>IFERROR(F223*J223*VLOOKUP(H223,Materialtabell[[#All],[Materialnamn]:[Emissionsfaktor 2019
kg CO2e/kg]],5,0),"")</f>
        <v/>
      </c>
      <c r="N223" s="104" t="str">
        <f>IFERROR(F223*J223*VLOOKUP(H223,Materialtabell[[#All],[Materialnamn]:[Emissionsfaktor 2025
kg CO2e/kg]],6,0),"")</f>
        <v/>
      </c>
      <c r="O223" s="78" t="str">
        <f>IFERROR(VLOOKUP(H223,Materialtabell[[#All],[Materialnamn]:[Kommentar A4]],24,0),"")</f>
        <v/>
      </c>
      <c r="P223" s="94" t="str">
        <f>IFERROR(($F223*$J223*$O223*VLOOKUP($H223,Materialtabell[[#All],[Materialnamn]:[Bränsle 
MJ/ton, km]],25,0)*Materiallista!$AF$5)/1000,"")</f>
        <v/>
      </c>
      <c r="Q223" s="94" t="str">
        <f>IFERROR(($F223*$J223*$O223*VLOOKUP($H223,Materialtabell[[#All],[Materialnamn]:[Bränsle 
MJ/ton, km]],25,0)*Materiallista!$AF$6)/1000,"")</f>
        <v/>
      </c>
      <c r="R223" s="162"/>
      <c r="S223" s="3"/>
      <c r="T223" s="3"/>
    </row>
    <row r="224" spans="1:20" x14ac:dyDescent="0.25">
      <c r="A224" s="3"/>
      <c r="B224" s="185">
        <v>219</v>
      </c>
      <c r="C224" s="170"/>
      <c r="D224" s="103"/>
      <c r="E224" s="103"/>
      <c r="F224" s="78"/>
      <c r="G224" s="103"/>
      <c r="H224" s="102"/>
      <c r="I224" s="105" t="str">
        <f>IFERROR(VLOOKUP(KalkylSlut[[#This Row],[Klimatmaterial]],Materialtabell[[#All],[Materialnamn]:[Materialtyp]],2,0),"")</f>
        <v/>
      </c>
      <c r="J224" s="104" t="str">
        <f>IFERROR(IF(G224="kg",1,IF(G224="ton",1000,IF(G224=RIGHT(VLOOKUP(H224,Materialtabell[[#All],[Materialnamn]:[Enhet]],4,0),LEN(VLOOKUP(H224,Materialtabell[[#All],[Materialnamn]:[Enhet]],4,0))-3),VLOOKUP(H224,Materialtabell[[#All],[Materialnamn]:[Enhet]],3,0),"Enhetsfel"))),"")</f>
        <v/>
      </c>
      <c r="K224" s="105" t="str">
        <f>IFERROR(IF(G224="kg","kg/kg",IF(G224="ton","kg/ton",IF(RIGHT(VLOOKUP(H224,Materialtabell[[#All],[Materialnamn]:[Enhet]],4,0),LEN(VLOOKUP(H224,Materialtabell[[#All],[Materialnamn]:[Enhet]],4,0))-3)=G224,VLOOKUP(H224,Materialtabell[[#All],[Materialnamn]:[Enhet]],4,0),"kg/ton/"&amp;RIGHT(VLOOKUP(H224,Materialtabell[[#All],[Materialnamn]:[Enhet]],4,0),LEN(VLOOKUP(H224,Materialtabell[[#All],[Materialnamn]:[Enhet]],4,0))-3)))),"")</f>
        <v/>
      </c>
      <c r="L224" s="104" t="str">
        <f>IFERROR(KalkylSlut[[#This Row],[Mängd]]*KalkylSlut[[#This Row],[Omräknings-faktor]],"")</f>
        <v/>
      </c>
      <c r="M224" s="104" t="str">
        <f>IFERROR(F224*J224*VLOOKUP(H224,Materialtabell[[#All],[Materialnamn]:[Emissionsfaktor 2019
kg CO2e/kg]],5,0),"")</f>
        <v/>
      </c>
      <c r="N224" s="104" t="str">
        <f>IFERROR(F224*J224*VLOOKUP(H224,Materialtabell[[#All],[Materialnamn]:[Emissionsfaktor 2025
kg CO2e/kg]],6,0),"")</f>
        <v/>
      </c>
      <c r="O224" s="78" t="str">
        <f>IFERROR(VLOOKUP(H224,Materialtabell[[#All],[Materialnamn]:[Kommentar A4]],24,0),"")</f>
        <v/>
      </c>
      <c r="P224" s="94" t="str">
        <f>IFERROR(($F224*$J224*$O224*VLOOKUP($H224,Materialtabell[[#All],[Materialnamn]:[Bränsle 
MJ/ton, km]],25,0)*Materiallista!$AF$5)/1000,"")</f>
        <v/>
      </c>
      <c r="Q224" s="94" t="str">
        <f>IFERROR(($F224*$J224*$O224*VLOOKUP($H224,Materialtabell[[#All],[Materialnamn]:[Bränsle 
MJ/ton, km]],25,0)*Materiallista!$AF$6)/1000,"")</f>
        <v/>
      </c>
      <c r="R224" s="162"/>
      <c r="S224" s="3"/>
      <c r="T224" s="3"/>
    </row>
    <row r="225" spans="1:20" x14ac:dyDescent="0.25">
      <c r="A225" s="3"/>
      <c r="B225" s="185">
        <v>220</v>
      </c>
      <c r="C225" s="170"/>
      <c r="D225" s="103"/>
      <c r="E225" s="103"/>
      <c r="F225" s="78"/>
      <c r="G225" s="103"/>
      <c r="H225" s="102"/>
      <c r="I225" s="105" t="str">
        <f>IFERROR(VLOOKUP(KalkylSlut[[#This Row],[Klimatmaterial]],Materialtabell[[#All],[Materialnamn]:[Materialtyp]],2,0),"")</f>
        <v/>
      </c>
      <c r="J225" s="104" t="str">
        <f>IFERROR(IF(G225="kg",1,IF(G225="ton",1000,IF(G225=RIGHT(VLOOKUP(H225,Materialtabell[[#All],[Materialnamn]:[Enhet]],4,0),LEN(VLOOKUP(H225,Materialtabell[[#All],[Materialnamn]:[Enhet]],4,0))-3),VLOOKUP(H225,Materialtabell[[#All],[Materialnamn]:[Enhet]],3,0),"Enhetsfel"))),"")</f>
        <v/>
      </c>
      <c r="K225" s="105" t="str">
        <f>IFERROR(IF(G225="kg","kg/kg",IF(G225="ton","kg/ton",IF(RIGHT(VLOOKUP(H225,Materialtabell[[#All],[Materialnamn]:[Enhet]],4,0),LEN(VLOOKUP(H225,Materialtabell[[#All],[Materialnamn]:[Enhet]],4,0))-3)=G225,VLOOKUP(H225,Materialtabell[[#All],[Materialnamn]:[Enhet]],4,0),"kg/ton/"&amp;RIGHT(VLOOKUP(H225,Materialtabell[[#All],[Materialnamn]:[Enhet]],4,0),LEN(VLOOKUP(H225,Materialtabell[[#All],[Materialnamn]:[Enhet]],4,0))-3)))),"")</f>
        <v/>
      </c>
      <c r="L225" s="104" t="str">
        <f>IFERROR(KalkylSlut[[#This Row],[Mängd]]*KalkylSlut[[#This Row],[Omräknings-faktor]],"")</f>
        <v/>
      </c>
      <c r="M225" s="104" t="str">
        <f>IFERROR(F225*J225*VLOOKUP(H225,Materialtabell[[#All],[Materialnamn]:[Emissionsfaktor 2019
kg CO2e/kg]],5,0),"")</f>
        <v/>
      </c>
      <c r="N225" s="104" t="str">
        <f>IFERROR(F225*J225*VLOOKUP(H225,Materialtabell[[#All],[Materialnamn]:[Emissionsfaktor 2025
kg CO2e/kg]],6,0),"")</f>
        <v/>
      </c>
      <c r="O225" s="78" t="str">
        <f>IFERROR(VLOOKUP(H225,Materialtabell[[#All],[Materialnamn]:[Kommentar A4]],24,0),"")</f>
        <v/>
      </c>
      <c r="P225" s="94" t="str">
        <f>IFERROR(($F225*$J225*$O225*VLOOKUP($H225,Materialtabell[[#All],[Materialnamn]:[Bränsle 
MJ/ton, km]],25,0)*Materiallista!$AF$5)/1000,"")</f>
        <v/>
      </c>
      <c r="Q225" s="94" t="str">
        <f>IFERROR(($F225*$J225*$O225*VLOOKUP($H225,Materialtabell[[#All],[Materialnamn]:[Bränsle 
MJ/ton, km]],25,0)*Materiallista!$AF$6)/1000,"")</f>
        <v/>
      </c>
      <c r="R225" s="162"/>
      <c r="S225" s="3"/>
      <c r="T225" s="3"/>
    </row>
    <row r="226" spans="1:20" x14ac:dyDescent="0.25">
      <c r="A226" s="3"/>
      <c r="B226" s="185">
        <v>221</v>
      </c>
      <c r="C226" s="170"/>
      <c r="D226" s="103"/>
      <c r="E226" s="103"/>
      <c r="F226" s="78"/>
      <c r="G226" s="103"/>
      <c r="H226" s="102"/>
      <c r="I226" s="105" t="str">
        <f>IFERROR(VLOOKUP(KalkylSlut[[#This Row],[Klimatmaterial]],Materialtabell[[#All],[Materialnamn]:[Materialtyp]],2,0),"")</f>
        <v/>
      </c>
      <c r="J226" s="104" t="str">
        <f>IFERROR(IF(G226="kg",1,IF(G226="ton",1000,IF(G226=RIGHT(VLOOKUP(H226,Materialtabell[[#All],[Materialnamn]:[Enhet]],4,0),LEN(VLOOKUP(H226,Materialtabell[[#All],[Materialnamn]:[Enhet]],4,0))-3),VLOOKUP(H226,Materialtabell[[#All],[Materialnamn]:[Enhet]],3,0),"Enhetsfel"))),"")</f>
        <v/>
      </c>
      <c r="K226" s="105" t="str">
        <f>IFERROR(IF(G226="kg","kg/kg",IF(G226="ton","kg/ton",IF(RIGHT(VLOOKUP(H226,Materialtabell[[#All],[Materialnamn]:[Enhet]],4,0),LEN(VLOOKUP(H226,Materialtabell[[#All],[Materialnamn]:[Enhet]],4,0))-3)=G226,VLOOKUP(H226,Materialtabell[[#All],[Materialnamn]:[Enhet]],4,0),"kg/ton/"&amp;RIGHT(VLOOKUP(H226,Materialtabell[[#All],[Materialnamn]:[Enhet]],4,0),LEN(VLOOKUP(H226,Materialtabell[[#All],[Materialnamn]:[Enhet]],4,0))-3)))),"")</f>
        <v/>
      </c>
      <c r="L226" s="104" t="str">
        <f>IFERROR(KalkylSlut[[#This Row],[Mängd]]*KalkylSlut[[#This Row],[Omräknings-faktor]],"")</f>
        <v/>
      </c>
      <c r="M226" s="104" t="str">
        <f>IFERROR(F226*J226*VLOOKUP(H226,Materialtabell[[#All],[Materialnamn]:[Emissionsfaktor 2019
kg CO2e/kg]],5,0),"")</f>
        <v/>
      </c>
      <c r="N226" s="104" t="str">
        <f>IFERROR(F226*J226*VLOOKUP(H226,Materialtabell[[#All],[Materialnamn]:[Emissionsfaktor 2025
kg CO2e/kg]],6,0),"")</f>
        <v/>
      </c>
      <c r="O226" s="78" t="str">
        <f>IFERROR(VLOOKUP(H226,Materialtabell[[#All],[Materialnamn]:[Kommentar A4]],24,0),"")</f>
        <v/>
      </c>
      <c r="P226" s="94" t="str">
        <f>IFERROR(($F226*$J226*$O226*VLOOKUP($H226,Materialtabell[[#All],[Materialnamn]:[Bränsle 
MJ/ton, km]],25,0)*Materiallista!$AF$5)/1000,"")</f>
        <v/>
      </c>
      <c r="Q226" s="94" t="str">
        <f>IFERROR(($F226*$J226*$O226*VLOOKUP($H226,Materialtabell[[#All],[Materialnamn]:[Bränsle 
MJ/ton, km]],25,0)*Materiallista!$AF$6)/1000,"")</f>
        <v/>
      </c>
      <c r="R226" s="162"/>
      <c r="S226" s="3"/>
      <c r="T226" s="3"/>
    </row>
    <row r="227" spans="1:20" x14ac:dyDescent="0.25">
      <c r="A227" s="3"/>
      <c r="B227" s="185">
        <v>222</v>
      </c>
      <c r="C227" s="170"/>
      <c r="D227" s="103"/>
      <c r="E227" s="103"/>
      <c r="F227" s="78"/>
      <c r="G227" s="103"/>
      <c r="H227" s="102"/>
      <c r="I227" s="105" t="str">
        <f>IFERROR(VLOOKUP(KalkylSlut[[#This Row],[Klimatmaterial]],Materialtabell[[#All],[Materialnamn]:[Materialtyp]],2,0),"")</f>
        <v/>
      </c>
      <c r="J227" s="104" t="str">
        <f>IFERROR(IF(G227="kg",1,IF(G227="ton",1000,IF(G227=RIGHT(VLOOKUP(H227,Materialtabell[[#All],[Materialnamn]:[Enhet]],4,0),LEN(VLOOKUP(H227,Materialtabell[[#All],[Materialnamn]:[Enhet]],4,0))-3),VLOOKUP(H227,Materialtabell[[#All],[Materialnamn]:[Enhet]],3,0),"Enhetsfel"))),"")</f>
        <v/>
      </c>
      <c r="K227" s="105" t="str">
        <f>IFERROR(IF(G227="kg","kg/kg",IF(G227="ton","kg/ton",IF(RIGHT(VLOOKUP(H227,Materialtabell[[#All],[Materialnamn]:[Enhet]],4,0),LEN(VLOOKUP(H227,Materialtabell[[#All],[Materialnamn]:[Enhet]],4,0))-3)=G227,VLOOKUP(H227,Materialtabell[[#All],[Materialnamn]:[Enhet]],4,0),"kg/ton/"&amp;RIGHT(VLOOKUP(H227,Materialtabell[[#All],[Materialnamn]:[Enhet]],4,0),LEN(VLOOKUP(H227,Materialtabell[[#All],[Materialnamn]:[Enhet]],4,0))-3)))),"")</f>
        <v/>
      </c>
      <c r="L227" s="104" t="str">
        <f>IFERROR(KalkylSlut[[#This Row],[Mängd]]*KalkylSlut[[#This Row],[Omräknings-faktor]],"")</f>
        <v/>
      </c>
      <c r="M227" s="104" t="str">
        <f>IFERROR(F227*J227*VLOOKUP(H227,Materialtabell[[#All],[Materialnamn]:[Emissionsfaktor 2019
kg CO2e/kg]],5,0),"")</f>
        <v/>
      </c>
      <c r="N227" s="104" t="str">
        <f>IFERROR(F227*J227*VLOOKUP(H227,Materialtabell[[#All],[Materialnamn]:[Emissionsfaktor 2025
kg CO2e/kg]],6,0),"")</f>
        <v/>
      </c>
      <c r="O227" s="78" t="str">
        <f>IFERROR(VLOOKUP(H227,Materialtabell[[#All],[Materialnamn]:[Kommentar A4]],24,0),"")</f>
        <v/>
      </c>
      <c r="P227" s="94" t="str">
        <f>IFERROR(($F227*$J227*$O227*VLOOKUP($H227,Materialtabell[[#All],[Materialnamn]:[Bränsle 
MJ/ton, km]],25,0)*Materiallista!$AF$5)/1000,"")</f>
        <v/>
      </c>
      <c r="Q227" s="94" t="str">
        <f>IFERROR(($F227*$J227*$O227*VLOOKUP($H227,Materialtabell[[#All],[Materialnamn]:[Bränsle 
MJ/ton, km]],25,0)*Materiallista!$AF$6)/1000,"")</f>
        <v/>
      </c>
      <c r="R227" s="162"/>
      <c r="S227" s="3"/>
      <c r="T227" s="3"/>
    </row>
    <row r="228" spans="1:20" x14ac:dyDescent="0.25">
      <c r="A228" s="3"/>
      <c r="B228" s="185">
        <v>223</v>
      </c>
      <c r="C228" s="170"/>
      <c r="D228" s="103"/>
      <c r="E228" s="103"/>
      <c r="F228" s="78"/>
      <c r="G228" s="103"/>
      <c r="H228" s="102"/>
      <c r="I228" s="105" t="str">
        <f>IFERROR(VLOOKUP(KalkylSlut[[#This Row],[Klimatmaterial]],Materialtabell[[#All],[Materialnamn]:[Materialtyp]],2,0),"")</f>
        <v/>
      </c>
      <c r="J228" s="104" t="str">
        <f>IFERROR(IF(G228="kg",1,IF(G228="ton",1000,IF(G228=RIGHT(VLOOKUP(H228,Materialtabell[[#All],[Materialnamn]:[Enhet]],4,0),LEN(VLOOKUP(H228,Materialtabell[[#All],[Materialnamn]:[Enhet]],4,0))-3),VLOOKUP(H228,Materialtabell[[#All],[Materialnamn]:[Enhet]],3,0),"Enhetsfel"))),"")</f>
        <v/>
      </c>
      <c r="K228" s="105" t="str">
        <f>IFERROR(IF(G228="kg","kg/kg",IF(G228="ton","kg/ton",IF(RIGHT(VLOOKUP(H228,Materialtabell[[#All],[Materialnamn]:[Enhet]],4,0),LEN(VLOOKUP(H228,Materialtabell[[#All],[Materialnamn]:[Enhet]],4,0))-3)=G228,VLOOKUP(H228,Materialtabell[[#All],[Materialnamn]:[Enhet]],4,0),"kg/ton/"&amp;RIGHT(VLOOKUP(H228,Materialtabell[[#All],[Materialnamn]:[Enhet]],4,0),LEN(VLOOKUP(H228,Materialtabell[[#All],[Materialnamn]:[Enhet]],4,0))-3)))),"")</f>
        <v/>
      </c>
      <c r="L228" s="104" t="str">
        <f>IFERROR(KalkylSlut[[#This Row],[Mängd]]*KalkylSlut[[#This Row],[Omräknings-faktor]],"")</f>
        <v/>
      </c>
      <c r="M228" s="104" t="str">
        <f>IFERROR(F228*J228*VLOOKUP(H228,Materialtabell[[#All],[Materialnamn]:[Emissionsfaktor 2019
kg CO2e/kg]],5,0),"")</f>
        <v/>
      </c>
      <c r="N228" s="104" t="str">
        <f>IFERROR(F228*J228*VLOOKUP(H228,Materialtabell[[#All],[Materialnamn]:[Emissionsfaktor 2025
kg CO2e/kg]],6,0),"")</f>
        <v/>
      </c>
      <c r="O228" s="78" t="str">
        <f>IFERROR(VLOOKUP(H228,Materialtabell[[#All],[Materialnamn]:[Kommentar A4]],24,0),"")</f>
        <v/>
      </c>
      <c r="P228" s="94" t="str">
        <f>IFERROR(($F228*$J228*$O228*VLOOKUP($H228,Materialtabell[[#All],[Materialnamn]:[Bränsle 
MJ/ton, km]],25,0)*Materiallista!$AF$5)/1000,"")</f>
        <v/>
      </c>
      <c r="Q228" s="94" t="str">
        <f>IFERROR(($F228*$J228*$O228*VLOOKUP($H228,Materialtabell[[#All],[Materialnamn]:[Bränsle 
MJ/ton, km]],25,0)*Materiallista!$AF$6)/1000,"")</f>
        <v/>
      </c>
      <c r="R228" s="162"/>
      <c r="S228" s="3"/>
      <c r="T228" s="3"/>
    </row>
    <row r="229" spans="1:20" x14ac:dyDescent="0.25">
      <c r="A229" s="3"/>
      <c r="B229" s="185">
        <v>224</v>
      </c>
      <c r="C229" s="170"/>
      <c r="D229" s="103"/>
      <c r="E229" s="103"/>
      <c r="F229" s="78"/>
      <c r="G229" s="103"/>
      <c r="H229" s="102"/>
      <c r="I229" s="105" t="str">
        <f>IFERROR(VLOOKUP(KalkylSlut[[#This Row],[Klimatmaterial]],Materialtabell[[#All],[Materialnamn]:[Materialtyp]],2,0),"")</f>
        <v/>
      </c>
      <c r="J229" s="104" t="str">
        <f>IFERROR(IF(G229="kg",1,IF(G229="ton",1000,IF(G229=RIGHT(VLOOKUP(H229,Materialtabell[[#All],[Materialnamn]:[Enhet]],4,0),LEN(VLOOKUP(H229,Materialtabell[[#All],[Materialnamn]:[Enhet]],4,0))-3),VLOOKUP(H229,Materialtabell[[#All],[Materialnamn]:[Enhet]],3,0),"Enhetsfel"))),"")</f>
        <v/>
      </c>
      <c r="K229" s="105" t="str">
        <f>IFERROR(IF(G229="kg","kg/kg",IF(G229="ton","kg/ton",IF(RIGHT(VLOOKUP(H229,Materialtabell[[#All],[Materialnamn]:[Enhet]],4,0),LEN(VLOOKUP(H229,Materialtabell[[#All],[Materialnamn]:[Enhet]],4,0))-3)=G229,VLOOKUP(H229,Materialtabell[[#All],[Materialnamn]:[Enhet]],4,0),"kg/ton/"&amp;RIGHT(VLOOKUP(H229,Materialtabell[[#All],[Materialnamn]:[Enhet]],4,0),LEN(VLOOKUP(H229,Materialtabell[[#All],[Materialnamn]:[Enhet]],4,0))-3)))),"")</f>
        <v/>
      </c>
      <c r="L229" s="104" t="str">
        <f>IFERROR(KalkylSlut[[#This Row],[Mängd]]*KalkylSlut[[#This Row],[Omräknings-faktor]],"")</f>
        <v/>
      </c>
      <c r="M229" s="104" t="str">
        <f>IFERROR(F229*J229*VLOOKUP(H229,Materialtabell[[#All],[Materialnamn]:[Emissionsfaktor 2019
kg CO2e/kg]],5,0),"")</f>
        <v/>
      </c>
      <c r="N229" s="104" t="str">
        <f>IFERROR(F229*J229*VLOOKUP(H229,Materialtabell[[#All],[Materialnamn]:[Emissionsfaktor 2025
kg CO2e/kg]],6,0),"")</f>
        <v/>
      </c>
      <c r="O229" s="78" t="str">
        <f>IFERROR(VLOOKUP(H229,Materialtabell[[#All],[Materialnamn]:[Kommentar A4]],24,0),"")</f>
        <v/>
      </c>
      <c r="P229" s="94" t="str">
        <f>IFERROR(($F229*$J229*$O229*VLOOKUP($H229,Materialtabell[[#All],[Materialnamn]:[Bränsle 
MJ/ton, km]],25,0)*Materiallista!$AF$5)/1000,"")</f>
        <v/>
      </c>
      <c r="Q229" s="94" t="str">
        <f>IFERROR(($F229*$J229*$O229*VLOOKUP($H229,Materialtabell[[#All],[Materialnamn]:[Bränsle 
MJ/ton, km]],25,0)*Materiallista!$AF$6)/1000,"")</f>
        <v/>
      </c>
      <c r="R229" s="162"/>
      <c r="S229" s="3"/>
      <c r="T229" s="3"/>
    </row>
    <row r="230" spans="1:20" x14ac:dyDescent="0.25">
      <c r="A230" s="3"/>
      <c r="B230" s="185">
        <v>225</v>
      </c>
      <c r="C230" s="170"/>
      <c r="D230" s="103"/>
      <c r="E230" s="103"/>
      <c r="F230" s="78"/>
      <c r="G230" s="103"/>
      <c r="H230" s="102"/>
      <c r="I230" s="105" t="str">
        <f>IFERROR(VLOOKUP(KalkylSlut[[#This Row],[Klimatmaterial]],Materialtabell[[#All],[Materialnamn]:[Materialtyp]],2,0),"")</f>
        <v/>
      </c>
      <c r="J230" s="104" t="str">
        <f>IFERROR(IF(G230="kg",1,IF(G230="ton",1000,IF(G230=RIGHT(VLOOKUP(H230,Materialtabell[[#All],[Materialnamn]:[Enhet]],4,0),LEN(VLOOKUP(H230,Materialtabell[[#All],[Materialnamn]:[Enhet]],4,0))-3),VLOOKUP(H230,Materialtabell[[#All],[Materialnamn]:[Enhet]],3,0),"Enhetsfel"))),"")</f>
        <v/>
      </c>
      <c r="K230" s="105" t="str">
        <f>IFERROR(IF(G230="kg","kg/kg",IF(G230="ton","kg/ton",IF(RIGHT(VLOOKUP(H230,Materialtabell[[#All],[Materialnamn]:[Enhet]],4,0),LEN(VLOOKUP(H230,Materialtabell[[#All],[Materialnamn]:[Enhet]],4,0))-3)=G230,VLOOKUP(H230,Materialtabell[[#All],[Materialnamn]:[Enhet]],4,0),"kg/ton/"&amp;RIGHT(VLOOKUP(H230,Materialtabell[[#All],[Materialnamn]:[Enhet]],4,0),LEN(VLOOKUP(H230,Materialtabell[[#All],[Materialnamn]:[Enhet]],4,0))-3)))),"")</f>
        <v/>
      </c>
      <c r="L230" s="104" t="str">
        <f>IFERROR(KalkylSlut[[#This Row],[Mängd]]*KalkylSlut[[#This Row],[Omräknings-faktor]],"")</f>
        <v/>
      </c>
      <c r="M230" s="104" t="str">
        <f>IFERROR(F230*J230*VLOOKUP(H230,Materialtabell[[#All],[Materialnamn]:[Emissionsfaktor 2019
kg CO2e/kg]],5,0),"")</f>
        <v/>
      </c>
      <c r="N230" s="104" t="str">
        <f>IFERROR(F230*J230*VLOOKUP(H230,Materialtabell[[#All],[Materialnamn]:[Emissionsfaktor 2025
kg CO2e/kg]],6,0),"")</f>
        <v/>
      </c>
      <c r="O230" s="78" t="str">
        <f>IFERROR(VLOOKUP(H230,Materialtabell[[#All],[Materialnamn]:[Kommentar A4]],24,0),"")</f>
        <v/>
      </c>
      <c r="P230" s="94" t="str">
        <f>IFERROR(($F230*$J230*$O230*VLOOKUP($H230,Materialtabell[[#All],[Materialnamn]:[Bränsle 
MJ/ton, km]],25,0)*Materiallista!$AF$5)/1000,"")</f>
        <v/>
      </c>
      <c r="Q230" s="94" t="str">
        <f>IFERROR(($F230*$J230*$O230*VLOOKUP($H230,Materialtabell[[#All],[Materialnamn]:[Bränsle 
MJ/ton, km]],25,0)*Materiallista!$AF$6)/1000,"")</f>
        <v/>
      </c>
      <c r="R230" s="162"/>
      <c r="S230" s="3"/>
      <c r="T230" s="3"/>
    </row>
    <row r="231" spans="1:20" x14ac:dyDescent="0.25">
      <c r="A231" s="3"/>
      <c r="B231" s="185">
        <v>226</v>
      </c>
      <c r="C231" s="170"/>
      <c r="D231" s="103"/>
      <c r="E231" s="103"/>
      <c r="F231" s="78"/>
      <c r="G231" s="103"/>
      <c r="H231" s="102"/>
      <c r="I231" s="105" t="str">
        <f>IFERROR(VLOOKUP(KalkylSlut[[#This Row],[Klimatmaterial]],Materialtabell[[#All],[Materialnamn]:[Materialtyp]],2,0),"")</f>
        <v/>
      </c>
      <c r="J231" s="104" t="str">
        <f>IFERROR(IF(G231="kg",1,IF(G231="ton",1000,IF(G231=RIGHT(VLOOKUP(H231,Materialtabell[[#All],[Materialnamn]:[Enhet]],4,0),LEN(VLOOKUP(H231,Materialtabell[[#All],[Materialnamn]:[Enhet]],4,0))-3),VLOOKUP(H231,Materialtabell[[#All],[Materialnamn]:[Enhet]],3,0),"Enhetsfel"))),"")</f>
        <v/>
      </c>
      <c r="K231" s="105" t="str">
        <f>IFERROR(IF(G231="kg","kg/kg",IF(G231="ton","kg/ton",IF(RIGHT(VLOOKUP(H231,Materialtabell[[#All],[Materialnamn]:[Enhet]],4,0),LEN(VLOOKUP(H231,Materialtabell[[#All],[Materialnamn]:[Enhet]],4,0))-3)=G231,VLOOKUP(H231,Materialtabell[[#All],[Materialnamn]:[Enhet]],4,0),"kg/ton/"&amp;RIGHT(VLOOKUP(H231,Materialtabell[[#All],[Materialnamn]:[Enhet]],4,0),LEN(VLOOKUP(H231,Materialtabell[[#All],[Materialnamn]:[Enhet]],4,0))-3)))),"")</f>
        <v/>
      </c>
      <c r="L231" s="104" t="str">
        <f>IFERROR(KalkylSlut[[#This Row],[Mängd]]*KalkylSlut[[#This Row],[Omräknings-faktor]],"")</f>
        <v/>
      </c>
      <c r="M231" s="104" t="str">
        <f>IFERROR(F231*J231*VLOOKUP(H231,Materialtabell[[#All],[Materialnamn]:[Emissionsfaktor 2019
kg CO2e/kg]],5,0),"")</f>
        <v/>
      </c>
      <c r="N231" s="104" t="str">
        <f>IFERROR(F231*J231*VLOOKUP(H231,Materialtabell[[#All],[Materialnamn]:[Emissionsfaktor 2025
kg CO2e/kg]],6,0),"")</f>
        <v/>
      </c>
      <c r="O231" s="78" t="str">
        <f>IFERROR(VLOOKUP(H231,Materialtabell[[#All],[Materialnamn]:[Kommentar A4]],24,0),"")</f>
        <v/>
      </c>
      <c r="P231" s="94" t="str">
        <f>IFERROR(($F231*$J231*$O231*VLOOKUP($H231,Materialtabell[[#All],[Materialnamn]:[Bränsle 
MJ/ton, km]],25,0)*Materiallista!$AF$5)/1000,"")</f>
        <v/>
      </c>
      <c r="Q231" s="94" t="str">
        <f>IFERROR(($F231*$J231*$O231*VLOOKUP($H231,Materialtabell[[#All],[Materialnamn]:[Bränsle 
MJ/ton, km]],25,0)*Materiallista!$AF$6)/1000,"")</f>
        <v/>
      </c>
      <c r="R231" s="162"/>
      <c r="S231" s="3"/>
      <c r="T231" s="3"/>
    </row>
    <row r="232" spans="1:20" x14ac:dyDescent="0.25">
      <c r="A232" s="3"/>
      <c r="B232" s="185">
        <v>227</v>
      </c>
      <c r="C232" s="170"/>
      <c r="D232" s="103"/>
      <c r="E232" s="103"/>
      <c r="F232" s="78"/>
      <c r="G232" s="103"/>
      <c r="H232" s="102"/>
      <c r="I232" s="105" t="str">
        <f>IFERROR(VLOOKUP(KalkylSlut[[#This Row],[Klimatmaterial]],Materialtabell[[#All],[Materialnamn]:[Materialtyp]],2,0),"")</f>
        <v/>
      </c>
      <c r="J232" s="104" t="str">
        <f>IFERROR(IF(G232="kg",1,IF(G232="ton",1000,IF(G232=RIGHT(VLOOKUP(H232,Materialtabell[[#All],[Materialnamn]:[Enhet]],4,0),LEN(VLOOKUP(H232,Materialtabell[[#All],[Materialnamn]:[Enhet]],4,0))-3),VLOOKUP(H232,Materialtabell[[#All],[Materialnamn]:[Enhet]],3,0),"Enhetsfel"))),"")</f>
        <v/>
      </c>
      <c r="K232" s="105" t="str">
        <f>IFERROR(IF(G232="kg","kg/kg",IF(G232="ton","kg/ton",IF(RIGHT(VLOOKUP(H232,Materialtabell[[#All],[Materialnamn]:[Enhet]],4,0),LEN(VLOOKUP(H232,Materialtabell[[#All],[Materialnamn]:[Enhet]],4,0))-3)=G232,VLOOKUP(H232,Materialtabell[[#All],[Materialnamn]:[Enhet]],4,0),"kg/ton/"&amp;RIGHT(VLOOKUP(H232,Materialtabell[[#All],[Materialnamn]:[Enhet]],4,0),LEN(VLOOKUP(H232,Materialtabell[[#All],[Materialnamn]:[Enhet]],4,0))-3)))),"")</f>
        <v/>
      </c>
      <c r="L232" s="104" t="str">
        <f>IFERROR(KalkylSlut[[#This Row],[Mängd]]*KalkylSlut[[#This Row],[Omräknings-faktor]],"")</f>
        <v/>
      </c>
      <c r="M232" s="104" t="str">
        <f>IFERROR(F232*J232*VLOOKUP(H232,Materialtabell[[#All],[Materialnamn]:[Emissionsfaktor 2019
kg CO2e/kg]],5,0),"")</f>
        <v/>
      </c>
      <c r="N232" s="104" t="str">
        <f>IFERROR(F232*J232*VLOOKUP(H232,Materialtabell[[#All],[Materialnamn]:[Emissionsfaktor 2025
kg CO2e/kg]],6,0),"")</f>
        <v/>
      </c>
      <c r="O232" s="78" t="str">
        <f>IFERROR(VLOOKUP(H232,Materialtabell[[#All],[Materialnamn]:[Kommentar A4]],24,0),"")</f>
        <v/>
      </c>
      <c r="P232" s="94" t="str">
        <f>IFERROR(($F232*$J232*$O232*VLOOKUP($H232,Materialtabell[[#All],[Materialnamn]:[Bränsle 
MJ/ton, km]],25,0)*Materiallista!$AF$5)/1000,"")</f>
        <v/>
      </c>
      <c r="Q232" s="94" t="str">
        <f>IFERROR(($F232*$J232*$O232*VLOOKUP($H232,Materialtabell[[#All],[Materialnamn]:[Bränsle 
MJ/ton, km]],25,0)*Materiallista!$AF$6)/1000,"")</f>
        <v/>
      </c>
      <c r="R232" s="162"/>
      <c r="S232" s="3"/>
      <c r="T232" s="3"/>
    </row>
    <row r="233" spans="1:20" x14ac:dyDescent="0.25">
      <c r="A233" s="3"/>
      <c r="B233" s="185">
        <v>228</v>
      </c>
      <c r="C233" s="170"/>
      <c r="D233" s="103"/>
      <c r="E233" s="103"/>
      <c r="F233" s="78"/>
      <c r="G233" s="103"/>
      <c r="H233" s="102"/>
      <c r="I233" s="105" t="str">
        <f>IFERROR(VLOOKUP(KalkylSlut[[#This Row],[Klimatmaterial]],Materialtabell[[#All],[Materialnamn]:[Materialtyp]],2,0),"")</f>
        <v/>
      </c>
      <c r="J233" s="104" t="str">
        <f>IFERROR(IF(G233="kg",1,IF(G233="ton",1000,IF(G233=RIGHT(VLOOKUP(H233,Materialtabell[[#All],[Materialnamn]:[Enhet]],4,0),LEN(VLOOKUP(H233,Materialtabell[[#All],[Materialnamn]:[Enhet]],4,0))-3),VLOOKUP(H233,Materialtabell[[#All],[Materialnamn]:[Enhet]],3,0),"Enhetsfel"))),"")</f>
        <v/>
      </c>
      <c r="K233" s="105" t="str">
        <f>IFERROR(IF(G233="kg","kg/kg",IF(G233="ton","kg/ton",IF(RIGHT(VLOOKUP(H233,Materialtabell[[#All],[Materialnamn]:[Enhet]],4,0),LEN(VLOOKUP(H233,Materialtabell[[#All],[Materialnamn]:[Enhet]],4,0))-3)=G233,VLOOKUP(H233,Materialtabell[[#All],[Materialnamn]:[Enhet]],4,0),"kg/ton/"&amp;RIGHT(VLOOKUP(H233,Materialtabell[[#All],[Materialnamn]:[Enhet]],4,0),LEN(VLOOKUP(H233,Materialtabell[[#All],[Materialnamn]:[Enhet]],4,0))-3)))),"")</f>
        <v/>
      </c>
      <c r="L233" s="104" t="str">
        <f>IFERROR(KalkylSlut[[#This Row],[Mängd]]*KalkylSlut[[#This Row],[Omräknings-faktor]],"")</f>
        <v/>
      </c>
      <c r="M233" s="104" t="str">
        <f>IFERROR(F233*J233*VLOOKUP(H233,Materialtabell[[#All],[Materialnamn]:[Emissionsfaktor 2019
kg CO2e/kg]],5,0),"")</f>
        <v/>
      </c>
      <c r="N233" s="104" t="str">
        <f>IFERROR(F233*J233*VLOOKUP(H233,Materialtabell[[#All],[Materialnamn]:[Emissionsfaktor 2025
kg CO2e/kg]],6,0),"")</f>
        <v/>
      </c>
      <c r="O233" s="78" t="str">
        <f>IFERROR(VLOOKUP(H233,Materialtabell[[#All],[Materialnamn]:[Kommentar A4]],24,0),"")</f>
        <v/>
      </c>
      <c r="P233" s="94" t="str">
        <f>IFERROR(($F233*$J233*$O233*VLOOKUP($H233,Materialtabell[[#All],[Materialnamn]:[Bränsle 
MJ/ton, km]],25,0)*Materiallista!$AF$5)/1000,"")</f>
        <v/>
      </c>
      <c r="Q233" s="94" t="str">
        <f>IFERROR(($F233*$J233*$O233*VLOOKUP($H233,Materialtabell[[#All],[Materialnamn]:[Bränsle 
MJ/ton, km]],25,0)*Materiallista!$AF$6)/1000,"")</f>
        <v/>
      </c>
      <c r="R233" s="162"/>
      <c r="S233" s="3"/>
      <c r="T233" s="3"/>
    </row>
    <row r="234" spans="1:20" x14ac:dyDescent="0.25">
      <c r="A234" s="3"/>
      <c r="B234" s="185">
        <v>229</v>
      </c>
      <c r="C234" s="170"/>
      <c r="D234" s="103"/>
      <c r="E234" s="103"/>
      <c r="F234" s="78"/>
      <c r="G234" s="103"/>
      <c r="H234" s="102"/>
      <c r="I234" s="105" t="str">
        <f>IFERROR(VLOOKUP(KalkylSlut[[#This Row],[Klimatmaterial]],Materialtabell[[#All],[Materialnamn]:[Materialtyp]],2,0),"")</f>
        <v/>
      </c>
      <c r="J234" s="104" t="str">
        <f>IFERROR(IF(G234="kg",1,IF(G234="ton",1000,IF(G234=RIGHT(VLOOKUP(H234,Materialtabell[[#All],[Materialnamn]:[Enhet]],4,0),LEN(VLOOKUP(H234,Materialtabell[[#All],[Materialnamn]:[Enhet]],4,0))-3),VLOOKUP(H234,Materialtabell[[#All],[Materialnamn]:[Enhet]],3,0),"Enhetsfel"))),"")</f>
        <v/>
      </c>
      <c r="K234" s="105" t="str">
        <f>IFERROR(IF(G234="kg","kg/kg",IF(G234="ton","kg/ton",IF(RIGHT(VLOOKUP(H234,Materialtabell[[#All],[Materialnamn]:[Enhet]],4,0),LEN(VLOOKUP(H234,Materialtabell[[#All],[Materialnamn]:[Enhet]],4,0))-3)=G234,VLOOKUP(H234,Materialtabell[[#All],[Materialnamn]:[Enhet]],4,0),"kg/ton/"&amp;RIGHT(VLOOKUP(H234,Materialtabell[[#All],[Materialnamn]:[Enhet]],4,0),LEN(VLOOKUP(H234,Materialtabell[[#All],[Materialnamn]:[Enhet]],4,0))-3)))),"")</f>
        <v/>
      </c>
      <c r="L234" s="104" t="str">
        <f>IFERROR(KalkylSlut[[#This Row],[Mängd]]*KalkylSlut[[#This Row],[Omräknings-faktor]],"")</f>
        <v/>
      </c>
      <c r="M234" s="104" t="str">
        <f>IFERROR(F234*J234*VLOOKUP(H234,Materialtabell[[#All],[Materialnamn]:[Emissionsfaktor 2019
kg CO2e/kg]],5,0),"")</f>
        <v/>
      </c>
      <c r="N234" s="104" t="str">
        <f>IFERROR(F234*J234*VLOOKUP(H234,Materialtabell[[#All],[Materialnamn]:[Emissionsfaktor 2025
kg CO2e/kg]],6,0),"")</f>
        <v/>
      </c>
      <c r="O234" s="78" t="str">
        <f>IFERROR(VLOOKUP(H234,Materialtabell[[#All],[Materialnamn]:[Kommentar A4]],24,0),"")</f>
        <v/>
      </c>
      <c r="P234" s="94" t="str">
        <f>IFERROR(($F234*$J234*$O234*VLOOKUP($H234,Materialtabell[[#All],[Materialnamn]:[Bränsle 
MJ/ton, km]],25,0)*Materiallista!$AF$5)/1000,"")</f>
        <v/>
      </c>
      <c r="Q234" s="94" t="str">
        <f>IFERROR(($F234*$J234*$O234*VLOOKUP($H234,Materialtabell[[#All],[Materialnamn]:[Bränsle 
MJ/ton, km]],25,0)*Materiallista!$AF$6)/1000,"")</f>
        <v/>
      </c>
      <c r="R234" s="162"/>
      <c r="S234" s="3"/>
      <c r="T234" s="3"/>
    </row>
    <row r="235" spans="1:20" x14ac:dyDescent="0.25">
      <c r="A235" s="3"/>
      <c r="B235" s="185">
        <v>230</v>
      </c>
      <c r="C235" s="170"/>
      <c r="D235" s="103"/>
      <c r="E235" s="103"/>
      <c r="F235" s="78"/>
      <c r="G235" s="103"/>
      <c r="H235" s="102"/>
      <c r="I235" s="105" t="str">
        <f>IFERROR(VLOOKUP(KalkylSlut[[#This Row],[Klimatmaterial]],Materialtabell[[#All],[Materialnamn]:[Materialtyp]],2,0),"")</f>
        <v/>
      </c>
      <c r="J235" s="104" t="str">
        <f>IFERROR(IF(G235="kg",1,IF(G235="ton",1000,IF(G235=RIGHT(VLOOKUP(H235,Materialtabell[[#All],[Materialnamn]:[Enhet]],4,0),LEN(VLOOKUP(H235,Materialtabell[[#All],[Materialnamn]:[Enhet]],4,0))-3),VLOOKUP(H235,Materialtabell[[#All],[Materialnamn]:[Enhet]],3,0),"Enhetsfel"))),"")</f>
        <v/>
      </c>
      <c r="K235" s="105" t="str">
        <f>IFERROR(IF(G235="kg","kg/kg",IF(G235="ton","kg/ton",IF(RIGHT(VLOOKUP(H235,Materialtabell[[#All],[Materialnamn]:[Enhet]],4,0),LEN(VLOOKUP(H235,Materialtabell[[#All],[Materialnamn]:[Enhet]],4,0))-3)=G235,VLOOKUP(H235,Materialtabell[[#All],[Materialnamn]:[Enhet]],4,0),"kg/ton/"&amp;RIGHT(VLOOKUP(H235,Materialtabell[[#All],[Materialnamn]:[Enhet]],4,0),LEN(VLOOKUP(H235,Materialtabell[[#All],[Materialnamn]:[Enhet]],4,0))-3)))),"")</f>
        <v/>
      </c>
      <c r="L235" s="104" t="str">
        <f>IFERROR(KalkylSlut[[#This Row],[Mängd]]*KalkylSlut[[#This Row],[Omräknings-faktor]],"")</f>
        <v/>
      </c>
      <c r="M235" s="104" t="str">
        <f>IFERROR(F235*J235*VLOOKUP(H235,Materialtabell[[#All],[Materialnamn]:[Emissionsfaktor 2019
kg CO2e/kg]],5,0),"")</f>
        <v/>
      </c>
      <c r="N235" s="104" t="str">
        <f>IFERROR(F235*J235*VLOOKUP(H235,Materialtabell[[#All],[Materialnamn]:[Emissionsfaktor 2025
kg CO2e/kg]],6,0),"")</f>
        <v/>
      </c>
      <c r="O235" s="78" t="str">
        <f>IFERROR(VLOOKUP(H235,Materialtabell[[#All],[Materialnamn]:[Kommentar A4]],24,0),"")</f>
        <v/>
      </c>
      <c r="P235" s="94" t="str">
        <f>IFERROR(($F235*$J235*$O235*VLOOKUP($H235,Materialtabell[[#All],[Materialnamn]:[Bränsle 
MJ/ton, km]],25,0)*Materiallista!$AF$5)/1000,"")</f>
        <v/>
      </c>
      <c r="Q235" s="94" t="str">
        <f>IFERROR(($F235*$J235*$O235*VLOOKUP($H235,Materialtabell[[#All],[Materialnamn]:[Bränsle 
MJ/ton, km]],25,0)*Materiallista!$AF$6)/1000,"")</f>
        <v/>
      </c>
      <c r="R235" s="162"/>
      <c r="S235" s="3"/>
      <c r="T235" s="3"/>
    </row>
    <row r="236" spans="1:20" x14ac:dyDescent="0.25">
      <c r="A236" s="3"/>
      <c r="B236" s="185">
        <v>231</v>
      </c>
      <c r="C236" s="170"/>
      <c r="D236" s="103"/>
      <c r="E236" s="103"/>
      <c r="F236" s="78"/>
      <c r="G236" s="103"/>
      <c r="H236" s="102"/>
      <c r="I236" s="105" t="str">
        <f>IFERROR(VLOOKUP(KalkylSlut[[#This Row],[Klimatmaterial]],Materialtabell[[#All],[Materialnamn]:[Materialtyp]],2,0),"")</f>
        <v/>
      </c>
      <c r="J236" s="104" t="str">
        <f>IFERROR(IF(G236="kg",1,IF(G236="ton",1000,IF(G236=RIGHT(VLOOKUP(H236,Materialtabell[[#All],[Materialnamn]:[Enhet]],4,0),LEN(VLOOKUP(H236,Materialtabell[[#All],[Materialnamn]:[Enhet]],4,0))-3),VLOOKUP(H236,Materialtabell[[#All],[Materialnamn]:[Enhet]],3,0),"Enhetsfel"))),"")</f>
        <v/>
      </c>
      <c r="K236" s="105" t="str">
        <f>IFERROR(IF(G236="kg","kg/kg",IF(G236="ton","kg/ton",IF(RIGHT(VLOOKUP(H236,Materialtabell[[#All],[Materialnamn]:[Enhet]],4,0),LEN(VLOOKUP(H236,Materialtabell[[#All],[Materialnamn]:[Enhet]],4,0))-3)=G236,VLOOKUP(H236,Materialtabell[[#All],[Materialnamn]:[Enhet]],4,0),"kg/ton/"&amp;RIGHT(VLOOKUP(H236,Materialtabell[[#All],[Materialnamn]:[Enhet]],4,0),LEN(VLOOKUP(H236,Materialtabell[[#All],[Materialnamn]:[Enhet]],4,0))-3)))),"")</f>
        <v/>
      </c>
      <c r="L236" s="104" t="str">
        <f>IFERROR(KalkylSlut[[#This Row],[Mängd]]*KalkylSlut[[#This Row],[Omräknings-faktor]],"")</f>
        <v/>
      </c>
      <c r="M236" s="104" t="str">
        <f>IFERROR(F236*J236*VLOOKUP(H236,Materialtabell[[#All],[Materialnamn]:[Emissionsfaktor 2019
kg CO2e/kg]],5,0),"")</f>
        <v/>
      </c>
      <c r="N236" s="104" t="str">
        <f>IFERROR(F236*J236*VLOOKUP(H236,Materialtabell[[#All],[Materialnamn]:[Emissionsfaktor 2025
kg CO2e/kg]],6,0),"")</f>
        <v/>
      </c>
      <c r="O236" s="78" t="str">
        <f>IFERROR(VLOOKUP(H236,Materialtabell[[#All],[Materialnamn]:[Kommentar A4]],24,0),"")</f>
        <v/>
      </c>
      <c r="P236" s="94" t="str">
        <f>IFERROR(($F236*$J236*$O236*VLOOKUP($H236,Materialtabell[[#All],[Materialnamn]:[Bränsle 
MJ/ton, km]],25,0)*Materiallista!$AF$5)/1000,"")</f>
        <v/>
      </c>
      <c r="Q236" s="94" t="str">
        <f>IFERROR(($F236*$J236*$O236*VLOOKUP($H236,Materialtabell[[#All],[Materialnamn]:[Bränsle 
MJ/ton, km]],25,0)*Materiallista!$AF$6)/1000,"")</f>
        <v/>
      </c>
      <c r="R236" s="162"/>
      <c r="S236" s="3"/>
      <c r="T236" s="3"/>
    </row>
    <row r="237" spans="1:20" x14ac:dyDescent="0.25">
      <c r="A237" s="3"/>
      <c r="B237" s="185">
        <v>232</v>
      </c>
      <c r="C237" s="170"/>
      <c r="D237" s="103"/>
      <c r="E237" s="103"/>
      <c r="F237" s="78"/>
      <c r="G237" s="103"/>
      <c r="H237" s="102"/>
      <c r="I237" s="105" t="str">
        <f>IFERROR(VLOOKUP(KalkylSlut[[#This Row],[Klimatmaterial]],Materialtabell[[#All],[Materialnamn]:[Materialtyp]],2,0),"")</f>
        <v/>
      </c>
      <c r="J237" s="104" t="str">
        <f>IFERROR(IF(G237="kg",1,IF(G237="ton",1000,IF(G237=RIGHT(VLOOKUP(H237,Materialtabell[[#All],[Materialnamn]:[Enhet]],4,0),LEN(VLOOKUP(H237,Materialtabell[[#All],[Materialnamn]:[Enhet]],4,0))-3),VLOOKUP(H237,Materialtabell[[#All],[Materialnamn]:[Enhet]],3,0),"Enhetsfel"))),"")</f>
        <v/>
      </c>
      <c r="K237" s="105" t="str">
        <f>IFERROR(IF(G237="kg","kg/kg",IF(G237="ton","kg/ton",IF(RIGHT(VLOOKUP(H237,Materialtabell[[#All],[Materialnamn]:[Enhet]],4,0),LEN(VLOOKUP(H237,Materialtabell[[#All],[Materialnamn]:[Enhet]],4,0))-3)=G237,VLOOKUP(H237,Materialtabell[[#All],[Materialnamn]:[Enhet]],4,0),"kg/ton/"&amp;RIGHT(VLOOKUP(H237,Materialtabell[[#All],[Materialnamn]:[Enhet]],4,0),LEN(VLOOKUP(H237,Materialtabell[[#All],[Materialnamn]:[Enhet]],4,0))-3)))),"")</f>
        <v/>
      </c>
      <c r="L237" s="104" t="str">
        <f>IFERROR(KalkylSlut[[#This Row],[Mängd]]*KalkylSlut[[#This Row],[Omräknings-faktor]],"")</f>
        <v/>
      </c>
      <c r="M237" s="104" t="str">
        <f>IFERROR(F237*J237*VLOOKUP(H237,Materialtabell[[#All],[Materialnamn]:[Emissionsfaktor 2019
kg CO2e/kg]],5,0),"")</f>
        <v/>
      </c>
      <c r="N237" s="104" t="str">
        <f>IFERROR(F237*J237*VLOOKUP(H237,Materialtabell[[#All],[Materialnamn]:[Emissionsfaktor 2025
kg CO2e/kg]],6,0),"")</f>
        <v/>
      </c>
      <c r="O237" s="78" t="str">
        <f>IFERROR(VLOOKUP(H237,Materialtabell[[#All],[Materialnamn]:[Kommentar A4]],24,0),"")</f>
        <v/>
      </c>
      <c r="P237" s="94" t="str">
        <f>IFERROR(($F237*$J237*$O237*VLOOKUP($H237,Materialtabell[[#All],[Materialnamn]:[Bränsle 
MJ/ton, km]],25,0)*Materiallista!$AF$5)/1000,"")</f>
        <v/>
      </c>
      <c r="Q237" s="94" t="str">
        <f>IFERROR(($F237*$J237*$O237*VLOOKUP($H237,Materialtabell[[#All],[Materialnamn]:[Bränsle 
MJ/ton, km]],25,0)*Materiallista!$AF$6)/1000,"")</f>
        <v/>
      </c>
      <c r="R237" s="162"/>
      <c r="S237" s="3"/>
      <c r="T237" s="3"/>
    </row>
    <row r="238" spans="1:20" x14ac:dyDescent="0.25">
      <c r="A238" s="3"/>
      <c r="B238" s="185">
        <v>233</v>
      </c>
      <c r="C238" s="170"/>
      <c r="D238" s="103"/>
      <c r="E238" s="103"/>
      <c r="F238" s="78"/>
      <c r="G238" s="103"/>
      <c r="H238" s="102"/>
      <c r="I238" s="105" t="str">
        <f>IFERROR(VLOOKUP(KalkylSlut[[#This Row],[Klimatmaterial]],Materialtabell[[#All],[Materialnamn]:[Materialtyp]],2,0),"")</f>
        <v/>
      </c>
      <c r="J238" s="104" t="str">
        <f>IFERROR(IF(G238="kg",1,IF(G238="ton",1000,IF(G238=RIGHT(VLOOKUP(H238,Materialtabell[[#All],[Materialnamn]:[Enhet]],4,0),LEN(VLOOKUP(H238,Materialtabell[[#All],[Materialnamn]:[Enhet]],4,0))-3),VLOOKUP(H238,Materialtabell[[#All],[Materialnamn]:[Enhet]],3,0),"Enhetsfel"))),"")</f>
        <v/>
      </c>
      <c r="K238" s="105" t="str">
        <f>IFERROR(IF(G238="kg","kg/kg",IF(G238="ton","kg/ton",IF(RIGHT(VLOOKUP(H238,Materialtabell[[#All],[Materialnamn]:[Enhet]],4,0),LEN(VLOOKUP(H238,Materialtabell[[#All],[Materialnamn]:[Enhet]],4,0))-3)=G238,VLOOKUP(H238,Materialtabell[[#All],[Materialnamn]:[Enhet]],4,0),"kg/ton/"&amp;RIGHT(VLOOKUP(H238,Materialtabell[[#All],[Materialnamn]:[Enhet]],4,0),LEN(VLOOKUP(H238,Materialtabell[[#All],[Materialnamn]:[Enhet]],4,0))-3)))),"")</f>
        <v/>
      </c>
      <c r="L238" s="104" t="str">
        <f>IFERROR(KalkylSlut[[#This Row],[Mängd]]*KalkylSlut[[#This Row],[Omräknings-faktor]],"")</f>
        <v/>
      </c>
      <c r="M238" s="104" t="str">
        <f>IFERROR(F238*J238*VLOOKUP(H238,Materialtabell[[#All],[Materialnamn]:[Emissionsfaktor 2019
kg CO2e/kg]],5,0),"")</f>
        <v/>
      </c>
      <c r="N238" s="104" t="str">
        <f>IFERROR(F238*J238*VLOOKUP(H238,Materialtabell[[#All],[Materialnamn]:[Emissionsfaktor 2025
kg CO2e/kg]],6,0),"")</f>
        <v/>
      </c>
      <c r="O238" s="78" t="str">
        <f>IFERROR(VLOOKUP(H238,Materialtabell[[#All],[Materialnamn]:[Kommentar A4]],24,0),"")</f>
        <v/>
      </c>
      <c r="P238" s="94" t="str">
        <f>IFERROR(($F238*$J238*$O238*VLOOKUP($H238,Materialtabell[[#All],[Materialnamn]:[Bränsle 
MJ/ton, km]],25,0)*Materiallista!$AF$5)/1000,"")</f>
        <v/>
      </c>
      <c r="Q238" s="94" t="str">
        <f>IFERROR(($F238*$J238*$O238*VLOOKUP($H238,Materialtabell[[#All],[Materialnamn]:[Bränsle 
MJ/ton, km]],25,0)*Materiallista!$AF$6)/1000,"")</f>
        <v/>
      </c>
      <c r="R238" s="162"/>
      <c r="S238" s="3"/>
      <c r="T238" s="3"/>
    </row>
    <row r="239" spans="1:20" x14ac:dyDescent="0.25">
      <c r="A239" s="3"/>
      <c r="B239" s="185">
        <v>234</v>
      </c>
      <c r="C239" s="170"/>
      <c r="D239" s="103"/>
      <c r="E239" s="103"/>
      <c r="F239" s="78"/>
      <c r="G239" s="103"/>
      <c r="H239" s="102"/>
      <c r="I239" s="105" t="str">
        <f>IFERROR(VLOOKUP(KalkylSlut[[#This Row],[Klimatmaterial]],Materialtabell[[#All],[Materialnamn]:[Materialtyp]],2,0),"")</f>
        <v/>
      </c>
      <c r="J239" s="104" t="str">
        <f>IFERROR(IF(G239="kg",1,IF(G239="ton",1000,IF(G239=RIGHT(VLOOKUP(H239,Materialtabell[[#All],[Materialnamn]:[Enhet]],4,0),LEN(VLOOKUP(H239,Materialtabell[[#All],[Materialnamn]:[Enhet]],4,0))-3),VLOOKUP(H239,Materialtabell[[#All],[Materialnamn]:[Enhet]],3,0),"Enhetsfel"))),"")</f>
        <v/>
      </c>
      <c r="K239" s="105" t="str">
        <f>IFERROR(IF(G239="kg","kg/kg",IF(G239="ton","kg/ton",IF(RIGHT(VLOOKUP(H239,Materialtabell[[#All],[Materialnamn]:[Enhet]],4,0),LEN(VLOOKUP(H239,Materialtabell[[#All],[Materialnamn]:[Enhet]],4,0))-3)=G239,VLOOKUP(H239,Materialtabell[[#All],[Materialnamn]:[Enhet]],4,0),"kg/ton/"&amp;RIGHT(VLOOKUP(H239,Materialtabell[[#All],[Materialnamn]:[Enhet]],4,0),LEN(VLOOKUP(H239,Materialtabell[[#All],[Materialnamn]:[Enhet]],4,0))-3)))),"")</f>
        <v/>
      </c>
      <c r="L239" s="104" t="str">
        <f>IFERROR(KalkylSlut[[#This Row],[Mängd]]*KalkylSlut[[#This Row],[Omräknings-faktor]],"")</f>
        <v/>
      </c>
      <c r="M239" s="104" t="str">
        <f>IFERROR(F239*J239*VLOOKUP(H239,Materialtabell[[#All],[Materialnamn]:[Emissionsfaktor 2019
kg CO2e/kg]],5,0),"")</f>
        <v/>
      </c>
      <c r="N239" s="104" t="str">
        <f>IFERROR(F239*J239*VLOOKUP(H239,Materialtabell[[#All],[Materialnamn]:[Emissionsfaktor 2025
kg CO2e/kg]],6,0),"")</f>
        <v/>
      </c>
      <c r="O239" s="78" t="str">
        <f>IFERROR(VLOOKUP(H239,Materialtabell[[#All],[Materialnamn]:[Kommentar A4]],24,0),"")</f>
        <v/>
      </c>
      <c r="P239" s="94" t="str">
        <f>IFERROR(($F239*$J239*$O239*VLOOKUP($H239,Materialtabell[[#All],[Materialnamn]:[Bränsle 
MJ/ton, km]],25,0)*Materiallista!$AF$5)/1000,"")</f>
        <v/>
      </c>
      <c r="Q239" s="94" t="str">
        <f>IFERROR(($F239*$J239*$O239*VLOOKUP($H239,Materialtabell[[#All],[Materialnamn]:[Bränsle 
MJ/ton, km]],25,0)*Materiallista!$AF$6)/1000,"")</f>
        <v/>
      </c>
      <c r="R239" s="162"/>
      <c r="S239" s="3"/>
      <c r="T239" s="3"/>
    </row>
    <row r="240" spans="1:20" x14ac:dyDescent="0.25">
      <c r="A240" s="3"/>
      <c r="B240" s="185">
        <v>235</v>
      </c>
      <c r="C240" s="170"/>
      <c r="D240" s="103"/>
      <c r="E240" s="103"/>
      <c r="F240" s="78"/>
      <c r="G240" s="103"/>
      <c r="H240" s="102"/>
      <c r="I240" s="105" t="str">
        <f>IFERROR(VLOOKUP(KalkylSlut[[#This Row],[Klimatmaterial]],Materialtabell[[#All],[Materialnamn]:[Materialtyp]],2,0),"")</f>
        <v/>
      </c>
      <c r="J240" s="104" t="str">
        <f>IFERROR(IF(G240="kg",1,IF(G240="ton",1000,IF(G240=RIGHT(VLOOKUP(H240,Materialtabell[[#All],[Materialnamn]:[Enhet]],4,0),LEN(VLOOKUP(H240,Materialtabell[[#All],[Materialnamn]:[Enhet]],4,0))-3),VLOOKUP(H240,Materialtabell[[#All],[Materialnamn]:[Enhet]],3,0),"Enhetsfel"))),"")</f>
        <v/>
      </c>
      <c r="K240" s="105" t="str">
        <f>IFERROR(IF(G240="kg","kg/kg",IF(G240="ton","kg/ton",IF(RIGHT(VLOOKUP(H240,Materialtabell[[#All],[Materialnamn]:[Enhet]],4,0),LEN(VLOOKUP(H240,Materialtabell[[#All],[Materialnamn]:[Enhet]],4,0))-3)=G240,VLOOKUP(H240,Materialtabell[[#All],[Materialnamn]:[Enhet]],4,0),"kg/ton/"&amp;RIGHT(VLOOKUP(H240,Materialtabell[[#All],[Materialnamn]:[Enhet]],4,0),LEN(VLOOKUP(H240,Materialtabell[[#All],[Materialnamn]:[Enhet]],4,0))-3)))),"")</f>
        <v/>
      </c>
      <c r="L240" s="104" t="str">
        <f>IFERROR(KalkylSlut[[#This Row],[Mängd]]*KalkylSlut[[#This Row],[Omräknings-faktor]],"")</f>
        <v/>
      </c>
      <c r="M240" s="104" t="str">
        <f>IFERROR(F240*J240*VLOOKUP(H240,Materialtabell[[#All],[Materialnamn]:[Emissionsfaktor 2019
kg CO2e/kg]],5,0),"")</f>
        <v/>
      </c>
      <c r="N240" s="104" t="str">
        <f>IFERROR(F240*J240*VLOOKUP(H240,Materialtabell[[#All],[Materialnamn]:[Emissionsfaktor 2025
kg CO2e/kg]],6,0),"")</f>
        <v/>
      </c>
      <c r="O240" s="78" t="str">
        <f>IFERROR(VLOOKUP(H240,Materialtabell[[#All],[Materialnamn]:[Kommentar A4]],24,0),"")</f>
        <v/>
      </c>
      <c r="P240" s="94" t="str">
        <f>IFERROR(($F240*$J240*$O240*VLOOKUP($H240,Materialtabell[[#All],[Materialnamn]:[Bränsle 
MJ/ton, km]],25,0)*Materiallista!$AF$5)/1000,"")</f>
        <v/>
      </c>
      <c r="Q240" s="94" t="str">
        <f>IFERROR(($F240*$J240*$O240*VLOOKUP($H240,Materialtabell[[#All],[Materialnamn]:[Bränsle 
MJ/ton, km]],25,0)*Materiallista!$AF$6)/1000,"")</f>
        <v/>
      </c>
      <c r="R240" s="162"/>
      <c r="S240" s="3"/>
      <c r="T240" s="3"/>
    </row>
    <row r="241" spans="1:20" x14ac:dyDescent="0.25">
      <c r="A241" s="3"/>
      <c r="B241" s="185">
        <v>236</v>
      </c>
      <c r="C241" s="170"/>
      <c r="D241" s="103"/>
      <c r="E241" s="103"/>
      <c r="F241" s="78"/>
      <c r="G241" s="103"/>
      <c r="H241" s="102"/>
      <c r="I241" s="105" t="str">
        <f>IFERROR(VLOOKUP(KalkylSlut[[#This Row],[Klimatmaterial]],Materialtabell[[#All],[Materialnamn]:[Materialtyp]],2,0),"")</f>
        <v/>
      </c>
      <c r="J241" s="104" t="str">
        <f>IFERROR(IF(G241="kg",1,IF(G241="ton",1000,IF(G241=RIGHT(VLOOKUP(H241,Materialtabell[[#All],[Materialnamn]:[Enhet]],4,0),LEN(VLOOKUP(H241,Materialtabell[[#All],[Materialnamn]:[Enhet]],4,0))-3),VLOOKUP(H241,Materialtabell[[#All],[Materialnamn]:[Enhet]],3,0),"Enhetsfel"))),"")</f>
        <v/>
      </c>
      <c r="K241" s="105" t="str">
        <f>IFERROR(IF(G241="kg","kg/kg",IF(G241="ton","kg/ton",IF(RIGHT(VLOOKUP(H241,Materialtabell[[#All],[Materialnamn]:[Enhet]],4,0),LEN(VLOOKUP(H241,Materialtabell[[#All],[Materialnamn]:[Enhet]],4,0))-3)=G241,VLOOKUP(H241,Materialtabell[[#All],[Materialnamn]:[Enhet]],4,0),"kg/ton/"&amp;RIGHT(VLOOKUP(H241,Materialtabell[[#All],[Materialnamn]:[Enhet]],4,0),LEN(VLOOKUP(H241,Materialtabell[[#All],[Materialnamn]:[Enhet]],4,0))-3)))),"")</f>
        <v/>
      </c>
      <c r="L241" s="104" t="str">
        <f>IFERROR(KalkylSlut[[#This Row],[Mängd]]*KalkylSlut[[#This Row],[Omräknings-faktor]],"")</f>
        <v/>
      </c>
      <c r="M241" s="104" t="str">
        <f>IFERROR(F241*J241*VLOOKUP(H241,Materialtabell[[#All],[Materialnamn]:[Emissionsfaktor 2019
kg CO2e/kg]],5,0),"")</f>
        <v/>
      </c>
      <c r="N241" s="104" t="str">
        <f>IFERROR(F241*J241*VLOOKUP(H241,Materialtabell[[#All],[Materialnamn]:[Emissionsfaktor 2025
kg CO2e/kg]],6,0),"")</f>
        <v/>
      </c>
      <c r="O241" s="78" t="str">
        <f>IFERROR(VLOOKUP(H241,Materialtabell[[#All],[Materialnamn]:[Kommentar A4]],24,0),"")</f>
        <v/>
      </c>
      <c r="P241" s="94" t="str">
        <f>IFERROR(($F241*$J241*$O241*VLOOKUP($H241,Materialtabell[[#All],[Materialnamn]:[Bränsle 
MJ/ton, km]],25,0)*Materiallista!$AF$5)/1000,"")</f>
        <v/>
      </c>
      <c r="Q241" s="94" t="str">
        <f>IFERROR(($F241*$J241*$O241*VLOOKUP($H241,Materialtabell[[#All],[Materialnamn]:[Bränsle 
MJ/ton, km]],25,0)*Materiallista!$AF$6)/1000,"")</f>
        <v/>
      </c>
      <c r="R241" s="162"/>
      <c r="S241" s="3"/>
      <c r="T241" s="3"/>
    </row>
    <row r="242" spans="1:20" x14ac:dyDescent="0.25">
      <c r="A242" s="3"/>
      <c r="B242" s="185">
        <v>237</v>
      </c>
      <c r="C242" s="170"/>
      <c r="D242" s="103"/>
      <c r="E242" s="103"/>
      <c r="F242" s="78"/>
      <c r="G242" s="103"/>
      <c r="H242" s="102"/>
      <c r="I242" s="105" t="str">
        <f>IFERROR(VLOOKUP(KalkylSlut[[#This Row],[Klimatmaterial]],Materialtabell[[#All],[Materialnamn]:[Materialtyp]],2,0),"")</f>
        <v/>
      </c>
      <c r="J242" s="104" t="str">
        <f>IFERROR(IF(G242="kg",1,IF(G242="ton",1000,IF(G242=RIGHT(VLOOKUP(H242,Materialtabell[[#All],[Materialnamn]:[Enhet]],4,0),LEN(VLOOKUP(H242,Materialtabell[[#All],[Materialnamn]:[Enhet]],4,0))-3),VLOOKUP(H242,Materialtabell[[#All],[Materialnamn]:[Enhet]],3,0),"Enhetsfel"))),"")</f>
        <v/>
      </c>
      <c r="K242" s="105" t="str">
        <f>IFERROR(IF(G242="kg","kg/kg",IF(G242="ton","kg/ton",IF(RIGHT(VLOOKUP(H242,Materialtabell[[#All],[Materialnamn]:[Enhet]],4,0),LEN(VLOOKUP(H242,Materialtabell[[#All],[Materialnamn]:[Enhet]],4,0))-3)=G242,VLOOKUP(H242,Materialtabell[[#All],[Materialnamn]:[Enhet]],4,0),"kg/ton/"&amp;RIGHT(VLOOKUP(H242,Materialtabell[[#All],[Materialnamn]:[Enhet]],4,0),LEN(VLOOKUP(H242,Materialtabell[[#All],[Materialnamn]:[Enhet]],4,0))-3)))),"")</f>
        <v/>
      </c>
      <c r="L242" s="104" t="str">
        <f>IFERROR(KalkylSlut[[#This Row],[Mängd]]*KalkylSlut[[#This Row],[Omräknings-faktor]],"")</f>
        <v/>
      </c>
      <c r="M242" s="104" t="str">
        <f>IFERROR(F242*J242*VLOOKUP(H242,Materialtabell[[#All],[Materialnamn]:[Emissionsfaktor 2019
kg CO2e/kg]],5,0),"")</f>
        <v/>
      </c>
      <c r="N242" s="104" t="str">
        <f>IFERROR(F242*J242*VLOOKUP(H242,Materialtabell[[#All],[Materialnamn]:[Emissionsfaktor 2025
kg CO2e/kg]],6,0),"")</f>
        <v/>
      </c>
      <c r="O242" s="78" t="str">
        <f>IFERROR(VLOOKUP(H242,Materialtabell[[#All],[Materialnamn]:[Kommentar A4]],24,0),"")</f>
        <v/>
      </c>
      <c r="P242" s="94" t="str">
        <f>IFERROR(($F242*$J242*$O242*VLOOKUP($H242,Materialtabell[[#All],[Materialnamn]:[Bränsle 
MJ/ton, km]],25,0)*Materiallista!$AF$5)/1000,"")</f>
        <v/>
      </c>
      <c r="Q242" s="94" t="str">
        <f>IFERROR(($F242*$J242*$O242*VLOOKUP($H242,Materialtabell[[#All],[Materialnamn]:[Bränsle 
MJ/ton, km]],25,0)*Materiallista!$AF$6)/1000,"")</f>
        <v/>
      </c>
      <c r="R242" s="162"/>
      <c r="S242" s="3"/>
      <c r="T242" s="3"/>
    </row>
    <row r="243" spans="1:20" x14ac:dyDescent="0.25">
      <c r="A243" s="3"/>
      <c r="B243" s="185">
        <v>238</v>
      </c>
      <c r="C243" s="170"/>
      <c r="D243" s="103"/>
      <c r="E243" s="103"/>
      <c r="F243" s="78"/>
      <c r="G243" s="103"/>
      <c r="H243" s="102"/>
      <c r="I243" s="105" t="str">
        <f>IFERROR(VLOOKUP(KalkylSlut[[#This Row],[Klimatmaterial]],Materialtabell[[#All],[Materialnamn]:[Materialtyp]],2,0),"")</f>
        <v/>
      </c>
      <c r="J243" s="104" t="str">
        <f>IFERROR(IF(G243="kg",1,IF(G243="ton",1000,IF(G243=RIGHT(VLOOKUP(H243,Materialtabell[[#All],[Materialnamn]:[Enhet]],4,0),LEN(VLOOKUP(H243,Materialtabell[[#All],[Materialnamn]:[Enhet]],4,0))-3),VLOOKUP(H243,Materialtabell[[#All],[Materialnamn]:[Enhet]],3,0),"Enhetsfel"))),"")</f>
        <v/>
      </c>
      <c r="K243" s="105" t="str">
        <f>IFERROR(IF(G243="kg","kg/kg",IF(G243="ton","kg/ton",IF(RIGHT(VLOOKUP(H243,Materialtabell[[#All],[Materialnamn]:[Enhet]],4,0),LEN(VLOOKUP(H243,Materialtabell[[#All],[Materialnamn]:[Enhet]],4,0))-3)=G243,VLOOKUP(H243,Materialtabell[[#All],[Materialnamn]:[Enhet]],4,0),"kg/ton/"&amp;RIGHT(VLOOKUP(H243,Materialtabell[[#All],[Materialnamn]:[Enhet]],4,0),LEN(VLOOKUP(H243,Materialtabell[[#All],[Materialnamn]:[Enhet]],4,0))-3)))),"")</f>
        <v/>
      </c>
      <c r="L243" s="104" t="str">
        <f>IFERROR(KalkylSlut[[#This Row],[Mängd]]*KalkylSlut[[#This Row],[Omräknings-faktor]],"")</f>
        <v/>
      </c>
      <c r="M243" s="104" t="str">
        <f>IFERROR(F243*J243*VLOOKUP(H243,Materialtabell[[#All],[Materialnamn]:[Emissionsfaktor 2019
kg CO2e/kg]],5,0),"")</f>
        <v/>
      </c>
      <c r="N243" s="104" t="str">
        <f>IFERROR(F243*J243*VLOOKUP(H243,Materialtabell[[#All],[Materialnamn]:[Emissionsfaktor 2025
kg CO2e/kg]],6,0),"")</f>
        <v/>
      </c>
      <c r="O243" s="78" t="str">
        <f>IFERROR(VLOOKUP(H243,Materialtabell[[#All],[Materialnamn]:[Kommentar A4]],24,0),"")</f>
        <v/>
      </c>
      <c r="P243" s="94" t="str">
        <f>IFERROR(($F243*$J243*$O243*VLOOKUP($H243,Materialtabell[[#All],[Materialnamn]:[Bränsle 
MJ/ton, km]],25,0)*Materiallista!$AF$5)/1000,"")</f>
        <v/>
      </c>
      <c r="Q243" s="94" t="str">
        <f>IFERROR(($F243*$J243*$O243*VLOOKUP($H243,Materialtabell[[#All],[Materialnamn]:[Bränsle 
MJ/ton, km]],25,0)*Materiallista!$AF$6)/1000,"")</f>
        <v/>
      </c>
      <c r="R243" s="162"/>
      <c r="S243" s="3"/>
      <c r="T243" s="3"/>
    </row>
    <row r="244" spans="1:20" x14ac:dyDescent="0.25">
      <c r="A244" s="3"/>
      <c r="B244" s="185">
        <v>239</v>
      </c>
      <c r="C244" s="170"/>
      <c r="D244" s="103"/>
      <c r="E244" s="103"/>
      <c r="F244" s="78"/>
      <c r="G244" s="103"/>
      <c r="H244" s="102"/>
      <c r="I244" s="105" t="str">
        <f>IFERROR(VLOOKUP(KalkylSlut[[#This Row],[Klimatmaterial]],Materialtabell[[#All],[Materialnamn]:[Materialtyp]],2,0),"")</f>
        <v/>
      </c>
      <c r="J244" s="104" t="str">
        <f>IFERROR(IF(G244="kg",1,IF(G244="ton",1000,IF(G244=RIGHT(VLOOKUP(H244,Materialtabell[[#All],[Materialnamn]:[Enhet]],4,0),LEN(VLOOKUP(H244,Materialtabell[[#All],[Materialnamn]:[Enhet]],4,0))-3),VLOOKUP(H244,Materialtabell[[#All],[Materialnamn]:[Enhet]],3,0),"Enhetsfel"))),"")</f>
        <v/>
      </c>
      <c r="K244" s="105" t="str">
        <f>IFERROR(IF(G244="kg","kg/kg",IF(G244="ton","kg/ton",IF(RIGHT(VLOOKUP(H244,Materialtabell[[#All],[Materialnamn]:[Enhet]],4,0),LEN(VLOOKUP(H244,Materialtabell[[#All],[Materialnamn]:[Enhet]],4,0))-3)=G244,VLOOKUP(H244,Materialtabell[[#All],[Materialnamn]:[Enhet]],4,0),"kg/ton/"&amp;RIGHT(VLOOKUP(H244,Materialtabell[[#All],[Materialnamn]:[Enhet]],4,0),LEN(VLOOKUP(H244,Materialtabell[[#All],[Materialnamn]:[Enhet]],4,0))-3)))),"")</f>
        <v/>
      </c>
      <c r="L244" s="104" t="str">
        <f>IFERROR(KalkylSlut[[#This Row],[Mängd]]*KalkylSlut[[#This Row],[Omräknings-faktor]],"")</f>
        <v/>
      </c>
      <c r="M244" s="104" t="str">
        <f>IFERROR(F244*J244*VLOOKUP(H244,Materialtabell[[#All],[Materialnamn]:[Emissionsfaktor 2019
kg CO2e/kg]],5,0),"")</f>
        <v/>
      </c>
      <c r="N244" s="104" t="str">
        <f>IFERROR(F244*J244*VLOOKUP(H244,Materialtabell[[#All],[Materialnamn]:[Emissionsfaktor 2025
kg CO2e/kg]],6,0),"")</f>
        <v/>
      </c>
      <c r="O244" s="78" t="str">
        <f>IFERROR(VLOOKUP(H244,Materialtabell[[#All],[Materialnamn]:[Kommentar A4]],24,0),"")</f>
        <v/>
      </c>
      <c r="P244" s="94" t="str">
        <f>IFERROR(($F244*$J244*$O244*VLOOKUP($H244,Materialtabell[[#All],[Materialnamn]:[Bränsle 
MJ/ton, km]],25,0)*Materiallista!$AF$5)/1000,"")</f>
        <v/>
      </c>
      <c r="Q244" s="94" t="str">
        <f>IFERROR(($F244*$J244*$O244*VLOOKUP($H244,Materialtabell[[#All],[Materialnamn]:[Bränsle 
MJ/ton, km]],25,0)*Materiallista!$AF$6)/1000,"")</f>
        <v/>
      </c>
      <c r="R244" s="162"/>
      <c r="S244" s="3"/>
      <c r="T244" s="3"/>
    </row>
    <row r="245" spans="1:20" x14ac:dyDescent="0.25">
      <c r="A245" s="3"/>
      <c r="B245" s="185">
        <v>240</v>
      </c>
      <c r="C245" s="170"/>
      <c r="D245" s="103"/>
      <c r="E245" s="103"/>
      <c r="F245" s="78"/>
      <c r="G245" s="103"/>
      <c r="H245" s="102"/>
      <c r="I245" s="105" t="str">
        <f>IFERROR(VLOOKUP(KalkylSlut[[#This Row],[Klimatmaterial]],Materialtabell[[#All],[Materialnamn]:[Materialtyp]],2,0),"")</f>
        <v/>
      </c>
      <c r="J245" s="104" t="str">
        <f>IFERROR(IF(G245="kg",1,IF(G245="ton",1000,IF(G245=RIGHT(VLOOKUP(H245,Materialtabell[[#All],[Materialnamn]:[Enhet]],4,0),LEN(VLOOKUP(H245,Materialtabell[[#All],[Materialnamn]:[Enhet]],4,0))-3),VLOOKUP(H245,Materialtabell[[#All],[Materialnamn]:[Enhet]],3,0),"Enhetsfel"))),"")</f>
        <v/>
      </c>
      <c r="K245" s="105" t="str">
        <f>IFERROR(IF(G245="kg","kg/kg",IF(G245="ton","kg/ton",IF(RIGHT(VLOOKUP(H245,Materialtabell[[#All],[Materialnamn]:[Enhet]],4,0),LEN(VLOOKUP(H245,Materialtabell[[#All],[Materialnamn]:[Enhet]],4,0))-3)=G245,VLOOKUP(H245,Materialtabell[[#All],[Materialnamn]:[Enhet]],4,0),"kg/ton/"&amp;RIGHT(VLOOKUP(H245,Materialtabell[[#All],[Materialnamn]:[Enhet]],4,0),LEN(VLOOKUP(H245,Materialtabell[[#All],[Materialnamn]:[Enhet]],4,0))-3)))),"")</f>
        <v/>
      </c>
      <c r="L245" s="104" t="str">
        <f>IFERROR(KalkylSlut[[#This Row],[Mängd]]*KalkylSlut[[#This Row],[Omräknings-faktor]],"")</f>
        <v/>
      </c>
      <c r="M245" s="104" t="str">
        <f>IFERROR(F245*J245*VLOOKUP(H245,Materialtabell[[#All],[Materialnamn]:[Emissionsfaktor 2019
kg CO2e/kg]],5,0),"")</f>
        <v/>
      </c>
      <c r="N245" s="104" t="str">
        <f>IFERROR(F245*J245*VLOOKUP(H245,Materialtabell[[#All],[Materialnamn]:[Emissionsfaktor 2025
kg CO2e/kg]],6,0),"")</f>
        <v/>
      </c>
      <c r="O245" s="78" t="str">
        <f>IFERROR(VLOOKUP(H245,Materialtabell[[#All],[Materialnamn]:[Kommentar A4]],24,0),"")</f>
        <v/>
      </c>
      <c r="P245" s="94" t="str">
        <f>IFERROR(($F245*$J245*$O245*VLOOKUP($H245,Materialtabell[[#All],[Materialnamn]:[Bränsle 
MJ/ton, km]],25,0)*Materiallista!$AF$5)/1000,"")</f>
        <v/>
      </c>
      <c r="Q245" s="94" t="str">
        <f>IFERROR(($F245*$J245*$O245*VLOOKUP($H245,Materialtabell[[#All],[Materialnamn]:[Bränsle 
MJ/ton, km]],25,0)*Materiallista!$AF$6)/1000,"")</f>
        <v/>
      </c>
      <c r="R245" s="162"/>
      <c r="S245" s="3"/>
      <c r="T245" s="3"/>
    </row>
    <row r="246" spans="1:20" x14ac:dyDescent="0.25">
      <c r="A246" s="3"/>
      <c r="B246" s="185">
        <v>241</v>
      </c>
      <c r="C246" s="170"/>
      <c r="D246" s="103"/>
      <c r="E246" s="103"/>
      <c r="F246" s="78"/>
      <c r="G246" s="103"/>
      <c r="H246" s="102"/>
      <c r="I246" s="105" t="str">
        <f>IFERROR(VLOOKUP(KalkylSlut[[#This Row],[Klimatmaterial]],Materialtabell[[#All],[Materialnamn]:[Materialtyp]],2,0),"")</f>
        <v/>
      </c>
      <c r="J246" s="104" t="str">
        <f>IFERROR(IF(G246="kg",1,IF(G246="ton",1000,IF(G246=RIGHT(VLOOKUP(H246,Materialtabell[[#All],[Materialnamn]:[Enhet]],4,0),LEN(VLOOKUP(H246,Materialtabell[[#All],[Materialnamn]:[Enhet]],4,0))-3),VLOOKUP(H246,Materialtabell[[#All],[Materialnamn]:[Enhet]],3,0),"Enhetsfel"))),"")</f>
        <v/>
      </c>
      <c r="K246" s="105" t="str">
        <f>IFERROR(IF(G246="kg","kg/kg",IF(G246="ton","kg/ton",IF(RIGHT(VLOOKUP(H246,Materialtabell[[#All],[Materialnamn]:[Enhet]],4,0),LEN(VLOOKUP(H246,Materialtabell[[#All],[Materialnamn]:[Enhet]],4,0))-3)=G246,VLOOKUP(H246,Materialtabell[[#All],[Materialnamn]:[Enhet]],4,0),"kg/ton/"&amp;RIGHT(VLOOKUP(H246,Materialtabell[[#All],[Materialnamn]:[Enhet]],4,0),LEN(VLOOKUP(H246,Materialtabell[[#All],[Materialnamn]:[Enhet]],4,0))-3)))),"")</f>
        <v/>
      </c>
      <c r="L246" s="104" t="str">
        <f>IFERROR(KalkylSlut[[#This Row],[Mängd]]*KalkylSlut[[#This Row],[Omräknings-faktor]],"")</f>
        <v/>
      </c>
      <c r="M246" s="104" t="str">
        <f>IFERROR(F246*J246*VLOOKUP(H246,Materialtabell[[#All],[Materialnamn]:[Emissionsfaktor 2019
kg CO2e/kg]],5,0),"")</f>
        <v/>
      </c>
      <c r="N246" s="104" t="str">
        <f>IFERROR(F246*J246*VLOOKUP(H246,Materialtabell[[#All],[Materialnamn]:[Emissionsfaktor 2025
kg CO2e/kg]],6,0),"")</f>
        <v/>
      </c>
      <c r="O246" s="78" t="str">
        <f>IFERROR(VLOOKUP(H246,Materialtabell[[#All],[Materialnamn]:[Kommentar A4]],24,0),"")</f>
        <v/>
      </c>
      <c r="P246" s="94" t="str">
        <f>IFERROR(($F246*$J246*$O246*VLOOKUP($H246,Materialtabell[[#All],[Materialnamn]:[Bränsle 
MJ/ton, km]],25,0)*Materiallista!$AF$5)/1000,"")</f>
        <v/>
      </c>
      <c r="Q246" s="94" t="str">
        <f>IFERROR(($F246*$J246*$O246*VLOOKUP($H246,Materialtabell[[#All],[Materialnamn]:[Bränsle 
MJ/ton, km]],25,0)*Materiallista!$AF$6)/1000,"")</f>
        <v/>
      </c>
      <c r="R246" s="162"/>
      <c r="S246" s="3"/>
      <c r="T246" s="3"/>
    </row>
    <row r="247" spans="1:20" x14ac:dyDescent="0.25">
      <c r="A247" s="3"/>
      <c r="B247" s="185">
        <v>242</v>
      </c>
      <c r="C247" s="170"/>
      <c r="D247" s="103"/>
      <c r="E247" s="103"/>
      <c r="F247" s="78"/>
      <c r="G247" s="103"/>
      <c r="H247" s="102"/>
      <c r="I247" s="105" t="str">
        <f>IFERROR(VLOOKUP(KalkylSlut[[#This Row],[Klimatmaterial]],Materialtabell[[#All],[Materialnamn]:[Materialtyp]],2,0),"")</f>
        <v/>
      </c>
      <c r="J247" s="104" t="str">
        <f>IFERROR(IF(G247="kg",1,IF(G247="ton",1000,IF(G247=RIGHT(VLOOKUP(H247,Materialtabell[[#All],[Materialnamn]:[Enhet]],4,0),LEN(VLOOKUP(H247,Materialtabell[[#All],[Materialnamn]:[Enhet]],4,0))-3),VLOOKUP(H247,Materialtabell[[#All],[Materialnamn]:[Enhet]],3,0),"Enhetsfel"))),"")</f>
        <v/>
      </c>
      <c r="K247" s="105" t="str">
        <f>IFERROR(IF(G247="kg","kg/kg",IF(G247="ton","kg/ton",IF(RIGHT(VLOOKUP(H247,Materialtabell[[#All],[Materialnamn]:[Enhet]],4,0),LEN(VLOOKUP(H247,Materialtabell[[#All],[Materialnamn]:[Enhet]],4,0))-3)=G247,VLOOKUP(H247,Materialtabell[[#All],[Materialnamn]:[Enhet]],4,0),"kg/ton/"&amp;RIGHT(VLOOKUP(H247,Materialtabell[[#All],[Materialnamn]:[Enhet]],4,0),LEN(VLOOKUP(H247,Materialtabell[[#All],[Materialnamn]:[Enhet]],4,0))-3)))),"")</f>
        <v/>
      </c>
      <c r="L247" s="104" t="str">
        <f>IFERROR(KalkylSlut[[#This Row],[Mängd]]*KalkylSlut[[#This Row],[Omräknings-faktor]],"")</f>
        <v/>
      </c>
      <c r="M247" s="104" t="str">
        <f>IFERROR(F247*J247*VLOOKUP(H247,Materialtabell[[#All],[Materialnamn]:[Emissionsfaktor 2019
kg CO2e/kg]],5,0),"")</f>
        <v/>
      </c>
      <c r="N247" s="104" t="str">
        <f>IFERROR(F247*J247*VLOOKUP(H247,Materialtabell[[#All],[Materialnamn]:[Emissionsfaktor 2025
kg CO2e/kg]],6,0),"")</f>
        <v/>
      </c>
      <c r="O247" s="78" t="str">
        <f>IFERROR(VLOOKUP(H247,Materialtabell[[#All],[Materialnamn]:[Kommentar A4]],24,0),"")</f>
        <v/>
      </c>
      <c r="P247" s="94" t="str">
        <f>IFERROR(($F247*$J247*$O247*VLOOKUP($H247,Materialtabell[[#All],[Materialnamn]:[Bränsle 
MJ/ton, km]],25,0)*Materiallista!$AF$5)/1000,"")</f>
        <v/>
      </c>
      <c r="Q247" s="94" t="str">
        <f>IFERROR(($F247*$J247*$O247*VLOOKUP($H247,Materialtabell[[#All],[Materialnamn]:[Bränsle 
MJ/ton, km]],25,0)*Materiallista!$AF$6)/1000,"")</f>
        <v/>
      </c>
      <c r="R247" s="162"/>
      <c r="S247" s="3"/>
      <c r="T247" s="3"/>
    </row>
    <row r="248" spans="1:20" x14ac:dyDescent="0.25">
      <c r="A248" s="3"/>
      <c r="B248" s="185">
        <v>243</v>
      </c>
      <c r="C248" s="170"/>
      <c r="D248" s="103"/>
      <c r="E248" s="103"/>
      <c r="F248" s="78"/>
      <c r="G248" s="103"/>
      <c r="H248" s="102"/>
      <c r="I248" s="105" t="str">
        <f>IFERROR(VLOOKUP(KalkylSlut[[#This Row],[Klimatmaterial]],Materialtabell[[#All],[Materialnamn]:[Materialtyp]],2,0),"")</f>
        <v/>
      </c>
      <c r="J248" s="104" t="str">
        <f>IFERROR(IF(G248="kg",1,IF(G248="ton",1000,IF(G248=RIGHT(VLOOKUP(H248,Materialtabell[[#All],[Materialnamn]:[Enhet]],4,0),LEN(VLOOKUP(H248,Materialtabell[[#All],[Materialnamn]:[Enhet]],4,0))-3),VLOOKUP(H248,Materialtabell[[#All],[Materialnamn]:[Enhet]],3,0),"Enhetsfel"))),"")</f>
        <v/>
      </c>
      <c r="K248" s="105" t="str">
        <f>IFERROR(IF(G248="kg","kg/kg",IF(G248="ton","kg/ton",IF(RIGHT(VLOOKUP(H248,Materialtabell[[#All],[Materialnamn]:[Enhet]],4,0),LEN(VLOOKUP(H248,Materialtabell[[#All],[Materialnamn]:[Enhet]],4,0))-3)=G248,VLOOKUP(H248,Materialtabell[[#All],[Materialnamn]:[Enhet]],4,0),"kg/ton/"&amp;RIGHT(VLOOKUP(H248,Materialtabell[[#All],[Materialnamn]:[Enhet]],4,0),LEN(VLOOKUP(H248,Materialtabell[[#All],[Materialnamn]:[Enhet]],4,0))-3)))),"")</f>
        <v/>
      </c>
      <c r="L248" s="104" t="str">
        <f>IFERROR(KalkylSlut[[#This Row],[Mängd]]*KalkylSlut[[#This Row],[Omräknings-faktor]],"")</f>
        <v/>
      </c>
      <c r="M248" s="104" t="str">
        <f>IFERROR(F248*J248*VLOOKUP(H248,Materialtabell[[#All],[Materialnamn]:[Emissionsfaktor 2019
kg CO2e/kg]],5,0),"")</f>
        <v/>
      </c>
      <c r="N248" s="104" t="str">
        <f>IFERROR(F248*J248*VLOOKUP(H248,Materialtabell[[#All],[Materialnamn]:[Emissionsfaktor 2025
kg CO2e/kg]],6,0),"")</f>
        <v/>
      </c>
      <c r="O248" s="78" t="str">
        <f>IFERROR(VLOOKUP(H248,Materialtabell[[#All],[Materialnamn]:[Kommentar A4]],24,0),"")</f>
        <v/>
      </c>
      <c r="P248" s="94" t="str">
        <f>IFERROR(($F248*$J248*$O248*VLOOKUP($H248,Materialtabell[[#All],[Materialnamn]:[Bränsle 
MJ/ton, km]],25,0)*Materiallista!$AF$5)/1000,"")</f>
        <v/>
      </c>
      <c r="Q248" s="94" t="str">
        <f>IFERROR(($F248*$J248*$O248*VLOOKUP($H248,Materialtabell[[#All],[Materialnamn]:[Bränsle 
MJ/ton, km]],25,0)*Materiallista!$AF$6)/1000,"")</f>
        <v/>
      </c>
      <c r="R248" s="162"/>
      <c r="S248" s="3"/>
      <c r="T248" s="3"/>
    </row>
    <row r="249" spans="1:20" x14ac:dyDescent="0.25">
      <c r="A249" s="3"/>
      <c r="B249" s="185">
        <v>244</v>
      </c>
      <c r="C249" s="170"/>
      <c r="D249" s="103"/>
      <c r="E249" s="103"/>
      <c r="F249" s="78"/>
      <c r="G249" s="103"/>
      <c r="H249" s="102"/>
      <c r="I249" s="105" t="str">
        <f>IFERROR(VLOOKUP(KalkylSlut[[#This Row],[Klimatmaterial]],Materialtabell[[#All],[Materialnamn]:[Materialtyp]],2,0),"")</f>
        <v/>
      </c>
      <c r="J249" s="104" t="str">
        <f>IFERROR(IF(G249="kg",1,IF(G249="ton",1000,IF(G249=RIGHT(VLOOKUP(H249,Materialtabell[[#All],[Materialnamn]:[Enhet]],4,0),LEN(VLOOKUP(H249,Materialtabell[[#All],[Materialnamn]:[Enhet]],4,0))-3),VLOOKUP(H249,Materialtabell[[#All],[Materialnamn]:[Enhet]],3,0),"Enhetsfel"))),"")</f>
        <v/>
      </c>
      <c r="K249" s="105" t="str">
        <f>IFERROR(IF(G249="kg","kg/kg",IF(G249="ton","kg/ton",IF(RIGHT(VLOOKUP(H249,Materialtabell[[#All],[Materialnamn]:[Enhet]],4,0),LEN(VLOOKUP(H249,Materialtabell[[#All],[Materialnamn]:[Enhet]],4,0))-3)=G249,VLOOKUP(H249,Materialtabell[[#All],[Materialnamn]:[Enhet]],4,0),"kg/ton/"&amp;RIGHT(VLOOKUP(H249,Materialtabell[[#All],[Materialnamn]:[Enhet]],4,0),LEN(VLOOKUP(H249,Materialtabell[[#All],[Materialnamn]:[Enhet]],4,0))-3)))),"")</f>
        <v/>
      </c>
      <c r="L249" s="104" t="str">
        <f>IFERROR(KalkylSlut[[#This Row],[Mängd]]*KalkylSlut[[#This Row],[Omräknings-faktor]],"")</f>
        <v/>
      </c>
      <c r="M249" s="104" t="str">
        <f>IFERROR(F249*J249*VLOOKUP(H249,Materialtabell[[#All],[Materialnamn]:[Emissionsfaktor 2019
kg CO2e/kg]],5,0),"")</f>
        <v/>
      </c>
      <c r="N249" s="104" t="str">
        <f>IFERROR(F249*J249*VLOOKUP(H249,Materialtabell[[#All],[Materialnamn]:[Emissionsfaktor 2025
kg CO2e/kg]],6,0),"")</f>
        <v/>
      </c>
      <c r="O249" s="78" t="str">
        <f>IFERROR(VLOOKUP(H249,Materialtabell[[#All],[Materialnamn]:[Kommentar A4]],24,0),"")</f>
        <v/>
      </c>
      <c r="P249" s="94" t="str">
        <f>IFERROR(($F249*$J249*$O249*VLOOKUP($H249,Materialtabell[[#All],[Materialnamn]:[Bränsle 
MJ/ton, km]],25,0)*Materiallista!$AF$5)/1000,"")</f>
        <v/>
      </c>
      <c r="Q249" s="94" t="str">
        <f>IFERROR(($F249*$J249*$O249*VLOOKUP($H249,Materialtabell[[#All],[Materialnamn]:[Bränsle 
MJ/ton, km]],25,0)*Materiallista!$AF$6)/1000,"")</f>
        <v/>
      </c>
      <c r="R249" s="162"/>
      <c r="S249" s="3"/>
      <c r="T249" s="3"/>
    </row>
    <row r="250" spans="1:20" x14ac:dyDescent="0.25">
      <c r="A250" s="3"/>
      <c r="B250" s="185">
        <v>245</v>
      </c>
      <c r="C250" s="170"/>
      <c r="D250" s="103"/>
      <c r="E250" s="103"/>
      <c r="F250" s="78"/>
      <c r="G250" s="103"/>
      <c r="H250" s="102"/>
      <c r="I250" s="105" t="str">
        <f>IFERROR(VLOOKUP(KalkylSlut[[#This Row],[Klimatmaterial]],Materialtabell[[#All],[Materialnamn]:[Materialtyp]],2,0),"")</f>
        <v/>
      </c>
      <c r="J250" s="104" t="str">
        <f>IFERROR(IF(G250="kg",1,IF(G250="ton",1000,IF(G250=RIGHT(VLOOKUP(H250,Materialtabell[[#All],[Materialnamn]:[Enhet]],4,0),LEN(VLOOKUP(H250,Materialtabell[[#All],[Materialnamn]:[Enhet]],4,0))-3),VLOOKUP(H250,Materialtabell[[#All],[Materialnamn]:[Enhet]],3,0),"Enhetsfel"))),"")</f>
        <v/>
      </c>
      <c r="K250" s="105" t="str">
        <f>IFERROR(IF(G250="kg","kg/kg",IF(G250="ton","kg/ton",IF(RIGHT(VLOOKUP(H250,Materialtabell[[#All],[Materialnamn]:[Enhet]],4,0),LEN(VLOOKUP(H250,Materialtabell[[#All],[Materialnamn]:[Enhet]],4,0))-3)=G250,VLOOKUP(H250,Materialtabell[[#All],[Materialnamn]:[Enhet]],4,0),"kg/ton/"&amp;RIGHT(VLOOKUP(H250,Materialtabell[[#All],[Materialnamn]:[Enhet]],4,0),LEN(VLOOKUP(H250,Materialtabell[[#All],[Materialnamn]:[Enhet]],4,0))-3)))),"")</f>
        <v/>
      </c>
      <c r="L250" s="104" t="str">
        <f>IFERROR(KalkylSlut[[#This Row],[Mängd]]*KalkylSlut[[#This Row],[Omräknings-faktor]],"")</f>
        <v/>
      </c>
      <c r="M250" s="104" t="str">
        <f>IFERROR(F250*J250*VLOOKUP(H250,Materialtabell[[#All],[Materialnamn]:[Emissionsfaktor 2019
kg CO2e/kg]],5,0),"")</f>
        <v/>
      </c>
      <c r="N250" s="104" t="str">
        <f>IFERROR(F250*J250*VLOOKUP(H250,Materialtabell[[#All],[Materialnamn]:[Emissionsfaktor 2025
kg CO2e/kg]],6,0),"")</f>
        <v/>
      </c>
      <c r="O250" s="78" t="str">
        <f>IFERROR(VLOOKUP(H250,Materialtabell[[#All],[Materialnamn]:[Kommentar A4]],24,0),"")</f>
        <v/>
      </c>
      <c r="P250" s="94" t="str">
        <f>IFERROR(($F250*$J250*$O250*VLOOKUP($H250,Materialtabell[[#All],[Materialnamn]:[Bränsle 
MJ/ton, km]],25,0)*Materiallista!$AF$5)/1000,"")</f>
        <v/>
      </c>
      <c r="Q250" s="94" t="str">
        <f>IFERROR(($F250*$J250*$O250*VLOOKUP($H250,Materialtabell[[#All],[Materialnamn]:[Bränsle 
MJ/ton, km]],25,0)*Materiallista!$AF$6)/1000,"")</f>
        <v/>
      </c>
      <c r="R250" s="162"/>
      <c r="S250" s="3"/>
      <c r="T250" s="3"/>
    </row>
    <row r="251" spans="1:20" x14ac:dyDescent="0.25">
      <c r="A251" s="3"/>
      <c r="B251" s="185">
        <v>246</v>
      </c>
      <c r="C251" s="170"/>
      <c r="D251" s="103"/>
      <c r="E251" s="103"/>
      <c r="F251" s="78"/>
      <c r="G251" s="103"/>
      <c r="H251" s="102"/>
      <c r="I251" s="105" t="str">
        <f>IFERROR(VLOOKUP(KalkylSlut[[#This Row],[Klimatmaterial]],Materialtabell[[#All],[Materialnamn]:[Materialtyp]],2,0),"")</f>
        <v/>
      </c>
      <c r="J251" s="104" t="str">
        <f>IFERROR(IF(G251="kg",1,IF(G251="ton",1000,IF(G251=RIGHT(VLOOKUP(H251,Materialtabell[[#All],[Materialnamn]:[Enhet]],4,0),LEN(VLOOKUP(H251,Materialtabell[[#All],[Materialnamn]:[Enhet]],4,0))-3),VLOOKUP(H251,Materialtabell[[#All],[Materialnamn]:[Enhet]],3,0),"Enhetsfel"))),"")</f>
        <v/>
      </c>
      <c r="K251" s="105" t="str">
        <f>IFERROR(IF(G251="kg","kg/kg",IF(G251="ton","kg/ton",IF(RIGHT(VLOOKUP(H251,Materialtabell[[#All],[Materialnamn]:[Enhet]],4,0),LEN(VLOOKUP(H251,Materialtabell[[#All],[Materialnamn]:[Enhet]],4,0))-3)=G251,VLOOKUP(H251,Materialtabell[[#All],[Materialnamn]:[Enhet]],4,0),"kg/ton/"&amp;RIGHT(VLOOKUP(H251,Materialtabell[[#All],[Materialnamn]:[Enhet]],4,0),LEN(VLOOKUP(H251,Materialtabell[[#All],[Materialnamn]:[Enhet]],4,0))-3)))),"")</f>
        <v/>
      </c>
      <c r="L251" s="104" t="str">
        <f>IFERROR(KalkylSlut[[#This Row],[Mängd]]*KalkylSlut[[#This Row],[Omräknings-faktor]],"")</f>
        <v/>
      </c>
      <c r="M251" s="104" t="str">
        <f>IFERROR(F251*J251*VLOOKUP(H251,Materialtabell[[#All],[Materialnamn]:[Emissionsfaktor 2019
kg CO2e/kg]],5,0),"")</f>
        <v/>
      </c>
      <c r="N251" s="104" t="str">
        <f>IFERROR(F251*J251*VLOOKUP(H251,Materialtabell[[#All],[Materialnamn]:[Emissionsfaktor 2025
kg CO2e/kg]],6,0),"")</f>
        <v/>
      </c>
      <c r="O251" s="78" t="str">
        <f>IFERROR(VLOOKUP(H251,Materialtabell[[#All],[Materialnamn]:[Kommentar A4]],24,0),"")</f>
        <v/>
      </c>
      <c r="P251" s="94" t="str">
        <f>IFERROR(($F251*$J251*$O251*VLOOKUP($H251,Materialtabell[[#All],[Materialnamn]:[Bränsle 
MJ/ton, km]],25,0)*Materiallista!$AF$5)/1000,"")</f>
        <v/>
      </c>
      <c r="Q251" s="94" t="str">
        <f>IFERROR(($F251*$J251*$O251*VLOOKUP($H251,Materialtabell[[#All],[Materialnamn]:[Bränsle 
MJ/ton, km]],25,0)*Materiallista!$AF$6)/1000,"")</f>
        <v/>
      </c>
      <c r="R251" s="162"/>
      <c r="S251" s="3"/>
      <c r="T251" s="3"/>
    </row>
    <row r="252" spans="1:20" x14ac:dyDescent="0.25">
      <c r="A252" s="3"/>
      <c r="B252" s="185">
        <v>247</v>
      </c>
      <c r="C252" s="170"/>
      <c r="D252" s="103"/>
      <c r="E252" s="103"/>
      <c r="F252" s="78"/>
      <c r="G252" s="103"/>
      <c r="H252" s="102"/>
      <c r="I252" s="105" t="str">
        <f>IFERROR(VLOOKUP(KalkylSlut[[#This Row],[Klimatmaterial]],Materialtabell[[#All],[Materialnamn]:[Materialtyp]],2,0),"")</f>
        <v/>
      </c>
      <c r="J252" s="104" t="str">
        <f>IFERROR(IF(G252="kg",1,IF(G252="ton",1000,IF(G252=RIGHT(VLOOKUP(H252,Materialtabell[[#All],[Materialnamn]:[Enhet]],4,0),LEN(VLOOKUP(H252,Materialtabell[[#All],[Materialnamn]:[Enhet]],4,0))-3),VLOOKUP(H252,Materialtabell[[#All],[Materialnamn]:[Enhet]],3,0),"Enhetsfel"))),"")</f>
        <v/>
      </c>
      <c r="K252" s="105" t="str">
        <f>IFERROR(IF(G252="kg","kg/kg",IF(G252="ton","kg/ton",IF(RIGHT(VLOOKUP(H252,Materialtabell[[#All],[Materialnamn]:[Enhet]],4,0),LEN(VLOOKUP(H252,Materialtabell[[#All],[Materialnamn]:[Enhet]],4,0))-3)=G252,VLOOKUP(H252,Materialtabell[[#All],[Materialnamn]:[Enhet]],4,0),"kg/ton/"&amp;RIGHT(VLOOKUP(H252,Materialtabell[[#All],[Materialnamn]:[Enhet]],4,0),LEN(VLOOKUP(H252,Materialtabell[[#All],[Materialnamn]:[Enhet]],4,0))-3)))),"")</f>
        <v/>
      </c>
      <c r="L252" s="104" t="str">
        <f>IFERROR(KalkylSlut[[#This Row],[Mängd]]*KalkylSlut[[#This Row],[Omräknings-faktor]],"")</f>
        <v/>
      </c>
      <c r="M252" s="104" t="str">
        <f>IFERROR(F252*J252*VLOOKUP(H252,Materialtabell[[#All],[Materialnamn]:[Emissionsfaktor 2019
kg CO2e/kg]],5,0),"")</f>
        <v/>
      </c>
      <c r="N252" s="104" t="str">
        <f>IFERROR(F252*J252*VLOOKUP(H252,Materialtabell[[#All],[Materialnamn]:[Emissionsfaktor 2025
kg CO2e/kg]],6,0),"")</f>
        <v/>
      </c>
      <c r="O252" s="78" t="str">
        <f>IFERROR(VLOOKUP(H252,Materialtabell[[#All],[Materialnamn]:[Kommentar A4]],24,0),"")</f>
        <v/>
      </c>
      <c r="P252" s="94" t="str">
        <f>IFERROR(($F252*$J252*$O252*VLOOKUP($H252,Materialtabell[[#All],[Materialnamn]:[Bränsle 
MJ/ton, km]],25,0)*Materiallista!$AF$5)/1000,"")</f>
        <v/>
      </c>
      <c r="Q252" s="94" t="str">
        <f>IFERROR(($F252*$J252*$O252*VLOOKUP($H252,Materialtabell[[#All],[Materialnamn]:[Bränsle 
MJ/ton, km]],25,0)*Materiallista!$AF$6)/1000,"")</f>
        <v/>
      </c>
      <c r="R252" s="162"/>
      <c r="S252" s="3"/>
      <c r="T252" s="3"/>
    </row>
    <row r="253" spans="1:20" x14ac:dyDescent="0.25">
      <c r="A253" s="3"/>
      <c r="B253" s="185">
        <v>248</v>
      </c>
      <c r="C253" s="170"/>
      <c r="D253" s="103"/>
      <c r="E253" s="103"/>
      <c r="F253" s="78"/>
      <c r="G253" s="103"/>
      <c r="H253" s="102"/>
      <c r="I253" s="105" t="str">
        <f>IFERROR(VLOOKUP(KalkylSlut[[#This Row],[Klimatmaterial]],Materialtabell[[#All],[Materialnamn]:[Materialtyp]],2,0),"")</f>
        <v/>
      </c>
      <c r="J253" s="104" t="str">
        <f>IFERROR(IF(G253="kg",1,IF(G253="ton",1000,IF(G253=RIGHT(VLOOKUP(H253,Materialtabell[[#All],[Materialnamn]:[Enhet]],4,0),LEN(VLOOKUP(H253,Materialtabell[[#All],[Materialnamn]:[Enhet]],4,0))-3),VLOOKUP(H253,Materialtabell[[#All],[Materialnamn]:[Enhet]],3,0),"Enhetsfel"))),"")</f>
        <v/>
      </c>
      <c r="K253" s="105" t="str">
        <f>IFERROR(IF(G253="kg","kg/kg",IF(G253="ton","kg/ton",IF(RIGHT(VLOOKUP(H253,Materialtabell[[#All],[Materialnamn]:[Enhet]],4,0),LEN(VLOOKUP(H253,Materialtabell[[#All],[Materialnamn]:[Enhet]],4,0))-3)=G253,VLOOKUP(H253,Materialtabell[[#All],[Materialnamn]:[Enhet]],4,0),"kg/ton/"&amp;RIGHT(VLOOKUP(H253,Materialtabell[[#All],[Materialnamn]:[Enhet]],4,0),LEN(VLOOKUP(H253,Materialtabell[[#All],[Materialnamn]:[Enhet]],4,0))-3)))),"")</f>
        <v/>
      </c>
      <c r="L253" s="104" t="str">
        <f>IFERROR(KalkylSlut[[#This Row],[Mängd]]*KalkylSlut[[#This Row],[Omräknings-faktor]],"")</f>
        <v/>
      </c>
      <c r="M253" s="104" t="str">
        <f>IFERROR(F253*J253*VLOOKUP(H253,Materialtabell[[#All],[Materialnamn]:[Emissionsfaktor 2019
kg CO2e/kg]],5,0),"")</f>
        <v/>
      </c>
      <c r="N253" s="104" t="str">
        <f>IFERROR(F253*J253*VLOOKUP(H253,Materialtabell[[#All],[Materialnamn]:[Emissionsfaktor 2025
kg CO2e/kg]],6,0),"")</f>
        <v/>
      </c>
      <c r="O253" s="78" t="str">
        <f>IFERROR(VLOOKUP(H253,Materialtabell[[#All],[Materialnamn]:[Kommentar A4]],24,0),"")</f>
        <v/>
      </c>
      <c r="P253" s="94" t="str">
        <f>IFERROR(($F253*$J253*$O253*VLOOKUP($H253,Materialtabell[[#All],[Materialnamn]:[Bränsle 
MJ/ton, km]],25,0)*Materiallista!$AF$5)/1000,"")</f>
        <v/>
      </c>
      <c r="Q253" s="94" t="str">
        <f>IFERROR(($F253*$J253*$O253*VLOOKUP($H253,Materialtabell[[#All],[Materialnamn]:[Bränsle 
MJ/ton, km]],25,0)*Materiallista!$AF$6)/1000,"")</f>
        <v/>
      </c>
      <c r="R253" s="162"/>
      <c r="S253" s="3"/>
      <c r="T253" s="3"/>
    </row>
    <row r="254" spans="1:20" x14ac:dyDescent="0.25">
      <c r="A254" s="3"/>
      <c r="B254" s="185">
        <v>249</v>
      </c>
      <c r="C254" s="170"/>
      <c r="D254" s="103"/>
      <c r="E254" s="103"/>
      <c r="F254" s="78"/>
      <c r="G254" s="103"/>
      <c r="H254" s="102"/>
      <c r="I254" s="105" t="str">
        <f>IFERROR(VLOOKUP(KalkylSlut[[#This Row],[Klimatmaterial]],Materialtabell[[#All],[Materialnamn]:[Materialtyp]],2,0),"")</f>
        <v/>
      </c>
      <c r="J254" s="104" t="str">
        <f>IFERROR(IF(G254="kg",1,IF(G254="ton",1000,IF(G254=RIGHT(VLOOKUP(H254,Materialtabell[[#All],[Materialnamn]:[Enhet]],4,0),LEN(VLOOKUP(H254,Materialtabell[[#All],[Materialnamn]:[Enhet]],4,0))-3),VLOOKUP(H254,Materialtabell[[#All],[Materialnamn]:[Enhet]],3,0),"Enhetsfel"))),"")</f>
        <v/>
      </c>
      <c r="K254" s="105" t="str">
        <f>IFERROR(IF(G254="kg","kg/kg",IF(G254="ton","kg/ton",IF(RIGHT(VLOOKUP(H254,Materialtabell[[#All],[Materialnamn]:[Enhet]],4,0),LEN(VLOOKUP(H254,Materialtabell[[#All],[Materialnamn]:[Enhet]],4,0))-3)=G254,VLOOKUP(H254,Materialtabell[[#All],[Materialnamn]:[Enhet]],4,0),"kg/ton/"&amp;RIGHT(VLOOKUP(H254,Materialtabell[[#All],[Materialnamn]:[Enhet]],4,0),LEN(VLOOKUP(H254,Materialtabell[[#All],[Materialnamn]:[Enhet]],4,0))-3)))),"")</f>
        <v/>
      </c>
      <c r="L254" s="104" t="str">
        <f>IFERROR(KalkylSlut[[#This Row],[Mängd]]*KalkylSlut[[#This Row],[Omräknings-faktor]],"")</f>
        <v/>
      </c>
      <c r="M254" s="104" t="str">
        <f>IFERROR(F254*J254*VLOOKUP(H254,Materialtabell[[#All],[Materialnamn]:[Emissionsfaktor 2019
kg CO2e/kg]],5,0),"")</f>
        <v/>
      </c>
      <c r="N254" s="104" t="str">
        <f>IFERROR(F254*J254*VLOOKUP(H254,Materialtabell[[#All],[Materialnamn]:[Emissionsfaktor 2025
kg CO2e/kg]],6,0),"")</f>
        <v/>
      </c>
      <c r="O254" s="78" t="str">
        <f>IFERROR(VLOOKUP(H254,Materialtabell[[#All],[Materialnamn]:[Kommentar A4]],24,0),"")</f>
        <v/>
      </c>
      <c r="P254" s="94" t="str">
        <f>IFERROR(($F254*$J254*$O254*VLOOKUP($H254,Materialtabell[[#All],[Materialnamn]:[Bränsle 
MJ/ton, km]],25,0)*Materiallista!$AF$5)/1000,"")</f>
        <v/>
      </c>
      <c r="Q254" s="94" t="str">
        <f>IFERROR(($F254*$J254*$O254*VLOOKUP($H254,Materialtabell[[#All],[Materialnamn]:[Bränsle 
MJ/ton, km]],25,0)*Materiallista!$AF$6)/1000,"")</f>
        <v/>
      </c>
      <c r="R254" s="162"/>
      <c r="S254" s="3"/>
      <c r="T254" s="3"/>
    </row>
    <row r="255" spans="1:20" x14ac:dyDescent="0.25">
      <c r="A255" s="3"/>
      <c r="B255" s="185">
        <v>250</v>
      </c>
      <c r="C255" s="170"/>
      <c r="D255" s="103"/>
      <c r="E255" s="103"/>
      <c r="F255" s="78"/>
      <c r="G255" s="103"/>
      <c r="H255" s="102"/>
      <c r="I255" s="105" t="str">
        <f>IFERROR(VLOOKUP(KalkylSlut[[#This Row],[Klimatmaterial]],Materialtabell[[#All],[Materialnamn]:[Materialtyp]],2,0),"")</f>
        <v/>
      </c>
      <c r="J255" s="104" t="str">
        <f>IFERROR(IF(G255="kg",1,IF(G255="ton",1000,IF(G255=RIGHT(VLOOKUP(H255,Materialtabell[[#All],[Materialnamn]:[Enhet]],4,0),LEN(VLOOKUP(H255,Materialtabell[[#All],[Materialnamn]:[Enhet]],4,0))-3),VLOOKUP(H255,Materialtabell[[#All],[Materialnamn]:[Enhet]],3,0),"Enhetsfel"))),"")</f>
        <v/>
      </c>
      <c r="K255" s="105" t="str">
        <f>IFERROR(IF(G255="kg","kg/kg",IF(G255="ton","kg/ton",IF(RIGHT(VLOOKUP(H255,Materialtabell[[#All],[Materialnamn]:[Enhet]],4,0),LEN(VLOOKUP(H255,Materialtabell[[#All],[Materialnamn]:[Enhet]],4,0))-3)=G255,VLOOKUP(H255,Materialtabell[[#All],[Materialnamn]:[Enhet]],4,0),"kg/ton/"&amp;RIGHT(VLOOKUP(H255,Materialtabell[[#All],[Materialnamn]:[Enhet]],4,0),LEN(VLOOKUP(H255,Materialtabell[[#All],[Materialnamn]:[Enhet]],4,0))-3)))),"")</f>
        <v/>
      </c>
      <c r="L255" s="104" t="str">
        <f>IFERROR(KalkylSlut[[#This Row],[Mängd]]*KalkylSlut[[#This Row],[Omräknings-faktor]],"")</f>
        <v/>
      </c>
      <c r="M255" s="104" t="str">
        <f>IFERROR(F255*J255*VLOOKUP(H255,Materialtabell[[#All],[Materialnamn]:[Emissionsfaktor 2019
kg CO2e/kg]],5,0),"")</f>
        <v/>
      </c>
      <c r="N255" s="104" t="str">
        <f>IFERROR(F255*J255*VLOOKUP(H255,Materialtabell[[#All],[Materialnamn]:[Emissionsfaktor 2025
kg CO2e/kg]],6,0),"")</f>
        <v/>
      </c>
      <c r="O255" s="78" t="str">
        <f>IFERROR(VLOOKUP(H255,Materialtabell[[#All],[Materialnamn]:[Kommentar A4]],24,0),"")</f>
        <v/>
      </c>
      <c r="P255" s="94" t="str">
        <f>IFERROR(($F255*$J255*$O255*VLOOKUP($H255,Materialtabell[[#All],[Materialnamn]:[Bränsle 
MJ/ton, km]],25,0)*Materiallista!$AF$5)/1000,"")</f>
        <v/>
      </c>
      <c r="Q255" s="94" t="str">
        <f>IFERROR(($F255*$J255*$O255*VLOOKUP($H255,Materialtabell[[#All],[Materialnamn]:[Bränsle 
MJ/ton, km]],25,0)*Materiallista!$AF$6)/1000,"")</f>
        <v/>
      </c>
      <c r="R255" s="162"/>
      <c r="S255" s="3"/>
      <c r="T255" s="3"/>
    </row>
    <row r="256" spans="1:20" x14ac:dyDescent="0.25">
      <c r="A256" s="3"/>
      <c r="B256" s="3"/>
      <c r="C256" s="22"/>
      <c r="D256" s="3"/>
      <c r="E256" s="3"/>
      <c r="F256" s="3"/>
      <c r="G256" s="3"/>
      <c r="H256" s="3"/>
      <c r="I256" s="3"/>
      <c r="J256" s="3"/>
      <c r="K256" s="3"/>
      <c r="L256" s="3"/>
      <c r="M256" s="3"/>
      <c r="N256" s="3"/>
      <c r="O256" s="3"/>
      <c r="P256" s="3"/>
      <c r="Q256" s="3"/>
      <c r="R256" s="12"/>
      <c r="S256" s="3"/>
      <c r="T256" s="3"/>
    </row>
    <row r="257" spans="1:20" x14ac:dyDescent="0.25">
      <c r="A257" s="3"/>
      <c r="B257" s="3"/>
      <c r="C257" s="22"/>
      <c r="D257" s="3"/>
      <c r="E257" s="3"/>
      <c r="F257" s="3"/>
      <c r="G257" s="3"/>
      <c r="H257" s="3"/>
      <c r="I257" s="3"/>
      <c r="J257" s="3"/>
      <c r="K257" s="3"/>
      <c r="L257" s="3"/>
      <c r="M257" s="3"/>
      <c r="N257" s="3"/>
      <c r="O257" s="3"/>
      <c r="P257" s="3"/>
      <c r="Q257" s="3"/>
      <c r="R257" s="12"/>
      <c r="S257" s="3"/>
      <c r="T257" s="3"/>
    </row>
    <row r="258" spans="1:20" x14ac:dyDescent="0.25">
      <c r="A258" s="3"/>
      <c r="B258" s="3"/>
      <c r="C258" s="22"/>
      <c r="D258" s="3"/>
      <c r="E258" s="3"/>
      <c r="F258" s="3"/>
      <c r="G258" s="3"/>
      <c r="H258" s="3"/>
      <c r="I258" s="3"/>
      <c r="J258" s="3"/>
      <c r="K258" s="3"/>
      <c r="L258" s="3"/>
      <c r="M258" s="3"/>
      <c r="N258" s="3"/>
      <c r="O258" s="3"/>
      <c r="P258" s="3"/>
      <c r="Q258" s="3"/>
      <c r="R258" s="12"/>
      <c r="S258" s="3"/>
      <c r="T258" s="3"/>
    </row>
    <row r="259" spans="1:20" x14ac:dyDescent="0.25">
      <c r="A259" s="3"/>
      <c r="B259" s="3"/>
      <c r="C259" s="22"/>
      <c r="D259" s="3"/>
      <c r="E259" s="3"/>
      <c r="F259" s="3"/>
      <c r="G259" s="3"/>
      <c r="H259" s="3"/>
      <c r="I259" s="3"/>
      <c r="J259" s="3"/>
      <c r="K259" s="3"/>
      <c r="L259" s="3"/>
      <c r="M259" s="3"/>
      <c r="N259" s="3"/>
      <c r="O259" s="3"/>
      <c r="P259" s="3"/>
      <c r="Q259" s="3"/>
      <c r="R259" s="12"/>
      <c r="S259" s="3"/>
      <c r="T259" s="3"/>
    </row>
    <row r="260" spans="1:20" x14ac:dyDescent="0.25">
      <c r="A260" s="132"/>
      <c r="B260" s="132"/>
      <c r="C260" s="132"/>
      <c r="D260" s="132"/>
      <c r="E260" s="132"/>
      <c r="F260" s="132"/>
      <c r="G260" s="132"/>
      <c r="H260" s="132"/>
      <c r="I260" s="132"/>
      <c r="J260" s="132"/>
      <c r="K260" s="132"/>
      <c r="L260" s="132"/>
      <c r="M260" s="132"/>
      <c r="N260" s="132"/>
      <c r="O260" s="132"/>
      <c r="P260" s="132"/>
      <c r="Q260" s="132"/>
      <c r="R260" s="132"/>
      <c r="S260" s="132"/>
      <c r="T260" s="132"/>
    </row>
    <row r="261" spans="1:20" x14ac:dyDescent="0.25">
      <c r="A261" s="132"/>
      <c r="B261" s="132"/>
      <c r="C261" s="132"/>
      <c r="D261" s="132"/>
      <c r="E261" s="132"/>
      <c r="F261" s="132"/>
      <c r="G261" s="132"/>
      <c r="H261" s="132"/>
      <c r="I261" s="132"/>
      <c r="J261" s="132"/>
      <c r="K261" s="132"/>
      <c r="L261" s="132"/>
      <c r="M261" s="132"/>
      <c r="N261" s="132"/>
      <c r="O261" s="132"/>
      <c r="P261" s="132"/>
      <c r="Q261" s="132"/>
      <c r="R261" s="132"/>
      <c r="S261" s="132"/>
      <c r="T261" s="132"/>
    </row>
    <row r="262" spans="1:20" x14ac:dyDescent="0.25">
      <c r="A262" s="132"/>
      <c r="B262" s="132"/>
      <c r="C262" s="132"/>
      <c r="D262" s="132"/>
      <c r="E262" s="132"/>
      <c r="F262" s="132"/>
      <c r="G262" s="132"/>
      <c r="H262" s="132"/>
      <c r="I262" s="132"/>
      <c r="J262" s="132"/>
      <c r="K262" s="132"/>
      <c r="L262" s="132"/>
      <c r="M262" s="132"/>
      <c r="N262" s="132"/>
      <c r="O262" s="132"/>
      <c r="P262" s="132"/>
      <c r="Q262" s="132"/>
      <c r="R262" s="132"/>
      <c r="S262" s="132"/>
      <c r="T262" s="132"/>
    </row>
    <row r="263" spans="1:20" x14ac:dyDescent="0.25">
      <c r="A263" s="132"/>
      <c r="B263" s="132"/>
      <c r="C263" s="132"/>
      <c r="D263" s="132"/>
      <c r="E263" s="132"/>
      <c r="F263" s="132"/>
      <c r="G263" s="132"/>
      <c r="H263" s="132"/>
      <c r="I263" s="132"/>
      <c r="J263" s="132"/>
      <c r="K263" s="132"/>
      <c r="L263" s="132"/>
      <c r="M263" s="132"/>
      <c r="N263" s="132"/>
      <c r="O263" s="132"/>
      <c r="P263" s="132"/>
      <c r="Q263" s="132"/>
      <c r="R263" s="132"/>
      <c r="S263" s="132"/>
      <c r="T263" s="132"/>
    </row>
    <row r="264" spans="1:20" x14ac:dyDescent="0.25">
      <c r="A264" s="132"/>
      <c r="B264" s="132"/>
      <c r="C264" s="132"/>
      <c r="D264" s="132"/>
      <c r="E264" s="132"/>
      <c r="F264" s="132"/>
      <c r="G264" s="132"/>
      <c r="H264" s="132"/>
      <c r="I264" s="132"/>
      <c r="J264" s="132"/>
      <c r="K264" s="132"/>
      <c r="L264" s="132"/>
      <c r="M264" s="132"/>
      <c r="N264" s="132"/>
      <c r="O264" s="132"/>
      <c r="P264" s="132"/>
      <c r="Q264" s="132"/>
      <c r="R264" s="132"/>
      <c r="S264" s="132"/>
      <c r="T264" s="132"/>
    </row>
    <row r="265" spans="1:20" x14ac:dyDescent="0.25">
      <c r="A265" s="132"/>
      <c r="B265" s="132"/>
      <c r="C265" s="132"/>
      <c r="D265" s="132"/>
      <c r="E265" s="132"/>
      <c r="F265" s="132"/>
      <c r="G265" s="132"/>
      <c r="H265" s="132"/>
      <c r="I265" s="132"/>
      <c r="J265" s="132"/>
      <c r="K265" s="132"/>
      <c r="L265" s="132"/>
      <c r="M265" s="132"/>
      <c r="N265" s="132"/>
      <c r="O265" s="132"/>
      <c r="P265" s="132"/>
      <c r="Q265" s="132"/>
      <c r="R265" s="132"/>
      <c r="S265" s="132"/>
      <c r="T265" s="132"/>
    </row>
  </sheetData>
  <sheetProtection algorithmName="SHA-512" hashValue="jHHLgrnQQPAneVQ1qdkfptedjPlywkLBcsQ0mXQZN6XMC87KiAp+IhOZmhKj01/aJd834VELv5EFZlKvTr6deQ==" saltValue="WP8/sIA0np1+kA3EkPZuxA==" spinCount="100000" sheet="1" objects="1" autoFilter="0"/>
  <protectedRanges>
    <protectedRange sqref="C6:H9 R6:R205 C11:H205 C10:E10 O6:O205" name="EdKEXslut"/>
    <protectedRange sqref="F10:H10" name="EdKEXstart"/>
  </protectedRanges>
  <conditionalFormatting sqref="J6:J255">
    <cfRule type="containsText" dxfId="61" priority="1" operator="containsText" text="Enhetsfel">
      <formula>NOT(ISERROR(SEARCH("Enhetsfel",J6)))</formula>
    </cfRule>
  </conditionalFormatting>
  <conditionalFormatting sqref="K6:K255">
    <cfRule type="expression" dxfId="60" priority="2">
      <formula>G6&lt;&gt;RIGHT(K6,LEN(K6)-3)</formula>
    </cfRule>
  </conditionalFormatting>
  <dataValidations count="3">
    <dataValidation type="list" errorStyle="warning" allowBlank="1" showInputMessage="1" showErrorMessage="1" errorTitle="Material ej i materiallista" error="OBS! Material finns ej i materiallista och klimatdata saknas._x000a__x000a_Tillkommande material behöver inkluderas i materiallista." sqref="H6:I255" xr:uid="{BDEC9EAA-9EBC-4B4C-92BA-9458F1BC4A39}">
      <formula1>OFFSET(Materialnamn,0,0,COUNTA(Materialnamn),1)</formula1>
    </dataValidation>
    <dataValidation type="list" allowBlank="1" showInputMessage="1" showErrorMessage="1" sqref="G6:G255" xr:uid="{C813A427-CC52-4717-AAF6-E55D3544E60E}">
      <formula1>OFFSET(Omräkningsfaktor,0,0,COUNTA(Omräkningsfaktor),1)</formula1>
    </dataValidation>
    <dataValidation type="list" errorStyle="warning" allowBlank="1" showInputMessage="1" showErrorMessage="1" errorTitle="Teknikområde saknas i lista" error="Teknikområde saknas i lista. Välj om passande ett av alterantiven ur listan." sqref="C6:C255" xr:uid="{71774640-B677-4689-BA99-CC8F2C736A51}">
      <formula1>OFFSET(Teknikomr,0,0,COUNTA(Teknikomr),1)</formula1>
    </dataValidation>
  </dataValidations>
  <pageMargins left="0.7" right="0.7" top="0.75" bottom="0.75" header="0.3" footer="0.3"/>
  <pageSetup paperSize="8" scale="55" fitToHeight="0" orientation="landscape"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5DC88-8FB0-4C43-99F2-1BC4ADC32C1F}">
  <sheetPr codeName="Sheet4">
    <pageSetUpPr fitToPage="1"/>
  </sheetPr>
  <dimension ref="A1:Q90"/>
  <sheetViews>
    <sheetView showRowColHeaders="0" zoomScaleNormal="100" workbookViewId="0">
      <selection activeCell="C72" sqref="C72"/>
    </sheetView>
  </sheetViews>
  <sheetFormatPr defaultColWidth="0" defaultRowHeight="20.100000000000001" customHeight="1" zeroHeight="1" x14ac:dyDescent="0.25"/>
  <cols>
    <col min="1" max="1" width="5.7109375" style="1" customWidth="1"/>
    <col min="2" max="2" width="21.7109375" style="1" customWidth="1"/>
    <col min="3" max="14" width="12.7109375" style="1" customWidth="1"/>
    <col min="15" max="15" width="21.7109375" style="1" customWidth="1"/>
    <col min="16" max="16" width="5.7109375" style="1" customWidth="1"/>
    <col min="17" max="17" width="0" style="1" hidden="1" customWidth="1"/>
    <col min="18" max="16384" width="9.140625" style="1" hidden="1"/>
  </cols>
  <sheetData>
    <row r="1" spans="1:17" ht="20.100000000000001" customHeight="1" x14ac:dyDescent="0.25">
      <c r="A1" s="3"/>
      <c r="B1" s="3"/>
      <c r="C1" s="3"/>
      <c r="D1" s="3"/>
      <c r="E1" s="3"/>
      <c r="F1" s="3"/>
      <c r="G1" s="3"/>
      <c r="H1" s="3"/>
      <c r="I1" s="3"/>
      <c r="J1" s="3"/>
      <c r="K1" s="3"/>
      <c r="L1" s="81" t="s">
        <v>162</v>
      </c>
      <c r="M1" s="82">
        <f ca="1">TODAY()</f>
        <v>46282</v>
      </c>
      <c r="N1" s="3"/>
      <c r="O1" s="3"/>
      <c r="P1" s="3"/>
    </row>
    <row r="2" spans="1:17" ht="45" customHeight="1" x14ac:dyDescent="0.5">
      <c r="A2" s="21"/>
      <c r="B2" s="21"/>
      <c r="C2" s="39" t="s">
        <v>252</v>
      </c>
      <c r="D2" s="21"/>
      <c r="E2" s="21"/>
      <c r="F2" s="21"/>
      <c r="G2" s="21"/>
      <c r="H2" s="21"/>
      <c r="I2" s="21"/>
      <c r="J2" s="21"/>
      <c r="K2" s="21"/>
      <c r="L2" s="21"/>
      <c r="M2" s="21"/>
      <c r="N2" s="21"/>
      <c r="O2" s="21"/>
      <c r="P2" s="21"/>
    </row>
    <row r="3" spans="1:17" ht="20.100000000000001" customHeight="1" x14ac:dyDescent="0.25">
      <c r="A3" s="3"/>
      <c r="B3" s="3"/>
      <c r="C3" s="3"/>
      <c r="D3" s="3"/>
      <c r="E3" s="3"/>
      <c r="F3" s="3"/>
      <c r="G3" s="3"/>
      <c r="H3" s="3"/>
      <c r="I3" s="3"/>
      <c r="J3" s="3"/>
      <c r="K3" s="3"/>
      <c r="L3" s="3"/>
      <c r="M3" s="3"/>
      <c r="N3" s="3"/>
      <c r="O3" s="3"/>
      <c r="P3" s="143"/>
      <c r="Q3" s="31"/>
    </row>
    <row r="4" spans="1:17" ht="20.100000000000001" customHeight="1" x14ac:dyDescent="0.25">
      <c r="A4" s="3"/>
      <c r="B4" s="3"/>
      <c r="C4" s="3"/>
      <c r="D4" s="53" t="s">
        <v>53</v>
      </c>
      <c r="E4" s="179" t="str">
        <f>IF(Försättsblad!$D$7=0,"",Försättsblad!$D$7)</f>
        <v/>
      </c>
      <c r="F4" s="54"/>
      <c r="G4" s="55"/>
      <c r="H4" s="3"/>
      <c r="I4" s="3"/>
      <c r="J4" s="53" t="s">
        <v>55</v>
      </c>
      <c r="K4" s="53"/>
      <c r="L4" s="57" t="str">
        <f>IF(Försättsblad!$D$16=0,"",Försättsblad!$D$16)</f>
        <v/>
      </c>
      <c r="M4" s="58" t="s">
        <v>12</v>
      </c>
      <c r="N4" s="3"/>
      <c r="O4" s="3"/>
      <c r="P4" s="143"/>
      <c r="Q4" s="31"/>
    </row>
    <row r="5" spans="1:17" ht="20.100000000000001" customHeight="1" x14ac:dyDescent="0.25">
      <c r="A5" s="3"/>
      <c r="B5" s="3"/>
      <c r="C5" s="30"/>
      <c r="D5" s="53" t="s">
        <v>54</v>
      </c>
      <c r="E5" s="179" t="str">
        <f>IF(Försättsblad!$D$10=0,"",Försättsblad!$D$10)</f>
        <v/>
      </c>
      <c r="F5" s="54"/>
      <c r="G5" s="55"/>
      <c r="H5" s="3"/>
      <c r="I5" s="3"/>
      <c r="J5" s="53" t="s">
        <v>56</v>
      </c>
      <c r="K5" s="53"/>
      <c r="L5" s="57" t="str">
        <f>IF(Försättsblad!$D$17=0,"",Försättsblad!$D$17)</f>
        <v/>
      </c>
      <c r="M5" s="58" t="s">
        <v>11</v>
      </c>
      <c r="N5" s="3"/>
      <c r="O5" s="3"/>
      <c r="P5" s="143"/>
      <c r="Q5" s="31"/>
    </row>
    <row r="6" spans="1:17" ht="20.100000000000001" customHeight="1" x14ac:dyDescent="0.25">
      <c r="A6" s="3"/>
      <c r="B6" s="3"/>
      <c r="C6" s="30"/>
      <c r="D6" s="30"/>
      <c r="E6" s="56"/>
      <c r="F6" s="56"/>
      <c r="G6" s="3"/>
      <c r="H6" s="3"/>
      <c r="I6" s="3"/>
      <c r="J6" s="30"/>
      <c r="K6" s="30"/>
      <c r="L6" s="65"/>
      <c r="M6" s="22"/>
      <c r="N6" s="3"/>
      <c r="O6" s="3"/>
      <c r="P6" s="143"/>
      <c r="Q6" s="31"/>
    </row>
    <row r="7" spans="1:17" ht="20.100000000000001" customHeight="1" x14ac:dyDescent="0.25">
      <c r="A7" s="3"/>
      <c r="B7" s="3"/>
      <c r="C7" s="30"/>
      <c r="D7" s="30"/>
      <c r="E7" s="56"/>
      <c r="F7" s="9"/>
      <c r="G7" s="23"/>
      <c r="H7" s="9"/>
      <c r="I7" s="30"/>
      <c r="J7" s="9"/>
      <c r="K7" s="9"/>
      <c r="L7" s="9"/>
      <c r="M7" s="9"/>
      <c r="N7" s="3"/>
      <c r="O7" s="3"/>
      <c r="P7" s="143"/>
      <c r="Q7" s="31"/>
    </row>
    <row r="8" spans="1:17" ht="39.950000000000003" customHeight="1" x14ac:dyDescent="0.25">
      <c r="A8" s="3"/>
      <c r="B8" s="3"/>
      <c r="C8" s="30"/>
      <c r="D8" s="30"/>
      <c r="E8" s="111"/>
      <c r="F8" s="240" t="s">
        <v>357</v>
      </c>
      <c r="G8" s="241"/>
      <c r="H8" s="240" t="s">
        <v>356</v>
      </c>
      <c r="I8" s="241"/>
      <c r="J8" s="240" t="s">
        <v>355</v>
      </c>
      <c r="K8" s="241"/>
      <c r="L8" s="240" t="s">
        <v>358</v>
      </c>
      <c r="M8" s="241"/>
      <c r="N8" s="3"/>
      <c r="O8" s="3"/>
      <c r="P8" s="143"/>
      <c r="Q8" s="31"/>
    </row>
    <row r="9" spans="1:17" ht="20.100000000000001" customHeight="1" x14ac:dyDescent="0.25">
      <c r="A9" s="3"/>
      <c r="B9" s="3"/>
      <c r="C9" s="3"/>
      <c r="D9" s="55" t="s">
        <v>129</v>
      </c>
      <c r="E9" s="124"/>
      <c r="F9" s="125" t="s">
        <v>334</v>
      </c>
      <c r="G9" s="126" t="s">
        <v>335</v>
      </c>
      <c r="H9" s="125" t="s">
        <v>334</v>
      </c>
      <c r="I9" s="126" t="s">
        <v>335</v>
      </c>
      <c r="J9" s="125" t="s">
        <v>334</v>
      </c>
      <c r="K9" s="126" t="s">
        <v>335</v>
      </c>
      <c r="L9" s="125" t="s">
        <v>334</v>
      </c>
      <c r="M9" s="126" t="s">
        <v>335</v>
      </c>
      <c r="N9" s="3"/>
      <c r="O9" s="3"/>
      <c r="P9" s="143"/>
      <c r="Q9" s="31"/>
    </row>
    <row r="10" spans="1:17" ht="20.100000000000001" customHeight="1" x14ac:dyDescent="0.25">
      <c r="A10" s="3"/>
      <c r="B10" s="3"/>
      <c r="C10" s="3"/>
      <c r="D10" s="3" t="s">
        <v>6</v>
      </c>
      <c r="E10" s="113"/>
      <c r="F10" s="114" t="str">
        <f>IF((SUMIF(KalkylStart[[#All],[Materialtyp]],D10,KalkylStart[[#All],[Materialvikt]]))/1000=0,"",(SUMIF(KalkylStart[[#All],[Materialtyp]],D10,KalkylStart[[#All],[Materialvikt]]))/1000)</f>
        <v/>
      </c>
      <c r="G10" s="115" t="str">
        <f>IF((SUMIF(KalkylSlut[[#All],[Materialtyp]],D10,KalkylSlut[[#All],[Materialvikt]]))/1000=0,"",(SUMIF(KalkylSlut[[#All],[Materialtyp]],D10,KalkylSlut[[#All],[Materialvikt]]))/1000)</f>
        <v/>
      </c>
      <c r="H10" s="114" t="str">
        <f>IF(SUMIF(KalkylStart[[#All],[Materialtyp]],D10,KalkylStart[[#All],[A1-3
kg CO2e]])/1000=0,"",SUMIF(KalkylStart[[#All],[Materialtyp]],D10,KalkylStart[[#All],[A1-3
kg CO2e]])/1000)</f>
        <v/>
      </c>
      <c r="I10" s="115" t="str">
        <f>IF(SUMIF(KalkylSlut[[#All],[Materialtyp]],D10,KalkylSlut[[#All],[A1-3
kg CO2e]])/1000=0,"",SUMIF(KalkylSlut[[#All],[Materialtyp]],D10,KalkylSlut[[#All],[A1-3
kg CO2e]])/1000)</f>
        <v/>
      </c>
      <c r="J10" s="114" t="str">
        <f>IFERROR(H10/$L$4*1000,"")</f>
        <v/>
      </c>
      <c r="K10" s="115" t="str">
        <f>IFERROR(I10/$L$4*1000,"")</f>
        <v/>
      </c>
      <c r="L10" s="173" t="str">
        <f>IFERROR(H10/($L$5/1000000),"")</f>
        <v/>
      </c>
      <c r="M10" s="114" t="str">
        <f>IFERROR(I10/($L$5/1000000),"")</f>
        <v/>
      </c>
      <c r="N10" s="3"/>
      <c r="O10" s="3"/>
      <c r="P10" s="143"/>
      <c r="Q10" s="31"/>
    </row>
    <row r="11" spans="1:17" ht="20.100000000000001" customHeight="1" x14ac:dyDescent="0.25">
      <c r="A11" s="3"/>
      <c r="B11" s="3"/>
      <c r="C11" s="3"/>
      <c r="D11" s="3" t="s">
        <v>2</v>
      </c>
      <c r="E11" s="113"/>
      <c r="F11" s="114" t="str">
        <f>IF((SUMIF(KalkylStart[[#All],[Materialtyp]],D11,KalkylStart[[#All],[Materialvikt]]))/1000=0,"",(SUMIF(KalkylStart[[#All],[Materialtyp]],D11,KalkylStart[[#All],[Materialvikt]]))/1000)</f>
        <v/>
      </c>
      <c r="G11" s="116" t="str">
        <f>IF((SUMIF(KalkylSlut[[#All],[Materialtyp]],D11,KalkylSlut[[#All],[Materialvikt]]))/1000=0,"",(SUMIF(KalkylSlut[[#All],[Materialtyp]],D11,KalkylSlut[[#All],[Materialvikt]]))/1000)</f>
        <v/>
      </c>
      <c r="H11" s="114" t="str">
        <f>IF(SUMIF(KalkylStart[[#All],[Materialtyp]],D11,KalkylStart[[#All],[A1-3
kg CO2e]])/1000=0,"",SUMIF(KalkylStart[[#All],[Materialtyp]],D11,KalkylStart[[#All],[A1-3
kg CO2e]])/1000)</f>
        <v/>
      </c>
      <c r="I11" s="116" t="str">
        <f>IF(SUMIF(KalkylSlut[[#All],[Materialtyp]],D11,KalkylSlut[[#All],[A1-3
kg CO2e]])/1000=0,"",SUMIF(KalkylSlut[[#All],[Materialtyp]],D11,KalkylSlut[[#All],[A1-3
kg CO2e]])/1000)</f>
        <v/>
      </c>
      <c r="J11" s="114" t="str">
        <f t="shared" ref="J11:J19" si="0">IFERROR(H11/$L$4*1000,"")</f>
        <v/>
      </c>
      <c r="K11" s="116" t="str">
        <f t="shared" ref="K11:K19" si="1">IFERROR(I11/$L$4*1000,"")</f>
        <v/>
      </c>
      <c r="L11" s="173" t="str">
        <f t="shared" ref="L11:L19" si="2">IFERROR(H11/($L$5/1000000),"")</f>
        <v/>
      </c>
      <c r="M11" s="114" t="str">
        <f t="shared" ref="M11:M19" si="3">IFERROR(I11/($L$5/1000000),"")</f>
        <v/>
      </c>
      <c r="N11" s="3"/>
      <c r="O11" s="3"/>
      <c r="P11" s="143"/>
      <c r="Q11" s="31"/>
    </row>
    <row r="12" spans="1:17" ht="20.100000000000001" customHeight="1" x14ac:dyDescent="0.25">
      <c r="A12" s="3"/>
      <c r="B12" s="3"/>
      <c r="C12" s="3"/>
      <c r="D12" s="3" t="s">
        <v>22</v>
      </c>
      <c r="E12" s="113"/>
      <c r="F12" s="114" t="str">
        <f>IF((SUMIF(KalkylStart[[#All],[Materialtyp]],D12,KalkylStart[[#All],[Materialvikt]]))/1000=0,"",(SUMIF(KalkylStart[[#All],[Materialtyp]],D12,KalkylStart[[#All],[Materialvikt]]))/1000)</f>
        <v/>
      </c>
      <c r="G12" s="116" t="str">
        <f>IF((SUMIF(KalkylSlut[[#All],[Materialtyp]],D12,KalkylSlut[[#All],[Materialvikt]]))/1000=0,"",(SUMIF(KalkylSlut[[#All],[Materialtyp]],D12,KalkylSlut[[#All],[Materialvikt]]))/1000)</f>
        <v/>
      </c>
      <c r="H12" s="114" t="str">
        <f>IF(SUMIF(KalkylStart[[#All],[Materialtyp]],D12,KalkylStart[[#All],[A1-3
kg CO2e]])/1000=0,"",SUMIF(KalkylStart[[#All],[Materialtyp]],D12,KalkylStart[[#All],[A1-3
kg CO2e]])/1000)</f>
        <v/>
      </c>
      <c r="I12" s="116" t="str">
        <f>IF(SUMIF(KalkylSlut[[#All],[Materialtyp]],D12,KalkylSlut[[#All],[A1-3
kg CO2e]])/1000=0,"",SUMIF(KalkylSlut[[#All],[Materialtyp]],D12,KalkylSlut[[#All],[A1-3
kg CO2e]])/1000)</f>
        <v/>
      </c>
      <c r="J12" s="114" t="str">
        <f t="shared" si="0"/>
        <v/>
      </c>
      <c r="K12" s="116" t="str">
        <f t="shared" si="1"/>
        <v/>
      </c>
      <c r="L12" s="173" t="str">
        <f t="shared" si="2"/>
        <v/>
      </c>
      <c r="M12" s="114" t="str">
        <f t="shared" si="3"/>
        <v/>
      </c>
      <c r="N12" s="3"/>
      <c r="O12" s="3"/>
      <c r="P12" s="143"/>
      <c r="Q12" s="31"/>
    </row>
    <row r="13" spans="1:17" ht="20.100000000000001" customHeight="1" x14ac:dyDescent="0.25">
      <c r="A13" s="3"/>
      <c r="B13" s="3"/>
      <c r="C13" s="3"/>
      <c r="D13" s="3" t="s">
        <v>24</v>
      </c>
      <c r="E13" s="113"/>
      <c r="F13" s="114" t="str">
        <f>IF((SUMIF(KalkylStart[[#All],[Materialtyp]],D13,KalkylStart[[#All],[Materialvikt]]))/1000=0,"",(SUMIF(KalkylStart[[#All],[Materialtyp]],D13,KalkylStart[[#All],[Materialvikt]]))/1000)</f>
        <v/>
      </c>
      <c r="G13" s="116" t="str">
        <f>IF((SUMIF(KalkylSlut[[#All],[Materialtyp]],D13,KalkylSlut[[#All],[Materialvikt]]))/1000=0,"",(SUMIF(KalkylSlut[[#All],[Materialtyp]],D13,KalkylSlut[[#All],[Materialvikt]]))/1000)</f>
        <v/>
      </c>
      <c r="H13" s="114" t="str">
        <f>IF(SUMIF(KalkylStart[[#All],[Materialtyp]],D13,KalkylStart[[#All],[A1-3
kg CO2e]])/1000=0,"",SUMIF(KalkylStart[[#All],[Materialtyp]],D13,KalkylStart[[#All],[A1-3
kg CO2e]])/1000)</f>
        <v/>
      </c>
      <c r="I13" s="116" t="str">
        <f>IF(SUMIF(KalkylSlut[[#All],[Materialtyp]],D13,KalkylSlut[[#All],[A1-3
kg CO2e]])/1000=0,"",SUMIF(KalkylSlut[[#All],[Materialtyp]],D13,KalkylSlut[[#All],[A1-3
kg CO2e]])/1000)</f>
        <v/>
      </c>
      <c r="J13" s="114" t="str">
        <f t="shared" si="0"/>
        <v/>
      </c>
      <c r="K13" s="116" t="str">
        <f t="shared" si="1"/>
        <v/>
      </c>
      <c r="L13" s="173" t="str">
        <f t="shared" si="2"/>
        <v/>
      </c>
      <c r="M13" s="114" t="str">
        <f t="shared" si="3"/>
        <v/>
      </c>
      <c r="N13" s="3"/>
      <c r="O13" s="3"/>
      <c r="P13" s="143"/>
      <c r="Q13" s="31"/>
    </row>
    <row r="14" spans="1:17" ht="20.100000000000001" customHeight="1" x14ac:dyDescent="0.25">
      <c r="A14" s="3"/>
      <c r="B14" s="3"/>
      <c r="C14" s="3"/>
      <c r="D14" s="3" t="s">
        <v>32</v>
      </c>
      <c r="E14" s="113"/>
      <c r="F14" s="114" t="str">
        <f>IF((SUMIF(KalkylStart[[#All],[Materialtyp]],D14,KalkylStart[[#All],[Materialvikt]]))/1000=0,"",(SUMIF(KalkylStart[[#All],[Materialtyp]],D14,KalkylStart[[#All],[Materialvikt]]))/1000)</f>
        <v/>
      </c>
      <c r="G14" s="116" t="str">
        <f>IF((SUMIF(KalkylSlut[[#All],[Materialtyp]],D14,KalkylSlut[[#All],[Materialvikt]]))/1000=0,"",(SUMIF(KalkylSlut[[#All],[Materialtyp]],D14,KalkylSlut[[#All],[Materialvikt]]))/1000)</f>
        <v/>
      </c>
      <c r="H14" s="114" t="str">
        <f>IF(SUMIF(KalkylStart[[#All],[Materialtyp]],D14,KalkylStart[[#All],[A1-3
kg CO2e]])/1000=0,"",SUMIF(KalkylStart[[#All],[Materialtyp]],D14,KalkylStart[[#All],[A1-3
kg CO2e]])/1000)</f>
        <v/>
      </c>
      <c r="I14" s="116" t="str">
        <f>IF(SUMIF(KalkylSlut[[#All],[Materialtyp]],D14,KalkylSlut[[#All],[A1-3
kg CO2e]])/1000=0,"",SUMIF(KalkylSlut[[#All],[Materialtyp]],D14,KalkylSlut[[#All],[A1-3
kg CO2e]])/1000)</f>
        <v/>
      </c>
      <c r="J14" s="114" t="str">
        <f t="shared" si="0"/>
        <v/>
      </c>
      <c r="K14" s="116" t="str">
        <f t="shared" si="1"/>
        <v/>
      </c>
      <c r="L14" s="173" t="str">
        <f t="shared" si="2"/>
        <v/>
      </c>
      <c r="M14" s="114" t="str">
        <f t="shared" si="3"/>
        <v/>
      </c>
      <c r="N14" s="3"/>
      <c r="O14" s="3"/>
      <c r="P14" s="143"/>
      <c r="Q14" s="31"/>
    </row>
    <row r="15" spans="1:17" ht="20.100000000000001" customHeight="1" x14ac:dyDescent="0.25">
      <c r="A15" s="3"/>
      <c r="B15" s="3"/>
      <c r="C15" s="3"/>
      <c r="D15" s="3" t="s">
        <v>259</v>
      </c>
      <c r="E15" s="113"/>
      <c r="F15" s="114" t="str">
        <f>IF((SUMIF(KalkylStart[[#All],[Materialtyp]],D15,KalkylStart[[#All],[Materialvikt]]))/1000=0,"",(SUMIF(KalkylStart[[#All],[Materialtyp]],D15,KalkylStart[[#All],[Materialvikt]]))/1000)</f>
        <v/>
      </c>
      <c r="G15" s="116" t="str">
        <f>IF((SUMIF(KalkylSlut[[#All],[Materialtyp]],D15,KalkylSlut[[#All],[Materialvikt]]))/1000=0,"",(SUMIF(KalkylSlut[[#All],[Materialtyp]],D15,KalkylSlut[[#All],[Materialvikt]]))/1000)</f>
        <v/>
      </c>
      <c r="H15" s="114" t="str">
        <f>IF(SUMIF(KalkylStart[[#All],[Materialtyp]],D15,KalkylStart[[#All],[A1-3
kg CO2e]])/1000=0,"",SUMIF(KalkylStart[[#All],[Materialtyp]],D15,KalkylStart[[#All],[A1-3
kg CO2e]])/1000)</f>
        <v/>
      </c>
      <c r="I15" s="116" t="str">
        <f>IF(SUMIF(KalkylSlut[[#All],[Materialtyp]],D15,KalkylSlut[[#All],[A1-3
kg CO2e]])/1000=0,"",SUMIF(KalkylSlut[[#All],[Materialtyp]],D15,KalkylSlut[[#All],[A1-3
kg CO2e]])/1000)</f>
        <v/>
      </c>
      <c r="J15" s="114" t="str">
        <f t="shared" si="0"/>
        <v/>
      </c>
      <c r="K15" s="116" t="str">
        <f t="shared" si="1"/>
        <v/>
      </c>
      <c r="L15" s="173" t="str">
        <f t="shared" si="2"/>
        <v/>
      </c>
      <c r="M15" s="114" t="str">
        <f t="shared" si="3"/>
        <v/>
      </c>
      <c r="N15" s="3"/>
      <c r="O15" s="3"/>
      <c r="P15" s="3"/>
    </row>
    <row r="16" spans="1:17" ht="20.100000000000001" customHeight="1" x14ac:dyDescent="0.25">
      <c r="A16" s="3"/>
      <c r="B16" s="3"/>
      <c r="C16" s="3"/>
      <c r="D16" s="3" t="s">
        <v>258</v>
      </c>
      <c r="E16" s="113"/>
      <c r="F16" s="114" t="str">
        <f>IF((SUMIF(KalkylStart[[#All],[Materialtyp]],D16,KalkylStart[[#All],[Materialvikt]]))/1000=0,"",(SUMIF(KalkylStart[[#All],[Materialtyp]],D16,KalkylStart[[#All],[Materialvikt]]))/1000)</f>
        <v/>
      </c>
      <c r="G16" s="116" t="str">
        <f>IF((SUMIF(KalkylSlut[[#All],[Materialtyp]],D16,KalkylSlut[[#All],[Materialvikt]]))/1000=0,"",(SUMIF(KalkylSlut[[#All],[Materialtyp]],D16,KalkylSlut[[#All],[Materialvikt]]))/1000)</f>
        <v/>
      </c>
      <c r="H16" s="114" t="str">
        <f>IF(SUMIF(KalkylStart[[#All],[Materialtyp]],D16,KalkylStart[[#All],[A1-3
kg CO2e]])/1000=0,"",SUMIF(KalkylStart[[#All],[Materialtyp]],D16,KalkylStart[[#All],[A1-3
kg CO2e]])/1000)</f>
        <v/>
      </c>
      <c r="I16" s="116" t="str">
        <f>IF(SUMIF(KalkylSlut[[#All],[Materialtyp]],D16,KalkylSlut[[#All],[A1-3
kg CO2e]])/1000=0,"",SUMIF(KalkylSlut[[#All],[Materialtyp]],D16,KalkylSlut[[#All],[A1-3
kg CO2e]])/1000)</f>
        <v/>
      </c>
      <c r="J16" s="114" t="str">
        <f t="shared" si="0"/>
        <v/>
      </c>
      <c r="K16" s="116" t="str">
        <f t="shared" si="1"/>
        <v/>
      </c>
      <c r="L16" s="173" t="str">
        <f t="shared" si="2"/>
        <v/>
      </c>
      <c r="M16" s="114" t="str">
        <f t="shared" si="3"/>
        <v/>
      </c>
      <c r="N16" s="3"/>
      <c r="O16" s="3"/>
      <c r="P16" s="3"/>
    </row>
    <row r="17" spans="1:16" ht="20.100000000000001" customHeight="1" x14ac:dyDescent="0.25">
      <c r="A17" s="3"/>
      <c r="B17" s="3"/>
      <c r="C17" s="3"/>
      <c r="D17" s="3" t="s">
        <v>260</v>
      </c>
      <c r="E17" s="113"/>
      <c r="F17" s="114" t="str">
        <f>IF((SUMIF(KalkylStart[[#All],[Materialtyp]],D17,KalkylStart[[#All],[Materialvikt]]))/1000=0,"",(SUMIF(KalkylStart[[#All],[Materialtyp]],D17,KalkylStart[[#All],[Materialvikt]]))/1000)</f>
        <v/>
      </c>
      <c r="G17" s="116" t="str">
        <f>IF((SUMIF(KalkylSlut[[#All],[Materialtyp]],D17,KalkylSlut[[#All],[Materialvikt]]))/1000=0,"",(SUMIF(KalkylSlut[[#All],[Materialtyp]],D17,KalkylSlut[[#All],[Materialvikt]]))/1000)</f>
        <v/>
      </c>
      <c r="H17" s="114" t="str">
        <f>IF(SUMIF(KalkylStart[[#All],[Materialtyp]],D17,KalkylStart[[#All],[A1-3
kg CO2e]])/1000=0,"",SUMIF(KalkylStart[[#All],[Materialtyp]],D17,KalkylStart[[#All],[A1-3
kg CO2e]])/1000)</f>
        <v/>
      </c>
      <c r="I17" s="116" t="str">
        <f>IF(SUMIF(KalkylSlut[[#All],[Materialtyp]],D17,KalkylSlut[[#All],[A1-3
kg CO2e]])/1000=0,"",SUMIF(KalkylSlut[[#All],[Materialtyp]],D17,KalkylSlut[[#All],[A1-3
kg CO2e]])/1000)</f>
        <v/>
      </c>
      <c r="J17" s="114" t="str">
        <f t="shared" si="0"/>
        <v/>
      </c>
      <c r="K17" s="116" t="str">
        <f t="shared" si="1"/>
        <v/>
      </c>
      <c r="L17" s="173" t="str">
        <f t="shared" si="2"/>
        <v/>
      </c>
      <c r="M17" s="114" t="str">
        <f t="shared" si="3"/>
        <v/>
      </c>
      <c r="N17" s="3"/>
      <c r="O17" s="3"/>
      <c r="P17" s="3"/>
    </row>
    <row r="18" spans="1:16" ht="20.100000000000001" customHeight="1" x14ac:dyDescent="0.25">
      <c r="A18" s="3"/>
      <c r="B18" s="3"/>
      <c r="C18" s="3"/>
      <c r="D18" s="55" t="s">
        <v>7</v>
      </c>
      <c r="E18" s="112"/>
      <c r="F18" s="117" t="str">
        <f>IF((SUMIF(KalkylStart[[#All],[Materialtyp]],D18,KalkylStart[[#All],[Materialvikt]]))/1000=0,"",(SUMIF(KalkylStart[[#All],[Materialtyp]],D18,KalkylStart[[#All],[Materialvikt]]))/1000)</f>
        <v/>
      </c>
      <c r="G18" s="118" t="str">
        <f>IF((SUMIF(KalkylSlut[[#All],[Materialtyp]],D18,KalkylSlut[[#All],[Materialvikt]]))/1000=0,"",(SUMIF(KalkylSlut[[#All],[Materialtyp]],D18,KalkylSlut[[#All],[Materialvikt]]))/1000)</f>
        <v/>
      </c>
      <c r="H18" s="121" t="str">
        <f>IF(SUMIF(KalkylStart[[#All],[Materialtyp]],D18,KalkylStart[[#All],[A1-3
kg CO2e]])/1000=0,"",SUMIF(KalkylStart[[#All],[Materialtyp]],D18,KalkylStart[[#All],[A1-3
kg CO2e]])/1000)</f>
        <v/>
      </c>
      <c r="I18" s="118" t="str">
        <f>IF(SUMIF(KalkylSlut[[#All],[Materialtyp]],D18,KalkylSlut[[#All],[A1-3
kg CO2e]])/1000=0,"",SUMIF(KalkylSlut[[#All],[Materialtyp]],D18,KalkylSlut[[#All],[A1-3
kg CO2e]])/1000)</f>
        <v/>
      </c>
      <c r="J18" s="117" t="str">
        <f t="shared" si="0"/>
        <v/>
      </c>
      <c r="K18" s="118" t="str">
        <f t="shared" si="1"/>
        <v/>
      </c>
      <c r="L18" s="121" t="str">
        <f t="shared" si="2"/>
        <v/>
      </c>
      <c r="M18" s="117" t="str">
        <f t="shared" si="3"/>
        <v/>
      </c>
      <c r="N18" s="3"/>
      <c r="O18" s="3"/>
      <c r="P18" s="3"/>
    </row>
    <row r="19" spans="1:16" ht="20.100000000000001" customHeight="1" x14ac:dyDescent="0.25">
      <c r="A19" s="3"/>
      <c r="B19" s="3"/>
      <c r="C19" s="3"/>
      <c r="D19" s="55" t="s">
        <v>130</v>
      </c>
      <c r="E19" s="112" t="s">
        <v>341</v>
      </c>
      <c r="F19" s="117" t="s">
        <v>44</v>
      </c>
      <c r="G19" s="118" t="s">
        <v>44</v>
      </c>
      <c r="H19" s="117" t="str">
        <f>IF(SUM(KalkylStart[[#All],[100% HVO
kg CO2e]])/1000=0,"",SUM(KalkylStart[[#All],[100% HVO
kg CO2e]])/1000)</f>
        <v/>
      </c>
      <c r="I19" s="118" t="str">
        <f>IF(SUM(KalkylSlut[[#All],[100% HVO
kg CO2e]])/1000=0,"",SUM(KalkylSlut[[#All],[100% HVO
kg CO2e]])/1000)</f>
        <v/>
      </c>
      <c r="J19" s="117" t="str">
        <f t="shared" si="0"/>
        <v/>
      </c>
      <c r="K19" s="118" t="str">
        <f t="shared" si="1"/>
        <v/>
      </c>
      <c r="L19" s="121" t="str">
        <f t="shared" si="2"/>
        <v/>
      </c>
      <c r="M19" s="117" t="str">
        <f t="shared" si="3"/>
        <v/>
      </c>
      <c r="N19" s="3"/>
      <c r="O19" s="3"/>
      <c r="P19" s="3"/>
    </row>
    <row r="20" spans="1:16" ht="20.100000000000001" customHeight="1" x14ac:dyDescent="0.25">
      <c r="A20" s="3"/>
      <c r="B20" s="3"/>
      <c r="C20" s="3"/>
      <c r="D20" s="30" t="s">
        <v>41</v>
      </c>
      <c r="E20" s="113"/>
      <c r="F20" s="119">
        <f>SUM(F10:F19)</f>
        <v>0</v>
      </c>
      <c r="G20" s="120">
        <f>SUM(G10:G19)</f>
        <v>0</v>
      </c>
      <c r="H20" s="119">
        <f t="shared" ref="H20:M20" si="4">SUM(H10:H19)</f>
        <v>0</v>
      </c>
      <c r="I20" s="120">
        <f t="shared" si="4"/>
        <v>0</v>
      </c>
      <c r="J20" s="119">
        <f t="shared" si="4"/>
        <v>0</v>
      </c>
      <c r="K20" s="120">
        <f t="shared" si="4"/>
        <v>0</v>
      </c>
      <c r="L20" s="174">
        <f t="shared" si="4"/>
        <v>0</v>
      </c>
      <c r="M20" s="119">
        <f t="shared" si="4"/>
        <v>0</v>
      </c>
      <c r="N20" s="3"/>
      <c r="O20" s="3"/>
      <c r="P20" s="3"/>
    </row>
    <row r="21" spans="1:16" ht="20.100000000000001" customHeight="1" x14ac:dyDescent="0.25">
      <c r="A21" s="3"/>
      <c r="B21" s="3"/>
      <c r="C21" s="3"/>
      <c r="D21" s="122"/>
      <c r="E21" s="122"/>
      <c r="F21" s="122"/>
      <c r="G21" s="123"/>
      <c r="H21" s="122"/>
      <c r="I21" s="123"/>
      <c r="J21" s="122"/>
      <c r="K21" s="123"/>
      <c r="L21" s="122"/>
      <c r="M21" s="123"/>
      <c r="N21" s="3"/>
      <c r="O21" s="3"/>
      <c r="P21" s="3"/>
    </row>
    <row r="22" spans="1:16" ht="20.100000000000001" customHeight="1" x14ac:dyDescent="0.25">
      <c r="A22" s="3"/>
      <c r="B22" s="3"/>
      <c r="C22" s="3"/>
      <c r="D22" s="3"/>
      <c r="E22" s="3"/>
      <c r="F22" s="3"/>
      <c r="G22" s="3"/>
      <c r="H22" s="3"/>
      <c r="I22" s="3"/>
      <c r="J22" s="3"/>
      <c r="K22" s="3"/>
      <c r="L22" s="3"/>
      <c r="M22" s="3"/>
      <c r="N22" s="3"/>
      <c r="O22" s="3"/>
      <c r="P22" s="3"/>
    </row>
    <row r="23" spans="1:16" ht="20.100000000000001" customHeight="1" x14ac:dyDescent="0.3">
      <c r="A23" s="3"/>
      <c r="B23" s="3"/>
      <c r="C23" s="3"/>
      <c r="D23" s="79" t="s">
        <v>109</v>
      </c>
      <c r="E23" s="70">
        <f>Försättsblad!$D$18</f>
        <v>0.25</v>
      </c>
      <c r="F23" s="69" t="s">
        <v>359</v>
      </c>
      <c r="G23" s="3"/>
      <c r="H23" s="3"/>
      <c r="I23" s="3"/>
      <c r="J23" s="3"/>
      <c r="K23" s="3"/>
      <c r="L23" s="3"/>
      <c r="M23" s="3"/>
      <c r="N23" s="3"/>
      <c r="O23" s="3"/>
      <c r="P23" s="3"/>
    </row>
    <row r="24" spans="1:16" ht="20.100000000000001" customHeight="1" x14ac:dyDescent="0.3">
      <c r="A24" s="3"/>
      <c r="B24" s="3"/>
      <c r="C24" s="3"/>
      <c r="D24" s="22"/>
      <c r="E24" s="71">
        <f>J20*(1-E23)</f>
        <v>0</v>
      </c>
      <c r="F24" s="69" t="s">
        <v>366</v>
      </c>
      <c r="G24" s="3"/>
      <c r="H24" s="12"/>
      <c r="I24" s="3"/>
      <c r="J24" s="3"/>
      <c r="K24" s="3"/>
      <c r="L24" s="3"/>
      <c r="M24" s="3"/>
      <c r="N24" s="3"/>
      <c r="O24" s="3"/>
      <c r="P24" s="3"/>
    </row>
    <row r="25" spans="1:16" ht="20.100000000000001" customHeight="1" x14ac:dyDescent="0.3">
      <c r="A25" s="3"/>
      <c r="B25" s="3"/>
      <c r="C25" s="3"/>
      <c r="D25" s="79"/>
      <c r="E25" s="139">
        <f>K20-E24</f>
        <v>0</v>
      </c>
      <c r="F25" s="69" t="s">
        <v>367</v>
      </c>
      <c r="G25" s="3"/>
      <c r="H25" s="3"/>
      <c r="I25" s="3"/>
      <c r="J25" s="3"/>
      <c r="K25" s="3" t="s">
        <v>354</v>
      </c>
      <c r="L25" s="3" t="s">
        <v>343</v>
      </c>
      <c r="M25" s="3"/>
      <c r="N25" s="3"/>
      <c r="O25" s="3"/>
      <c r="P25" s="3"/>
    </row>
    <row r="26" spans="1:16" ht="20.100000000000001" customHeight="1" x14ac:dyDescent="0.3">
      <c r="A26" s="3"/>
      <c r="B26" s="3"/>
      <c r="C26" s="3"/>
      <c r="D26" s="3"/>
      <c r="E26" s="140">
        <f>IFERROR((K20/E24)-1,0)*100</f>
        <v>0</v>
      </c>
      <c r="F26" s="69" t="s">
        <v>368</v>
      </c>
      <c r="G26" s="3"/>
      <c r="H26" s="3"/>
      <c r="I26" s="3"/>
      <c r="J26" s="3" t="s">
        <v>105</v>
      </c>
      <c r="K26" s="24">
        <f>J20</f>
        <v>0</v>
      </c>
      <c r="L26" s="24">
        <f>K20</f>
        <v>0</v>
      </c>
      <c r="M26" s="3"/>
      <c r="N26" s="3"/>
      <c r="O26" s="3"/>
      <c r="P26" s="3"/>
    </row>
    <row r="27" spans="1:16" ht="20.100000000000001" customHeight="1" x14ac:dyDescent="0.3">
      <c r="A27" s="3"/>
      <c r="B27" s="3"/>
      <c r="C27" s="3"/>
      <c r="D27" s="3"/>
      <c r="E27" s="139"/>
      <c r="F27" s="3"/>
      <c r="G27" s="3"/>
      <c r="H27" s="3"/>
      <c r="I27" s="3"/>
      <c r="J27" s="3" t="s">
        <v>106</v>
      </c>
      <c r="K27" s="3"/>
      <c r="L27" s="24">
        <f>IF(K26-L26=K26,0,K26-L26)</f>
        <v>0</v>
      </c>
      <c r="M27" s="3"/>
      <c r="N27" s="3"/>
      <c r="O27" s="3"/>
      <c r="P27" s="3"/>
    </row>
    <row r="28" spans="1:16" ht="20.100000000000001" customHeight="1" x14ac:dyDescent="0.3">
      <c r="A28" s="3"/>
      <c r="B28" s="3"/>
      <c r="C28" s="3"/>
      <c r="D28" s="79" t="s">
        <v>360</v>
      </c>
      <c r="E28" s="139"/>
      <c r="F28" s="3"/>
      <c r="G28" s="3"/>
      <c r="H28" s="3"/>
      <c r="I28" s="3"/>
      <c r="J28" s="3" t="s">
        <v>109</v>
      </c>
      <c r="K28" s="66">
        <f>L28</f>
        <v>0</v>
      </c>
      <c r="L28" s="67">
        <f>K26*(1-E23)</f>
        <v>0</v>
      </c>
      <c r="M28" s="32"/>
      <c r="N28" s="3"/>
      <c r="O28" s="33"/>
      <c r="P28" s="3"/>
    </row>
    <row r="29" spans="1:16" ht="20.100000000000001" customHeight="1" x14ac:dyDescent="0.3">
      <c r="A29" s="3"/>
      <c r="B29" s="3"/>
      <c r="C29" s="3"/>
      <c r="D29" s="68" t="s">
        <v>345</v>
      </c>
      <c r="E29" s="141">
        <f>G20-F20</f>
        <v>0</v>
      </c>
      <c r="F29" s="69" t="s">
        <v>5</v>
      </c>
      <c r="G29" s="172"/>
      <c r="H29" s="3"/>
      <c r="I29" s="3"/>
      <c r="J29" s="3"/>
      <c r="K29" s="3"/>
      <c r="L29" s="32"/>
      <c r="M29" s="32"/>
      <c r="N29" s="33"/>
      <c r="O29" s="3"/>
      <c r="P29" s="3"/>
    </row>
    <row r="30" spans="1:16" ht="20.100000000000001" customHeight="1" x14ac:dyDescent="0.3">
      <c r="A30" s="3"/>
      <c r="B30" s="3"/>
      <c r="C30" s="3"/>
      <c r="D30" s="68" t="s">
        <v>346</v>
      </c>
      <c r="E30" s="141">
        <f>I20-H20</f>
        <v>0</v>
      </c>
      <c r="F30" s="69" t="s">
        <v>347</v>
      </c>
      <c r="G30" s="172"/>
      <c r="H30" s="3"/>
      <c r="I30" s="3"/>
      <c r="J30" s="3"/>
      <c r="K30" s="3"/>
      <c r="L30" s="32"/>
      <c r="M30" s="3"/>
      <c r="N30" s="33"/>
      <c r="O30" s="3"/>
      <c r="P30" s="3"/>
    </row>
    <row r="31" spans="1:16" ht="20.100000000000001" customHeight="1" x14ac:dyDescent="0.3">
      <c r="A31" s="3"/>
      <c r="B31" s="3"/>
      <c r="C31" s="3"/>
      <c r="D31" s="68" t="s">
        <v>119</v>
      </c>
      <c r="E31" s="141">
        <f>K20-J20</f>
        <v>0</v>
      </c>
      <c r="F31" s="69" t="s">
        <v>105</v>
      </c>
      <c r="G31" s="172"/>
      <c r="H31" s="3"/>
      <c r="I31" s="3"/>
      <c r="J31" s="3"/>
      <c r="K31" s="3"/>
      <c r="L31" s="32"/>
      <c r="M31" s="32"/>
      <c r="N31" s="33"/>
      <c r="O31" s="3"/>
      <c r="P31" s="3"/>
    </row>
    <row r="32" spans="1:16" ht="20.100000000000001" customHeight="1" x14ac:dyDescent="0.3">
      <c r="A32" s="3"/>
      <c r="B32" s="3"/>
      <c r="C32" s="3"/>
      <c r="D32" s="68" t="s">
        <v>118</v>
      </c>
      <c r="E32" s="141">
        <f>M20-L20</f>
        <v>0</v>
      </c>
      <c r="F32" s="69" t="s">
        <v>113</v>
      </c>
      <c r="G32" s="172"/>
      <c r="H32" s="3"/>
      <c r="I32" s="3"/>
      <c r="J32" s="3"/>
      <c r="K32" s="3"/>
      <c r="L32" s="32"/>
      <c r="M32" s="32"/>
      <c r="N32" s="33"/>
      <c r="O32" s="3"/>
      <c r="P32" s="3"/>
    </row>
    <row r="33" spans="1:16" ht="20.100000000000001" customHeight="1" x14ac:dyDescent="0.25">
      <c r="A33" s="3"/>
      <c r="B33" s="3"/>
      <c r="C33" s="3"/>
      <c r="D33" s="3"/>
      <c r="E33" s="3"/>
      <c r="F33" s="3"/>
      <c r="G33" s="3"/>
      <c r="H33" s="3"/>
      <c r="I33" s="3"/>
      <c r="J33" s="3"/>
      <c r="K33" s="3"/>
      <c r="L33" s="3"/>
      <c r="M33" s="3"/>
      <c r="N33" s="33"/>
      <c r="O33" s="3"/>
      <c r="P33" s="3"/>
    </row>
    <row r="34" spans="1:16" ht="20.100000000000001" customHeight="1" x14ac:dyDescent="0.25">
      <c r="A34" s="3"/>
      <c r="B34" s="3"/>
      <c r="C34" s="3"/>
      <c r="D34" s="3"/>
      <c r="E34" s="3"/>
      <c r="F34" s="3"/>
      <c r="G34" s="3"/>
      <c r="H34" s="3"/>
      <c r="I34" s="3"/>
      <c r="J34" s="3"/>
      <c r="K34" s="3"/>
      <c r="L34" s="3"/>
      <c r="M34" s="32"/>
      <c r="N34" s="3"/>
      <c r="O34" s="3"/>
      <c r="P34" s="3"/>
    </row>
    <row r="35" spans="1:16" ht="20.100000000000001" customHeight="1" x14ac:dyDescent="0.25">
      <c r="A35" s="3"/>
      <c r="B35" s="3"/>
      <c r="C35" s="3"/>
      <c r="D35" s="3"/>
      <c r="E35" s="3"/>
      <c r="F35" s="3"/>
      <c r="G35" s="3"/>
      <c r="H35" s="3"/>
      <c r="I35" s="3"/>
      <c r="J35" s="3"/>
      <c r="K35" s="3"/>
      <c r="L35" s="3"/>
      <c r="M35" s="3"/>
      <c r="N35" s="3"/>
      <c r="O35" s="3"/>
      <c r="P35" s="3"/>
    </row>
    <row r="36" spans="1:16" ht="20.100000000000001" customHeight="1" x14ac:dyDescent="0.25">
      <c r="A36" s="3"/>
      <c r="B36" s="3"/>
      <c r="C36" s="3"/>
      <c r="D36" s="3"/>
      <c r="E36" s="3"/>
      <c r="F36" s="3"/>
      <c r="G36" s="3"/>
      <c r="H36" s="3"/>
      <c r="I36" s="3"/>
      <c r="J36" s="3"/>
      <c r="K36" s="3"/>
      <c r="L36" s="3"/>
      <c r="M36" s="3"/>
      <c r="N36" s="3"/>
      <c r="O36" s="3"/>
      <c r="P36" s="3"/>
    </row>
    <row r="37" spans="1:16" ht="20.100000000000001" customHeight="1" x14ac:dyDescent="0.25">
      <c r="A37" s="3"/>
      <c r="B37" s="3"/>
      <c r="C37" s="3"/>
      <c r="D37" s="3"/>
      <c r="E37" s="3"/>
      <c r="F37" s="3"/>
      <c r="G37" s="3"/>
      <c r="H37" s="3"/>
      <c r="I37" s="3"/>
      <c r="J37" s="3"/>
      <c r="K37" s="3"/>
      <c r="L37" s="3"/>
      <c r="M37" s="3"/>
      <c r="N37" s="3"/>
      <c r="O37" s="3"/>
      <c r="P37" s="3"/>
    </row>
    <row r="38" spans="1:16" ht="20.100000000000001" customHeight="1" x14ac:dyDescent="0.25">
      <c r="A38" s="3"/>
      <c r="B38" s="3"/>
      <c r="C38" s="3"/>
      <c r="D38" s="3"/>
      <c r="E38" s="3"/>
      <c r="F38" s="3"/>
      <c r="G38" s="3"/>
      <c r="H38" s="3"/>
      <c r="I38" s="3"/>
      <c r="J38" s="3"/>
      <c r="K38" s="3"/>
      <c r="L38" s="3"/>
      <c r="M38" s="3"/>
      <c r="N38" s="3"/>
      <c r="O38" s="3"/>
      <c r="P38" s="3"/>
    </row>
    <row r="39" spans="1:16" ht="20.100000000000001" customHeight="1" x14ac:dyDescent="0.25">
      <c r="A39" s="3"/>
      <c r="B39" s="3"/>
      <c r="C39" s="3"/>
      <c r="D39" s="3"/>
      <c r="E39" s="3"/>
      <c r="F39" s="3"/>
      <c r="G39" s="3"/>
      <c r="H39" s="3"/>
      <c r="I39" s="3"/>
      <c r="J39" s="3"/>
      <c r="K39" s="3"/>
      <c r="L39" s="3"/>
      <c r="M39" s="3"/>
      <c r="N39" s="3"/>
      <c r="O39" s="3"/>
      <c r="P39" s="3"/>
    </row>
    <row r="40" spans="1:16" ht="20.100000000000001" customHeight="1" x14ac:dyDescent="0.25">
      <c r="A40" s="3"/>
      <c r="B40" s="3"/>
      <c r="C40" s="3"/>
      <c r="D40" s="3"/>
      <c r="E40" s="3"/>
      <c r="F40" s="3"/>
      <c r="G40" s="3"/>
      <c r="H40" s="3"/>
      <c r="I40" s="3"/>
      <c r="J40" s="3"/>
      <c r="K40" s="3"/>
      <c r="L40" s="3"/>
      <c r="M40" s="3"/>
      <c r="N40" s="3"/>
      <c r="O40" s="3"/>
      <c r="P40" s="3"/>
    </row>
    <row r="41" spans="1:16" ht="20.100000000000001" customHeight="1" x14ac:dyDescent="0.25">
      <c r="A41" s="3"/>
      <c r="B41" s="3"/>
      <c r="C41" s="3"/>
      <c r="D41" s="3"/>
      <c r="E41" s="3"/>
      <c r="F41" s="3"/>
      <c r="G41" s="3"/>
      <c r="H41" s="3"/>
      <c r="I41" s="3"/>
      <c r="J41" s="3"/>
      <c r="K41" s="3"/>
      <c r="L41" s="3"/>
      <c r="M41" s="3"/>
      <c r="N41" s="3"/>
      <c r="O41" s="3"/>
      <c r="P41" s="3"/>
    </row>
    <row r="42" spans="1:16" ht="20.100000000000001" customHeight="1" x14ac:dyDescent="0.25">
      <c r="A42" s="3"/>
      <c r="B42" s="3"/>
      <c r="C42" s="3"/>
      <c r="D42" s="3"/>
      <c r="E42" s="3"/>
      <c r="F42" s="3"/>
      <c r="G42" s="3"/>
      <c r="H42" s="3"/>
      <c r="I42" s="3"/>
      <c r="J42" s="3"/>
      <c r="K42" s="3"/>
      <c r="L42" s="3"/>
      <c r="M42" s="3"/>
      <c r="N42" s="3"/>
      <c r="O42" s="3"/>
      <c r="P42" s="3"/>
    </row>
    <row r="43" spans="1:16" ht="20.100000000000001" customHeight="1" x14ac:dyDescent="0.25">
      <c r="A43" s="3"/>
      <c r="B43" s="3"/>
      <c r="C43" s="3"/>
      <c r="D43" s="3"/>
      <c r="E43" s="3"/>
      <c r="F43" s="3"/>
      <c r="G43" s="3"/>
      <c r="H43" s="3"/>
      <c r="I43" s="3"/>
      <c r="J43" s="3"/>
      <c r="K43" s="3"/>
      <c r="L43" s="3"/>
      <c r="M43" s="3"/>
      <c r="N43" s="3"/>
      <c r="O43" s="3"/>
      <c r="P43" s="3"/>
    </row>
    <row r="44" spans="1:16" ht="20.100000000000001" customHeight="1" x14ac:dyDescent="0.25">
      <c r="A44" s="3"/>
      <c r="B44" s="3"/>
      <c r="C44" s="3"/>
      <c r="D44" s="3"/>
      <c r="E44" s="3"/>
      <c r="F44" s="3"/>
      <c r="G44" s="3"/>
      <c r="H44" s="3"/>
      <c r="I44" s="3"/>
      <c r="J44" s="3"/>
      <c r="K44" s="3"/>
      <c r="L44" s="3"/>
      <c r="M44" s="3"/>
      <c r="N44" s="3"/>
      <c r="O44" s="3"/>
      <c r="P44" s="3"/>
    </row>
    <row r="45" spans="1:16" ht="20.100000000000001" customHeight="1" x14ac:dyDescent="0.25">
      <c r="A45" s="3"/>
      <c r="B45" s="3"/>
      <c r="C45" s="3"/>
      <c r="D45" s="3"/>
      <c r="E45" s="3"/>
      <c r="F45" s="3"/>
      <c r="G45" s="3"/>
      <c r="H45" s="3"/>
      <c r="I45" s="3"/>
      <c r="J45" s="3"/>
      <c r="K45" s="3"/>
      <c r="L45" s="3"/>
      <c r="M45" s="3"/>
      <c r="N45" s="3"/>
      <c r="O45" s="3"/>
      <c r="P45" s="3"/>
    </row>
    <row r="46" spans="1:16" ht="20.100000000000001" customHeight="1" x14ac:dyDescent="0.25">
      <c r="A46" s="3"/>
      <c r="B46" s="3"/>
      <c r="C46" s="3"/>
      <c r="D46" s="3"/>
      <c r="E46" s="3"/>
      <c r="F46" s="3"/>
      <c r="G46" s="3"/>
      <c r="H46" s="3"/>
      <c r="I46" s="3"/>
      <c r="J46" s="3"/>
      <c r="K46" s="3"/>
      <c r="L46" s="3"/>
      <c r="M46" s="3"/>
      <c r="N46" s="3"/>
      <c r="O46" s="3"/>
      <c r="P46" s="3"/>
    </row>
    <row r="47" spans="1:16" ht="20.100000000000001" customHeight="1" x14ac:dyDescent="0.25">
      <c r="A47" s="3"/>
      <c r="B47" s="3"/>
      <c r="C47" s="3"/>
      <c r="D47" s="3"/>
      <c r="E47" s="3"/>
      <c r="F47" s="3"/>
      <c r="G47" s="3"/>
      <c r="H47" s="3"/>
      <c r="I47" s="3"/>
      <c r="J47" s="3"/>
      <c r="K47" s="3"/>
      <c r="L47" s="3"/>
      <c r="M47" s="3"/>
      <c r="N47" s="3"/>
      <c r="O47" s="3"/>
      <c r="P47" s="3"/>
    </row>
    <row r="48" spans="1:16" ht="20.100000000000001" customHeight="1" x14ac:dyDescent="0.25">
      <c r="A48" s="3"/>
      <c r="B48" s="3"/>
      <c r="C48" s="3"/>
      <c r="D48" s="3"/>
      <c r="E48" s="3"/>
      <c r="F48" s="3"/>
      <c r="G48" s="3"/>
      <c r="H48" s="3"/>
      <c r="I48" s="3"/>
      <c r="J48" s="3"/>
      <c r="K48" s="3"/>
      <c r="L48" s="3"/>
      <c r="M48" s="3"/>
      <c r="N48" s="3"/>
      <c r="O48" s="3"/>
      <c r="P48" s="3"/>
    </row>
    <row r="49" spans="1:16" ht="20.100000000000001" customHeight="1" x14ac:dyDescent="0.25">
      <c r="A49" s="3"/>
      <c r="B49" s="3"/>
      <c r="C49" s="3"/>
      <c r="D49" s="3"/>
      <c r="E49" s="3"/>
      <c r="F49" s="3"/>
      <c r="G49" s="3"/>
      <c r="H49" s="3"/>
      <c r="I49" s="3"/>
      <c r="J49" s="3"/>
      <c r="K49" s="3"/>
      <c r="L49" s="3"/>
      <c r="M49" s="3"/>
      <c r="N49" s="3"/>
      <c r="O49" s="3"/>
      <c r="P49" s="3"/>
    </row>
    <row r="50" spans="1:16" ht="20.100000000000001" customHeight="1" x14ac:dyDescent="0.25">
      <c r="A50" s="3"/>
      <c r="B50" s="3"/>
      <c r="C50" s="3"/>
      <c r="D50" s="3"/>
      <c r="E50" s="3"/>
      <c r="F50" s="3"/>
      <c r="G50" s="3"/>
      <c r="H50" s="3"/>
      <c r="I50" s="3"/>
      <c r="J50" s="3"/>
      <c r="K50" s="3"/>
      <c r="L50" s="3"/>
      <c r="M50" s="3"/>
      <c r="N50" s="3"/>
      <c r="O50" s="3"/>
      <c r="P50" s="3"/>
    </row>
    <row r="51" spans="1:16" ht="20.100000000000001" customHeight="1" x14ac:dyDescent="0.25">
      <c r="A51" s="3"/>
      <c r="B51" s="3"/>
      <c r="C51" s="3"/>
      <c r="D51" s="3"/>
      <c r="E51" s="3"/>
      <c r="F51" s="3"/>
      <c r="G51" s="3"/>
      <c r="H51" s="3"/>
      <c r="I51" s="3"/>
      <c r="J51" s="3"/>
      <c r="K51" s="3"/>
      <c r="L51" s="3"/>
      <c r="M51" s="3"/>
      <c r="N51" s="3"/>
      <c r="O51" s="3"/>
      <c r="P51" s="3"/>
    </row>
    <row r="52" spans="1:16" ht="20.100000000000001" customHeight="1" x14ac:dyDescent="0.25">
      <c r="A52" s="3"/>
      <c r="B52" s="3"/>
      <c r="C52" s="3"/>
      <c r="D52" s="3"/>
      <c r="E52" s="3"/>
      <c r="F52" s="3"/>
      <c r="G52" s="3"/>
      <c r="H52" s="3"/>
      <c r="I52" s="3"/>
      <c r="J52" s="3"/>
      <c r="K52" s="3"/>
      <c r="L52" s="3"/>
      <c r="M52" s="3"/>
      <c r="N52" s="3"/>
      <c r="O52" s="3"/>
      <c r="P52" s="3"/>
    </row>
    <row r="53" spans="1:16" ht="20.100000000000001" customHeight="1" x14ac:dyDescent="0.25">
      <c r="A53" s="3"/>
      <c r="B53" s="3"/>
      <c r="C53" s="3"/>
      <c r="D53" s="3"/>
      <c r="E53" s="3"/>
      <c r="F53" s="3"/>
      <c r="G53" s="3"/>
      <c r="H53" s="3"/>
      <c r="I53" s="3"/>
      <c r="J53" s="3"/>
      <c r="K53" s="3"/>
      <c r="L53" s="3"/>
      <c r="M53" s="3"/>
      <c r="N53" s="3"/>
      <c r="O53" s="3"/>
      <c r="P53" s="3"/>
    </row>
    <row r="54" spans="1:16" ht="20.100000000000001" customHeight="1" x14ac:dyDescent="0.25">
      <c r="A54" s="3"/>
      <c r="B54" s="3"/>
      <c r="C54" s="3"/>
      <c r="D54" s="3"/>
      <c r="E54" s="3"/>
      <c r="F54" s="3"/>
      <c r="G54" s="3"/>
      <c r="H54" s="3"/>
      <c r="I54" s="3"/>
      <c r="J54" s="3"/>
      <c r="K54" s="3"/>
      <c r="L54" s="3"/>
      <c r="M54" s="3"/>
      <c r="N54" s="3"/>
      <c r="O54" s="3"/>
      <c r="P54" s="3"/>
    </row>
    <row r="55" spans="1:16" ht="20.100000000000001" customHeight="1" x14ac:dyDescent="0.25">
      <c r="A55" s="3"/>
      <c r="B55" s="3"/>
      <c r="C55" s="3"/>
      <c r="D55" s="3"/>
      <c r="E55" s="3"/>
      <c r="F55" s="3"/>
      <c r="G55" s="3"/>
      <c r="H55" s="3"/>
      <c r="I55" s="3"/>
      <c r="J55" s="3"/>
      <c r="K55" s="3"/>
      <c r="L55" s="3"/>
      <c r="M55" s="3"/>
      <c r="N55" s="3"/>
      <c r="O55" s="3"/>
      <c r="P55" s="3"/>
    </row>
    <row r="56" spans="1:16" ht="20.100000000000001" customHeight="1" x14ac:dyDescent="0.25">
      <c r="A56" s="3"/>
      <c r="B56" s="3"/>
      <c r="C56" s="3"/>
      <c r="D56" s="3"/>
      <c r="E56" s="3"/>
      <c r="F56" s="3"/>
      <c r="G56" s="3"/>
      <c r="H56" s="3"/>
      <c r="I56" s="3"/>
      <c r="J56" s="3"/>
      <c r="K56" s="3"/>
      <c r="L56" s="3"/>
      <c r="M56" s="3"/>
      <c r="N56" s="3"/>
      <c r="O56" s="3"/>
      <c r="P56" s="3"/>
    </row>
    <row r="57" spans="1:16" ht="20.100000000000001" customHeight="1" x14ac:dyDescent="0.25">
      <c r="A57" s="3"/>
      <c r="B57" s="3"/>
      <c r="C57" s="3"/>
      <c r="D57" s="3"/>
      <c r="E57" s="3"/>
      <c r="F57" s="3"/>
      <c r="G57" s="3"/>
      <c r="H57" s="3"/>
      <c r="I57" s="3"/>
      <c r="J57" s="3"/>
      <c r="K57" s="3"/>
      <c r="L57" s="3"/>
      <c r="M57" s="3"/>
      <c r="N57" s="3"/>
      <c r="O57" s="3"/>
      <c r="P57" s="3"/>
    </row>
    <row r="58" spans="1:16" ht="20.100000000000001" customHeight="1" x14ac:dyDescent="0.25">
      <c r="A58" s="3"/>
      <c r="B58" s="3"/>
      <c r="C58" s="3"/>
      <c r="D58" s="3"/>
      <c r="E58" s="3"/>
      <c r="F58" s="3"/>
      <c r="G58" s="3"/>
      <c r="H58" s="3"/>
      <c r="I58" s="3"/>
      <c r="J58" s="3"/>
      <c r="K58" s="3"/>
      <c r="L58" s="3"/>
      <c r="M58" s="3"/>
      <c r="N58" s="3"/>
      <c r="O58" s="3"/>
      <c r="P58" s="3"/>
    </row>
    <row r="59" spans="1:16" ht="20.100000000000001" customHeight="1" x14ac:dyDescent="0.25">
      <c r="A59" s="3"/>
      <c r="B59" s="3"/>
      <c r="C59" s="3"/>
      <c r="D59" s="3"/>
      <c r="E59" s="3"/>
      <c r="F59" s="3"/>
      <c r="G59" s="3"/>
      <c r="H59" s="3"/>
      <c r="I59" s="3"/>
      <c r="J59" s="3"/>
      <c r="K59" s="3"/>
      <c r="L59" s="3"/>
      <c r="M59" s="3"/>
      <c r="N59" s="3"/>
      <c r="O59" s="3"/>
      <c r="P59" s="3"/>
    </row>
    <row r="60" spans="1:16" ht="20.100000000000001" customHeight="1" x14ac:dyDescent="0.25">
      <c r="A60" s="3"/>
      <c r="B60" s="3"/>
      <c r="C60" s="3"/>
      <c r="D60" s="3"/>
      <c r="E60" s="3"/>
      <c r="F60" s="3"/>
      <c r="G60" s="3"/>
      <c r="H60" s="3"/>
      <c r="I60" s="3"/>
      <c r="J60" s="3"/>
      <c r="K60" s="3"/>
      <c r="L60" s="3"/>
      <c r="M60" s="3"/>
      <c r="N60" s="3"/>
      <c r="O60" s="3"/>
      <c r="P60" s="3"/>
    </row>
    <row r="61" spans="1:16" ht="20.100000000000001" customHeight="1" x14ac:dyDescent="0.25">
      <c r="A61" s="3"/>
      <c r="B61" s="3"/>
      <c r="C61" s="3"/>
      <c r="D61" s="3"/>
      <c r="E61" s="3"/>
      <c r="F61" s="3"/>
      <c r="G61" s="3"/>
      <c r="H61" s="3"/>
      <c r="I61" s="3"/>
      <c r="J61" s="3"/>
      <c r="K61" s="3"/>
      <c r="L61" s="3"/>
      <c r="M61" s="3"/>
      <c r="N61" s="3"/>
      <c r="O61" s="3"/>
      <c r="P61" s="3"/>
    </row>
    <row r="62" spans="1:16" ht="20.100000000000001" customHeight="1" x14ac:dyDescent="0.25">
      <c r="A62" s="3"/>
      <c r="B62" s="3"/>
      <c r="C62" s="3"/>
      <c r="D62" s="3"/>
      <c r="E62" s="3"/>
      <c r="F62" s="3"/>
      <c r="G62" s="3"/>
      <c r="H62" s="3"/>
      <c r="I62" s="3"/>
      <c r="J62" s="3"/>
      <c r="K62" s="3"/>
      <c r="L62" s="3"/>
      <c r="M62" s="3"/>
      <c r="N62" s="3"/>
      <c r="O62" s="3"/>
      <c r="P62" s="3"/>
    </row>
    <row r="63" spans="1:16" ht="20.100000000000001" customHeight="1" x14ac:dyDescent="0.25">
      <c r="A63" s="3"/>
      <c r="B63" s="3"/>
      <c r="C63" s="3"/>
      <c r="D63" s="3"/>
      <c r="E63" s="3"/>
      <c r="F63" s="3"/>
      <c r="G63" s="3"/>
      <c r="H63" s="3"/>
      <c r="I63" s="3"/>
      <c r="J63" s="3"/>
      <c r="K63" s="3"/>
      <c r="L63" s="3"/>
      <c r="M63" s="3"/>
      <c r="N63" s="3"/>
      <c r="O63" s="3"/>
      <c r="P63" s="3"/>
    </row>
    <row r="64" spans="1:16" ht="20.100000000000001" customHeight="1" x14ac:dyDescent="0.25">
      <c r="A64" s="3"/>
      <c r="B64" s="3"/>
      <c r="C64" s="3"/>
      <c r="D64" s="3"/>
      <c r="E64" s="3"/>
      <c r="F64" s="3"/>
      <c r="G64" s="3"/>
      <c r="H64" s="3"/>
      <c r="I64" s="3"/>
      <c r="J64" s="3"/>
      <c r="K64" s="3"/>
      <c r="L64" s="3"/>
      <c r="M64" s="3"/>
      <c r="N64" s="3"/>
      <c r="O64" s="3"/>
      <c r="P64" s="3"/>
    </row>
    <row r="65" spans="1:16" ht="20.100000000000001" customHeight="1" x14ac:dyDescent="0.25">
      <c r="A65" s="3"/>
      <c r="B65" s="3"/>
      <c r="C65" s="3"/>
      <c r="D65" s="3"/>
      <c r="E65" s="3"/>
      <c r="F65" s="3"/>
      <c r="G65" s="3"/>
      <c r="H65" s="3"/>
      <c r="I65" s="3"/>
      <c r="J65" s="3"/>
      <c r="K65" s="3"/>
      <c r="L65" s="3"/>
      <c r="M65" s="3"/>
      <c r="N65" s="3"/>
      <c r="O65" s="3"/>
      <c r="P65" s="3"/>
    </row>
    <row r="66" spans="1:16" ht="20.100000000000001" customHeight="1" x14ac:dyDescent="0.25">
      <c r="A66" s="3"/>
      <c r="B66" s="3"/>
      <c r="C66" s="3"/>
      <c r="D66" s="3"/>
      <c r="E66" s="3"/>
      <c r="F66" s="3"/>
      <c r="G66" s="3"/>
      <c r="H66" s="3"/>
      <c r="I66" s="3"/>
      <c r="J66" s="3"/>
      <c r="K66" s="3"/>
      <c r="L66" s="3"/>
      <c r="M66" s="3"/>
      <c r="N66" s="3"/>
      <c r="O66" s="3"/>
      <c r="P66" s="3"/>
    </row>
    <row r="67" spans="1:16" ht="20.100000000000001" customHeight="1" x14ac:dyDescent="0.25">
      <c r="A67" s="3"/>
      <c r="B67" s="3"/>
      <c r="C67" s="3"/>
      <c r="D67" s="3"/>
      <c r="E67" s="3"/>
      <c r="F67" s="3"/>
      <c r="G67" s="3"/>
      <c r="H67" s="3"/>
      <c r="I67" s="3"/>
      <c r="J67" s="3"/>
      <c r="K67" s="3"/>
      <c r="L67" s="3"/>
      <c r="M67" s="3"/>
      <c r="N67" s="3"/>
      <c r="O67" s="3"/>
      <c r="P67" s="3"/>
    </row>
    <row r="68" spans="1:16" ht="20.100000000000001" customHeight="1" x14ac:dyDescent="0.25">
      <c r="A68" s="3"/>
      <c r="B68" s="3"/>
      <c r="C68" s="3"/>
      <c r="D68" s="3"/>
      <c r="E68" s="3"/>
      <c r="F68" s="3"/>
      <c r="G68" s="3"/>
      <c r="H68" s="3"/>
      <c r="I68" s="3"/>
      <c r="J68" s="3"/>
      <c r="K68" s="3"/>
      <c r="L68" s="3"/>
      <c r="M68" s="3"/>
      <c r="N68" s="3"/>
      <c r="O68" s="3"/>
      <c r="P68" s="3"/>
    </row>
    <row r="69" spans="1:16" ht="20.100000000000001" customHeight="1" x14ac:dyDescent="0.25">
      <c r="A69" s="3"/>
      <c r="B69" s="3"/>
      <c r="C69" s="3"/>
      <c r="D69" s="3"/>
      <c r="E69" s="3"/>
      <c r="F69" s="3"/>
      <c r="G69" s="3"/>
      <c r="H69" s="3"/>
      <c r="I69" s="3"/>
      <c r="J69" s="3"/>
      <c r="K69" s="3"/>
      <c r="L69" s="3"/>
      <c r="M69" s="3"/>
      <c r="N69" s="3"/>
      <c r="O69" s="3"/>
      <c r="P69" s="3"/>
    </row>
    <row r="70" spans="1:16" ht="20.100000000000001" customHeight="1" x14ac:dyDescent="0.25">
      <c r="A70" s="3"/>
      <c r="B70" s="3"/>
      <c r="C70" s="3"/>
      <c r="D70" s="3"/>
      <c r="E70" s="3"/>
      <c r="F70" s="3"/>
      <c r="G70" s="3"/>
      <c r="H70" s="3"/>
      <c r="I70" s="3"/>
      <c r="J70" s="3"/>
      <c r="K70" s="3"/>
      <c r="L70" s="3"/>
      <c r="M70" s="3"/>
      <c r="N70" s="3"/>
      <c r="O70" s="3"/>
      <c r="P70" s="3"/>
    </row>
    <row r="71" spans="1:16" ht="20.100000000000001" customHeight="1" x14ac:dyDescent="0.25">
      <c r="A71" s="3"/>
      <c r="B71" s="3"/>
      <c r="C71" s="3"/>
      <c r="D71" s="3"/>
      <c r="E71" s="3"/>
      <c r="F71" s="3"/>
      <c r="G71" s="3"/>
      <c r="H71" s="3"/>
      <c r="I71" s="3"/>
      <c r="J71" s="3"/>
      <c r="K71" s="3"/>
      <c r="L71" s="3"/>
      <c r="M71" s="3"/>
      <c r="N71" s="3"/>
      <c r="O71" s="3"/>
      <c r="P71" s="3"/>
    </row>
    <row r="72" spans="1:16" ht="20.100000000000001" customHeight="1" x14ac:dyDescent="0.25">
      <c r="A72" s="3"/>
      <c r="B72" s="3"/>
      <c r="C72" s="3"/>
      <c r="D72" s="3"/>
      <c r="E72" s="3"/>
      <c r="F72" s="3"/>
      <c r="G72" s="3"/>
      <c r="H72" s="3"/>
      <c r="I72" s="3"/>
      <c r="J72" s="3"/>
      <c r="K72" s="3"/>
      <c r="L72" s="3"/>
      <c r="M72" s="3"/>
      <c r="N72" s="3"/>
      <c r="O72" s="3"/>
      <c r="P72" s="3"/>
    </row>
    <row r="73" spans="1:16" ht="20.100000000000001" customHeight="1" x14ac:dyDescent="0.25">
      <c r="A73" s="3"/>
      <c r="B73" s="3"/>
      <c r="C73" s="3"/>
      <c r="D73" s="3"/>
      <c r="E73" s="3"/>
      <c r="F73" s="3"/>
      <c r="G73" s="3"/>
      <c r="H73" s="3"/>
      <c r="I73" s="3"/>
      <c r="J73" s="3"/>
      <c r="K73" s="3" t="s">
        <v>369</v>
      </c>
      <c r="L73" s="3" t="s">
        <v>341</v>
      </c>
      <c r="M73" s="3"/>
      <c r="N73" s="3"/>
      <c r="O73" s="3"/>
      <c r="P73" s="3"/>
    </row>
    <row r="74" spans="1:16" ht="20.100000000000001" customHeight="1" x14ac:dyDescent="0.25">
      <c r="A74" s="3"/>
      <c r="B74" s="3"/>
      <c r="C74" s="3"/>
      <c r="D74" s="3"/>
      <c r="E74" s="3"/>
      <c r="F74" s="3"/>
      <c r="G74" s="3"/>
      <c r="H74" s="3"/>
      <c r="I74" s="3"/>
      <c r="J74" s="3" t="s">
        <v>334</v>
      </c>
      <c r="K74" s="24">
        <f>SUM(KalkylStart[[#All],[20% HVO
kg CO2e]])/1000</f>
        <v>0</v>
      </c>
      <c r="L74" s="24">
        <f>SUM(KalkylStart[[#All],[100% HVO
kg CO2e]])/1000</f>
        <v>0</v>
      </c>
      <c r="M74" s="3"/>
      <c r="N74" s="3"/>
      <c r="O74" s="3"/>
      <c r="P74" s="3"/>
    </row>
    <row r="75" spans="1:16" ht="20.100000000000001" customHeight="1" x14ac:dyDescent="0.25">
      <c r="A75" s="3"/>
      <c r="B75" s="3"/>
      <c r="C75" s="3"/>
      <c r="D75" s="3"/>
      <c r="E75" s="3"/>
      <c r="F75" s="3"/>
      <c r="G75" s="3"/>
      <c r="H75" s="3"/>
      <c r="I75" s="3"/>
      <c r="J75" s="3" t="s">
        <v>335</v>
      </c>
      <c r="K75" s="24">
        <f>SUM(KalkylSlut[[#All],[20% HVO
kg CO2e]])/1000</f>
        <v>0</v>
      </c>
      <c r="L75" s="24">
        <f>SUM(KalkylSlut[[#All],[100% HVO
kg CO2e]])/1000</f>
        <v>0</v>
      </c>
      <c r="M75" s="3"/>
      <c r="N75" s="3"/>
      <c r="O75" s="3"/>
      <c r="P75" s="3"/>
    </row>
    <row r="76" spans="1:16" ht="20.100000000000001" customHeight="1" x14ac:dyDescent="0.25">
      <c r="A76" s="3"/>
      <c r="B76" s="3"/>
      <c r="C76" s="3"/>
      <c r="D76" s="3"/>
      <c r="E76" s="3"/>
      <c r="F76" s="3"/>
      <c r="G76" s="3"/>
      <c r="H76" s="3"/>
      <c r="I76" s="3"/>
      <c r="J76" s="3"/>
      <c r="K76" s="3"/>
      <c r="L76" s="3"/>
      <c r="M76" s="3"/>
      <c r="N76" s="3"/>
      <c r="O76" s="3"/>
      <c r="P76" s="3"/>
    </row>
    <row r="77" spans="1:16" ht="20.100000000000001" customHeight="1" x14ac:dyDescent="0.25">
      <c r="A77" s="3"/>
      <c r="B77" s="3"/>
      <c r="C77" s="3"/>
      <c r="D77" s="3"/>
      <c r="E77" s="3"/>
      <c r="F77" s="3"/>
      <c r="G77" s="3"/>
      <c r="H77" s="3"/>
      <c r="I77" s="3"/>
      <c r="J77" s="3"/>
      <c r="K77" s="3"/>
      <c r="L77" s="3"/>
      <c r="M77" s="3"/>
      <c r="N77" s="3"/>
      <c r="O77" s="3"/>
      <c r="P77" s="3"/>
    </row>
    <row r="78" spans="1:16" ht="20.100000000000001" customHeight="1" x14ac:dyDescent="0.25">
      <c r="A78" s="3"/>
      <c r="B78" s="3"/>
      <c r="C78" s="3"/>
      <c r="D78" s="3"/>
      <c r="E78" s="3"/>
      <c r="F78" s="3"/>
      <c r="G78" s="3"/>
      <c r="H78" s="3"/>
      <c r="I78" s="3"/>
      <c r="J78" s="3"/>
      <c r="K78" s="3"/>
      <c r="L78" s="3"/>
      <c r="M78" s="3"/>
      <c r="N78" s="3"/>
      <c r="O78" s="3"/>
      <c r="P78" s="3"/>
    </row>
    <row r="79" spans="1:16" ht="20.100000000000001" customHeight="1" x14ac:dyDescent="0.25">
      <c r="A79" s="3"/>
      <c r="B79" s="3"/>
      <c r="C79" s="3"/>
      <c r="D79" s="3"/>
      <c r="E79" s="3"/>
      <c r="F79" s="3"/>
      <c r="G79" s="3"/>
      <c r="H79" s="3"/>
      <c r="I79" s="3"/>
      <c r="J79" s="3"/>
      <c r="K79" s="3"/>
      <c r="L79" s="3"/>
      <c r="M79" s="3"/>
      <c r="N79" s="3"/>
      <c r="O79" s="3"/>
      <c r="P79" s="3"/>
    </row>
    <row r="80" spans="1:16" ht="20.100000000000001" customHeight="1" x14ac:dyDescent="0.25">
      <c r="A80" s="3"/>
      <c r="B80" s="3"/>
      <c r="C80" s="3"/>
      <c r="D80" s="3"/>
      <c r="E80" s="3"/>
      <c r="F80" s="3"/>
      <c r="G80" s="3"/>
      <c r="H80" s="3"/>
      <c r="I80" s="3"/>
      <c r="J80" s="3"/>
      <c r="K80" s="3"/>
      <c r="L80" s="3"/>
      <c r="M80" s="3"/>
      <c r="N80" s="3"/>
      <c r="O80" s="3"/>
      <c r="P80" s="3"/>
    </row>
    <row r="81" spans="1:16" ht="20.100000000000001" customHeight="1" x14ac:dyDescent="0.25">
      <c r="A81" s="3"/>
      <c r="B81" s="3"/>
      <c r="C81" s="3"/>
      <c r="D81" s="3"/>
      <c r="E81" s="3"/>
      <c r="F81" s="3"/>
      <c r="G81" s="3"/>
      <c r="H81" s="3"/>
      <c r="I81" s="3"/>
      <c r="J81" s="3"/>
      <c r="K81" s="3"/>
      <c r="L81" s="3"/>
      <c r="M81" s="3"/>
      <c r="N81" s="3"/>
      <c r="O81" s="3"/>
      <c r="P81" s="3"/>
    </row>
    <row r="82" spans="1:16" ht="20.100000000000001" customHeight="1" x14ac:dyDescent="0.25">
      <c r="A82" s="3"/>
      <c r="B82" s="3"/>
      <c r="C82" s="3"/>
      <c r="D82" s="3"/>
      <c r="E82" s="3"/>
      <c r="F82" s="3"/>
      <c r="G82" s="3"/>
      <c r="H82" s="3"/>
      <c r="I82" s="3"/>
      <c r="J82" s="3"/>
      <c r="K82" s="3"/>
      <c r="L82" s="3"/>
      <c r="M82" s="3"/>
      <c r="N82" s="3"/>
      <c r="O82" s="3"/>
      <c r="P82" s="3"/>
    </row>
    <row r="83" spans="1:16" ht="20.100000000000001" customHeight="1" x14ac:dyDescent="0.25">
      <c r="A83" s="3"/>
      <c r="B83" s="3"/>
      <c r="C83" s="3"/>
      <c r="D83" s="3"/>
      <c r="E83" s="3"/>
      <c r="F83" s="3"/>
      <c r="G83" s="3"/>
      <c r="H83" s="3"/>
      <c r="I83" s="3"/>
      <c r="J83" s="3"/>
      <c r="K83" s="3"/>
      <c r="L83" s="3"/>
      <c r="M83" s="3"/>
      <c r="N83" s="3"/>
      <c r="O83" s="3"/>
      <c r="P83" s="3"/>
    </row>
    <row r="84" spans="1:16" ht="20.100000000000001" customHeight="1" x14ac:dyDescent="0.25">
      <c r="A84" s="3"/>
      <c r="B84" s="3"/>
      <c r="C84" s="3"/>
      <c r="D84" s="3"/>
      <c r="E84" s="3"/>
      <c r="F84" s="3"/>
      <c r="G84" s="3"/>
      <c r="H84" s="3"/>
      <c r="I84" s="3"/>
      <c r="J84" s="3"/>
      <c r="K84" s="3"/>
      <c r="L84" s="3"/>
      <c r="M84" s="3"/>
      <c r="N84" s="3"/>
      <c r="O84" s="3"/>
      <c r="P84" s="3"/>
    </row>
    <row r="85" spans="1:16" s="127" customFormat="1" ht="20.100000000000001" customHeight="1" x14ac:dyDescent="0.25"/>
    <row r="86" spans="1:16" ht="20.100000000000001" customHeight="1" x14ac:dyDescent="0.25">
      <c r="A86" s="127"/>
      <c r="B86" s="127"/>
      <c r="C86" s="127"/>
      <c r="D86" s="127"/>
      <c r="E86" s="127"/>
      <c r="F86" s="127"/>
      <c r="G86" s="127"/>
      <c r="H86" s="127"/>
      <c r="I86" s="127"/>
      <c r="J86" s="127"/>
      <c r="K86" s="127"/>
      <c r="L86" s="127"/>
      <c r="M86" s="127"/>
      <c r="N86" s="127"/>
      <c r="O86" s="127"/>
      <c r="P86" s="127"/>
    </row>
    <row r="87" spans="1:16" ht="20.100000000000001" customHeight="1" x14ac:dyDescent="0.25">
      <c r="A87" s="127"/>
      <c r="B87" s="127"/>
      <c r="C87" s="127"/>
      <c r="D87" s="127"/>
      <c r="E87" s="127"/>
      <c r="F87" s="127"/>
      <c r="G87" s="127"/>
      <c r="H87" s="127"/>
      <c r="I87" s="127"/>
      <c r="J87" s="127"/>
      <c r="K87" s="127"/>
      <c r="L87" s="127"/>
      <c r="M87" s="127"/>
      <c r="N87" s="127"/>
      <c r="O87" s="127"/>
      <c r="P87" s="127"/>
    </row>
    <row r="88" spans="1:16" ht="20.100000000000001" customHeight="1" x14ac:dyDescent="0.25">
      <c r="A88" s="127"/>
      <c r="B88" s="127"/>
      <c r="C88" s="127"/>
      <c r="D88" s="127"/>
      <c r="E88" s="127"/>
      <c r="F88" s="127"/>
      <c r="G88" s="127"/>
      <c r="H88" s="127"/>
      <c r="I88" s="127"/>
      <c r="J88" s="127"/>
      <c r="K88" s="127"/>
      <c r="L88" s="127"/>
      <c r="M88" s="127"/>
      <c r="N88" s="127"/>
      <c r="O88" s="127"/>
      <c r="P88" s="127"/>
    </row>
    <row r="89" spans="1:16" ht="20.100000000000001" customHeight="1" x14ac:dyDescent="0.25">
      <c r="A89" s="127"/>
      <c r="B89" s="127"/>
      <c r="C89" s="127"/>
      <c r="D89" s="127"/>
      <c r="E89" s="127"/>
      <c r="F89" s="127"/>
      <c r="G89" s="127"/>
      <c r="H89" s="127"/>
      <c r="I89" s="127"/>
      <c r="J89" s="127"/>
      <c r="K89" s="127"/>
      <c r="L89" s="127"/>
      <c r="M89" s="127"/>
      <c r="N89" s="127"/>
      <c r="O89" s="127"/>
      <c r="P89" s="127"/>
    </row>
    <row r="90" spans="1:16" ht="20.100000000000001" customHeight="1" x14ac:dyDescent="0.25">
      <c r="A90" s="127"/>
      <c r="B90" s="127"/>
      <c r="C90" s="127"/>
      <c r="D90" s="127"/>
      <c r="E90" s="127"/>
      <c r="F90" s="127"/>
      <c r="G90" s="127"/>
      <c r="H90" s="127"/>
      <c r="I90" s="127"/>
      <c r="J90" s="127"/>
      <c r="K90" s="127"/>
      <c r="L90" s="127"/>
      <c r="M90" s="127"/>
      <c r="N90" s="127"/>
      <c r="O90" s="127"/>
      <c r="P90" s="127"/>
    </row>
  </sheetData>
  <sheetProtection algorithmName="SHA-512" hashValue="fE0Ejw25GYy/Wfg7ST5YsRISAI85FtWZf7kIkq61x9IFYXi6z8WSSqnz1xXb4WoW8CSWxBzMCPtOwuyVCvYl8w==" saltValue="6u1y23MGtUjSxzf3EaxLVA==" spinCount="100000" sheet="1" objects="1" scenarios="1"/>
  <mergeCells count="4">
    <mergeCell ref="F8:G8"/>
    <mergeCell ref="H8:I8"/>
    <mergeCell ref="J8:K8"/>
    <mergeCell ref="L8:M8"/>
  </mergeCells>
  <phoneticPr fontId="4" type="noConversion"/>
  <conditionalFormatting sqref="E25:E32">
    <cfRule type="cellIs" dxfId="34" priority="13" operator="greaterThan">
      <formula>0</formula>
    </cfRule>
    <cfRule type="cellIs" dxfId="33" priority="14" operator="lessThan">
      <formula>0</formula>
    </cfRule>
  </conditionalFormatting>
  <pageMargins left="0.70866141732283472" right="0.70866141732283472" top="0.74803149606299213" bottom="0.74803149606299213" header="0.31496062992125984" footer="0.31496062992125984"/>
  <pageSetup paperSize="9" scale="4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6C878-FAF1-4121-BE93-0E02AB91B5D0}">
  <sheetPr codeName="Sheet8">
    <pageSetUpPr fitToPage="1"/>
  </sheetPr>
  <dimension ref="A1:AI116"/>
  <sheetViews>
    <sheetView showRowColHeaders="0" zoomScaleNormal="100" workbookViewId="0">
      <selection activeCell="B5" sqref="B5"/>
    </sheetView>
  </sheetViews>
  <sheetFormatPr defaultColWidth="0" defaultRowHeight="0" customHeight="1" zeroHeight="1" x14ac:dyDescent="0.25"/>
  <cols>
    <col min="1" max="1" width="5.7109375" style="18" customWidth="1"/>
    <col min="2" max="2" width="21.7109375" style="18" customWidth="1"/>
    <col min="3" max="3" width="71.85546875" bestFit="1" customWidth="1"/>
    <col min="4" max="9" width="15.7109375" style="18" customWidth="1"/>
    <col min="10" max="11" width="15.7109375" customWidth="1"/>
    <col min="12" max="12" width="15.7109375" style="18" customWidth="1"/>
    <col min="13" max="13" width="32.42578125" style="18" customWidth="1"/>
    <col min="14" max="14" width="20.7109375" style="18" hidden="1" customWidth="1"/>
    <col min="15" max="16" width="20.7109375" style="142" hidden="1" customWidth="1"/>
    <col min="17" max="17" width="20.7109375" style="18" hidden="1" customWidth="1"/>
    <col min="18" max="25" width="12.7109375" style="18" hidden="1" customWidth="1"/>
    <col min="26" max="26" width="12.7109375" style="18" customWidth="1"/>
    <col min="27" max="27" width="14.7109375" style="18" bestFit="1" customWidth="1"/>
    <col min="28" max="28" width="14.7109375" style="18" customWidth="1"/>
    <col min="29" max="29" width="15.7109375" style="18" customWidth="1"/>
    <col min="30" max="30" width="5.7109375" style="18" customWidth="1"/>
    <col min="31" max="31" width="15.7109375" style="18" customWidth="1"/>
    <col min="32" max="34" width="12.7109375" style="18" customWidth="1"/>
    <col min="35" max="35" width="5.7109375" style="18" customWidth="1"/>
    <col min="36" max="16384" width="9.140625" style="18" hidden="1"/>
  </cols>
  <sheetData>
    <row r="1" spans="1:35" ht="20.100000000000001" customHeight="1" x14ac:dyDescent="0.25">
      <c r="A1" s="144"/>
      <c r="B1" s="4"/>
      <c r="C1" s="4"/>
      <c r="D1" s="4"/>
      <c r="E1" s="4"/>
      <c r="F1" s="4"/>
      <c r="G1" s="4"/>
      <c r="H1" s="4"/>
      <c r="I1" s="4"/>
      <c r="J1" s="4"/>
      <c r="K1" s="4"/>
      <c r="L1" s="4"/>
      <c r="M1" s="4"/>
      <c r="N1" s="4"/>
      <c r="O1" s="4"/>
      <c r="P1" s="4"/>
      <c r="Q1" s="4"/>
      <c r="R1" s="4"/>
      <c r="S1" s="4"/>
      <c r="T1" s="4"/>
      <c r="U1" s="4"/>
      <c r="V1" s="4"/>
      <c r="W1" s="4"/>
      <c r="X1" s="4"/>
      <c r="Y1" s="4"/>
      <c r="Z1" s="4"/>
      <c r="AA1" s="4"/>
      <c r="AB1" s="4"/>
      <c r="AC1" s="4"/>
      <c r="AD1" s="144"/>
      <c r="AE1" s="144"/>
      <c r="AF1" s="144"/>
      <c r="AG1" s="144"/>
      <c r="AH1" s="144"/>
      <c r="AI1" s="144"/>
    </row>
    <row r="2" spans="1:35" ht="45" customHeight="1" x14ac:dyDescent="0.5">
      <c r="A2" s="29"/>
      <c r="B2" s="29"/>
      <c r="C2" s="37" t="s">
        <v>253</v>
      </c>
      <c r="D2" s="29"/>
      <c r="E2" s="29"/>
      <c r="F2" s="29"/>
      <c r="G2" s="29"/>
      <c r="H2" s="29"/>
      <c r="I2" s="29"/>
      <c r="J2" s="29"/>
      <c r="K2" s="29"/>
      <c r="L2" s="61"/>
      <c r="M2" s="99"/>
      <c r="N2" s="29"/>
      <c r="O2" s="29"/>
      <c r="P2" s="29"/>
      <c r="Q2" s="29"/>
      <c r="R2" s="29"/>
      <c r="S2" s="29"/>
      <c r="T2" s="29"/>
      <c r="U2" s="29"/>
      <c r="V2" s="29"/>
      <c r="W2" s="29"/>
      <c r="X2" s="29"/>
      <c r="Y2" s="29"/>
      <c r="Z2" s="29"/>
      <c r="AA2" s="29"/>
      <c r="AB2" s="29"/>
      <c r="AC2" s="29"/>
      <c r="AD2" s="29"/>
      <c r="AE2" s="29"/>
      <c r="AF2" s="29"/>
      <c r="AG2" s="29"/>
      <c r="AH2" s="29"/>
    </row>
    <row r="3" spans="1:35" ht="20.100000000000001" customHeight="1" x14ac:dyDescent="0.25">
      <c r="A3" s="144"/>
      <c r="B3" s="4"/>
      <c r="C3" s="4"/>
      <c r="D3" s="4"/>
      <c r="E3" s="4"/>
      <c r="F3" s="4"/>
      <c r="G3" s="4"/>
      <c r="H3" s="4"/>
      <c r="I3" s="4"/>
      <c r="J3" s="4"/>
      <c r="K3" s="4"/>
      <c r="L3" s="4"/>
      <c r="M3" s="4"/>
      <c r="N3" s="4"/>
      <c r="O3" s="4"/>
      <c r="P3" s="4"/>
      <c r="Q3" s="4"/>
      <c r="R3" s="4"/>
      <c r="S3" s="4"/>
      <c r="T3" s="4"/>
      <c r="U3" s="4"/>
      <c r="V3" s="4"/>
      <c r="W3" s="4"/>
      <c r="X3" s="4"/>
      <c r="Y3" s="4"/>
      <c r="Z3" s="4"/>
      <c r="AA3" s="4"/>
      <c r="AB3" s="4"/>
      <c r="AC3" s="4"/>
      <c r="AD3" s="144"/>
      <c r="AE3" s="144"/>
      <c r="AF3" s="144"/>
      <c r="AG3" s="144"/>
      <c r="AH3" s="144"/>
      <c r="AI3" s="144"/>
    </row>
    <row r="4" spans="1:35" ht="45" customHeight="1" thickBot="1" x14ac:dyDescent="0.25">
      <c r="A4" s="144"/>
      <c r="B4" s="16" t="s">
        <v>13</v>
      </c>
      <c r="C4" s="17" t="s">
        <v>15</v>
      </c>
      <c r="D4" s="17" t="s">
        <v>14</v>
      </c>
      <c r="E4" s="28" t="s">
        <v>375</v>
      </c>
      <c r="F4" s="17" t="s">
        <v>0</v>
      </c>
      <c r="G4" s="28" t="s">
        <v>373</v>
      </c>
      <c r="H4" s="28" t="s">
        <v>374</v>
      </c>
      <c r="I4" s="28" t="s">
        <v>66</v>
      </c>
      <c r="J4" s="17" t="s">
        <v>99</v>
      </c>
      <c r="K4" s="60" t="s">
        <v>100</v>
      </c>
      <c r="L4" s="60" t="s">
        <v>98</v>
      </c>
      <c r="M4" s="95" t="s">
        <v>16</v>
      </c>
      <c r="N4" s="16" t="s">
        <v>182</v>
      </c>
      <c r="O4" s="17" t="s">
        <v>183</v>
      </c>
      <c r="P4" s="17" t="s">
        <v>184</v>
      </c>
      <c r="Q4" s="98" t="s">
        <v>185</v>
      </c>
      <c r="R4" s="16" t="s">
        <v>186</v>
      </c>
      <c r="S4" s="17" t="s">
        <v>187</v>
      </c>
      <c r="T4" s="17" t="s">
        <v>188</v>
      </c>
      <c r="U4" s="98" t="s">
        <v>189</v>
      </c>
      <c r="V4" s="16" t="s">
        <v>190</v>
      </c>
      <c r="W4" s="17" t="s">
        <v>191</v>
      </c>
      <c r="X4" s="17" t="s">
        <v>192</v>
      </c>
      <c r="Y4" s="98" t="s">
        <v>193</v>
      </c>
      <c r="Z4" s="16" t="s">
        <v>425</v>
      </c>
      <c r="AA4" s="98" t="s">
        <v>426</v>
      </c>
      <c r="AB4" s="16" t="s">
        <v>194</v>
      </c>
      <c r="AC4" s="17" t="s">
        <v>195</v>
      </c>
      <c r="AD4" s="144"/>
      <c r="AE4" s="190"/>
      <c r="AF4" s="189" t="s">
        <v>377</v>
      </c>
      <c r="AG4" s="188"/>
      <c r="AH4" s="144"/>
      <c r="AI4" s="144"/>
    </row>
    <row r="5" spans="1:35" ht="15" customHeight="1" x14ac:dyDescent="0.2">
      <c r="A5" s="144"/>
      <c r="B5" s="73">
        <v>1</v>
      </c>
      <c r="C5" s="62" t="s">
        <v>261</v>
      </c>
      <c r="D5" s="62" t="s">
        <v>6</v>
      </c>
      <c r="E5" s="77">
        <v>2243</v>
      </c>
      <c r="F5" s="62" t="s">
        <v>111</v>
      </c>
      <c r="G5" s="100">
        <v>4.9000000000000002E-2</v>
      </c>
      <c r="H5" s="100">
        <v>2.5999999999999999E-2</v>
      </c>
      <c r="I5" s="63" t="s">
        <v>33</v>
      </c>
      <c r="J5" s="62" t="s">
        <v>61</v>
      </c>
      <c r="K5" s="63" t="s">
        <v>86</v>
      </c>
      <c r="L5" s="62" t="s">
        <v>133</v>
      </c>
      <c r="M5" s="96"/>
      <c r="N5" s="85" t="s">
        <v>197</v>
      </c>
      <c r="O5" s="85"/>
      <c r="P5" s="85"/>
      <c r="Q5" s="86"/>
      <c r="R5" s="87">
        <v>50</v>
      </c>
      <c r="S5" s="87">
        <v>0</v>
      </c>
      <c r="T5" s="87">
        <v>0</v>
      </c>
      <c r="U5" s="88">
        <v>0</v>
      </c>
      <c r="V5" s="89">
        <v>1.5</v>
      </c>
      <c r="W5" s="89">
        <v>0</v>
      </c>
      <c r="X5" s="89">
        <v>0</v>
      </c>
      <c r="Y5" s="90">
        <v>0</v>
      </c>
      <c r="Z5" s="87">
        <f>SUM(R5:U5)</f>
        <v>50</v>
      </c>
      <c r="AA5" s="90">
        <f>IFERROR(((R5*V5)+(S5*W5)+(T5*X5)+(U5*Y5))/Materialtabell[[#This Row],[Transport 
km]],0)</f>
        <v>1.5</v>
      </c>
      <c r="AB5" s="62" t="s">
        <v>198</v>
      </c>
      <c r="AC5" s="62" t="s">
        <v>199</v>
      </c>
      <c r="AD5" s="144"/>
      <c r="AE5" s="191" t="s">
        <v>249</v>
      </c>
      <c r="AF5" s="192">
        <v>7.9280000000000003E-2</v>
      </c>
      <c r="AG5" s="191" t="s">
        <v>376</v>
      </c>
      <c r="AH5" s="144"/>
      <c r="AI5" s="144"/>
    </row>
    <row r="6" spans="1:35" ht="15" customHeight="1" x14ac:dyDescent="0.2">
      <c r="A6" s="144"/>
      <c r="B6" s="73">
        <v>2</v>
      </c>
      <c r="C6" s="62" t="s">
        <v>262</v>
      </c>
      <c r="D6" s="62" t="s">
        <v>6</v>
      </c>
      <c r="E6" s="77">
        <v>2243</v>
      </c>
      <c r="F6" s="62" t="s">
        <v>111</v>
      </c>
      <c r="G6" s="100">
        <v>2.5999999999999999E-2</v>
      </c>
      <c r="H6" s="100">
        <v>2.1999999999999999E-2</v>
      </c>
      <c r="I6" s="62" t="s">
        <v>79</v>
      </c>
      <c r="J6" s="62" t="s">
        <v>61</v>
      </c>
      <c r="K6" s="62" t="s">
        <v>79</v>
      </c>
      <c r="L6" s="62" t="s">
        <v>133</v>
      </c>
      <c r="M6" s="96"/>
      <c r="N6" s="85" t="s">
        <v>197</v>
      </c>
      <c r="O6" s="85"/>
      <c r="P6" s="85"/>
      <c r="Q6" s="86"/>
      <c r="R6" s="87">
        <v>50</v>
      </c>
      <c r="S6" s="87">
        <v>0</v>
      </c>
      <c r="T6" s="87">
        <v>0</v>
      </c>
      <c r="U6" s="88">
        <v>0</v>
      </c>
      <c r="V6" s="89">
        <v>1.5</v>
      </c>
      <c r="W6" s="89">
        <v>0</v>
      </c>
      <c r="X6" s="89">
        <v>0</v>
      </c>
      <c r="Y6" s="90">
        <v>0</v>
      </c>
      <c r="Z6" s="87">
        <f t="shared" ref="Z6:Z75" si="0">SUM(R6:U6)</f>
        <v>50</v>
      </c>
      <c r="AA6" s="90">
        <f>IFERROR(((R6*V6)+(S6*W6)+(T6*X6)+(U6*Y6))/Materialtabell[[#This Row],[Transport 
km]],0)</f>
        <v>1.5</v>
      </c>
      <c r="AB6" s="62" t="s">
        <v>198</v>
      </c>
      <c r="AC6" s="62"/>
      <c r="AD6" s="144"/>
      <c r="AE6" s="75" t="s">
        <v>250</v>
      </c>
      <c r="AF6" s="193">
        <v>1.6E-2</v>
      </c>
      <c r="AG6" s="75" t="s">
        <v>376</v>
      </c>
      <c r="AH6" s="144"/>
      <c r="AI6" s="144"/>
    </row>
    <row r="7" spans="1:35" ht="15" customHeight="1" x14ac:dyDescent="0.2">
      <c r="A7" s="144"/>
      <c r="B7" s="73">
        <v>3</v>
      </c>
      <c r="C7" s="62" t="s">
        <v>263</v>
      </c>
      <c r="D7" s="62" t="s">
        <v>6</v>
      </c>
      <c r="E7" s="156" t="s">
        <v>353</v>
      </c>
      <c r="F7" s="155" t="s">
        <v>353</v>
      </c>
      <c r="G7" s="100">
        <v>0.21299999999999999</v>
      </c>
      <c r="H7" s="100">
        <v>0.21299999999999999</v>
      </c>
      <c r="I7" s="63" t="s">
        <v>17</v>
      </c>
      <c r="J7" s="62" t="s">
        <v>61</v>
      </c>
      <c r="K7" s="63" t="s">
        <v>17</v>
      </c>
      <c r="L7" s="62" t="s">
        <v>62</v>
      </c>
      <c r="M7" s="96"/>
      <c r="N7" s="85" t="s">
        <v>201</v>
      </c>
      <c r="O7" s="85" t="s">
        <v>202</v>
      </c>
      <c r="P7" s="85"/>
      <c r="Q7" s="86"/>
      <c r="R7" s="87">
        <v>500</v>
      </c>
      <c r="S7" s="87">
        <v>40</v>
      </c>
      <c r="T7" s="87">
        <v>0</v>
      </c>
      <c r="U7" s="88">
        <v>0</v>
      </c>
      <c r="V7" s="89">
        <v>1</v>
      </c>
      <c r="W7" s="89">
        <v>2.5</v>
      </c>
      <c r="X7" s="89">
        <v>0</v>
      </c>
      <c r="Y7" s="90">
        <v>0</v>
      </c>
      <c r="Z7" s="87">
        <f t="shared" si="0"/>
        <v>540</v>
      </c>
      <c r="AA7" s="90">
        <f>IFERROR(((R7*V7)+(S7*W7)+(T7*X7)+(U7*Y7))/Materialtabell[[#This Row],[Transport 
km]],0)</f>
        <v>1.1111111111111112</v>
      </c>
      <c r="AB7" s="62" t="s">
        <v>198</v>
      </c>
      <c r="AC7" s="62"/>
      <c r="AD7" s="144"/>
      <c r="AE7" s="191" t="s">
        <v>196</v>
      </c>
      <c r="AF7" s="191"/>
      <c r="AG7" s="191" t="s">
        <v>200</v>
      </c>
      <c r="AH7" s="144"/>
      <c r="AI7" s="144"/>
    </row>
    <row r="8" spans="1:35" ht="15" customHeight="1" x14ac:dyDescent="0.2">
      <c r="A8" s="144"/>
      <c r="B8" s="73">
        <v>4</v>
      </c>
      <c r="C8" s="62" t="s">
        <v>264</v>
      </c>
      <c r="D8" s="62" t="s">
        <v>6</v>
      </c>
      <c r="E8" s="156" t="s">
        <v>353</v>
      </c>
      <c r="F8" s="155" t="s">
        <v>353</v>
      </c>
      <c r="G8" s="100">
        <v>0.74199999999999999</v>
      </c>
      <c r="H8" s="100">
        <v>0.74199999999999999</v>
      </c>
      <c r="I8" s="63" t="s">
        <v>18</v>
      </c>
      <c r="J8" s="62" t="s">
        <v>61</v>
      </c>
      <c r="K8" s="63" t="s">
        <v>18</v>
      </c>
      <c r="L8" s="62" t="s">
        <v>62</v>
      </c>
      <c r="M8" s="96"/>
      <c r="N8" s="85" t="s">
        <v>201</v>
      </c>
      <c r="O8" s="85" t="s">
        <v>202</v>
      </c>
      <c r="P8" s="85"/>
      <c r="Q8" s="86"/>
      <c r="R8" s="87">
        <v>500</v>
      </c>
      <c r="S8" s="87">
        <v>40</v>
      </c>
      <c r="T8" s="87">
        <v>0</v>
      </c>
      <c r="U8" s="88">
        <v>0</v>
      </c>
      <c r="V8" s="89">
        <v>1</v>
      </c>
      <c r="W8" s="89">
        <v>2.5</v>
      </c>
      <c r="X8" s="89">
        <v>0</v>
      </c>
      <c r="Y8" s="90">
        <v>0</v>
      </c>
      <c r="Z8" s="87">
        <f t="shared" si="0"/>
        <v>540</v>
      </c>
      <c r="AA8" s="90">
        <f>IFERROR(((R8*V8)+(S8*W8)+(T8*X8)+(U8*Y8))/Materialtabell[[#This Row],[Transport 
km]],0)</f>
        <v>1.1111111111111112</v>
      </c>
      <c r="AB8" s="62" t="s">
        <v>198</v>
      </c>
      <c r="AC8" s="62"/>
      <c r="AD8" s="144"/>
      <c r="AE8" s="144"/>
      <c r="AF8" s="144"/>
      <c r="AG8" s="144"/>
      <c r="AH8" s="144"/>
      <c r="AI8" s="144"/>
    </row>
    <row r="9" spans="1:35" ht="15" customHeight="1" x14ac:dyDescent="0.2">
      <c r="A9" s="144"/>
      <c r="B9" s="73">
        <v>5</v>
      </c>
      <c r="C9" s="153" t="s">
        <v>351</v>
      </c>
      <c r="D9" s="153" t="s">
        <v>6</v>
      </c>
      <c r="E9" s="153">
        <v>2243</v>
      </c>
      <c r="F9" s="153" t="s">
        <v>111</v>
      </c>
      <c r="G9" s="232">
        <v>4.2999999999999997E-2</v>
      </c>
      <c r="H9" s="232">
        <v>2.5999999999999999E-2</v>
      </c>
      <c r="I9" s="153" t="s">
        <v>131</v>
      </c>
      <c r="J9" s="153" t="s">
        <v>132</v>
      </c>
      <c r="K9" s="153" t="s">
        <v>131</v>
      </c>
      <c r="L9" s="153" t="s">
        <v>133</v>
      </c>
      <c r="M9" s="154" t="s">
        <v>420</v>
      </c>
      <c r="N9" s="85" t="s">
        <v>197</v>
      </c>
      <c r="O9" s="85"/>
      <c r="P9" s="85"/>
      <c r="Q9" s="86"/>
      <c r="R9" s="87">
        <v>50</v>
      </c>
      <c r="S9" s="87">
        <v>0</v>
      </c>
      <c r="T9" s="87">
        <v>0</v>
      </c>
      <c r="U9" s="88">
        <v>0</v>
      </c>
      <c r="V9" s="89">
        <v>1.5</v>
      </c>
      <c r="W9" s="89">
        <v>0</v>
      </c>
      <c r="X9" s="89">
        <v>0</v>
      </c>
      <c r="Y9" s="90">
        <v>0</v>
      </c>
      <c r="Z9" s="87">
        <f t="shared" si="0"/>
        <v>50</v>
      </c>
      <c r="AA9" s="90">
        <f>IFERROR(((R9*V9)+(S9*W9)+(T9*X9)+(U9*Y9))/Materialtabell[[#This Row],[Transport 
km]],0)</f>
        <v>1.5</v>
      </c>
      <c r="AB9" s="62" t="s">
        <v>198</v>
      </c>
      <c r="AC9" s="62"/>
      <c r="AD9" s="144"/>
      <c r="AE9" s="144"/>
      <c r="AF9" s="144"/>
      <c r="AG9" s="144"/>
      <c r="AH9" s="144"/>
      <c r="AI9" s="144"/>
    </row>
    <row r="10" spans="1:35" ht="15" customHeight="1" x14ac:dyDescent="0.2">
      <c r="A10" s="144"/>
      <c r="B10" s="73">
        <v>6</v>
      </c>
      <c r="C10" s="153" t="s">
        <v>265</v>
      </c>
      <c r="D10" s="75" t="s">
        <v>6</v>
      </c>
      <c r="E10" s="77">
        <f>2243/1000*45</f>
        <v>100.93499999999999</v>
      </c>
      <c r="F10" s="62" t="s">
        <v>110</v>
      </c>
      <c r="G10" s="100">
        <v>4.2999999999999997E-2</v>
      </c>
      <c r="H10" s="100">
        <v>2.5999999999999999E-2</v>
      </c>
      <c r="I10" s="63" t="s">
        <v>131</v>
      </c>
      <c r="J10" s="62" t="s">
        <v>132</v>
      </c>
      <c r="K10" s="63" t="s">
        <v>131</v>
      </c>
      <c r="L10" s="62" t="s">
        <v>133</v>
      </c>
      <c r="M10" s="96"/>
      <c r="N10" s="85" t="s">
        <v>197</v>
      </c>
      <c r="O10" s="85"/>
      <c r="P10" s="85"/>
      <c r="Q10" s="86"/>
      <c r="R10" s="87">
        <v>50</v>
      </c>
      <c r="S10" s="87">
        <v>0</v>
      </c>
      <c r="T10" s="87">
        <v>0</v>
      </c>
      <c r="U10" s="88">
        <v>0</v>
      </c>
      <c r="V10" s="89">
        <v>1.5</v>
      </c>
      <c r="W10" s="89">
        <v>0</v>
      </c>
      <c r="X10" s="89">
        <v>0</v>
      </c>
      <c r="Y10" s="90">
        <v>0</v>
      </c>
      <c r="Z10" s="87">
        <f t="shared" si="0"/>
        <v>50</v>
      </c>
      <c r="AA10" s="90">
        <f>IFERROR(((R10*V10)+(S10*W10)+(T10*X10)+(U10*Y10))/Materialtabell[[#This Row],[Transport 
km]],0)</f>
        <v>1.5</v>
      </c>
      <c r="AB10" s="62" t="s">
        <v>198</v>
      </c>
      <c r="AC10" s="62"/>
      <c r="AD10" s="144"/>
      <c r="AE10" s="144"/>
      <c r="AF10" s="144"/>
      <c r="AG10" s="144"/>
      <c r="AH10" s="144"/>
      <c r="AI10" s="144"/>
    </row>
    <row r="11" spans="1:35" ht="15" customHeight="1" x14ac:dyDescent="0.2">
      <c r="A11" s="144"/>
      <c r="B11" s="73">
        <v>7</v>
      </c>
      <c r="C11" s="153" t="s">
        <v>266</v>
      </c>
      <c r="D11" s="75" t="s">
        <v>6</v>
      </c>
      <c r="E11" s="77">
        <f>2243/1000*60</f>
        <v>134.57999999999998</v>
      </c>
      <c r="F11" s="62" t="s">
        <v>110</v>
      </c>
      <c r="G11" s="100">
        <v>4.2999999999999997E-2</v>
      </c>
      <c r="H11" s="100">
        <v>2.5999999999999999E-2</v>
      </c>
      <c r="I11" s="63" t="s">
        <v>131</v>
      </c>
      <c r="J11" s="62" t="s">
        <v>132</v>
      </c>
      <c r="K11" s="63" t="s">
        <v>131</v>
      </c>
      <c r="L11" s="62" t="s">
        <v>133</v>
      </c>
      <c r="M11" s="96"/>
      <c r="N11" s="85" t="s">
        <v>197</v>
      </c>
      <c r="O11" s="85"/>
      <c r="P11" s="85"/>
      <c r="Q11" s="86"/>
      <c r="R11" s="87">
        <v>50</v>
      </c>
      <c r="S11" s="87">
        <v>0</v>
      </c>
      <c r="T11" s="87">
        <v>0</v>
      </c>
      <c r="U11" s="88">
        <v>0</v>
      </c>
      <c r="V11" s="89">
        <v>1.5</v>
      </c>
      <c r="W11" s="89">
        <v>0</v>
      </c>
      <c r="X11" s="89">
        <v>0</v>
      </c>
      <c r="Y11" s="90">
        <v>0</v>
      </c>
      <c r="Z11" s="87">
        <f t="shared" si="0"/>
        <v>50</v>
      </c>
      <c r="AA11" s="90">
        <f>IFERROR(((R11*V11)+(S11*W11)+(T11*X11)+(U11*Y11))/Materialtabell[[#This Row],[Transport 
km]],0)</f>
        <v>1.5</v>
      </c>
      <c r="AB11" s="62" t="s">
        <v>198</v>
      </c>
      <c r="AC11" s="62"/>
      <c r="AD11" s="144"/>
      <c r="AE11" s="144"/>
      <c r="AF11" s="144"/>
      <c r="AG11" s="144"/>
      <c r="AH11" s="144"/>
      <c r="AI11" s="144"/>
    </row>
    <row r="12" spans="1:35" ht="15" customHeight="1" x14ac:dyDescent="0.2">
      <c r="A12" s="144"/>
      <c r="B12" s="73">
        <v>8</v>
      </c>
      <c r="C12" s="153" t="s">
        <v>267</v>
      </c>
      <c r="D12" s="75" t="s">
        <v>6</v>
      </c>
      <c r="E12" s="77">
        <f>2243/1000*80</f>
        <v>179.44</v>
      </c>
      <c r="F12" s="62" t="s">
        <v>110</v>
      </c>
      <c r="G12" s="100">
        <v>4.2999999999999997E-2</v>
      </c>
      <c r="H12" s="100">
        <v>2.5999999999999999E-2</v>
      </c>
      <c r="I12" s="63" t="s">
        <v>131</v>
      </c>
      <c r="J12" s="62" t="s">
        <v>132</v>
      </c>
      <c r="K12" s="63" t="s">
        <v>131</v>
      </c>
      <c r="L12" s="62" t="s">
        <v>133</v>
      </c>
      <c r="M12" s="96"/>
      <c r="N12" s="85" t="s">
        <v>197</v>
      </c>
      <c r="O12" s="85"/>
      <c r="P12" s="85"/>
      <c r="Q12" s="86"/>
      <c r="R12" s="87">
        <v>50</v>
      </c>
      <c r="S12" s="87">
        <v>0</v>
      </c>
      <c r="T12" s="87">
        <v>0</v>
      </c>
      <c r="U12" s="88">
        <v>0</v>
      </c>
      <c r="V12" s="89">
        <v>1.5</v>
      </c>
      <c r="W12" s="89">
        <v>0</v>
      </c>
      <c r="X12" s="89">
        <v>0</v>
      </c>
      <c r="Y12" s="90">
        <v>0</v>
      </c>
      <c r="Z12" s="87">
        <f t="shared" si="0"/>
        <v>50</v>
      </c>
      <c r="AA12" s="90">
        <f>IFERROR(((R12*V12)+(S12*W12)+(T12*X12)+(U12*Y12))/Materialtabell[[#This Row],[Transport 
km]],0)</f>
        <v>1.5</v>
      </c>
      <c r="AB12" s="62" t="s">
        <v>198</v>
      </c>
      <c r="AC12" s="62"/>
      <c r="AD12" s="144"/>
      <c r="AE12" s="144"/>
      <c r="AF12" s="144"/>
      <c r="AG12" s="187"/>
      <c r="AH12" s="144"/>
      <c r="AI12" s="144"/>
    </row>
    <row r="13" spans="1:35" ht="15" customHeight="1" x14ac:dyDescent="0.2">
      <c r="A13" s="144"/>
      <c r="B13" s="73">
        <v>9</v>
      </c>
      <c r="C13" s="153" t="s">
        <v>268</v>
      </c>
      <c r="D13" s="62" t="s">
        <v>6</v>
      </c>
      <c r="E13" s="77">
        <f>2243/1000*50</f>
        <v>112.14999999999999</v>
      </c>
      <c r="F13" s="62" t="s">
        <v>110</v>
      </c>
      <c r="G13" s="100">
        <v>0.05</v>
      </c>
      <c r="H13" s="100">
        <v>3.1E-2</v>
      </c>
      <c r="I13" s="63" t="s">
        <v>83</v>
      </c>
      <c r="J13" s="62" t="s">
        <v>134</v>
      </c>
      <c r="K13" s="63" t="s">
        <v>83</v>
      </c>
      <c r="L13" s="62" t="s">
        <v>133</v>
      </c>
      <c r="M13" s="96" t="s">
        <v>147</v>
      </c>
      <c r="N13" s="85" t="s">
        <v>197</v>
      </c>
      <c r="O13" s="85"/>
      <c r="P13" s="85"/>
      <c r="Q13" s="86"/>
      <c r="R13" s="87">
        <v>50</v>
      </c>
      <c r="S13" s="87">
        <v>0</v>
      </c>
      <c r="T13" s="87">
        <v>0</v>
      </c>
      <c r="U13" s="88">
        <v>0</v>
      </c>
      <c r="V13" s="89">
        <v>1.5</v>
      </c>
      <c r="W13" s="89">
        <v>0</v>
      </c>
      <c r="X13" s="89">
        <v>0</v>
      </c>
      <c r="Y13" s="90">
        <v>0</v>
      </c>
      <c r="Z13" s="87">
        <f t="shared" si="0"/>
        <v>50</v>
      </c>
      <c r="AA13" s="90">
        <f>IFERROR(((R13*V13)+(S13*W13)+(T13*X13)+(U13*Y13))/Materialtabell[[#This Row],[Transport 
km]],0)</f>
        <v>1.5</v>
      </c>
      <c r="AB13" s="62" t="s">
        <v>198</v>
      </c>
      <c r="AC13" s="62"/>
      <c r="AD13" s="144"/>
      <c r="AE13" s="144"/>
      <c r="AF13" s="144"/>
      <c r="AG13" s="144"/>
      <c r="AH13" s="144"/>
      <c r="AI13" s="144"/>
    </row>
    <row r="14" spans="1:35" ht="15" customHeight="1" x14ac:dyDescent="0.2">
      <c r="A14" s="144"/>
      <c r="B14" s="73">
        <v>10</v>
      </c>
      <c r="C14" s="153" t="s">
        <v>269</v>
      </c>
      <c r="D14" s="62" t="s">
        <v>6</v>
      </c>
      <c r="E14" s="77">
        <f>2243/1000*40</f>
        <v>89.72</v>
      </c>
      <c r="F14" s="77" t="s">
        <v>110</v>
      </c>
      <c r="G14" s="100">
        <v>4.9000000000000002E-2</v>
      </c>
      <c r="H14" s="100">
        <v>0.03</v>
      </c>
      <c r="I14" s="63" t="s">
        <v>84</v>
      </c>
      <c r="J14" s="62" t="s">
        <v>135</v>
      </c>
      <c r="K14" s="63" t="s">
        <v>84</v>
      </c>
      <c r="L14" s="62" t="s">
        <v>133</v>
      </c>
      <c r="M14" s="96" t="s">
        <v>421</v>
      </c>
      <c r="N14" s="85" t="s">
        <v>197</v>
      </c>
      <c r="O14" s="85"/>
      <c r="P14" s="85"/>
      <c r="Q14" s="86"/>
      <c r="R14" s="87">
        <v>50</v>
      </c>
      <c r="S14" s="87">
        <v>0</v>
      </c>
      <c r="T14" s="87">
        <v>0</v>
      </c>
      <c r="U14" s="88">
        <v>0</v>
      </c>
      <c r="V14" s="89">
        <v>1.5</v>
      </c>
      <c r="W14" s="89">
        <v>0</v>
      </c>
      <c r="X14" s="89">
        <v>0</v>
      </c>
      <c r="Y14" s="90">
        <v>0</v>
      </c>
      <c r="Z14" s="87">
        <f t="shared" si="0"/>
        <v>50</v>
      </c>
      <c r="AA14" s="90">
        <f>IFERROR(((R14*V14)+(S14*W14)+(T14*X14)+(U14*Y14))/Materialtabell[[#This Row],[Transport 
km]],0)</f>
        <v>1.5</v>
      </c>
      <c r="AB14" s="62" t="s">
        <v>198</v>
      </c>
      <c r="AC14" s="62"/>
      <c r="AD14" s="144"/>
      <c r="AE14" s="144"/>
      <c r="AF14" s="144"/>
      <c r="AG14" s="144"/>
      <c r="AH14" s="144"/>
      <c r="AI14" s="144"/>
    </row>
    <row r="15" spans="1:35" ht="15" customHeight="1" x14ac:dyDescent="0.2">
      <c r="A15" s="144"/>
      <c r="B15" s="73">
        <v>11</v>
      </c>
      <c r="C15" s="153" t="s">
        <v>270</v>
      </c>
      <c r="D15" s="62" t="s">
        <v>6</v>
      </c>
      <c r="E15" s="77">
        <f>2243/1000*40</f>
        <v>89.72</v>
      </c>
      <c r="F15" s="77" t="s">
        <v>110</v>
      </c>
      <c r="G15" s="100">
        <v>5.8999999999999997E-2</v>
      </c>
      <c r="H15" s="100">
        <v>3.7999999999999999E-2</v>
      </c>
      <c r="I15" s="62" t="s">
        <v>85</v>
      </c>
      <c r="J15" s="62" t="s">
        <v>136</v>
      </c>
      <c r="K15" s="63" t="s">
        <v>85</v>
      </c>
      <c r="L15" s="62" t="s">
        <v>133</v>
      </c>
      <c r="M15" s="96" t="s">
        <v>148</v>
      </c>
      <c r="N15" s="85" t="s">
        <v>197</v>
      </c>
      <c r="O15" s="85"/>
      <c r="P15" s="85"/>
      <c r="Q15" s="86"/>
      <c r="R15" s="87">
        <v>50</v>
      </c>
      <c r="S15" s="87">
        <v>0</v>
      </c>
      <c r="T15" s="87">
        <v>0</v>
      </c>
      <c r="U15" s="88">
        <v>0</v>
      </c>
      <c r="V15" s="89">
        <v>1.5</v>
      </c>
      <c r="W15" s="89">
        <v>0</v>
      </c>
      <c r="X15" s="89">
        <v>0</v>
      </c>
      <c r="Y15" s="90">
        <v>0</v>
      </c>
      <c r="Z15" s="87">
        <f t="shared" si="0"/>
        <v>50</v>
      </c>
      <c r="AA15" s="90">
        <f>IFERROR(((R15*V15)+(S15*W15)+(T15*X15)+(U15*Y15))/Materialtabell[[#This Row],[Transport 
km]],0)</f>
        <v>1.5</v>
      </c>
      <c r="AB15" s="62" t="s">
        <v>198</v>
      </c>
      <c r="AC15" s="62"/>
      <c r="AD15" s="144"/>
      <c r="AE15" s="144"/>
      <c r="AF15" s="144"/>
      <c r="AG15" s="144"/>
      <c r="AH15" s="144"/>
      <c r="AI15" s="144"/>
    </row>
    <row r="16" spans="1:35" ht="15" customHeight="1" x14ac:dyDescent="0.2">
      <c r="A16" s="144"/>
      <c r="B16" s="73">
        <v>12</v>
      </c>
      <c r="C16" s="153" t="s">
        <v>271</v>
      </c>
      <c r="D16" s="62" t="s">
        <v>6</v>
      </c>
      <c r="E16" s="77">
        <f>2243/1000*40</f>
        <v>89.72</v>
      </c>
      <c r="F16" s="77" t="s">
        <v>110</v>
      </c>
      <c r="G16" s="100">
        <v>4.9000000000000002E-2</v>
      </c>
      <c r="H16" s="100">
        <v>2.5999999999999999E-2</v>
      </c>
      <c r="I16" s="63" t="s">
        <v>86</v>
      </c>
      <c r="J16" s="62" t="s">
        <v>61</v>
      </c>
      <c r="K16" s="63" t="s">
        <v>86</v>
      </c>
      <c r="L16" s="62" t="s">
        <v>133</v>
      </c>
      <c r="M16" s="96" t="s">
        <v>420</v>
      </c>
      <c r="N16" s="85" t="s">
        <v>197</v>
      </c>
      <c r="O16" s="85"/>
      <c r="P16" s="85"/>
      <c r="Q16" s="86"/>
      <c r="R16" s="87">
        <v>50</v>
      </c>
      <c r="S16" s="87">
        <v>0</v>
      </c>
      <c r="T16" s="87">
        <v>0</v>
      </c>
      <c r="U16" s="88">
        <v>0</v>
      </c>
      <c r="V16" s="89">
        <v>1.5</v>
      </c>
      <c r="W16" s="89">
        <v>0</v>
      </c>
      <c r="X16" s="89">
        <v>0</v>
      </c>
      <c r="Y16" s="90">
        <v>0</v>
      </c>
      <c r="Z16" s="87">
        <f t="shared" si="0"/>
        <v>50</v>
      </c>
      <c r="AA16" s="90">
        <f>IFERROR(((R16*V16)+(S16*W16)+(T16*X16)+(U16*Y16))/Materialtabell[[#This Row],[Transport 
km]],0)</f>
        <v>1.5</v>
      </c>
      <c r="AB16" s="62" t="s">
        <v>198</v>
      </c>
      <c r="AC16" s="62"/>
      <c r="AD16" s="144"/>
      <c r="AE16" s="144"/>
      <c r="AF16" s="144"/>
      <c r="AG16" s="144"/>
      <c r="AH16" s="144"/>
      <c r="AI16" s="144"/>
    </row>
    <row r="17" spans="1:35" ht="15" customHeight="1" x14ac:dyDescent="0.2">
      <c r="A17" s="144"/>
      <c r="B17" s="73">
        <v>13</v>
      </c>
      <c r="C17" s="153" t="s">
        <v>272</v>
      </c>
      <c r="D17" s="62" t="s">
        <v>6</v>
      </c>
      <c r="E17" s="77">
        <f>2243/1000*40</f>
        <v>89.72</v>
      </c>
      <c r="F17" s="77" t="s">
        <v>111</v>
      </c>
      <c r="G17" s="100">
        <v>5.8999999999999997E-2</v>
      </c>
      <c r="H17" s="100">
        <v>3.4000000000000002E-2</v>
      </c>
      <c r="I17" s="62" t="s">
        <v>87</v>
      </c>
      <c r="J17" s="62" t="s">
        <v>61</v>
      </c>
      <c r="K17" s="62" t="s">
        <v>87</v>
      </c>
      <c r="L17" s="62" t="s">
        <v>133</v>
      </c>
      <c r="M17" s="96" t="s">
        <v>149</v>
      </c>
      <c r="N17" s="85" t="s">
        <v>197</v>
      </c>
      <c r="O17" s="85"/>
      <c r="P17" s="85"/>
      <c r="Q17" s="86"/>
      <c r="R17" s="87">
        <v>50</v>
      </c>
      <c r="S17" s="87">
        <v>0</v>
      </c>
      <c r="T17" s="87">
        <v>0</v>
      </c>
      <c r="U17" s="88">
        <v>0</v>
      </c>
      <c r="V17" s="89">
        <v>1.5</v>
      </c>
      <c r="W17" s="89">
        <v>0</v>
      </c>
      <c r="X17" s="89">
        <v>0</v>
      </c>
      <c r="Y17" s="90">
        <v>0</v>
      </c>
      <c r="Z17" s="87">
        <f t="shared" si="0"/>
        <v>50</v>
      </c>
      <c r="AA17" s="90">
        <f>IFERROR(((R17*V17)+(S17*W17)+(T17*X17)+(U17*Y17))/Materialtabell[[#This Row],[Transport 
km]],0)</f>
        <v>1.5</v>
      </c>
      <c r="AB17" s="62" t="s">
        <v>198</v>
      </c>
      <c r="AC17" s="62"/>
      <c r="AD17" s="144"/>
      <c r="AE17" s="144"/>
      <c r="AF17" s="144"/>
      <c r="AG17" s="144"/>
      <c r="AH17" s="144"/>
      <c r="AI17" s="144"/>
    </row>
    <row r="18" spans="1:35" ht="15" customHeight="1" x14ac:dyDescent="0.2">
      <c r="A18" s="144"/>
      <c r="B18" s="73">
        <v>14</v>
      </c>
      <c r="C18" s="153" t="s">
        <v>352</v>
      </c>
      <c r="D18" s="62" t="s">
        <v>6</v>
      </c>
      <c r="E18" s="62">
        <v>2243</v>
      </c>
      <c r="F18" s="62" t="s">
        <v>111</v>
      </c>
      <c r="G18" s="100">
        <v>4.2999999999999997E-2</v>
      </c>
      <c r="H18" s="100">
        <v>2.4E-2</v>
      </c>
      <c r="I18" s="62" t="s">
        <v>88</v>
      </c>
      <c r="J18" s="62" t="s">
        <v>61</v>
      </c>
      <c r="K18" s="62" t="s">
        <v>88</v>
      </c>
      <c r="L18" s="62" t="s">
        <v>133</v>
      </c>
      <c r="M18" s="96" t="s">
        <v>150</v>
      </c>
      <c r="N18" s="85" t="s">
        <v>197</v>
      </c>
      <c r="O18" s="85"/>
      <c r="P18" s="85"/>
      <c r="Q18" s="86"/>
      <c r="R18" s="87">
        <v>50</v>
      </c>
      <c r="S18" s="87">
        <v>0</v>
      </c>
      <c r="T18" s="87">
        <v>0</v>
      </c>
      <c r="U18" s="88">
        <v>0</v>
      </c>
      <c r="V18" s="89">
        <v>1.5</v>
      </c>
      <c r="W18" s="89">
        <v>0</v>
      </c>
      <c r="X18" s="89">
        <v>0</v>
      </c>
      <c r="Y18" s="90">
        <v>0</v>
      </c>
      <c r="Z18" s="87">
        <f t="shared" si="0"/>
        <v>50</v>
      </c>
      <c r="AA18" s="90">
        <f>IFERROR(((R18*V18)+(S18*W18)+(T18*X18)+(U18*Y18))/Materialtabell[[#This Row],[Transport 
km]],0)</f>
        <v>1.5</v>
      </c>
      <c r="AB18" s="62" t="s">
        <v>198</v>
      </c>
      <c r="AC18" s="62"/>
      <c r="AD18" s="144"/>
      <c r="AE18" s="144"/>
      <c r="AF18" s="144"/>
      <c r="AG18" s="144"/>
      <c r="AH18" s="144"/>
      <c r="AI18" s="144"/>
    </row>
    <row r="19" spans="1:35" ht="15" customHeight="1" x14ac:dyDescent="0.2">
      <c r="A19" s="144"/>
      <c r="B19" s="73">
        <v>15</v>
      </c>
      <c r="C19" s="153" t="s">
        <v>273</v>
      </c>
      <c r="D19" s="75" t="s">
        <v>6</v>
      </c>
      <c r="E19" s="77">
        <f>2243/1000*60</f>
        <v>134.57999999999998</v>
      </c>
      <c r="F19" s="62" t="s">
        <v>110</v>
      </c>
      <c r="G19" s="100">
        <v>4.2999999999999997E-2</v>
      </c>
      <c r="H19" s="100">
        <v>2.4E-2</v>
      </c>
      <c r="I19" s="63" t="s">
        <v>88</v>
      </c>
      <c r="J19" s="62" t="s">
        <v>61</v>
      </c>
      <c r="K19" s="63" t="s">
        <v>88</v>
      </c>
      <c r="L19" s="62" t="s">
        <v>133</v>
      </c>
      <c r="M19" s="96" t="s">
        <v>150</v>
      </c>
      <c r="N19" s="85" t="s">
        <v>197</v>
      </c>
      <c r="O19" s="85"/>
      <c r="P19" s="85"/>
      <c r="Q19" s="86"/>
      <c r="R19" s="87">
        <v>50</v>
      </c>
      <c r="S19" s="87">
        <v>0</v>
      </c>
      <c r="T19" s="87">
        <v>0</v>
      </c>
      <c r="U19" s="88">
        <v>0</v>
      </c>
      <c r="V19" s="89">
        <v>1.5</v>
      </c>
      <c r="W19" s="89">
        <v>0</v>
      </c>
      <c r="X19" s="89">
        <v>0</v>
      </c>
      <c r="Y19" s="90">
        <v>0</v>
      </c>
      <c r="Z19" s="87">
        <f t="shared" si="0"/>
        <v>50</v>
      </c>
      <c r="AA19" s="90">
        <f>IFERROR(((R19*V19)+(S19*W19)+(T19*X19)+(U19*Y19))/Materialtabell[[#This Row],[Transport 
km]],0)</f>
        <v>1.5</v>
      </c>
      <c r="AB19" s="62" t="s">
        <v>198</v>
      </c>
      <c r="AC19" s="62"/>
      <c r="AD19" s="144"/>
      <c r="AE19" s="144"/>
      <c r="AF19" s="144"/>
      <c r="AG19" s="144"/>
      <c r="AH19" s="144"/>
      <c r="AI19" s="144"/>
    </row>
    <row r="20" spans="1:35" ht="15" customHeight="1" x14ac:dyDescent="0.2">
      <c r="A20" s="144"/>
      <c r="B20" s="73">
        <v>16</v>
      </c>
      <c r="C20" s="153" t="s">
        <v>274</v>
      </c>
      <c r="D20" s="75" t="s">
        <v>6</v>
      </c>
      <c r="E20" s="77">
        <f>2243/1000*80</f>
        <v>179.44</v>
      </c>
      <c r="F20" s="62" t="s">
        <v>110</v>
      </c>
      <c r="G20" s="100">
        <v>4.2999999999999997E-2</v>
      </c>
      <c r="H20" s="100">
        <v>2.4E-2</v>
      </c>
      <c r="I20" s="63" t="s">
        <v>88</v>
      </c>
      <c r="J20" s="62" t="s">
        <v>61</v>
      </c>
      <c r="K20" s="63" t="s">
        <v>88</v>
      </c>
      <c r="L20" s="62" t="s">
        <v>133</v>
      </c>
      <c r="M20" s="96" t="s">
        <v>150</v>
      </c>
      <c r="N20" s="85" t="s">
        <v>197</v>
      </c>
      <c r="O20" s="85"/>
      <c r="P20" s="85"/>
      <c r="Q20" s="86"/>
      <c r="R20" s="87">
        <v>50</v>
      </c>
      <c r="S20" s="87">
        <v>0</v>
      </c>
      <c r="T20" s="87">
        <v>0</v>
      </c>
      <c r="U20" s="88">
        <v>0</v>
      </c>
      <c r="V20" s="89">
        <v>1.5</v>
      </c>
      <c r="W20" s="89">
        <v>0</v>
      </c>
      <c r="X20" s="89">
        <v>0</v>
      </c>
      <c r="Y20" s="90">
        <v>0</v>
      </c>
      <c r="Z20" s="87">
        <f t="shared" si="0"/>
        <v>50</v>
      </c>
      <c r="AA20" s="90">
        <f>IFERROR(((R20*V20)+(S20*W20)+(T20*X20)+(U20*Y20))/Materialtabell[[#This Row],[Transport 
km]],0)</f>
        <v>1.5</v>
      </c>
      <c r="AB20" s="62" t="s">
        <v>198</v>
      </c>
      <c r="AC20" s="62"/>
      <c r="AD20" s="144"/>
      <c r="AE20" s="144"/>
      <c r="AF20" s="144"/>
      <c r="AG20" s="144"/>
      <c r="AH20" s="144"/>
      <c r="AI20" s="144"/>
    </row>
    <row r="21" spans="1:35" ht="15" customHeight="1" x14ac:dyDescent="0.2">
      <c r="A21" s="144"/>
      <c r="B21" s="73">
        <v>17</v>
      </c>
      <c r="C21" s="153" t="s">
        <v>275</v>
      </c>
      <c r="D21" s="75" t="s">
        <v>6</v>
      </c>
      <c r="E21" s="77">
        <f>2243/1000*120</f>
        <v>269.15999999999997</v>
      </c>
      <c r="F21" s="62" t="s">
        <v>110</v>
      </c>
      <c r="G21" s="100">
        <v>4.2999999999999997E-2</v>
      </c>
      <c r="H21" s="100">
        <v>2.4E-2</v>
      </c>
      <c r="I21" s="63" t="s">
        <v>88</v>
      </c>
      <c r="J21" s="62" t="s">
        <v>61</v>
      </c>
      <c r="K21" s="63" t="s">
        <v>88</v>
      </c>
      <c r="L21" s="62" t="s">
        <v>133</v>
      </c>
      <c r="M21" s="96" t="s">
        <v>150</v>
      </c>
      <c r="N21" s="85" t="s">
        <v>197</v>
      </c>
      <c r="O21" s="85"/>
      <c r="P21" s="85"/>
      <c r="Q21" s="86"/>
      <c r="R21" s="87">
        <v>50</v>
      </c>
      <c r="S21" s="87">
        <v>0</v>
      </c>
      <c r="T21" s="87">
        <v>0</v>
      </c>
      <c r="U21" s="88">
        <v>0</v>
      </c>
      <c r="V21" s="89">
        <v>1.5</v>
      </c>
      <c r="W21" s="89">
        <v>0</v>
      </c>
      <c r="X21" s="89">
        <v>0</v>
      </c>
      <c r="Y21" s="90">
        <v>0</v>
      </c>
      <c r="Z21" s="87">
        <f t="shared" si="0"/>
        <v>50</v>
      </c>
      <c r="AA21" s="90">
        <f>IFERROR(((R21*V21)+(S21*W21)+(T21*X21)+(U21*Y21))/Materialtabell[[#This Row],[Transport 
km]],0)</f>
        <v>1.5</v>
      </c>
      <c r="AB21" s="62" t="s">
        <v>198</v>
      </c>
      <c r="AC21" s="62"/>
      <c r="AD21" s="144"/>
      <c r="AE21" s="144"/>
      <c r="AF21" s="144"/>
      <c r="AG21" s="144"/>
      <c r="AH21" s="144"/>
      <c r="AI21" s="144"/>
    </row>
    <row r="22" spans="1:35" ht="15" customHeight="1" x14ac:dyDescent="0.2">
      <c r="A22" s="144"/>
      <c r="B22" s="73">
        <v>18</v>
      </c>
      <c r="C22" s="153" t="s">
        <v>276</v>
      </c>
      <c r="D22" s="62" t="s">
        <v>6</v>
      </c>
      <c r="E22" s="77">
        <f>2243/1000*60</f>
        <v>134.57999999999998</v>
      </c>
      <c r="F22" s="62" t="s">
        <v>110</v>
      </c>
      <c r="G22" s="100">
        <v>0.05</v>
      </c>
      <c r="H22" s="100">
        <v>2.9000000000000001E-2</v>
      </c>
      <c r="I22" s="62" t="s">
        <v>89</v>
      </c>
      <c r="J22" s="62" t="s">
        <v>61</v>
      </c>
      <c r="K22" s="62" t="s">
        <v>89</v>
      </c>
      <c r="L22" s="62" t="s">
        <v>133</v>
      </c>
      <c r="M22" s="96"/>
      <c r="N22" s="85" t="s">
        <v>197</v>
      </c>
      <c r="O22" s="85"/>
      <c r="P22" s="85"/>
      <c r="Q22" s="86"/>
      <c r="R22" s="87">
        <v>50</v>
      </c>
      <c r="S22" s="87">
        <v>0</v>
      </c>
      <c r="T22" s="87">
        <v>0</v>
      </c>
      <c r="U22" s="88">
        <v>0</v>
      </c>
      <c r="V22" s="89">
        <v>1.5</v>
      </c>
      <c r="W22" s="89">
        <v>0</v>
      </c>
      <c r="X22" s="89">
        <v>0</v>
      </c>
      <c r="Y22" s="90">
        <v>0</v>
      </c>
      <c r="Z22" s="87">
        <f t="shared" si="0"/>
        <v>50</v>
      </c>
      <c r="AA22" s="90">
        <f>IFERROR(((R22*V22)+(S22*W22)+(T22*X22)+(U22*Y22))/Materialtabell[[#This Row],[Transport 
km]],0)</f>
        <v>1.5</v>
      </c>
      <c r="AB22" s="62" t="s">
        <v>198</v>
      </c>
      <c r="AC22" s="62"/>
      <c r="AD22" s="144"/>
      <c r="AE22" s="144"/>
      <c r="AF22" s="144"/>
      <c r="AG22" s="144"/>
      <c r="AH22" s="144"/>
      <c r="AI22" s="144"/>
    </row>
    <row r="23" spans="1:35" ht="15" customHeight="1" x14ac:dyDescent="0.2">
      <c r="A23" s="144"/>
      <c r="B23" s="73">
        <v>19</v>
      </c>
      <c r="C23" s="153" t="s">
        <v>277</v>
      </c>
      <c r="D23" s="62" t="s">
        <v>2</v>
      </c>
      <c r="E23" s="156" t="s">
        <v>353</v>
      </c>
      <c r="F23" s="155" t="s">
        <v>353</v>
      </c>
      <c r="G23" s="100">
        <v>0.87</v>
      </c>
      <c r="H23" s="100">
        <v>0.80700000000000005</v>
      </c>
      <c r="I23" s="62" t="s">
        <v>77</v>
      </c>
      <c r="J23" s="62" t="s">
        <v>61</v>
      </c>
      <c r="K23" s="63" t="s">
        <v>77</v>
      </c>
      <c r="L23" s="62" t="s">
        <v>62</v>
      </c>
      <c r="M23" s="96"/>
      <c r="N23" s="85" t="s">
        <v>201</v>
      </c>
      <c r="O23" s="85" t="s">
        <v>202</v>
      </c>
      <c r="P23" s="85"/>
      <c r="Q23" s="86"/>
      <c r="R23" s="87">
        <v>400</v>
      </c>
      <c r="S23" s="87">
        <v>40</v>
      </c>
      <c r="T23" s="87">
        <v>0</v>
      </c>
      <c r="U23" s="88">
        <v>0</v>
      </c>
      <c r="V23" s="89">
        <v>1</v>
      </c>
      <c r="W23" s="89">
        <v>2.5</v>
      </c>
      <c r="X23" s="89">
        <v>0</v>
      </c>
      <c r="Y23" s="90">
        <v>0</v>
      </c>
      <c r="Z23" s="87">
        <f t="shared" si="0"/>
        <v>440</v>
      </c>
      <c r="AA23" s="90">
        <f>IFERROR(((R23*V23)+(S23*W23)+(T23*X23)+(U23*Y23))/Materialtabell[[#This Row],[Transport 
km]],0)</f>
        <v>1.1363636363636365</v>
      </c>
      <c r="AB23" s="62" t="s">
        <v>203</v>
      </c>
      <c r="AC23" s="62" t="s">
        <v>204</v>
      </c>
      <c r="AD23" s="144"/>
      <c r="AE23" s="144"/>
      <c r="AF23" s="144"/>
      <c r="AG23" s="144"/>
      <c r="AH23" s="144"/>
      <c r="AI23" s="144"/>
    </row>
    <row r="24" spans="1:35" ht="15" customHeight="1" x14ac:dyDescent="0.2">
      <c r="A24" s="144"/>
      <c r="B24" s="73">
        <v>20</v>
      </c>
      <c r="C24" s="153" t="s">
        <v>278</v>
      </c>
      <c r="D24" s="62" t="s">
        <v>2</v>
      </c>
      <c r="E24" s="156" t="s">
        <v>353</v>
      </c>
      <c r="F24" s="155" t="s">
        <v>353</v>
      </c>
      <c r="G24" s="100">
        <v>0.76</v>
      </c>
      <c r="H24" s="100">
        <v>0.67400000000000004</v>
      </c>
      <c r="I24" s="62" t="s">
        <v>78</v>
      </c>
      <c r="J24" s="62" t="s">
        <v>61</v>
      </c>
      <c r="K24" s="62" t="s">
        <v>78</v>
      </c>
      <c r="L24" s="62" t="s">
        <v>62</v>
      </c>
      <c r="M24" s="96"/>
      <c r="N24" s="85" t="s">
        <v>201</v>
      </c>
      <c r="O24" s="85" t="s">
        <v>202</v>
      </c>
      <c r="P24" s="85"/>
      <c r="Q24" s="86"/>
      <c r="R24" s="87">
        <v>400</v>
      </c>
      <c r="S24" s="87">
        <v>40</v>
      </c>
      <c r="T24" s="87">
        <v>0</v>
      </c>
      <c r="U24" s="88">
        <v>0</v>
      </c>
      <c r="V24" s="89">
        <v>1</v>
      </c>
      <c r="W24" s="89">
        <v>2.5</v>
      </c>
      <c r="X24" s="89">
        <v>0</v>
      </c>
      <c r="Y24" s="90">
        <v>0</v>
      </c>
      <c r="Z24" s="87">
        <f t="shared" si="0"/>
        <v>440</v>
      </c>
      <c r="AA24" s="90">
        <f>IFERROR(((R24*V24)+(S24*W24)+(T24*X24)+(U24*Y24))/Materialtabell[[#This Row],[Transport 
km]],0)</f>
        <v>1.1363636363636365</v>
      </c>
      <c r="AB24" s="62" t="s">
        <v>203</v>
      </c>
      <c r="AC24" s="62" t="s">
        <v>204</v>
      </c>
      <c r="AD24" s="144"/>
      <c r="AE24" s="144"/>
      <c r="AF24" s="144"/>
      <c r="AG24" s="144"/>
      <c r="AH24" s="144"/>
      <c r="AI24" s="144"/>
    </row>
    <row r="25" spans="1:35" ht="15" customHeight="1" x14ac:dyDescent="0.2">
      <c r="A25" s="144"/>
      <c r="B25" s="73">
        <v>21</v>
      </c>
      <c r="C25" s="153" t="s">
        <v>279</v>
      </c>
      <c r="D25" s="62" t="s">
        <v>2</v>
      </c>
      <c r="E25" s="77">
        <v>2400</v>
      </c>
      <c r="F25" s="62" t="s">
        <v>111</v>
      </c>
      <c r="G25" s="100">
        <v>0.19800000000000001</v>
      </c>
      <c r="H25" s="100">
        <v>0.19800000000000001</v>
      </c>
      <c r="I25" s="62" t="s">
        <v>19</v>
      </c>
      <c r="J25" s="62" t="s">
        <v>64</v>
      </c>
      <c r="K25" s="62" t="s">
        <v>19</v>
      </c>
      <c r="L25" s="62" t="s">
        <v>65</v>
      </c>
      <c r="M25" s="96" t="s">
        <v>152</v>
      </c>
      <c r="N25" s="85" t="s">
        <v>201</v>
      </c>
      <c r="O25" s="85" t="s">
        <v>202</v>
      </c>
      <c r="P25" s="85"/>
      <c r="Q25" s="86"/>
      <c r="R25" s="87">
        <v>400</v>
      </c>
      <c r="S25" s="87">
        <v>40</v>
      </c>
      <c r="T25" s="87">
        <v>0</v>
      </c>
      <c r="U25" s="88">
        <v>0</v>
      </c>
      <c r="V25" s="89">
        <v>1</v>
      </c>
      <c r="W25" s="89">
        <v>2.5</v>
      </c>
      <c r="X25" s="89">
        <v>0</v>
      </c>
      <c r="Y25" s="90">
        <v>0</v>
      </c>
      <c r="Z25" s="87">
        <f t="shared" si="0"/>
        <v>440</v>
      </c>
      <c r="AA25" s="90">
        <f>IFERROR(((R25*V25)+(S25*W25)+(T25*X25)+(U25*Y25))/Materialtabell[[#This Row],[Transport 
km]],0)</f>
        <v>1.1363636363636365</v>
      </c>
      <c r="AB25" s="62" t="s">
        <v>205</v>
      </c>
      <c r="AC25" s="62" t="s">
        <v>416</v>
      </c>
      <c r="AD25" s="144"/>
      <c r="AE25" s="144"/>
      <c r="AF25" s="144"/>
      <c r="AG25" s="144"/>
      <c r="AH25" s="144"/>
      <c r="AI25" s="144"/>
    </row>
    <row r="26" spans="1:35" ht="15" customHeight="1" x14ac:dyDescent="0.2">
      <c r="A26" s="144"/>
      <c r="B26" s="73">
        <v>22</v>
      </c>
      <c r="C26" s="153" t="s">
        <v>280</v>
      </c>
      <c r="D26" s="62" t="s">
        <v>2</v>
      </c>
      <c r="E26" s="77">
        <v>40</v>
      </c>
      <c r="F26" s="62" t="s">
        <v>145</v>
      </c>
      <c r="G26" s="100">
        <v>0.19800000000000001</v>
      </c>
      <c r="H26" s="100">
        <v>0.19800000000000001</v>
      </c>
      <c r="I26" s="62" t="s">
        <v>19</v>
      </c>
      <c r="J26" s="62" t="s">
        <v>64</v>
      </c>
      <c r="K26" s="62" t="s">
        <v>19</v>
      </c>
      <c r="L26" s="62" t="s">
        <v>65</v>
      </c>
      <c r="M26" s="96" t="s">
        <v>414</v>
      </c>
      <c r="N26" s="85" t="s">
        <v>201</v>
      </c>
      <c r="O26" s="85" t="s">
        <v>202</v>
      </c>
      <c r="P26" s="85"/>
      <c r="Q26" s="86"/>
      <c r="R26" s="87">
        <v>400</v>
      </c>
      <c r="S26" s="87">
        <v>40</v>
      </c>
      <c r="T26" s="87">
        <v>0</v>
      </c>
      <c r="U26" s="88">
        <v>0</v>
      </c>
      <c r="V26" s="89">
        <v>1</v>
      </c>
      <c r="W26" s="89">
        <v>2.5</v>
      </c>
      <c r="X26" s="89">
        <v>0</v>
      </c>
      <c r="Y26" s="90">
        <v>0</v>
      </c>
      <c r="Z26" s="87">
        <f t="shared" si="0"/>
        <v>440</v>
      </c>
      <c r="AA26" s="90">
        <f>IFERROR(((R26*V26)+(S26*W26)+(T26*X26)+(U26*Y26))/Materialtabell[[#This Row],[Transport 
km]],0)</f>
        <v>1.1363636363636365</v>
      </c>
      <c r="AB26" s="62" t="s">
        <v>205</v>
      </c>
      <c r="AC26" s="62" t="s">
        <v>416</v>
      </c>
      <c r="AD26" s="144"/>
      <c r="AE26" s="144"/>
      <c r="AF26" s="144"/>
      <c r="AG26" s="144"/>
      <c r="AH26" s="144"/>
      <c r="AI26" s="144"/>
    </row>
    <row r="27" spans="1:35" ht="15" customHeight="1" x14ac:dyDescent="0.2">
      <c r="A27" s="144"/>
      <c r="B27" s="73">
        <v>23</v>
      </c>
      <c r="C27" s="153" t="s">
        <v>407</v>
      </c>
      <c r="D27" s="62" t="s">
        <v>2</v>
      </c>
      <c r="E27" s="77">
        <v>500</v>
      </c>
      <c r="F27" s="62" t="s">
        <v>443</v>
      </c>
      <c r="G27" s="100">
        <v>0.19800000000000001</v>
      </c>
      <c r="H27" s="100">
        <v>0.19800000000000001</v>
      </c>
      <c r="I27" s="62" t="s">
        <v>19</v>
      </c>
      <c r="J27" s="62" t="s">
        <v>64</v>
      </c>
      <c r="K27" s="62" t="s">
        <v>19</v>
      </c>
      <c r="L27" s="62" t="s">
        <v>65</v>
      </c>
      <c r="M27" s="96" t="s">
        <v>414</v>
      </c>
      <c r="N27" s="85" t="s">
        <v>201</v>
      </c>
      <c r="O27" s="85" t="s">
        <v>202</v>
      </c>
      <c r="P27" s="85"/>
      <c r="Q27" s="86"/>
      <c r="R27" s="87">
        <v>400</v>
      </c>
      <c r="S27" s="87">
        <v>40</v>
      </c>
      <c r="T27" s="87">
        <v>0</v>
      </c>
      <c r="U27" s="88">
        <v>0</v>
      </c>
      <c r="V27" s="89">
        <v>1</v>
      </c>
      <c r="W27" s="89">
        <v>2.5</v>
      </c>
      <c r="X27" s="89">
        <v>0</v>
      </c>
      <c r="Y27" s="90">
        <v>0</v>
      </c>
      <c r="Z27" s="87">
        <f t="shared" si="0"/>
        <v>440</v>
      </c>
      <c r="AA27" s="90">
        <f>IFERROR(((R27*V27)+(S27*W27)+(T27*X27)+(U27*Y27))/Materialtabell[[#This Row],[Transport 
km]],0)</f>
        <v>1.1363636363636365</v>
      </c>
      <c r="AB27" s="62" t="s">
        <v>205</v>
      </c>
      <c r="AC27" s="62" t="s">
        <v>416</v>
      </c>
      <c r="AD27" s="144"/>
      <c r="AE27" s="144"/>
      <c r="AF27" s="144"/>
      <c r="AG27" s="144"/>
      <c r="AH27" s="144"/>
      <c r="AI27" s="144"/>
    </row>
    <row r="28" spans="1:35" ht="15" customHeight="1" x14ac:dyDescent="0.2">
      <c r="A28" s="144"/>
      <c r="B28" s="73">
        <v>24</v>
      </c>
      <c r="C28" s="153" t="s">
        <v>408</v>
      </c>
      <c r="D28" s="62" t="s">
        <v>2</v>
      </c>
      <c r="E28" s="77">
        <v>840</v>
      </c>
      <c r="F28" s="62" t="s">
        <v>443</v>
      </c>
      <c r="G28" s="100">
        <v>0.19800000000000001</v>
      </c>
      <c r="H28" s="100">
        <v>0.19800000000000001</v>
      </c>
      <c r="I28" s="62" t="s">
        <v>19</v>
      </c>
      <c r="J28" s="62" t="s">
        <v>64</v>
      </c>
      <c r="K28" s="62" t="s">
        <v>19</v>
      </c>
      <c r="L28" s="62" t="s">
        <v>65</v>
      </c>
      <c r="M28" s="96" t="s">
        <v>414</v>
      </c>
      <c r="N28" s="85" t="s">
        <v>201</v>
      </c>
      <c r="O28" s="85" t="s">
        <v>202</v>
      </c>
      <c r="P28" s="85"/>
      <c r="Q28" s="86"/>
      <c r="R28" s="87">
        <v>400</v>
      </c>
      <c r="S28" s="87">
        <v>40</v>
      </c>
      <c r="T28" s="87">
        <v>0</v>
      </c>
      <c r="U28" s="88">
        <v>0</v>
      </c>
      <c r="V28" s="89">
        <v>1</v>
      </c>
      <c r="W28" s="89">
        <v>2.5</v>
      </c>
      <c r="X28" s="89">
        <v>0</v>
      </c>
      <c r="Y28" s="90">
        <v>0</v>
      </c>
      <c r="Z28" s="87">
        <f>SUM(R28:U28)</f>
        <v>440</v>
      </c>
      <c r="AA28" s="90">
        <f>IFERROR(((R28*V28)+(S28*W28)+(T28*X28)+(U28*Y28))/Materialtabell[[#This Row],[Transport 
km]],0)</f>
        <v>1.1363636363636365</v>
      </c>
      <c r="AB28" s="62" t="s">
        <v>205</v>
      </c>
      <c r="AC28" s="62" t="s">
        <v>416</v>
      </c>
      <c r="AD28" s="144"/>
      <c r="AE28" s="144"/>
      <c r="AF28" s="144"/>
      <c r="AG28" s="144"/>
      <c r="AH28" s="144"/>
      <c r="AI28" s="144"/>
    </row>
    <row r="29" spans="1:35" ht="15" customHeight="1" x14ac:dyDescent="0.2">
      <c r="A29" s="144"/>
      <c r="B29" s="73">
        <v>25</v>
      </c>
      <c r="C29" s="153" t="s">
        <v>409</v>
      </c>
      <c r="D29" s="62" t="s">
        <v>2</v>
      </c>
      <c r="E29" s="77">
        <v>1290</v>
      </c>
      <c r="F29" s="62" t="s">
        <v>443</v>
      </c>
      <c r="G29" s="100">
        <v>0.19800000000000001</v>
      </c>
      <c r="H29" s="100">
        <v>0.19800000000000001</v>
      </c>
      <c r="I29" s="62" t="s">
        <v>19</v>
      </c>
      <c r="J29" s="62" t="s">
        <v>64</v>
      </c>
      <c r="K29" s="62" t="s">
        <v>19</v>
      </c>
      <c r="L29" s="62" t="s">
        <v>65</v>
      </c>
      <c r="M29" s="96" t="s">
        <v>414</v>
      </c>
      <c r="N29" s="85" t="s">
        <v>201</v>
      </c>
      <c r="O29" s="85" t="s">
        <v>202</v>
      </c>
      <c r="P29" s="85"/>
      <c r="Q29" s="86"/>
      <c r="R29" s="87">
        <v>400</v>
      </c>
      <c r="S29" s="87">
        <v>40</v>
      </c>
      <c r="T29" s="87">
        <v>0</v>
      </c>
      <c r="U29" s="88">
        <v>0</v>
      </c>
      <c r="V29" s="89">
        <v>1</v>
      </c>
      <c r="W29" s="89">
        <v>2.5</v>
      </c>
      <c r="X29" s="89">
        <v>0</v>
      </c>
      <c r="Y29" s="90">
        <v>0</v>
      </c>
      <c r="Z29" s="87">
        <f>SUM(R29:U29)</f>
        <v>440</v>
      </c>
      <c r="AA29" s="90">
        <f>IFERROR(((R29*V29)+(S29*W29)+(T29*X29)+(U29*Y29))/Materialtabell[[#This Row],[Transport 
km]],0)</f>
        <v>1.1363636363636365</v>
      </c>
      <c r="AB29" s="62" t="s">
        <v>205</v>
      </c>
      <c r="AC29" s="62" t="s">
        <v>416</v>
      </c>
      <c r="AD29" s="144"/>
      <c r="AE29" s="144"/>
      <c r="AF29" s="144"/>
      <c r="AG29" s="144"/>
      <c r="AH29" s="144"/>
      <c r="AI29" s="144"/>
    </row>
    <row r="30" spans="1:35" ht="15" customHeight="1" x14ac:dyDescent="0.2">
      <c r="A30" s="144"/>
      <c r="B30" s="73">
        <v>26</v>
      </c>
      <c r="C30" s="153" t="s">
        <v>410</v>
      </c>
      <c r="D30" s="62" t="s">
        <v>2</v>
      </c>
      <c r="E30" s="77">
        <v>1750</v>
      </c>
      <c r="F30" s="62" t="s">
        <v>443</v>
      </c>
      <c r="G30" s="100">
        <v>0.19800000000000001</v>
      </c>
      <c r="H30" s="100">
        <v>0.19800000000000001</v>
      </c>
      <c r="I30" s="62" t="s">
        <v>19</v>
      </c>
      <c r="J30" s="62" t="s">
        <v>64</v>
      </c>
      <c r="K30" s="62" t="s">
        <v>19</v>
      </c>
      <c r="L30" s="62" t="s">
        <v>65</v>
      </c>
      <c r="M30" s="96" t="s">
        <v>414</v>
      </c>
      <c r="N30" s="85" t="s">
        <v>201</v>
      </c>
      <c r="O30" s="85" t="s">
        <v>202</v>
      </c>
      <c r="P30" s="85"/>
      <c r="Q30" s="86"/>
      <c r="R30" s="87">
        <v>400</v>
      </c>
      <c r="S30" s="87">
        <v>40</v>
      </c>
      <c r="T30" s="87">
        <v>0</v>
      </c>
      <c r="U30" s="88">
        <v>0</v>
      </c>
      <c r="V30" s="89">
        <v>1</v>
      </c>
      <c r="W30" s="89">
        <v>2.5</v>
      </c>
      <c r="X30" s="89">
        <v>0</v>
      </c>
      <c r="Y30" s="90">
        <v>0</v>
      </c>
      <c r="Z30" s="87">
        <f t="shared" si="0"/>
        <v>440</v>
      </c>
      <c r="AA30" s="90">
        <f>IFERROR(((R30*V30)+(S30*W30)+(T30*X30)+(U30*Y30))/Materialtabell[[#This Row],[Transport 
km]],0)</f>
        <v>1.1363636363636365</v>
      </c>
      <c r="AB30" s="62" t="s">
        <v>205</v>
      </c>
      <c r="AC30" s="62" t="s">
        <v>416</v>
      </c>
      <c r="AD30" s="144"/>
      <c r="AE30" s="144"/>
      <c r="AF30" s="144"/>
      <c r="AG30" s="144"/>
      <c r="AH30" s="144"/>
      <c r="AI30" s="144"/>
    </row>
    <row r="31" spans="1:35" ht="15" customHeight="1" x14ac:dyDescent="0.2">
      <c r="A31" s="144"/>
      <c r="B31" s="73">
        <v>27</v>
      </c>
      <c r="C31" s="153" t="s">
        <v>411</v>
      </c>
      <c r="D31" s="62" t="s">
        <v>2</v>
      </c>
      <c r="E31" s="77">
        <v>120</v>
      </c>
      <c r="F31" s="62" t="s">
        <v>443</v>
      </c>
      <c r="G31" s="100">
        <v>0.19800000000000001</v>
      </c>
      <c r="H31" s="100">
        <v>0.19800000000000001</v>
      </c>
      <c r="I31" s="62" t="s">
        <v>19</v>
      </c>
      <c r="J31" s="62" t="s">
        <v>64</v>
      </c>
      <c r="K31" s="62" t="s">
        <v>19</v>
      </c>
      <c r="L31" s="62" t="s">
        <v>65</v>
      </c>
      <c r="M31" s="96" t="s">
        <v>414</v>
      </c>
      <c r="N31" s="85" t="s">
        <v>201</v>
      </c>
      <c r="O31" s="85" t="s">
        <v>202</v>
      </c>
      <c r="P31" s="85"/>
      <c r="Q31" s="86"/>
      <c r="R31" s="87">
        <v>400</v>
      </c>
      <c r="S31" s="87">
        <v>40</v>
      </c>
      <c r="T31" s="87">
        <v>0</v>
      </c>
      <c r="U31" s="88">
        <v>0</v>
      </c>
      <c r="V31" s="89">
        <v>1</v>
      </c>
      <c r="W31" s="89">
        <v>2.5</v>
      </c>
      <c r="X31" s="89">
        <v>0</v>
      </c>
      <c r="Y31" s="90">
        <v>0</v>
      </c>
      <c r="Z31" s="87">
        <f t="shared" si="0"/>
        <v>440</v>
      </c>
      <c r="AA31" s="90">
        <f>IFERROR(((R31*V31)+(S31*W31)+(T31*X31)+(U31*Y31))/Materialtabell[[#This Row],[Transport 
km]],0)</f>
        <v>1.1363636363636365</v>
      </c>
      <c r="AB31" s="62" t="s">
        <v>205</v>
      </c>
      <c r="AC31" s="62" t="s">
        <v>416</v>
      </c>
      <c r="AD31" s="144"/>
      <c r="AE31" s="144"/>
      <c r="AF31" s="144"/>
      <c r="AG31" s="144"/>
      <c r="AH31" s="144"/>
      <c r="AI31" s="144"/>
    </row>
    <row r="32" spans="1:35" ht="15" customHeight="1" x14ac:dyDescent="0.2">
      <c r="A32" s="144"/>
      <c r="B32" s="73">
        <v>28</v>
      </c>
      <c r="C32" s="153" t="s">
        <v>412</v>
      </c>
      <c r="D32" s="62" t="s">
        <v>2</v>
      </c>
      <c r="E32" s="77">
        <v>250</v>
      </c>
      <c r="F32" s="62" t="s">
        <v>443</v>
      </c>
      <c r="G32" s="100">
        <v>0.19800000000000001</v>
      </c>
      <c r="H32" s="100">
        <v>0.19800000000000001</v>
      </c>
      <c r="I32" s="62" t="s">
        <v>19</v>
      </c>
      <c r="J32" s="62" t="s">
        <v>64</v>
      </c>
      <c r="K32" s="62" t="s">
        <v>19</v>
      </c>
      <c r="L32" s="62" t="s">
        <v>65</v>
      </c>
      <c r="M32" s="96" t="s">
        <v>414</v>
      </c>
      <c r="N32" s="85" t="s">
        <v>201</v>
      </c>
      <c r="O32" s="85" t="s">
        <v>202</v>
      </c>
      <c r="P32" s="85"/>
      <c r="Q32" s="86"/>
      <c r="R32" s="87">
        <v>400</v>
      </c>
      <c r="S32" s="87">
        <v>40</v>
      </c>
      <c r="T32" s="87">
        <v>0</v>
      </c>
      <c r="U32" s="88">
        <v>0</v>
      </c>
      <c r="V32" s="89">
        <v>1</v>
      </c>
      <c r="W32" s="89">
        <v>2.5</v>
      </c>
      <c r="X32" s="89">
        <v>0</v>
      </c>
      <c r="Y32" s="90">
        <v>0</v>
      </c>
      <c r="Z32" s="87">
        <f t="shared" si="0"/>
        <v>440</v>
      </c>
      <c r="AA32" s="90">
        <f>IFERROR(((R32*V32)+(S32*W32)+(T32*X32)+(U32*Y32))/Materialtabell[[#This Row],[Transport 
km]],0)</f>
        <v>1.1363636363636365</v>
      </c>
      <c r="AB32" s="62" t="s">
        <v>205</v>
      </c>
      <c r="AC32" s="62" t="s">
        <v>416</v>
      </c>
      <c r="AD32" s="144"/>
      <c r="AE32" s="144"/>
      <c r="AF32" s="144"/>
      <c r="AG32" s="144"/>
      <c r="AH32" s="144"/>
      <c r="AI32" s="144"/>
    </row>
    <row r="33" spans="1:35" ht="15" customHeight="1" x14ac:dyDescent="0.2">
      <c r="A33" s="144"/>
      <c r="B33" s="73">
        <v>29</v>
      </c>
      <c r="C33" s="153" t="s">
        <v>413</v>
      </c>
      <c r="D33" s="62" t="s">
        <v>2</v>
      </c>
      <c r="E33" s="77">
        <v>500</v>
      </c>
      <c r="F33" s="62" t="s">
        <v>443</v>
      </c>
      <c r="G33" s="100">
        <v>0.19800000000000001</v>
      </c>
      <c r="H33" s="100">
        <v>0.19800000000000001</v>
      </c>
      <c r="I33" s="62" t="s">
        <v>19</v>
      </c>
      <c r="J33" s="62" t="s">
        <v>64</v>
      </c>
      <c r="K33" s="62" t="s">
        <v>19</v>
      </c>
      <c r="L33" s="62" t="s">
        <v>65</v>
      </c>
      <c r="M33" s="96" t="s">
        <v>414</v>
      </c>
      <c r="N33" s="85" t="s">
        <v>201</v>
      </c>
      <c r="O33" s="85" t="s">
        <v>202</v>
      </c>
      <c r="P33" s="85"/>
      <c r="Q33" s="86"/>
      <c r="R33" s="87">
        <v>400</v>
      </c>
      <c r="S33" s="87">
        <v>40</v>
      </c>
      <c r="T33" s="87">
        <v>0</v>
      </c>
      <c r="U33" s="88">
        <v>0</v>
      </c>
      <c r="V33" s="89">
        <v>1</v>
      </c>
      <c r="W33" s="89">
        <v>2.5</v>
      </c>
      <c r="X33" s="89">
        <v>0</v>
      </c>
      <c r="Y33" s="90">
        <v>0</v>
      </c>
      <c r="Z33" s="87">
        <f>SUM(R33:U33)</f>
        <v>440</v>
      </c>
      <c r="AA33" s="90">
        <f>IFERROR(((R33*V33)+(S33*W33)+(T33*X33)+(U33*Y33))/Materialtabell[[#This Row],[Transport 
km]],0)</f>
        <v>1.1363636363636365</v>
      </c>
      <c r="AB33" s="62" t="s">
        <v>205</v>
      </c>
      <c r="AC33" s="62" t="s">
        <v>416</v>
      </c>
      <c r="AD33" s="144"/>
      <c r="AE33" s="144"/>
      <c r="AF33" s="144"/>
      <c r="AG33" s="144"/>
      <c r="AH33" s="144"/>
      <c r="AI33" s="144"/>
    </row>
    <row r="34" spans="1:35" ht="15" customHeight="1" x14ac:dyDescent="0.2">
      <c r="A34" s="144"/>
      <c r="B34" s="73">
        <v>30</v>
      </c>
      <c r="C34" s="153" t="s">
        <v>281</v>
      </c>
      <c r="D34" s="62" t="s">
        <v>2</v>
      </c>
      <c r="E34" s="77">
        <v>2350</v>
      </c>
      <c r="F34" s="62" t="s">
        <v>111</v>
      </c>
      <c r="G34" s="100">
        <v>0.16400000000000001</v>
      </c>
      <c r="H34" s="100">
        <v>0.13</v>
      </c>
      <c r="I34" s="62" t="s">
        <v>67</v>
      </c>
      <c r="J34" s="62" t="s">
        <v>143</v>
      </c>
      <c r="K34" s="62" t="s">
        <v>144</v>
      </c>
      <c r="L34" s="62" t="s">
        <v>133</v>
      </c>
      <c r="M34" s="96"/>
      <c r="N34" s="85" t="s">
        <v>202</v>
      </c>
      <c r="O34" s="85"/>
      <c r="P34" s="85"/>
      <c r="Q34" s="86"/>
      <c r="R34" s="87">
        <v>35</v>
      </c>
      <c r="S34" s="87">
        <v>0</v>
      </c>
      <c r="T34" s="87">
        <v>0</v>
      </c>
      <c r="U34" s="88">
        <v>0</v>
      </c>
      <c r="V34" s="89">
        <v>2.5</v>
      </c>
      <c r="W34" s="89">
        <v>0</v>
      </c>
      <c r="X34" s="89">
        <v>0</v>
      </c>
      <c r="Y34" s="90">
        <v>0</v>
      </c>
      <c r="Z34" s="87">
        <f t="shared" si="0"/>
        <v>35</v>
      </c>
      <c r="AA34" s="90">
        <f>IFERROR(((R34*V34)+(S34*W34)+(T34*X34)+(U34*Y34))/Materialtabell[[#This Row],[Transport 
km]],0)</f>
        <v>2.5</v>
      </c>
      <c r="AB34" s="62" t="s">
        <v>206</v>
      </c>
      <c r="AC34" s="62"/>
      <c r="AD34" s="144"/>
      <c r="AE34" s="144"/>
      <c r="AF34" s="144"/>
      <c r="AG34" s="144"/>
      <c r="AH34" s="144"/>
      <c r="AI34" s="144"/>
    </row>
    <row r="35" spans="1:35" ht="15" customHeight="1" x14ac:dyDescent="0.2">
      <c r="A35" s="144"/>
      <c r="B35" s="73">
        <v>31</v>
      </c>
      <c r="C35" s="153" t="s">
        <v>282</v>
      </c>
      <c r="D35" s="62" t="s">
        <v>2</v>
      </c>
      <c r="E35" s="77">
        <v>34.6</v>
      </c>
      <c r="F35" s="62" t="s">
        <v>145</v>
      </c>
      <c r="G35" s="100">
        <v>1.1601156069364162</v>
      </c>
      <c r="H35" s="100">
        <v>1.1283236994219652</v>
      </c>
      <c r="I35" s="62" t="s">
        <v>4</v>
      </c>
      <c r="J35" s="62" t="s">
        <v>61</v>
      </c>
      <c r="K35" s="63" t="s">
        <v>4</v>
      </c>
      <c r="L35" s="62" t="s">
        <v>62</v>
      </c>
      <c r="M35" s="96"/>
      <c r="N35" s="85" t="s">
        <v>201</v>
      </c>
      <c r="O35" s="85" t="s">
        <v>202</v>
      </c>
      <c r="P35" s="85"/>
      <c r="Q35" s="86"/>
      <c r="R35" s="87">
        <v>700</v>
      </c>
      <c r="S35" s="87">
        <v>40</v>
      </c>
      <c r="T35" s="87">
        <v>0</v>
      </c>
      <c r="U35" s="88">
        <v>0</v>
      </c>
      <c r="V35" s="89">
        <v>1</v>
      </c>
      <c r="W35" s="89">
        <v>2.5</v>
      </c>
      <c r="X35" s="89">
        <v>0</v>
      </c>
      <c r="Y35" s="90">
        <v>0</v>
      </c>
      <c r="Z35" s="87">
        <f t="shared" si="0"/>
        <v>740</v>
      </c>
      <c r="AA35" s="90">
        <f>IFERROR(((R35*V35)+(S35*W35)+(T35*X35)+(U35*Y35))/Materialtabell[[#This Row],[Transport 
km]],0)</f>
        <v>1.0810810810810811</v>
      </c>
      <c r="AB35" s="62" t="s">
        <v>207</v>
      </c>
      <c r="AC35" s="62" t="s">
        <v>208</v>
      </c>
      <c r="AD35" s="144"/>
      <c r="AE35" s="144"/>
      <c r="AF35" s="144"/>
      <c r="AG35" s="144"/>
      <c r="AH35" s="144"/>
      <c r="AI35" s="144"/>
    </row>
    <row r="36" spans="1:35" ht="15" customHeight="1" x14ac:dyDescent="0.2">
      <c r="A36" s="144"/>
      <c r="B36" s="73">
        <v>32</v>
      </c>
      <c r="C36" s="153" t="s">
        <v>283</v>
      </c>
      <c r="D36" s="62" t="s">
        <v>2</v>
      </c>
      <c r="E36" s="156" t="s">
        <v>353</v>
      </c>
      <c r="F36" s="155" t="s">
        <v>353</v>
      </c>
      <c r="G36" s="100">
        <v>1.0900000000000001</v>
      </c>
      <c r="H36" s="100">
        <v>1.0900000000000001</v>
      </c>
      <c r="I36" s="62" t="s">
        <v>20</v>
      </c>
      <c r="J36" s="62" t="s">
        <v>61</v>
      </c>
      <c r="K36" s="62" t="s">
        <v>20</v>
      </c>
      <c r="L36" s="62" t="s">
        <v>62</v>
      </c>
      <c r="M36" s="96"/>
      <c r="N36" s="85" t="s">
        <v>201</v>
      </c>
      <c r="O36" s="85" t="s">
        <v>202</v>
      </c>
      <c r="P36" s="85"/>
      <c r="Q36" s="86"/>
      <c r="R36" s="87">
        <v>1000</v>
      </c>
      <c r="S36" s="87">
        <v>40</v>
      </c>
      <c r="T36" s="87">
        <v>0</v>
      </c>
      <c r="U36" s="88">
        <v>0</v>
      </c>
      <c r="V36" s="89">
        <v>1</v>
      </c>
      <c r="W36" s="89">
        <v>2.5</v>
      </c>
      <c r="X36" s="89">
        <v>0</v>
      </c>
      <c r="Y36" s="90">
        <v>0</v>
      </c>
      <c r="Z36" s="87">
        <f t="shared" si="0"/>
        <v>1040</v>
      </c>
      <c r="AA36" s="90">
        <f>IFERROR(((R36*V36)+(S36*W36)+(T36*X36)+(U36*Y36))/Materialtabell[[#This Row],[Transport 
km]],0)</f>
        <v>1.0576923076923077</v>
      </c>
      <c r="AB36" s="62" t="s">
        <v>209</v>
      </c>
      <c r="AC36" s="62"/>
      <c r="AD36" s="144"/>
      <c r="AE36" s="144"/>
      <c r="AF36" s="144"/>
      <c r="AG36" s="144"/>
      <c r="AH36" s="144"/>
      <c r="AI36" s="144"/>
    </row>
    <row r="37" spans="1:35" ht="15" customHeight="1" x14ac:dyDescent="0.2">
      <c r="A37" s="144"/>
      <c r="B37" s="73">
        <v>33</v>
      </c>
      <c r="C37" s="75" t="s">
        <v>284</v>
      </c>
      <c r="D37" s="75" t="s">
        <v>2</v>
      </c>
      <c r="E37" s="77">
        <f>2400/1000*50</f>
        <v>120</v>
      </c>
      <c r="F37" s="62" t="s">
        <v>110</v>
      </c>
      <c r="G37" s="100">
        <v>0.13500000000000001</v>
      </c>
      <c r="H37" s="100">
        <v>0.13500000000000001</v>
      </c>
      <c r="I37" s="62" t="s">
        <v>69</v>
      </c>
      <c r="J37" s="62" t="s">
        <v>63</v>
      </c>
      <c r="K37" s="62" t="s">
        <v>69</v>
      </c>
      <c r="L37" s="62" t="s">
        <v>63</v>
      </c>
      <c r="M37" s="96" t="s">
        <v>419</v>
      </c>
      <c r="N37" s="85" t="s">
        <v>201</v>
      </c>
      <c r="O37" s="85" t="s">
        <v>202</v>
      </c>
      <c r="P37" s="85"/>
      <c r="Q37" s="86"/>
      <c r="R37" s="87">
        <v>400</v>
      </c>
      <c r="S37" s="87">
        <v>40</v>
      </c>
      <c r="T37" s="87">
        <v>0</v>
      </c>
      <c r="U37" s="88">
        <v>0</v>
      </c>
      <c r="V37" s="89">
        <v>1</v>
      </c>
      <c r="W37" s="89">
        <v>2.5</v>
      </c>
      <c r="X37" s="89">
        <v>0</v>
      </c>
      <c r="Y37" s="90">
        <v>0</v>
      </c>
      <c r="Z37" s="87">
        <f t="shared" si="0"/>
        <v>440</v>
      </c>
      <c r="AA37" s="90">
        <f>IFERROR(((R37*V37)+(S37*W37)+(T37*X37)+(U37*Y37))/Materialtabell[[#This Row],[Transport 
km]],0)</f>
        <v>1.1363636363636365</v>
      </c>
      <c r="AB37" s="62" t="s">
        <v>205</v>
      </c>
      <c r="AC37" s="62"/>
      <c r="AD37" s="144"/>
      <c r="AE37" s="144"/>
      <c r="AF37" s="144"/>
      <c r="AG37" s="144"/>
      <c r="AH37" s="144"/>
      <c r="AI37" s="144"/>
    </row>
    <row r="38" spans="1:35" ht="15" customHeight="1" x14ac:dyDescent="0.2">
      <c r="A38" s="144"/>
      <c r="B38" s="73">
        <v>34</v>
      </c>
      <c r="C38" s="75" t="s">
        <v>285</v>
      </c>
      <c r="D38" s="75" t="s">
        <v>2</v>
      </c>
      <c r="E38" s="77">
        <f>2400/1000*100</f>
        <v>240</v>
      </c>
      <c r="F38" s="62" t="s">
        <v>110</v>
      </c>
      <c r="G38" s="100">
        <v>0.13500000000000001</v>
      </c>
      <c r="H38" s="100">
        <v>0.13500000000000001</v>
      </c>
      <c r="I38" s="62" t="s">
        <v>69</v>
      </c>
      <c r="J38" s="62" t="s">
        <v>63</v>
      </c>
      <c r="K38" s="62" t="s">
        <v>69</v>
      </c>
      <c r="L38" s="62" t="s">
        <v>63</v>
      </c>
      <c r="M38" s="96"/>
      <c r="N38" s="85" t="s">
        <v>201</v>
      </c>
      <c r="O38" s="85" t="s">
        <v>202</v>
      </c>
      <c r="P38" s="85"/>
      <c r="Q38" s="86"/>
      <c r="R38" s="87">
        <v>400</v>
      </c>
      <c r="S38" s="87">
        <v>40</v>
      </c>
      <c r="T38" s="87">
        <v>0</v>
      </c>
      <c r="U38" s="88">
        <v>0</v>
      </c>
      <c r="V38" s="89">
        <v>1</v>
      </c>
      <c r="W38" s="89">
        <v>2.5</v>
      </c>
      <c r="X38" s="89">
        <v>0</v>
      </c>
      <c r="Y38" s="90">
        <v>0</v>
      </c>
      <c r="Z38" s="87">
        <f t="shared" si="0"/>
        <v>440</v>
      </c>
      <c r="AA38" s="90">
        <f>IFERROR(((R38*V38)+(S38*W38)+(T38*X38)+(U38*Y38))/Materialtabell[[#This Row],[Transport 
km]],0)</f>
        <v>1.1363636363636365</v>
      </c>
      <c r="AB38" s="62" t="s">
        <v>205</v>
      </c>
      <c r="AC38" s="62"/>
      <c r="AD38" s="144"/>
      <c r="AE38" s="144"/>
      <c r="AF38" s="144"/>
      <c r="AG38" s="144"/>
      <c r="AH38" s="144"/>
      <c r="AI38" s="144"/>
    </row>
    <row r="39" spans="1:35" ht="15" customHeight="1" x14ac:dyDescent="0.2">
      <c r="A39" s="144"/>
      <c r="B39" s="73">
        <v>35</v>
      </c>
      <c r="C39" s="75" t="s">
        <v>286</v>
      </c>
      <c r="D39" s="75" t="s">
        <v>2</v>
      </c>
      <c r="E39" s="77">
        <v>2350</v>
      </c>
      <c r="F39" s="62" t="s">
        <v>111</v>
      </c>
      <c r="G39" s="100">
        <v>0.125</v>
      </c>
      <c r="H39" s="100">
        <v>0.109</v>
      </c>
      <c r="I39" s="62" t="s">
        <v>137</v>
      </c>
      <c r="J39" s="62" t="s">
        <v>138</v>
      </c>
      <c r="K39" s="62" t="s">
        <v>140</v>
      </c>
      <c r="L39" s="62" t="s">
        <v>62</v>
      </c>
      <c r="M39" s="96"/>
      <c r="N39" s="85" t="s">
        <v>202</v>
      </c>
      <c r="O39" s="85"/>
      <c r="P39" s="85"/>
      <c r="Q39" s="86"/>
      <c r="R39" s="87">
        <v>35</v>
      </c>
      <c r="S39" s="87">
        <v>0</v>
      </c>
      <c r="T39" s="87">
        <v>0</v>
      </c>
      <c r="U39" s="88">
        <v>0</v>
      </c>
      <c r="V39" s="89">
        <v>2.5</v>
      </c>
      <c r="W39" s="89">
        <v>0</v>
      </c>
      <c r="X39" s="89">
        <v>0</v>
      </c>
      <c r="Y39" s="90">
        <v>0</v>
      </c>
      <c r="Z39" s="87">
        <f t="shared" si="0"/>
        <v>35</v>
      </c>
      <c r="AA39" s="90">
        <f>IFERROR(((R39*V39)+(S39*W39)+(T39*X39)+(U39*Y39))/Materialtabell[[#This Row],[Transport 
km]],0)</f>
        <v>2.5</v>
      </c>
      <c r="AB39" s="62" t="s">
        <v>206</v>
      </c>
      <c r="AC39" s="62"/>
      <c r="AD39" s="144"/>
      <c r="AE39" s="144"/>
      <c r="AF39" s="144"/>
      <c r="AG39" s="144"/>
      <c r="AH39" s="144"/>
      <c r="AI39" s="144"/>
    </row>
    <row r="40" spans="1:35" ht="15" customHeight="1" x14ac:dyDescent="0.2">
      <c r="A40" s="144"/>
      <c r="B40" s="73">
        <v>36</v>
      </c>
      <c r="C40" s="62" t="s">
        <v>287</v>
      </c>
      <c r="D40" s="62" t="s">
        <v>2</v>
      </c>
      <c r="E40" s="77">
        <v>2350</v>
      </c>
      <c r="F40" s="62" t="s">
        <v>111</v>
      </c>
      <c r="G40" s="100">
        <v>0.125</v>
      </c>
      <c r="H40" s="100">
        <v>0.12</v>
      </c>
      <c r="I40" s="62" t="s">
        <v>137</v>
      </c>
      <c r="J40" s="62" t="s">
        <v>138</v>
      </c>
      <c r="K40" s="62" t="s">
        <v>139</v>
      </c>
      <c r="L40" s="62" t="s">
        <v>133</v>
      </c>
      <c r="M40" s="96" t="s">
        <v>151</v>
      </c>
      <c r="N40" s="85" t="s">
        <v>202</v>
      </c>
      <c r="O40" s="85"/>
      <c r="P40" s="85"/>
      <c r="Q40" s="86"/>
      <c r="R40" s="87">
        <v>35</v>
      </c>
      <c r="S40" s="87">
        <v>0</v>
      </c>
      <c r="T40" s="87">
        <v>0</v>
      </c>
      <c r="U40" s="88">
        <v>0</v>
      </c>
      <c r="V40" s="89">
        <v>2.5</v>
      </c>
      <c r="W40" s="89">
        <v>0</v>
      </c>
      <c r="X40" s="89">
        <v>0</v>
      </c>
      <c r="Y40" s="90">
        <v>0</v>
      </c>
      <c r="Z40" s="87">
        <f t="shared" si="0"/>
        <v>35</v>
      </c>
      <c r="AA40" s="90">
        <f>IFERROR(((R40*V40)+(S40*W40)+(T40*X40)+(U40*Y40))/Materialtabell[[#This Row],[Transport 
km]],0)</f>
        <v>2.5</v>
      </c>
      <c r="AB40" s="62" t="s">
        <v>206</v>
      </c>
      <c r="AC40" s="62"/>
      <c r="AD40" s="144"/>
      <c r="AE40" s="144"/>
      <c r="AF40" s="144"/>
      <c r="AG40" s="144"/>
      <c r="AH40" s="144"/>
      <c r="AI40" s="144"/>
    </row>
    <row r="41" spans="1:35" ht="15" customHeight="1" x14ac:dyDescent="0.2">
      <c r="A41" s="144"/>
      <c r="B41" s="73">
        <v>37</v>
      </c>
      <c r="C41" s="62" t="s">
        <v>288</v>
      </c>
      <c r="D41" s="62" t="s">
        <v>2</v>
      </c>
      <c r="E41" s="77">
        <v>2350</v>
      </c>
      <c r="F41" s="62" t="s">
        <v>111</v>
      </c>
      <c r="G41" s="100">
        <v>0.14499999999999999</v>
      </c>
      <c r="H41" s="100">
        <v>0.13</v>
      </c>
      <c r="I41" s="62" t="s">
        <v>82</v>
      </c>
      <c r="J41" s="62" t="s">
        <v>143</v>
      </c>
      <c r="K41" s="62" t="s">
        <v>144</v>
      </c>
      <c r="L41" s="62" t="s">
        <v>133</v>
      </c>
      <c r="M41" s="96" t="s">
        <v>151</v>
      </c>
      <c r="N41" s="85" t="s">
        <v>197</v>
      </c>
      <c r="O41" s="85"/>
      <c r="P41" s="85"/>
      <c r="Q41" s="86"/>
      <c r="R41" s="87">
        <v>35</v>
      </c>
      <c r="S41" s="87">
        <v>0</v>
      </c>
      <c r="T41" s="87">
        <v>0</v>
      </c>
      <c r="U41" s="88">
        <v>0</v>
      </c>
      <c r="V41" s="89">
        <v>1.5</v>
      </c>
      <c r="W41" s="89">
        <v>0</v>
      </c>
      <c r="X41" s="89">
        <v>0</v>
      </c>
      <c r="Y41" s="90">
        <v>0</v>
      </c>
      <c r="Z41" s="87">
        <f t="shared" si="0"/>
        <v>35</v>
      </c>
      <c r="AA41" s="90">
        <f>IFERROR(((R41*V41)+(S41*W41)+(T41*X41)+(U41*Y41))/Materialtabell[[#This Row],[Transport 
km]],0)</f>
        <v>1.5</v>
      </c>
      <c r="AB41" s="62" t="s">
        <v>210</v>
      </c>
      <c r="AC41" s="62"/>
      <c r="AD41" s="144"/>
      <c r="AE41" s="144"/>
      <c r="AF41" s="144"/>
      <c r="AG41" s="144"/>
      <c r="AH41" s="144"/>
      <c r="AI41" s="144"/>
    </row>
    <row r="42" spans="1:35" ht="15" customHeight="1" x14ac:dyDescent="0.2">
      <c r="A42" s="144"/>
      <c r="B42" s="73">
        <v>38</v>
      </c>
      <c r="C42" s="62" t="s">
        <v>289</v>
      </c>
      <c r="D42" s="62" t="s">
        <v>22</v>
      </c>
      <c r="E42" s="77">
        <v>7850</v>
      </c>
      <c r="F42" s="62" t="s">
        <v>111</v>
      </c>
      <c r="G42" s="100">
        <v>2.6</v>
      </c>
      <c r="H42" s="100">
        <v>2.39</v>
      </c>
      <c r="I42" s="62" t="s">
        <v>71</v>
      </c>
      <c r="J42" s="62" t="s">
        <v>61</v>
      </c>
      <c r="K42" s="63" t="s">
        <v>71</v>
      </c>
      <c r="L42" s="62" t="s">
        <v>62</v>
      </c>
      <c r="M42" s="96"/>
      <c r="N42" s="85" t="s">
        <v>201</v>
      </c>
      <c r="O42" s="85" t="s">
        <v>202</v>
      </c>
      <c r="P42" s="85"/>
      <c r="Q42" s="86"/>
      <c r="R42" s="87">
        <v>1000</v>
      </c>
      <c r="S42" s="87">
        <v>40</v>
      </c>
      <c r="T42" s="87">
        <v>0</v>
      </c>
      <c r="U42" s="88">
        <v>0</v>
      </c>
      <c r="V42" s="89">
        <v>1</v>
      </c>
      <c r="W42" s="89">
        <v>2.5</v>
      </c>
      <c r="X42" s="89">
        <v>0</v>
      </c>
      <c r="Y42" s="90">
        <v>0</v>
      </c>
      <c r="Z42" s="87">
        <f t="shared" si="0"/>
        <v>1040</v>
      </c>
      <c r="AA42" s="90">
        <f>IFERROR(((R42*V42)+(S42*W42)+(T42*X42)+(U42*Y42))/Materialtabell[[#This Row],[Transport 
km]],0)</f>
        <v>1.0576923076923077</v>
      </c>
      <c r="AB42" s="62" t="s">
        <v>254</v>
      </c>
      <c r="AC42" s="62" t="s">
        <v>255</v>
      </c>
      <c r="AD42" s="144"/>
      <c r="AE42" s="144"/>
      <c r="AF42" s="144"/>
      <c r="AG42" s="144"/>
      <c r="AH42" s="144"/>
      <c r="AI42" s="144"/>
    </row>
    <row r="43" spans="1:35" ht="15" customHeight="1" x14ac:dyDescent="0.2">
      <c r="A43" s="144"/>
      <c r="B43" s="73">
        <v>39</v>
      </c>
      <c r="C43" s="62" t="s">
        <v>290</v>
      </c>
      <c r="D43" s="62" t="s">
        <v>22</v>
      </c>
      <c r="E43" s="77">
        <v>10</v>
      </c>
      <c r="F43" s="62" t="s">
        <v>443</v>
      </c>
      <c r="G43" s="100">
        <v>2.6</v>
      </c>
      <c r="H43" s="100">
        <v>2.39</v>
      </c>
      <c r="I43" s="62" t="s">
        <v>71</v>
      </c>
      <c r="J43" s="62" t="s">
        <v>61</v>
      </c>
      <c r="K43" s="63" t="s">
        <v>71</v>
      </c>
      <c r="L43" s="62" t="s">
        <v>62</v>
      </c>
      <c r="M43" s="96" t="s">
        <v>414</v>
      </c>
      <c r="N43" s="85" t="s">
        <v>201</v>
      </c>
      <c r="O43" s="85" t="s">
        <v>202</v>
      </c>
      <c r="P43" s="85"/>
      <c r="Q43" s="86"/>
      <c r="R43" s="87">
        <v>1000</v>
      </c>
      <c r="S43" s="87">
        <v>40</v>
      </c>
      <c r="T43" s="87">
        <v>0</v>
      </c>
      <c r="U43" s="88">
        <v>0</v>
      </c>
      <c r="V43" s="89">
        <v>1</v>
      </c>
      <c r="W43" s="89">
        <v>2.5</v>
      </c>
      <c r="X43" s="89">
        <v>0</v>
      </c>
      <c r="Y43" s="90">
        <v>0</v>
      </c>
      <c r="Z43" s="87">
        <f t="shared" ref="Z43:Z44" si="1">SUM(R43:U43)</f>
        <v>1040</v>
      </c>
      <c r="AA43" s="90">
        <f>IFERROR(((R43*V43)+(S43*W43)+(T43*X43)+(U43*Y43))/Materialtabell[[#This Row],[Transport 
km]],0)</f>
        <v>1.0576923076923077</v>
      </c>
      <c r="AB43" s="62" t="s">
        <v>254</v>
      </c>
      <c r="AC43" s="62" t="s">
        <v>415</v>
      </c>
      <c r="AD43" s="144"/>
      <c r="AE43" s="144"/>
      <c r="AF43" s="144"/>
      <c r="AG43" s="144"/>
      <c r="AH43" s="144"/>
      <c r="AI43" s="144"/>
    </row>
    <row r="44" spans="1:35" ht="15" customHeight="1" x14ac:dyDescent="0.2">
      <c r="A44" s="144"/>
      <c r="B44" s="73">
        <v>40</v>
      </c>
      <c r="C44" s="62" t="s">
        <v>291</v>
      </c>
      <c r="D44" s="62" t="s">
        <v>22</v>
      </c>
      <c r="E44" s="77">
        <v>2</v>
      </c>
      <c r="F44" s="62" t="s">
        <v>443</v>
      </c>
      <c r="G44" s="100">
        <v>2.6</v>
      </c>
      <c r="H44" s="100">
        <v>2.39</v>
      </c>
      <c r="I44" s="62" t="s">
        <v>71</v>
      </c>
      <c r="J44" s="62" t="s">
        <v>61</v>
      </c>
      <c r="K44" s="63" t="s">
        <v>71</v>
      </c>
      <c r="L44" s="62" t="s">
        <v>62</v>
      </c>
      <c r="M44" s="96" t="s">
        <v>414</v>
      </c>
      <c r="N44" s="85" t="s">
        <v>201</v>
      </c>
      <c r="O44" s="85" t="s">
        <v>202</v>
      </c>
      <c r="P44" s="85"/>
      <c r="Q44" s="86"/>
      <c r="R44" s="87">
        <v>1000</v>
      </c>
      <c r="S44" s="87">
        <v>40</v>
      </c>
      <c r="T44" s="87">
        <v>0</v>
      </c>
      <c r="U44" s="88">
        <v>0</v>
      </c>
      <c r="V44" s="89">
        <v>1</v>
      </c>
      <c r="W44" s="89">
        <v>2.5</v>
      </c>
      <c r="X44" s="89">
        <v>0</v>
      </c>
      <c r="Y44" s="90">
        <v>0</v>
      </c>
      <c r="Z44" s="87">
        <f t="shared" si="1"/>
        <v>1040</v>
      </c>
      <c r="AA44" s="90">
        <f>IFERROR(((R44*V44)+(S44*W44)+(T44*X44)+(U44*Y44))/Materialtabell[[#This Row],[Transport 
km]],0)</f>
        <v>1.0576923076923077</v>
      </c>
      <c r="AB44" s="62" t="s">
        <v>254</v>
      </c>
      <c r="AC44" s="62" t="s">
        <v>415</v>
      </c>
      <c r="AD44" s="144"/>
      <c r="AE44" s="144"/>
      <c r="AF44" s="144"/>
      <c r="AG44" s="144"/>
      <c r="AH44" s="144"/>
      <c r="AI44" s="144"/>
    </row>
    <row r="45" spans="1:35" ht="15" customHeight="1" x14ac:dyDescent="0.2">
      <c r="A45" s="144"/>
      <c r="B45" s="73">
        <v>41</v>
      </c>
      <c r="C45" s="62" t="s">
        <v>292</v>
      </c>
      <c r="D45" s="62" t="s">
        <v>22</v>
      </c>
      <c r="E45" s="77">
        <v>7850</v>
      </c>
      <c r="F45" s="62" t="s">
        <v>111</v>
      </c>
      <c r="G45" s="100">
        <v>2.27</v>
      </c>
      <c r="H45" s="100">
        <v>2.27</v>
      </c>
      <c r="I45" s="62" t="s">
        <v>115</v>
      </c>
      <c r="J45" s="62" t="s">
        <v>61</v>
      </c>
      <c r="K45" s="62" t="s">
        <v>115</v>
      </c>
      <c r="L45" s="62" t="s">
        <v>62</v>
      </c>
      <c r="M45" s="96"/>
      <c r="N45" s="85" t="s">
        <v>201</v>
      </c>
      <c r="O45" s="85" t="s">
        <v>202</v>
      </c>
      <c r="P45" s="85"/>
      <c r="Q45" s="86"/>
      <c r="R45" s="87">
        <v>1000</v>
      </c>
      <c r="S45" s="87">
        <v>40</v>
      </c>
      <c r="T45" s="87">
        <v>0</v>
      </c>
      <c r="U45" s="88">
        <v>0</v>
      </c>
      <c r="V45" s="89">
        <v>1</v>
      </c>
      <c r="W45" s="89">
        <v>2.5</v>
      </c>
      <c r="X45" s="89">
        <v>0</v>
      </c>
      <c r="Y45" s="90">
        <v>0</v>
      </c>
      <c r="Z45" s="87">
        <f t="shared" si="0"/>
        <v>1040</v>
      </c>
      <c r="AA45" s="90">
        <f>IFERROR(((R45*V45)+(S45*W45)+(T45*X45)+(U45*Y45))/Materialtabell[[#This Row],[Transport 
km]],0)</f>
        <v>1.0576923076923077</v>
      </c>
      <c r="AB45" s="62" t="s">
        <v>254</v>
      </c>
      <c r="AC45" s="62" t="s">
        <v>255</v>
      </c>
      <c r="AD45" s="144"/>
      <c r="AE45" s="144"/>
      <c r="AF45" s="144"/>
      <c r="AG45" s="144"/>
      <c r="AH45" s="144"/>
      <c r="AI45" s="144"/>
    </row>
    <row r="46" spans="1:35" ht="15" customHeight="1" x14ac:dyDescent="0.2">
      <c r="A46" s="144"/>
      <c r="B46" s="73">
        <v>42</v>
      </c>
      <c r="C46" s="62" t="s">
        <v>293</v>
      </c>
      <c r="D46" s="62" t="s">
        <v>22</v>
      </c>
      <c r="E46" s="77">
        <v>7850</v>
      </c>
      <c r="F46" s="62" t="s">
        <v>111</v>
      </c>
      <c r="G46" s="100">
        <v>3.42</v>
      </c>
      <c r="H46" s="100">
        <v>3.42</v>
      </c>
      <c r="I46" s="62" t="s">
        <v>116</v>
      </c>
      <c r="J46" s="62" t="s">
        <v>61</v>
      </c>
      <c r="K46" s="62" t="s">
        <v>116</v>
      </c>
      <c r="L46" s="62" t="s">
        <v>62</v>
      </c>
      <c r="M46" s="96"/>
      <c r="N46" s="85" t="s">
        <v>201</v>
      </c>
      <c r="O46" s="85" t="s">
        <v>202</v>
      </c>
      <c r="P46" s="85"/>
      <c r="Q46" s="86"/>
      <c r="R46" s="87">
        <v>1000</v>
      </c>
      <c r="S46" s="87">
        <v>40</v>
      </c>
      <c r="T46" s="87">
        <v>0</v>
      </c>
      <c r="U46" s="88">
        <v>0</v>
      </c>
      <c r="V46" s="89">
        <v>1</v>
      </c>
      <c r="W46" s="89">
        <v>2.5</v>
      </c>
      <c r="X46" s="89">
        <v>0</v>
      </c>
      <c r="Y46" s="90">
        <v>0</v>
      </c>
      <c r="Z46" s="87">
        <f t="shared" si="0"/>
        <v>1040</v>
      </c>
      <c r="AA46" s="90">
        <f>IFERROR(((R46*V46)+(S46*W46)+(T46*X46)+(U46*Y46))/Materialtabell[[#This Row],[Transport 
km]],0)</f>
        <v>1.0576923076923077</v>
      </c>
      <c r="AB46" s="62" t="s">
        <v>254</v>
      </c>
      <c r="AC46" s="62" t="s">
        <v>255</v>
      </c>
      <c r="AD46" s="144"/>
      <c r="AE46" s="144"/>
      <c r="AF46" s="144"/>
      <c r="AG46" s="144"/>
      <c r="AH46" s="144"/>
      <c r="AI46" s="144"/>
    </row>
    <row r="47" spans="1:35" ht="15" customHeight="1" x14ac:dyDescent="0.2">
      <c r="A47" s="144"/>
      <c r="B47" s="73">
        <v>43</v>
      </c>
      <c r="C47" s="62" t="s">
        <v>294</v>
      </c>
      <c r="D47" s="62" t="s">
        <v>22</v>
      </c>
      <c r="E47" s="77">
        <v>2700</v>
      </c>
      <c r="F47" s="62" t="s">
        <v>111</v>
      </c>
      <c r="G47" s="100">
        <v>9.16</v>
      </c>
      <c r="H47" s="100">
        <v>8.02</v>
      </c>
      <c r="I47" s="62" t="s">
        <v>23</v>
      </c>
      <c r="J47" s="62" t="s">
        <v>61</v>
      </c>
      <c r="K47" s="62" t="s">
        <v>23</v>
      </c>
      <c r="L47" s="62" t="s">
        <v>62</v>
      </c>
      <c r="M47" s="96" t="s">
        <v>153</v>
      </c>
      <c r="N47" s="85" t="s">
        <v>211</v>
      </c>
      <c r="O47" s="85" t="s">
        <v>212</v>
      </c>
      <c r="P47" s="85"/>
      <c r="Q47" s="86"/>
      <c r="R47" s="87">
        <v>400</v>
      </c>
      <c r="S47" s="87">
        <v>40</v>
      </c>
      <c r="T47" s="87">
        <v>0</v>
      </c>
      <c r="U47" s="88">
        <v>0</v>
      </c>
      <c r="V47" s="89">
        <v>1</v>
      </c>
      <c r="W47" s="89">
        <v>2.5</v>
      </c>
      <c r="X47" s="89">
        <v>0</v>
      </c>
      <c r="Y47" s="90">
        <v>0</v>
      </c>
      <c r="Z47" s="87">
        <f t="shared" si="0"/>
        <v>440</v>
      </c>
      <c r="AA47" s="90">
        <f>IFERROR(((R47*V47)+(S47*W47)+(T47*X47)+(U47*Y47))/Materialtabell[[#This Row],[Transport 
km]],0)</f>
        <v>1.1363636363636365</v>
      </c>
      <c r="AB47" s="62" t="s">
        <v>213</v>
      </c>
      <c r="AC47" s="62"/>
      <c r="AD47" s="144"/>
      <c r="AE47" s="144"/>
      <c r="AF47" s="144"/>
      <c r="AG47" s="144"/>
      <c r="AH47" s="144"/>
      <c r="AI47" s="144"/>
    </row>
    <row r="48" spans="1:35" ht="15" customHeight="1" x14ac:dyDescent="0.2">
      <c r="A48" s="144"/>
      <c r="B48" s="73">
        <v>44</v>
      </c>
      <c r="C48" s="62" t="s">
        <v>295</v>
      </c>
      <c r="D48" s="62" t="s">
        <v>22</v>
      </c>
      <c r="E48" s="77">
        <v>7850</v>
      </c>
      <c r="F48" s="62" t="s">
        <v>111</v>
      </c>
      <c r="G48" s="100">
        <v>0.7</v>
      </c>
      <c r="H48" s="100">
        <v>0.51900000000000002</v>
      </c>
      <c r="I48" s="62" t="s">
        <v>70</v>
      </c>
      <c r="J48" s="62" t="s">
        <v>61</v>
      </c>
      <c r="K48" s="62" t="s">
        <v>70</v>
      </c>
      <c r="L48" s="62" t="s">
        <v>62</v>
      </c>
      <c r="M48" s="96"/>
      <c r="N48" s="85" t="s">
        <v>201</v>
      </c>
      <c r="O48" s="85" t="s">
        <v>202</v>
      </c>
      <c r="P48" s="85"/>
      <c r="Q48" s="86"/>
      <c r="R48" s="87">
        <v>1000</v>
      </c>
      <c r="S48" s="87">
        <v>40</v>
      </c>
      <c r="T48" s="87">
        <v>0</v>
      </c>
      <c r="U48" s="88">
        <v>0</v>
      </c>
      <c r="V48" s="89">
        <v>1</v>
      </c>
      <c r="W48" s="89">
        <v>2.5</v>
      </c>
      <c r="X48" s="89">
        <v>0</v>
      </c>
      <c r="Y48" s="90">
        <v>0</v>
      </c>
      <c r="Z48" s="87">
        <f t="shared" si="0"/>
        <v>1040</v>
      </c>
      <c r="AA48" s="90">
        <f>IFERROR(((R48*V48)+(S48*W48)+(T48*X48)+(U48*Y48))/Materialtabell[[#This Row],[Transport 
km]],0)</f>
        <v>1.0576923076923077</v>
      </c>
      <c r="AB48" s="62" t="s">
        <v>254</v>
      </c>
      <c r="AC48" s="62" t="s">
        <v>255</v>
      </c>
      <c r="AD48" s="144"/>
      <c r="AE48" s="144"/>
      <c r="AF48" s="144"/>
      <c r="AG48" s="144"/>
      <c r="AH48" s="144"/>
      <c r="AI48" s="144"/>
    </row>
    <row r="49" spans="1:35" ht="15" customHeight="1" x14ac:dyDescent="0.2">
      <c r="A49" s="144"/>
      <c r="B49" s="73">
        <v>45</v>
      </c>
      <c r="C49" s="62" t="s">
        <v>296</v>
      </c>
      <c r="D49" s="62" t="s">
        <v>22</v>
      </c>
      <c r="E49" s="77">
        <v>7850</v>
      </c>
      <c r="F49" s="62" t="s">
        <v>111</v>
      </c>
      <c r="G49" s="100">
        <v>1.77</v>
      </c>
      <c r="H49" s="100">
        <v>1.77</v>
      </c>
      <c r="I49" s="62" t="s">
        <v>114</v>
      </c>
      <c r="J49" s="62" t="s">
        <v>61</v>
      </c>
      <c r="K49" s="63" t="s">
        <v>114</v>
      </c>
      <c r="L49" s="62" t="s">
        <v>62</v>
      </c>
      <c r="M49" s="96"/>
      <c r="N49" s="85" t="s">
        <v>201</v>
      </c>
      <c r="O49" s="85" t="s">
        <v>202</v>
      </c>
      <c r="P49" s="85"/>
      <c r="Q49" s="86"/>
      <c r="R49" s="87">
        <v>1000</v>
      </c>
      <c r="S49" s="87">
        <v>40</v>
      </c>
      <c r="T49" s="87">
        <v>0</v>
      </c>
      <c r="U49" s="88">
        <v>0</v>
      </c>
      <c r="V49" s="89">
        <v>1</v>
      </c>
      <c r="W49" s="89">
        <v>2.5</v>
      </c>
      <c r="X49" s="89">
        <v>0</v>
      </c>
      <c r="Y49" s="90">
        <v>0</v>
      </c>
      <c r="Z49" s="87">
        <f t="shared" si="0"/>
        <v>1040</v>
      </c>
      <c r="AA49" s="90">
        <f>IFERROR(((R49*V49)+(S49*W49)+(T49*X49)+(U49*Y49))/Materialtabell[[#This Row],[Transport 
km]],0)</f>
        <v>1.0576923076923077</v>
      </c>
      <c r="AB49" s="62" t="s">
        <v>254</v>
      </c>
      <c r="AC49" s="62" t="s">
        <v>255</v>
      </c>
      <c r="AD49" s="144"/>
      <c r="AE49" s="144"/>
      <c r="AF49" s="144"/>
      <c r="AG49" s="144"/>
      <c r="AH49" s="144"/>
      <c r="AI49" s="144"/>
    </row>
    <row r="50" spans="1:35" ht="15" customHeight="1" x14ac:dyDescent="0.2">
      <c r="A50" s="144"/>
      <c r="B50" s="73">
        <v>46</v>
      </c>
      <c r="C50" s="62" t="s">
        <v>297</v>
      </c>
      <c r="D50" s="62" t="s">
        <v>22</v>
      </c>
      <c r="E50" s="77">
        <v>7850</v>
      </c>
      <c r="F50" s="62" t="s">
        <v>111</v>
      </c>
      <c r="G50" s="100">
        <v>2.6</v>
      </c>
      <c r="H50" s="100">
        <v>2.6</v>
      </c>
      <c r="I50" s="62" t="s">
        <v>68</v>
      </c>
      <c r="J50" s="62" t="s">
        <v>63</v>
      </c>
      <c r="K50" s="62" t="s">
        <v>68</v>
      </c>
      <c r="L50" s="62" t="s">
        <v>63</v>
      </c>
      <c r="M50" s="96" t="s">
        <v>153</v>
      </c>
      <c r="N50" s="85" t="s">
        <v>201</v>
      </c>
      <c r="O50" s="85" t="s">
        <v>202</v>
      </c>
      <c r="P50" s="85"/>
      <c r="Q50" s="86"/>
      <c r="R50" s="87">
        <v>1000</v>
      </c>
      <c r="S50" s="87">
        <v>40</v>
      </c>
      <c r="T50" s="87">
        <v>0</v>
      </c>
      <c r="U50" s="88">
        <v>0</v>
      </c>
      <c r="V50" s="89">
        <v>1</v>
      </c>
      <c r="W50" s="89">
        <v>2.5</v>
      </c>
      <c r="X50" s="89">
        <v>0</v>
      </c>
      <c r="Y50" s="90">
        <v>0</v>
      </c>
      <c r="Z50" s="87">
        <f t="shared" si="0"/>
        <v>1040</v>
      </c>
      <c r="AA50" s="90">
        <f>IFERROR(((R50*V50)+(S50*W50)+(T50*X50)+(U50*Y50))/Materialtabell[[#This Row],[Transport 
km]],0)</f>
        <v>1.0576923076923077</v>
      </c>
      <c r="AB50" s="62" t="s">
        <v>254</v>
      </c>
      <c r="AC50" s="62" t="s">
        <v>255</v>
      </c>
      <c r="AD50" s="144"/>
      <c r="AE50" s="144"/>
      <c r="AF50" s="144"/>
      <c r="AG50" s="144"/>
      <c r="AH50" s="144"/>
      <c r="AI50" s="144"/>
    </row>
    <row r="51" spans="1:35" ht="15" customHeight="1" x14ac:dyDescent="0.2">
      <c r="A51" s="144"/>
      <c r="B51" s="73">
        <v>47</v>
      </c>
      <c r="C51" s="62" t="s">
        <v>298</v>
      </c>
      <c r="D51" s="62" t="s">
        <v>22</v>
      </c>
      <c r="E51" s="156" t="s">
        <v>353</v>
      </c>
      <c r="F51" s="155" t="s">
        <v>353</v>
      </c>
      <c r="G51" s="100">
        <v>4.3600000000000003</v>
      </c>
      <c r="H51" s="100">
        <v>4.3600000000000003</v>
      </c>
      <c r="I51" s="62" t="s">
        <v>117</v>
      </c>
      <c r="J51" s="62" t="s">
        <v>61</v>
      </c>
      <c r="K51" s="62" t="s">
        <v>117</v>
      </c>
      <c r="L51" s="62" t="s">
        <v>62</v>
      </c>
      <c r="M51" s="96"/>
      <c r="N51" s="85" t="s">
        <v>211</v>
      </c>
      <c r="O51" s="85"/>
      <c r="P51" s="85"/>
      <c r="Q51" s="86"/>
      <c r="R51" s="87">
        <v>1000</v>
      </c>
      <c r="S51" s="87">
        <v>0</v>
      </c>
      <c r="T51" s="87">
        <v>0</v>
      </c>
      <c r="U51" s="88">
        <v>0</v>
      </c>
      <c r="V51" s="89">
        <v>1</v>
      </c>
      <c r="W51" s="89">
        <v>0</v>
      </c>
      <c r="X51" s="89">
        <v>0</v>
      </c>
      <c r="Y51" s="90">
        <v>0</v>
      </c>
      <c r="Z51" s="87">
        <f t="shared" si="0"/>
        <v>1000</v>
      </c>
      <c r="AA51" s="90">
        <f>IFERROR(((R51*V51)+(S51*W51)+(T51*X51)+(U51*Y51))/Materialtabell[[#This Row],[Transport 
km]],0)</f>
        <v>1</v>
      </c>
      <c r="AB51" s="62" t="s">
        <v>214</v>
      </c>
      <c r="AC51" s="62"/>
      <c r="AD51" s="144"/>
      <c r="AE51" s="144"/>
      <c r="AF51" s="144"/>
      <c r="AG51" s="144"/>
      <c r="AH51" s="144"/>
      <c r="AI51" s="144"/>
    </row>
    <row r="52" spans="1:35" ht="15" customHeight="1" x14ac:dyDescent="0.2">
      <c r="A52" s="144"/>
      <c r="B52" s="73">
        <v>48</v>
      </c>
      <c r="C52" s="62" t="s">
        <v>299</v>
      </c>
      <c r="D52" s="62" t="s">
        <v>24</v>
      </c>
      <c r="E52" s="77">
        <v>30</v>
      </c>
      <c r="F52" s="62" t="s">
        <v>111</v>
      </c>
      <c r="G52" s="100">
        <v>3.24</v>
      </c>
      <c r="H52" s="100">
        <v>3.24</v>
      </c>
      <c r="I52" s="62" t="s">
        <v>72</v>
      </c>
      <c r="J52" s="62" t="s">
        <v>61</v>
      </c>
      <c r="K52" s="63" t="s">
        <v>72</v>
      </c>
      <c r="L52" s="62" t="s">
        <v>62</v>
      </c>
      <c r="M52" s="96" t="s">
        <v>153</v>
      </c>
      <c r="N52" s="85" t="s">
        <v>201</v>
      </c>
      <c r="O52" s="85" t="s">
        <v>202</v>
      </c>
      <c r="P52" s="85"/>
      <c r="Q52" s="86"/>
      <c r="R52" s="87">
        <v>800</v>
      </c>
      <c r="S52" s="87">
        <v>40</v>
      </c>
      <c r="T52" s="87">
        <v>0</v>
      </c>
      <c r="U52" s="88">
        <v>0</v>
      </c>
      <c r="V52" s="89">
        <v>1</v>
      </c>
      <c r="W52" s="89">
        <v>2.5</v>
      </c>
      <c r="X52" s="89">
        <v>0</v>
      </c>
      <c r="Y52" s="90">
        <v>0</v>
      </c>
      <c r="Z52" s="87">
        <f t="shared" si="0"/>
        <v>840</v>
      </c>
      <c r="AA52" s="90">
        <f>IFERROR(((R52*V52)+(S52*W52)+(T52*X52)+(U52*Y52))/Materialtabell[[#This Row],[Transport 
km]],0)</f>
        <v>1.0714285714285714</v>
      </c>
      <c r="AB52" s="62" t="s">
        <v>215</v>
      </c>
      <c r="AC52" s="62"/>
      <c r="AD52" s="144"/>
      <c r="AE52" s="144"/>
      <c r="AF52" s="144"/>
      <c r="AG52" s="144"/>
      <c r="AH52" s="144"/>
      <c r="AI52" s="144"/>
    </row>
    <row r="53" spans="1:35" ht="15" customHeight="1" x14ac:dyDescent="0.2">
      <c r="A53" s="144"/>
      <c r="B53" s="73">
        <v>49</v>
      </c>
      <c r="C53" s="62" t="s">
        <v>300</v>
      </c>
      <c r="D53" s="62" t="s">
        <v>24</v>
      </c>
      <c r="E53" s="211">
        <v>0.26</v>
      </c>
      <c r="F53" s="62" t="s">
        <v>110</v>
      </c>
      <c r="G53" s="100">
        <v>2.92</v>
      </c>
      <c r="H53" s="100">
        <v>2.92</v>
      </c>
      <c r="I53" s="62" t="s">
        <v>73</v>
      </c>
      <c r="J53" s="62" t="s">
        <v>61</v>
      </c>
      <c r="K53" s="63" t="s">
        <v>73</v>
      </c>
      <c r="L53" s="62" t="s">
        <v>62</v>
      </c>
      <c r="M53" s="96"/>
      <c r="N53" s="85" t="s">
        <v>201</v>
      </c>
      <c r="O53" s="85"/>
      <c r="P53" s="85"/>
      <c r="Q53" s="86"/>
      <c r="R53" s="87">
        <v>1000</v>
      </c>
      <c r="S53" s="87">
        <v>0</v>
      </c>
      <c r="T53" s="87">
        <v>0</v>
      </c>
      <c r="U53" s="88">
        <v>0</v>
      </c>
      <c r="V53" s="89">
        <v>1</v>
      </c>
      <c r="W53" s="89">
        <v>0</v>
      </c>
      <c r="X53" s="89">
        <v>0</v>
      </c>
      <c r="Y53" s="90">
        <v>0</v>
      </c>
      <c r="Z53" s="87">
        <f t="shared" si="0"/>
        <v>1000</v>
      </c>
      <c r="AA53" s="90">
        <f>IFERROR(((R53*V53)+(S53*W53)+(T53*X53)+(U53*Y53))/Materialtabell[[#This Row],[Transport 
km]],0)</f>
        <v>1</v>
      </c>
      <c r="AB53" s="62" t="s">
        <v>216</v>
      </c>
      <c r="AC53" s="62"/>
      <c r="AD53" s="144"/>
      <c r="AE53" s="144"/>
      <c r="AF53" s="144"/>
      <c r="AG53" s="144"/>
      <c r="AH53" s="144"/>
      <c r="AI53" s="144"/>
    </row>
    <row r="54" spans="1:35" ht="15" customHeight="1" x14ac:dyDescent="0.2">
      <c r="A54" s="144"/>
      <c r="B54" s="73">
        <v>50</v>
      </c>
      <c r="C54" s="62" t="s">
        <v>301</v>
      </c>
      <c r="D54" s="62" t="s">
        <v>24</v>
      </c>
      <c r="E54" s="77">
        <v>2</v>
      </c>
      <c r="F54" s="62" t="s">
        <v>145</v>
      </c>
      <c r="G54" s="100">
        <v>1.8</v>
      </c>
      <c r="H54" s="100">
        <v>1.8</v>
      </c>
      <c r="I54" s="62" t="s">
        <v>34</v>
      </c>
      <c r="J54" s="62" t="s">
        <v>61</v>
      </c>
      <c r="K54" s="63" t="s">
        <v>34</v>
      </c>
      <c r="L54" s="62" t="s">
        <v>62</v>
      </c>
      <c r="M54" s="96" t="s">
        <v>414</v>
      </c>
      <c r="N54" s="85" t="s">
        <v>201</v>
      </c>
      <c r="O54" s="85" t="s">
        <v>202</v>
      </c>
      <c r="P54" s="85"/>
      <c r="Q54" s="86"/>
      <c r="R54" s="87">
        <v>500</v>
      </c>
      <c r="S54" s="87">
        <v>40</v>
      </c>
      <c r="T54" s="87">
        <v>0</v>
      </c>
      <c r="U54" s="88">
        <v>0</v>
      </c>
      <c r="V54" s="89">
        <v>1</v>
      </c>
      <c r="W54" s="89">
        <v>2.5</v>
      </c>
      <c r="X54" s="89">
        <v>0</v>
      </c>
      <c r="Y54" s="90">
        <v>0</v>
      </c>
      <c r="Z54" s="87">
        <f t="shared" si="0"/>
        <v>540</v>
      </c>
      <c r="AA54" s="90">
        <f>IFERROR(((R54*V54)+(S54*W54)+(T54*X54)+(U54*Y54))/Materialtabell[[#This Row],[Transport 
km]],0)</f>
        <v>1.1111111111111112</v>
      </c>
      <c r="AB54" s="62" t="s">
        <v>217</v>
      </c>
      <c r="AC54" s="62"/>
      <c r="AD54" s="144"/>
      <c r="AE54" s="144"/>
      <c r="AF54" s="144"/>
      <c r="AG54" s="144"/>
      <c r="AH54" s="144"/>
      <c r="AI54" s="144"/>
    </row>
    <row r="55" spans="1:35" ht="15" customHeight="1" x14ac:dyDescent="0.2">
      <c r="A55" s="144"/>
      <c r="B55" s="73">
        <v>51</v>
      </c>
      <c r="C55" s="62" t="s">
        <v>302</v>
      </c>
      <c r="D55" s="62" t="s">
        <v>24</v>
      </c>
      <c r="E55" s="212">
        <v>0.5</v>
      </c>
      <c r="F55" s="62" t="s">
        <v>145</v>
      </c>
      <c r="G55" s="100">
        <v>1.8</v>
      </c>
      <c r="H55" s="100">
        <v>1.8</v>
      </c>
      <c r="I55" s="62" t="s">
        <v>34</v>
      </c>
      <c r="J55" s="62" t="s">
        <v>61</v>
      </c>
      <c r="K55" s="63" t="s">
        <v>34</v>
      </c>
      <c r="L55" s="62" t="s">
        <v>62</v>
      </c>
      <c r="M55" s="96" t="s">
        <v>414</v>
      </c>
      <c r="N55" s="85" t="s">
        <v>201</v>
      </c>
      <c r="O55" s="85" t="s">
        <v>202</v>
      </c>
      <c r="P55" s="85"/>
      <c r="Q55" s="86"/>
      <c r="R55" s="87">
        <v>500</v>
      </c>
      <c r="S55" s="87">
        <v>40</v>
      </c>
      <c r="T55" s="87">
        <v>0</v>
      </c>
      <c r="U55" s="88">
        <v>0</v>
      </c>
      <c r="V55" s="89">
        <v>1</v>
      </c>
      <c r="W55" s="89">
        <v>2.5</v>
      </c>
      <c r="X55" s="89">
        <v>0</v>
      </c>
      <c r="Y55" s="90">
        <v>0</v>
      </c>
      <c r="Z55" s="87">
        <f t="shared" si="0"/>
        <v>540</v>
      </c>
      <c r="AA55" s="90">
        <f>IFERROR(((R55*V55)+(S55*W55)+(T55*X55)+(U55*Y55))/Materialtabell[[#This Row],[Transport 
km]],0)</f>
        <v>1.1111111111111112</v>
      </c>
      <c r="AB55" s="62" t="s">
        <v>217</v>
      </c>
      <c r="AC55" s="62"/>
      <c r="AD55" s="144"/>
      <c r="AE55" s="144"/>
      <c r="AF55" s="144"/>
      <c r="AG55" s="144"/>
      <c r="AH55" s="144"/>
      <c r="AI55" s="144"/>
    </row>
    <row r="56" spans="1:35" ht="15" customHeight="1" x14ac:dyDescent="0.2">
      <c r="A56" s="144"/>
      <c r="B56" s="73">
        <v>52</v>
      </c>
      <c r="C56" s="62" t="s">
        <v>303</v>
      </c>
      <c r="D56" s="62" t="s">
        <v>24</v>
      </c>
      <c r="E56" s="77">
        <v>2</v>
      </c>
      <c r="F56" s="62" t="s">
        <v>145</v>
      </c>
      <c r="G56" s="100">
        <v>1.8</v>
      </c>
      <c r="H56" s="100">
        <v>1.8</v>
      </c>
      <c r="I56" s="62" t="s">
        <v>35</v>
      </c>
      <c r="J56" s="62" t="s">
        <v>61</v>
      </c>
      <c r="K56" s="63" t="s">
        <v>35</v>
      </c>
      <c r="L56" s="62" t="s">
        <v>62</v>
      </c>
      <c r="M56" s="96" t="s">
        <v>414</v>
      </c>
      <c r="N56" s="85" t="s">
        <v>201</v>
      </c>
      <c r="O56" s="85" t="s">
        <v>202</v>
      </c>
      <c r="P56" s="85"/>
      <c r="Q56" s="86"/>
      <c r="R56" s="87">
        <v>500</v>
      </c>
      <c r="S56" s="87">
        <v>40</v>
      </c>
      <c r="T56" s="87">
        <v>0</v>
      </c>
      <c r="U56" s="88">
        <v>0</v>
      </c>
      <c r="V56" s="89">
        <v>1</v>
      </c>
      <c r="W56" s="89">
        <v>2.5</v>
      </c>
      <c r="X56" s="89">
        <v>0</v>
      </c>
      <c r="Y56" s="90">
        <v>0</v>
      </c>
      <c r="Z56" s="87">
        <f t="shared" si="0"/>
        <v>540</v>
      </c>
      <c r="AA56" s="90">
        <f>IFERROR(((R56*V56)+(S56*W56)+(T56*X56)+(U56*Y56))/Materialtabell[[#This Row],[Transport 
km]],0)</f>
        <v>1.1111111111111112</v>
      </c>
      <c r="AB56" s="62" t="s">
        <v>218</v>
      </c>
      <c r="AC56" s="62"/>
      <c r="AD56" s="144"/>
      <c r="AE56" s="144"/>
      <c r="AF56" s="144"/>
      <c r="AG56" s="144"/>
      <c r="AH56" s="144"/>
      <c r="AI56" s="144"/>
    </row>
    <row r="57" spans="1:35" ht="15" customHeight="1" x14ac:dyDescent="0.2">
      <c r="A57" s="144"/>
      <c r="B57" s="73">
        <v>53</v>
      </c>
      <c r="C57" s="62" t="s">
        <v>417</v>
      </c>
      <c r="D57" s="62" t="s">
        <v>24</v>
      </c>
      <c r="E57" s="77">
        <v>8</v>
      </c>
      <c r="F57" s="62" t="s">
        <v>145</v>
      </c>
      <c r="G57" s="100">
        <v>1.8</v>
      </c>
      <c r="H57" s="100">
        <v>1.8</v>
      </c>
      <c r="I57" s="62" t="s">
        <v>35</v>
      </c>
      <c r="J57" s="62" t="s">
        <v>61</v>
      </c>
      <c r="K57" s="63" t="s">
        <v>35</v>
      </c>
      <c r="L57" s="62" t="s">
        <v>62</v>
      </c>
      <c r="M57" s="96" t="s">
        <v>414</v>
      </c>
      <c r="N57" s="85" t="s">
        <v>201</v>
      </c>
      <c r="O57" s="85" t="s">
        <v>202</v>
      </c>
      <c r="P57" s="85"/>
      <c r="Q57" s="86"/>
      <c r="R57" s="87">
        <v>500</v>
      </c>
      <c r="S57" s="87">
        <v>40</v>
      </c>
      <c r="T57" s="87">
        <v>0</v>
      </c>
      <c r="U57" s="88">
        <v>0</v>
      </c>
      <c r="V57" s="89">
        <v>1</v>
      </c>
      <c r="W57" s="89">
        <v>2.5</v>
      </c>
      <c r="X57" s="89">
        <v>0</v>
      </c>
      <c r="Y57" s="90">
        <v>0</v>
      </c>
      <c r="Z57" s="87">
        <f>SUM(R57:U57)</f>
        <v>540</v>
      </c>
      <c r="AA57" s="90">
        <f>IFERROR(((R57*V57)+(S57*W57)+(T57*X57)+(U57*Y57))/Materialtabell[[#This Row],[Transport 
km]],0)</f>
        <v>1.1111111111111112</v>
      </c>
      <c r="AB57" s="62" t="s">
        <v>217</v>
      </c>
      <c r="AC57" s="62"/>
      <c r="AD57" s="144"/>
      <c r="AE57" s="144"/>
      <c r="AF57" s="144"/>
      <c r="AG57" s="144"/>
      <c r="AH57" s="144"/>
      <c r="AI57" s="144"/>
    </row>
    <row r="58" spans="1:35" ht="15" customHeight="1" x14ac:dyDescent="0.2">
      <c r="A58" s="144"/>
      <c r="B58" s="73">
        <v>54</v>
      </c>
      <c r="C58" s="62" t="s">
        <v>304</v>
      </c>
      <c r="D58" s="62" t="s">
        <v>24</v>
      </c>
      <c r="E58" s="156" t="s">
        <v>353</v>
      </c>
      <c r="F58" s="155" t="s">
        <v>353</v>
      </c>
      <c r="G58" s="100">
        <v>6.4</v>
      </c>
      <c r="H58" s="100">
        <v>6.4</v>
      </c>
      <c r="I58" s="62" t="s">
        <v>25</v>
      </c>
      <c r="J58" s="62" t="s">
        <v>61</v>
      </c>
      <c r="K58" s="62" t="s">
        <v>25</v>
      </c>
      <c r="L58" s="62" t="s">
        <v>62</v>
      </c>
      <c r="M58" s="96"/>
      <c r="N58" s="85" t="s">
        <v>201</v>
      </c>
      <c r="O58" s="85" t="s">
        <v>202</v>
      </c>
      <c r="P58" s="85"/>
      <c r="Q58" s="86"/>
      <c r="R58" s="87">
        <v>500</v>
      </c>
      <c r="S58" s="87">
        <v>40</v>
      </c>
      <c r="T58" s="87">
        <v>0</v>
      </c>
      <c r="U58" s="88">
        <v>0</v>
      </c>
      <c r="V58" s="89">
        <v>1</v>
      </c>
      <c r="W58" s="89">
        <v>2.5</v>
      </c>
      <c r="X58" s="89">
        <v>0</v>
      </c>
      <c r="Y58" s="90">
        <v>0</v>
      </c>
      <c r="Z58" s="87">
        <f t="shared" si="0"/>
        <v>540</v>
      </c>
      <c r="AA58" s="90">
        <f>IFERROR(((R58*V58)+(S58*W58)+(T58*X58)+(U58*Y58))/Materialtabell[[#This Row],[Transport 
km]],0)</f>
        <v>1.1111111111111112</v>
      </c>
      <c r="AB58" s="62" t="s">
        <v>219</v>
      </c>
      <c r="AC58" s="62"/>
      <c r="AD58" s="144"/>
      <c r="AE58" s="144"/>
      <c r="AF58" s="144"/>
      <c r="AG58" s="144"/>
      <c r="AH58" s="144"/>
      <c r="AI58" s="144"/>
    </row>
    <row r="59" spans="1:35" ht="15" customHeight="1" x14ac:dyDescent="0.2">
      <c r="A59" s="144"/>
      <c r="B59" s="73">
        <v>55</v>
      </c>
      <c r="C59" s="62" t="s">
        <v>305</v>
      </c>
      <c r="D59" s="62" t="s">
        <v>24</v>
      </c>
      <c r="E59" s="156" t="s">
        <v>353</v>
      </c>
      <c r="F59" s="155" t="s">
        <v>353</v>
      </c>
      <c r="G59" s="100">
        <v>1.8</v>
      </c>
      <c r="H59" s="100">
        <v>1.8</v>
      </c>
      <c r="I59" s="62" t="s">
        <v>26</v>
      </c>
      <c r="J59" s="62" t="s">
        <v>61</v>
      </c>
      <c r="K59" s="62" t="s">
        <v>26</v>
      </c>
      <c r="L59" s="62" t="s">
        <v>62</v>
      </c>
      <c r="M59" s="96"/>
      <c r="N59" s="85" t="s">
        <v>201</v>
      </c>
      <c r="O59" s="85" t="s">
        <v>202</v>
      </c>
      <c r="P59" s="85"/>
      <c r="Q59" s="86"/>
      <c r="R59" s="87">
        <v>500</v>
      </c>
      <c r="S59" s="87">
        <v>40</v>
      </c>
      <c r="T59" s="87">
        <v>0</v>
      </c>
      <c r="U59" s="88">
        <v>0</v>
      </c>
      <c r="V59" s="89">
        <v>1</v>
      </c>
      <c r="W59" s="89">
        <v>2.5</v>
      </c>
      <c r="X59" s="89">
        <v>0</v>
      </c>
      <c r="Y59" s="90">
        <v>0</v>
      </c>
      <c r="Z59" s="87">
        <f t="shared" si="0"/>
        <v>540</v>
      </c>
      <c r="AA59" s="90">
        <f>IFERROR(((R59*V59)+(S59*W59)+(T59*X59)+(U59*Y59))/Materialtabell[[#This Row],[Transport 
km]],0)</f>
        <v>1.1111111111111112</v>
      </c>
      <c r="AB59" s="62" t="s">
        <v>220</v>
      </c>
      <c r="AC59" s="62"/>
      <c r="AD59" s="144"/>
      <c r="AE59" s="144"/>
      <c r="AF59" s="144"/>
      <c r="AG59" s="144"/>
      <c r="AH59" s="144"/>
      <c r="AI59" s="144"/>
    </row>
    <row r="60" spans="1:35" ht="15" customHeight="1" x14ac:dyDescent="0.2">
      <c r="A60" s="144"/>
      <c r="B60" s="73">
        <v>56</v>
      </c>
      <c r="C60" s="62" t="s">
        <v>306</v>
      </c>
      <c r="D60" s="62" t="s">
        <v>24</v>
      </c>
      <c r="E60" s="156" t="s">
        <v>353</v>
      </c>
      <c r="F60" s="155" t="s">
        <v>353</v>
      </c>
      <c r="G60" s="100">
        <v>1.9</v>
      </c>
      <c r="H60" s="100">
        <v>1.9</v>
      </c>
      <c r="I60" s="62" t="s">
        <v>27</v>
      </c>
      <c r="J60" s="62" t="s">
        <v>61</v>
      </c>
      <c r="K60" s="62" t="s">
        <v>27</v>
      </c>
      <c r="L60" s="62" t="s">
        <v>62</v>
      </c>
      <c r="M60" s="96"/>
      <c r="N60" s="85" t="s">
        <v>201</v>
      </c>
      <c r="O60" s="85" t="s">
        <v>202</v>
      </c>
      <c r="P60" s="85"/>
      <c r="Q60" s="86"/>
      <c r="R60" s="87">
        <v>500</v>
      </c>
      <c r="S60" s="87">
        <v>40</v>
      </c>
      <c r="T60" s="87">
        <v>0</v>
      </c>
      <c r="U60" s="88">
        <v>0</v>
      </c>
      <c r="V60" s="89">
        <v>1</v>
      </c>
      <c r="W60" s="89">
        <v>2.5</v>
      </c>
      <c r="X60" s="89">
        <v>0</v>
      </c>
      <c r="Y60" s="90">
        <v>0</v>
      </c>
      <c r="Z60" s="87">
        <f t="shared" si="0"/>
        <v>540</v>
      </c>
      <c r="AA60" s="90">
        <f>IFERROR(((R60*V60)+(S60*W60)+(T60*X60)+(U60*Y60))/Materialtabell[[#This Row],[Transport 
km]],0)</f>
        <v>1.1111111111111112</v>
      </c>
      <c r="AB60" s="62" t="s">
        <v>221</v>
      </c>
      <c r="AC60" s="62"/>
      <c r="AD60" s="144"/>
      <c r="AE60" s="144"/>
      <c r="AF60" s="144"/>
      <c r="AG60" s="144"/>
      <c r="AH60" s="144"/>
      <c r="AI60" s="144"/>
    </row>
    <row r="61" spans="1:35" ht="15" customHeight="1" x14ac:dyDescent="0.2">
      <c r="A61" s="144"/>
      <c r="B61" s="73">
        <v>57</v>
      </c>
      <c r="C61" s="62" t="s">
        <v>307</v>
      </c>
      <c r="D61" s="62" t="s">
        <v>24</v>
      </c>
      <c r="E61" s="156" t="s">
        <v>353</v>
      </c>
      <c r="F61" s="155" t="s">
        <v>353</v>
      </c>
      <c r="G61" s="100">
        <v>1.44</v>
      </c>
      <c r="H61" s="100">
        <v>1.44</v>
      </c>
      <c r="I61" s="62" t="s">
        <v>28</v>
      </c>
      <c r="J61" s="62" t="s">
        <v>61</v>
      </c>
      <c r="K61" s="62" t="s">
        <v>28</v>
      </c>
      <c r="L61" s="62" t="s">
        <v>62</v>
      </c>
      <c r="M61" s="96"/>
      <c r="N61" s="85" t="s">
        <v>201</v>
      </c>
      <c r="O61" s="85" t="s">
        <v>202</v>
      </c>
      <c r="P61" s="85"/>
      <c r="Q61" s="86"/>
      <c r="R61" s="87">
        <v>500</v>
      </c>
      <c r="S61" s="87">
        <v>40</v>
      </c>
      <c r="T61" s="87">
        <v>0</v>
      </c>
      <c r="U61" s="88">
        <v>0</v>
      </c>
      <c r="V61" s="89">
        <v>1</v>
      </c>
      <c r="W61" s="89">
        <v>2.5</v>
      </c>
      <c r="X61" s="89">
        <v>0</v>
      </c>
      <c r="Y61" s="90">
        <v>0</v>
      </c>
      <c r="Z61" s="87">
        <f t="shared" si="0"/>
        <v>540</v>
      </c>
      <c r="AA61" s="90">
        <f>IFERROR(((R61*V61)+(S61*W61)+(T61*X61)+(U61*Y61))/Materialtabell[[#This Row],[Transport 
km]],0)</f>
        <v>1.1111111111111112</v>
      </c>
      <c r="AB61" s="62" t="s">
        <v>222</v>
      </c>
      <c r="AC61" s="62"/>
      <c r="AD61" s="144"/>
      <c r="AE61" s="144"/>
      <c r="AF61" s="144"/>
      <c r="AG61" s="144"/>
      <c r="AH61" s="144"/>
      <c r="AI61" s="144"/>
    </row>
    <row r="62" spans="1:35" ht="15" customHeight="1" x14ac:dyDescent="0.2">
      <c r="A62" s="144"/>
      <c r="B62" s="73">
        <v>58</v>
      </c>
      <c r="C62" s="62" t="s">
        <v>308</v>
      </c>
      <c r="D62" s="62" t="s">
        <v>24</v>
      </c>
      <c r="E62" s="156" t="s">
        <v>353</v>
      </c>
      <c r="F62" s="155" t="s">
        <v>353</v>
      </c>
      <c r="G62" s="100">
        <v>2.56</v>
      </c>
      <c r="H62" s="100">
        <v>2.56</v>
      </c>
      <c r="I62" s="62" t="s">
        <v>29</v>
      </c>
      <c r="J62" s="62" t="s">
        <v>61</v>
      </c>
      <c r="K62" s="62" t="s">
        <v>29</v>
      </c>
      <c r="L62" s="62" t="s">
        <v>62</v>
      </c>
      <c r="M62" s="96"/>
      <c r="N62" s="85" t="s">
        <v>201</v>
      </c>
      <c r="O62" s="85" t="s">
        <v>202</v>
      </c>
      <c r="P62" s="85"/>
      <c r="Q62" s="86"/>
      <c r="R62" s="87">
        <v>500</v>
      </c>
      <c r="S62" s="87">
        <v>40</v>
      </c>
      <c r="T62" s="87">
        <v>0</v>
      </c>
      <c r="U62" s="88">
        <v>0</v>
      </c>
      <c r="V62" s="89">
        <v>1</v>
      </c>
      <c r="W62" s="89">
        <v>2.5</v>
      </c>
      <c r="X62" s="89">
        <v>0</v>
      </c>
      <c r="Y62" s="90">
        <v>0</v>
      </c>
      <c r="Z62" s="87">
        <f t="shared" si="0"/>
        <v>540</v>
      </c>
      <c r="AA62" s="90">
        <f>IFERROR(((R62*V62)+(S62*W62)+(T62*X62)+(U62*Y62))/Materialtabell[[#This Row],[Transport 
km]],0)</f>
        <v>1.1111111111111112</v>
      </c>
      <c r="AB62" s="62" t="s">
        <v>223</v>
      </c>
      <c r="AC62" s="62"/>
      <c r="AD62" s="144"/>
      <c r="AE62" s="144"/>
      <c r="AF62" s="144"/>
      <c r="AG62" s="144"/>
      <c r="AH62" s="144"/>
      <c r="AI62" s="144"/>
    </row>
    <row r="63" spans="1:35" ht="15" customHeight="1" x14ac:dyDescent="0.2">
      <c r="A63" s="144"/>
      <c r="B63" s="73">
        <v>59</v>
      </c>
      <c r="C63" s="62" t="s">
        <v>309</v>
      </c>
      <c r="D63" s="62" t="s">
        <v>32</v>
      </c>
      <c r="E63" s="77">
        <v>2719</v>
      </c>
      <c r="F63" s="62" t="s">
        <v>111</v>
      </c>
      <c r="G63" s="100">
        <v>0.05</v>
      </c>
      <c r="H63" s="100">
        <v>0.05</v>
      </c>
      <c r="I63" s="62" t="s">
        <v>32</v>
      </c>
      <c r="J63" s="62" t="s">
        <v>61</v>
      </c>
      <c r="K63" s="63" t="s">
        <v>32</v>
      </c>
      <c r="L63" s="62" t="s">
        <v>62</v>
      </c>
      <c r="M63" s="96" t="s">
        <v>146</v>
      </c>
      <c r="N63" s="85" t="s">
        <v>211</v>
      </c>
      <c r="O63" s="85" t="s">
        <v>212</v>
      </c>
      <c r="P63" s="85"/>
      <c r="Q63" s="86"/>
      <c r="R63" s="87">
        <v>400</v>
      </c>
      <c r="S63" s="87">
        <v>40</v>
      </c>
      <c r="T63" s="87">
        <v>0</v>
      </c>
      <c r="U63" s="88">
        <v>0</v>
      </c>
      <c r="V63" s="89">
        <v>1</v>
      </c>
      <c r="W63" s="89">
        <v>2.5</v>
      </c>
      <c r="X63" s="89">
        <v>0</v>
      </c>
      <c r="Y63" s="90">
        <v>0</v>
      </c>
      <c r="Z63" s="87">
        <f t="shared" si="0"/>
        <v>440</v>
      </c>
      <c r="AA63" s="90">
        <f>IFERROR(((R63*V63)+(S63*W63)+(T63*X63)+(U63*Y63))/Materialtabell[[#This Row],[Transport 
km]],0)</f>
        <v>1.1363636363636365</v>
      </c>
      <c r="AB63" s="62" t="s">
        <v>224</v>
      </c>
      <c r="AC63" s="62"/>
      <c r="AD63" s="144"/>
      <c r="AE63" s="144"/>
      <c r="AF63" s="144"/>
      <c r="AG63" s="144"/>
      <c r="AH63" s="144"/>
      <c r="AI63" s="144"/>
    </row>
    <row r="64" spans="1:35" ht="15" customHeight="1" x14ac:dyDescent="0.2">
      <c r="A64" s="144"/>
      <c r="B64" s="73">
        <v>60</v>
      </c>
      <c r="C64" s="62" t="s">
        <v>310</v>
      </c>
      <c r="D64" s="62" t="s">
        <v>32</v>
      </c>
      <c r="E64" s="77">
        <v>200</v>
      </c>
      <c r="F64" s="62" t="s">
        <v>110</v>
      </c>
      <c r="G64" s="100">
        <v>0.05</v>
      </c>
      <c r="H64" s="100">
        <v>0.05</v>
      </c>
      <c r="I64" s="62" t="s">
        <v>32</v>
      </c>
      <c r="J64" s="62" t="s">
        <v>61</v>
      </c>
      <c r="K64" s="63" t="s">
        <v>32</v>
      </c>
      <c r="L64" s="62" t="s">
        <v>62</v>
      </c>
      <c r="M64" s="96" t="s">
        <v>414</v>
      </c>
      <c r="N64" s="85" t="s">
        <v>211</v>
      </c>
      <c r="O64" s="85" t="s">
        <v>212</v>
      </c>
      <c r="P64" s="85"/>
      <c r="Q64" s="86"/>
      <c r="R64" s="87">
        <v>400</v>
      </c>
      <c r="S64" s="87">
        <v>40</v>
      </c>
      <c r="T64" s="87">
        <v>0</v>
      </c>
      <c r="U64" s="88">
        <v>0</v>
      </c>
      <c r="V64" s="89">
        <v>1</v>
      </c>
      <c r="W64" s="89">
        <v>2.5</v>
      </c>
      <c r="X64" s="89">
        <v>0</v>
      </c>
      <c r="Y64" s="90">
        <v>0</v>
      </c>
      <c r="Z64" s="87">
        <f t="shared" si="0"/>
        <v>440</v>
      </c>
      <c r="AA64" s="90">
        <f>IFERROR(((R64*V64)+(S64*W64)+(T64*X64)+(U64*Y64))/Materialtabell[[#This Row],[Transport 
km]],0)</f>
        <v>1.1363636363636365</v>
      </c>
      <c r="AB64" s="62" t="s">
        <v>224</v>
      </c>
      <c r="AC64" s="62"/>
      <c r="AD64" s="144"/>
      <c r="AE64" s="144"/>
      <c r="AF64" s="144"/>
      <c r="AG64" s="144"/>
      <c r="AH64" s="144"/>
      <c r="AI64" s="144"/>
    </row>
    <row r="65" spans="1:35" ht="15" customHeight="1" x14ac:dyDescent="0.2">
      <c r="A65" s="144"/>
      <c r="B65" s="73">
        <v>61</v>
      </c>
      <c r="C65" s="62" t="s">
        <v>311</v>
      </c>
      <c r="D65" s="62" t="s">
        <v>32</v>
      </c>
      <c r="E65" s="77">
        <v>320</v>
      </c>
      <c r="F65" s="62" t="s">
        <v>110</v>
      </c>
      <c r="G65" s="100">
        <v>0.05</v>
      </c>
      <c r="H65" s="100">
        <v>0.05</v>
      </c>
      <c r="I65" s="62" t="s">
        <v>32</v>
      </c>
      <c r="J65" s="62" t="s">
        <v>61</v>
      </c>
      <c r="K65" s="63" t="s">
        <v>32</v>
      </c>
      <c r="L65" s="62" t="s">
        <v>62</v>
      </c>
      <c r="M65" s="96" t="s">
        <v>414</v>
      </c>
      <c r="N65" s="85" t="s">
        <v>211</v>
      </c>
      <c r="O65" s="85" t="s">
        <v>212</v>
      </c>
      <c r="P65" s="85"/>
      <c r="Q65" s="86"/>
      <c r="R65" s="87">
        <v>400</v>
      </c>
      <c r="S65" s="87">
        <v>40</v>
      </c>
      <c r="T65" s="87">
        <v>0</v>
      </c>
      <c r="U65" s="88">
        <v>0</v>
      </c>
      <c r="V65" s="89">
        <v>1</v>
      </c>
      <c r="W65" s="89">
        <v>2.5</v>
      </c>
      <c r="X65" s="89">
        <v>0</v>
      </c>
      <c r="Y65" s="90">
        <v>0</v>
      </c>
      <c r="Z65" s="87">
        <f t="shared" si="0"/>
        <v>440</v>
      </c>
      <c r="AA65" s="90">
        <f>IFERROR(((R65*V65)+(S65*W65)+(T65*X65)+(U65*Y65))/Materialtabell[[#This Row],[Transport 
km]],0)</f>
        <v>1.1363636363636365</v>
      </c>
      <c r="AB65" s="62" t="s">
        <v>224</v>
      </c>
      <c r="AC65" s="62"/>
      <c r="AD65" s="144"/>
      <c r="AE65" s="144"/>
      <c r="AF65" s="144"/>
      <c r="AG65" s="144"/>
      <c r="AH65" s="144"/>
      <c r="AI65" s="144"/>
    </row>
    <row r="66" spans="1:35" ht="15" customHeight="1" x14ac:dyDescent="0.2">
      <c r="A66" s="144"/>
      <c r="B66" s="73">
        <v>62</v>
      </c>
      <c r="C66" s="62" t="s">
        <v>312</v>
      </c>
      <c r="D66" s="62" t="s">
        <v>32</v>
      </c>
      <c r="E66" s="77">
        <v>185</v>
      </c>
      <c r="F66" s="62" t="s">
        <v>110</v>
      </c>
      <c r="G66" s="100">
        <v>0.05</v>
      </c>
      <c r="H66" s="100">
        <v>0.05</v>
      </c>
      <c r="I66" s="62" t="s">
        <v>32</v>
      </c>
      <c r="J66" s="62" t="s">
        <v>61</v>
      </c>
      <c r="K66" s="62" t="s">
        <v>32</v>
      </c>
      <c r="L66" s="62" t="s">
        <v>62</v>
      </c>
      <c r="M66" s="96" t="s">
        <v>414</v>
      </c>
      <c r="N66" s="85" t="s">
        <v>211</v>
      </c>
      <c r="O66" s="85" t="s">
        <v>212</v>
      </c>
      <c r="P66" s="85"/>
      <c r="Q66" s="86"/>
      <c r="R66" s="87">
        <v>400</v>
      </c>
      <c r="S66" s="87">
        <v>40</v>
      </c>
      <c r="T66" s="87">
        <v>0</v>
      </c>
      <c r="U66" s="88">
        <v>0</v>
      </c>
      <c r="V66" s="89">
        <v>1</v>
      </c>
      <c r="W66" s="89">
        <v>2.5</v>
      </c>
      <c r="X66" s="89">
        <v>0</v>
      </c>
      <c r="Y66" s="90">
        <v>0</v>
      </c>
      <c r="Z66" s="87">
        <f t="shared" si="0"/>
        <v>440</v>
      </c>
      <c r="AA66" s="90">
        <f>IFERROR(((R66*V66)+(S66*W66)+(T66*X66)+(U66*Y66))/Materialtabell[[#This Row],[Transport 
km]],0)</f>
        <v>1.1363636363636365</v>
      </c>
      <c r="AB66" s="62" t="s">
        <v>224</v>
      </c>
      <c r="AC66" s="62"/>
      <c r="AD66" s="144"/>
      <c r="AE66" s="144"/>
      <c r="AF66" s="144"/>
      <c r="AG66" s="144"/>
      <c r="AH66" s="144"/>
      <c r="AI66" s="144"/>
    </row>
    <row r="67" spans="1:35" ht="15" customHeight="1" x14ac:dyDescent="0.2">
      <c r="A67" s="144"/>
      <c r="B67" s="73">
        <v>63</v>
      </c>
      <c r="C67" s="62" t="s">
        <v>436</v>
      </c>
      <c r="D67" s="62" t="s">
        <v>32</v>
      </c>
      <c r="E67" s="77">
        <v>120</v>
      </c>
      <c r="F67" s="62" t="s">
        <v>145</v>
      </c>
      <c r="G67" s="100">
        <v>0.104</v>
      </c>
      <c r="H67" s="100">
        <v>0.104</v>
      </c>
      <c r="I67" s="62" t="s">
        <v>60</v>
      </c>
      <c r="J67" s="62" t="s">
        <v>63</v>
      </c>
      <c r="K67" s="62" t="s">
        <v>60</v>
      </c>
      <c r="L67" s="62" t="s">
        <v>63</v>
      </c>
      <c r="M67" s="96" t="s">
        <v>437</v>
      </c>
      <c r="N67" s="85" t="s">
        <v>201</v>
      </c>
      <c r="O67" s="85" t="s">
        <v>202</v>
      </c>
      <c r="P67" s="85"/>
      <c r="Q67" s="86"/>
      <c r="R67" s="87">
        <v>600</v>
      </c>
      <c r="S67" s="87">
        <v>40</v>
      </c>
      <c r="T67" s="87">
        <v>0</v>
      </c>
      <c r="U67" s="88">
        <v>0</v>
      </c>
      <c r="V67" s="89">
        <v>1</v>
      </c>
      <c r="W67" s="89">
        <v>2.5</v>
      </c>
      <c r="X67" s="89">
        <v>0</v>
      </c>
      <c r="Y67" s="90">
        <v>0</v>
      </c>
      <c r="Z67" s="87">
        <f t="shared" si="0"/>
        <v>640</v>
      </c>
      <c r="AA67" s="90">
        <f>IFERROR(((R67*V67)+(S67*W67)+(T67*X67)+(U67*Y67))/Materialtabell[[#This Row],[Transport 
km]],0)</f>
        <v>1.09375</v>
      </c>
      <c r="AB67" s="62" t="s">
        <v>230</v>
      </c>
      <c r="AC67" s="62" t="s">
        <v>440</v>
      </c>
      <c r="AD67" s="144"/>
      <c r="AE67" s="144"/>
      <c r="AF67" s="144"/>
      <c r="AG67" s="144"/>
      <c r="AH67" s="144"/>
      <c r="AI67" s="144"/>
    </row>
    <row r="68" spans="1:35" ht="15" customHeight="1" x14ac:dyDescent="0.2">
      <c r="A68" s="144"/>
      <c r="B68" s="73">
        <v>64</v>
      </c>
      <c r="C68" s="62" t="s">
        <v>442</v>
      </c>
      <c r="D68" s="62" t="s">
        <v>32</v>
      </c>
      <c r="E68" s="77">
        <v>120</v>
      </c>
      <c r="F68" s="62" t="s">
        <v>145</v>
      </c>
      <c r="G68" s="100">
        <v>0.24</v>
      </c>
      <c r="H68" s="100">
        <v>0.24</v>
      </c>
      <c r="I68" s="62" t="s">
        <v>74</v>
      </c>
      <c r="J68" s="62" t="s">
        <v>63</v>
      </c>
      <c r="K68" s="62" t="s">
        <v>74</v>
      </c>
      <c r="L68" s="62" t="s">
        <v>63</v>
      </c>
      <c r="M68" s="96" t="s">
        <v>439</v>
      </c>
      <c r="N68" s="85" t="s">
        <v>228</v>
      </c>
      <c r="O68" s="85" t="s">
        <v>232</v>
      </c>
      <c r="P68" s="85" t="s">
        <v>228</v>
      </c>
      <c r="Q68" s="86"/>
      <c r="R68" s="87">
        <v>220</v>
      </c>
      <c r="S68" s="87">
        <v>21000</v>
      </c>
      <c r="T68" s="87">
        <v>125</v>
      </c>
      <c r="U68" s="88">
        <v>0</v>
      </c>
      <c r="V68" s="89">
        <v>1.5</v>
      </c>
      <c r="W68" s="89">
        <v>0.2</v>
      </c>
      <c r="X68" s="89">
        <v>1.5</v>
      </c>
      <c r="Y68" s="90">
        <v>0</v>
      </c>
      <c r="Z68" s="87">
        <f t="shared" si="0"/>
        <v>21345</v>
      </c>
      <c r="AA68" s="90">
        <f>IFERROR(((R68*V68)+(S68*W68)+(T68*X68)+(U68*Y68))/Materialtabell[[#This Row],[Transport 
km]],0)</f>
        <v>0.22101194659170767</v>
      </c>
      <c r="AB68" s="62" t="s">
        <v>233</v>
      </c>
      <c r="AC68" s="62" t="s">
        <v>441</v>
      </c>
      <c r="AD68" s="144"/>
      <c r="AE68" s="144"/>
      <c r="AF68" s="144"/>
      <c r="AG68" s="144"/>
      <c r="AH68" s="144"/>
      <c r="AI68" s="144"/>
    </row>
    <row r="69" spans="1:35" ht="15" customHeight="1" x14ac:dyDescent="0.2">
      <c r="A69" s="144"/>
      <c r="B69" s="73">
        <v>65</v>
      </c>
      <c r="C69" s="62" t="s">
        <v>435</v>
      </c>
      <c r="D69" s="62" t="s">
        <v>32</v>
      </c>
      <c r="E69" s="77">
        <v>2700</v>
      </c>
      <c r="F69" s="62" t="s">
        <v>111</v>
      </c>
      <c r="G69" s="100">
        <v>0.104</v>
      </c>
      <c r="H69" s="100">
        <v>0.104</v>
      </c>
      <c r="I69" s="62" t="s">
        <v>60</v>
      </c>
      <c r="J69" s="62" t="s">
        <v>63</v>
      </c>
      <c r="K69" s="62" t="s">
        <v>60</v>
      </c>
      <c r="L69" s="62" t="s">
        <v>63</v>
      </c>
      <c r="M69" s="96"/>
      <c r="N69" s="85" t="s">
        <v>201</v>
      </c>
      <c r="O69" s="85" t="s">
        <v>202</v>
      </c>
      <c r="P69" s="85"/>
      <c r="Q69" s="86"/>
      <c r="R69" s="87">
        <v>600</v>
      </c>
      <c r="S69" s="87">
        <v>40</v>
      </c>
      <c r="T69" s="87">
        <v>0</v>
      </c>
      <c r="U69" s="88">
        <v>0</v>
      </c>
      <c r="V69" s="89">
        <v>1</v>
      </c>
      <c r="W69" s="89">
        <v>2.5</v>
      </c>
      <c r="X69" s="89">
        <v>0</v>
      </c>
      <c r="Y69" s="90">
        <v>0</v>
      </c>
      <c r="Z69" s="87">
        <f>SUM(R69:U69)</f>
        <v>640</v>
      </c>
      <c r="AA69" s="90">
        <f>IFERROR(((R69*V69)+(S69*W69)+(T69*X69)+(U69*Y69))/Materialtabell[[#This Row],[Transport 
km]],0)</f>
        <v>1.09375</v>
      </c>
      <c r="AB69" s="62" t="s">
        <v>230</v>
      </c>
      <c r="AC69" s="62" t="s">
        <v>231</v>
      </c>
      <c r="AD69" s="144"/>
      <c r="AE69" s="144"/>
      <c r="AF69" s="144"/>
      <c r="AG69" s="144"/>
      <c r="AH69" s="144"/>
      <c r="AI69" s="144"/>
    </row>
    <row r="70" spans="1:35" ht="15" customHeight="1" x14ac:dyDescent="0.2">
      <c r="A70" s="144"/>
      <c r="B70" s="73">
        <v>66</v>
      </c>
      <c r="C70" s="62" t="s">
        <v>438</v>
      </c>
      <c r="D70" s="62" t="s">
        <v>32</v>
      </c>
      <c r="E70" s="77">
        <v>2700</v>
      </c>
      <c r="F70" s="62" t="s">
        <v>111</v>
      </c>
      <c r="G70" s="100">
        <v>0.24</v>
      </c>
      <c r="H70" s="100">
        <v>0.24</v>
      </c>
      <c r="I70" s="62" t="s">
        <v>74</v>
      </c>
      <c r="J70" s="62" t="s">
        <v>63</v>
      </c>
      <c r="K70" s="62" t="s">
        <v>74</v>
      </c>
      <c r="L70" s="62" t="s">
        <v>63</v>
      </c>
      <c r="M70" s="96"/>
      <c r="N70" s="85" t="s">
        <v>228</v>
      </c>
      <c r="O70" s="85" t="s">
        <v>232</v>
      </c>
      <c r="P70" s="85" t="s">
        <v>228</v>
      </c>
      <c r="Q70" s="86"/>
      <c r="R70" s="87">
        <v>220</v>
      </c>
      <c r="S70" s="87">
        <v>21000</v>
      </c>
      <c r="T70" s="87">
        <v>125</v>
      </c>
      <c r="U70" s="88">
        <v>0</v>
      </c>
      <c r="V70" s="89">
        <v>1.5</v>
      </c>
      <c r="W70" s="89">
        <v>0.2</v>
      </c>
      <c r="X70" s="89">
        <v>1.5</v>
      </c>
      <c r="Y70" s="90">
        <v>0</v>
      </c>
      <c r="Z70" s="87">
        <f>SUM(R70:U70)</f>
        <v>21345</v>
      </c>
      <c r="AA70" s="90">
        <f>IFERROR(((R70*V70)+(S70*W70)+(T70*X70)+(U70*Y70))/Materialtabell[[#This Row],[Transport 
km]],0)</f>
        <v>0.22101194659170767</v>
      </c>
      <c r="AB70" s="62" t="s">
        <v>233</v>
      </c>
      <c r="AC70" s="62" t="s">
        <v>234</v>
      </c>
      <c r="AD70" s="144"/>
      <c r="AE70" s="144"/>
      <c r="AF70" s="144"/>
      <c r="AG70" s="144"/>
      <c r="AH70" s="144"/>
      <c r="AI70" s="144"/>
    </row>
    <row r="71" spans="1:35" ht="15" customHeight="1" x14ac:dyDescent="0.2">
      <c r="A71" s="144"/>
      <c r="B71" s="73">
        <v>67</v>
      </c>
      <c r="C71" s="62" t="s">
        <v>313</v>
      </c>
      <c r="D71" s="62" t="s">
        <v>259</v>
      </c>
      <c r="E71" s="77">
        <v>1600</v>
      </c>
      <c r="F71" s="62" t="s">
        <v>111</v>
      </c>
      <c r="G71" s="100">
        <v>0</v>
      </c>
      <c r="H71" s="100">
        <v>0</v>
      </c>
      <c r="I71" s="62" t="s">
        <v>96</v>
      </c>
      <c r="J71" s="62" t="s">
        <v>61</v>
      </c>
      <c r="K71" s="63" t="s">
        <v>96</v>
      </c>
      <c r="L71" s="62" t="s">
        <v>62</v>
      </c>
      <c r="M71" s="96"/>
      <c r="N71" s="85" t="s">
        <v>225</v>
      </c>
      <c r="O71" s="85" t="s">
        <v>44</v>
      </c>
      <c r="P71" s="85"/>
      <c r="Q71" s="86"/>
      <c r="R71" s="87">
        <v>2</v>
      </c>
      <c r="S71" s="87">
        <v>0</v>
      </c>
      <c r="T71" s="87">
        <v>0</v>
      </c>
      <c r="U71" s="88">
        <v>0</v>
      </c>
      <c r="V71" s="89">
        <v>6.27</v>
      </c>
      <c r="W71" s="89">
        <v>0</v>
      </c>
      <c r="X71" s="89">
        <v>0</v>
      </c>
      <c r="Y71" s="90">
        <v>0</v>
      </c>
      <c r="Z71" s="87">
        <f t="shared" si="0"/>
        <v>2</v>
      </c>
      <c r="AA71" s="90">
        <f>IFERROR(((R71*V71)+(S71*W71)+(T71*X71)+(U71*Y71))/Materialtabell[[#This Row],[Transport 
km]],0)</f>
        <v>6.27</v>
      </c>
      <c r="AB71" s="62" t="s">
        <v>226</v>
      </c>
      <c r="AC71" s="62" t="s">
        <v>227</v>
      </c>
      <c r="AD71" s="144"/>
      <c r="AE71" s="144"/>
      <c r="AF71" s="144"/>
      <c r="AG71" s="144"/>
      <c r="AH71" s="144"/>
      <c r="AI71" s="144"/>
    </row>
    <row r="72" spans="1:35" ht="15" customHeight="1" x14ac:dyDescent="0.2">
      <c r="A72" s="144"/>
      <c r="B72" s="73">
        <v>68</v>
      </c>
      <c r="C72" s="62" t="s">
        <v>314</v>
      </c>
      <c r="D72" s="62" t="s">
        <v>259</v>
      </c>
      <c r="E72" s="77">
        <v>1600</v>
      </c>
      <c r="F72" s="62" t="s">
        <v>111</v>
      </c>
      <c r="G72" s="100">
        <v>0</v>
      </c>
      <c r="H72" s="100">
        <v>0</v>
      </c>
      <c r="I72" s="62" t="s">
        <v>97</v>
      </c>
      <c r="J72" s="62" t="s">
        <v>61</v>
      </c>
      <c r="K72" s="63" t="s">
        <v>97</v>
      </c>
      <c r="L72" s="62" t="s">
        <v>62</v>
      </c>
      <c r="M72" s="96"/>
      <c r="N72" s="85" t="s">
        <v>228</v>
      </c>
      <c r="O72" s="85" t="s">
        <v>44</v>
      </c>
      <c r="P72" s="85"/>
      <c r="Q72" s="86"/>
      <c r="R72" s="87">
        <v>30</v>
      </c>
      <c r="S72" s="87">
        <v>0</v>
      </c>
      <c r="T72" s="87">
        <v>0</v>
      </c>
      <c r="U72" s="88">
        <v>0</v>
      </c>
      <c r="V72" s="89">
        <v>1.5</v>
      </c>
      <c r="W72" s="89">
        <v>0</v>
      </c>
      <c r="X72" s="89">
        <v>0</v>
      </c>
      <c r="Y72" s="90">
        <v>0</v>
      </c>
      <c r="Z72" s="87">
        <f t="shared" si="0"/>
        <v>30</v>
      </c>
      <c r="AA72" s="90">
        <f>IFERROR(((R72*V72)+(S72*W72)+(T72*X72)+(U72*Y72))/Materialtabell[[#This Row],[Transport 
km]],0)</f>
        <v>1.5</v>
      </c>
      <c r="AB72" s="62" t="s">
        <v>229</v>
      </c>
      <c r="AC72" s="62"/>
      <c r="AD72" s="144"/>
      <c r="AE72" s="144"/>
      <c r="AF72" s="144"/>
      <c r="AG72" s="144"/>
      <c r="AH72" s="144"/>
      <c r="AI72" s="144"/>
    </row>
    <row r="73" spans="1:35" ht="15" customHeight="1" x14ac:dyDescent="0.2">
      <c r="A73" s="144"/>
      <c r="B73" s="73">
        <v>69</v>
      </c>
      <c r="C73" s="62" t="s">
        <v>315</v>
      </c>
      <c r="D73" s="62" t="s">
        <v>259</v>
      </c>
      <c r="E73" s="77">
        <v>2700</v>
      </c>
      <c r="F73" s="62" t="s">
        <v>111</v>
      </c>
      <c r="G73" s="100">
        <v>9.814814814814814E-4</v>
      </c>
      <c r="H73" s="100">
        <v>4.8888888888888886E-4</v>
      </c>
      <c r="I73" s="62" t="s">
        <v>92</v>
      </c>
      <c r="J73" s="62" t="s">
        <v>61</v>
      </c>
      <c r="K73" s="62" t="s">
        <v>92</v>
      </c>
      <c r="L73" s="62" t="s">
        <v>62</v>
      </c>
      <c r="M73" s="96"/>
      <c r="N73" s="85" t="s">
        <v>225</v>
      </c>
      <c r="O73" s="85" t="s">
        <v>44</v>
      </c>
      <c r="P73" s="85"/>
      <c r="Q73" s="86"/>
      <c r="R73" s="87">
        <v>2</v>
      </c>
      <c r="S73" s="87">
        <v>0</v>
      </c>
      <c r="T73" s="87">
        <v>0</v>
      </c>
      <c r="U73" s="88">
        <v>0</v>
      </c>
      <c r="V73" s="89">
        <v>6.27</v>
      </c>
      <c r="W73" s="89">
        <v>0</v>
      </c>
      <c r="X73" s="89">
        <v>0</v>
      </c>
      <c r="Y73" s="90">
        <v>0</v>
      </c>
      <c r="Z73" s="87">
        <f t="shared" si="0"/>
        <v>2</v>
      </c>
      <c r="AA73" s="90">
        <f>IFERROR(((R73*V73)+(S73*W73)+(T73*X73)+(U73*Y73))/Materialtabell[[#This Row],[Transport 
km]],0)</f>
        <v>6.27</v>
      </c>
      <c r="AB73" s="62" t="s">
        <v>226</v>
      </c>
      <c r="AC73" s="62" t="s">
        <v>227</v>
      </c>
      <c r="AD73" s="144"/>
      <c r="AE73" s="144"/>
      <c r="AF73" s="144"/>
      <c r="AG73" s="144"/>
      <c r="AH73" s="144"/>
      <c r="AI73" s="144"/>
    </row>
    <row r="74" spans="1:35" ht="15" customHeight="1" x14ac:dyDescent="0.2">
      <c r="A74" s="144"/>
      <c r="B74" s="73">
        <v>70</v>
      </c>
      <c r="C74" s="62" t="s">
        <v>316</v>
      </c>
      <c r="D74" s="62" t="s">
        <v>259</v>
      </c>
      <c r="E74" s="77">
        <v>2700</v>
      </c>
      <c r="F74" s="62" t="s">
        <v>111</v>
      </c>
      <c r="G74" s="100">
        <v>9.814814814814814E-4</v>
      </c>
      <c r="H74" s="100">
        <v>4.8888888888888886E-4</v>
      </c>
      <c r="I74" s="62" t="s">
        <v>93</v>
      </c>
      <c r="J74" s="62" t="s">
        <v>61</v>
      </c>
      <c r="K74" s="62" t="s">
        <v>93</v>
      </c>
      <c r="L74" s="62" t="s">
        <v>62</v>
      </c>
      <c r="M74" s="96"/>
      <c r="N74" s="85" t="s">
        <v>228</v>
      </c>
      <c r="O74" s="85" t="s">
        <v>44</v>
      </c>
      <c r="P74" s="85"/>
      <c r="Q74" s="86"/>
      <c r="R74" s="87">
        <v>30</v>
      </c>
      <c r="S74" s="87">
        <v>0</v>
      </c>
      <c r="T74" s="87">
        <v>0</v>
      </c>
      <c r="U74" s="88">
        <v>0</v>
      </c>
      <c r="V74" s="89">
        <v>1.5</v>
      </c>
      <c r="W74" s="89">
        <v>0</v>
      </c>
      <c r="X74" s="89">
        <v>0</v>
      </c>
      <c r="Y74" s="90">
        <v>0</v>
      </c>
      <c r="Z74" s="87">
        <f t="shared" si="0"/>
        <v>30</v>
      </c>
      <c r="AA74" s="90">
        <f>IFERROR(((R74*V74)+(S74*W74)+(T74*X74)+(U74*Y74))/Materialtabell[[#This Row],[Transport 
km]],0)</f>
        <v>1.5</v>
      </c>
      <c r="AB74" s="62" t="s">
        <v>229</v>
      </c>
      <c r="AC74" s="62"/>
      <c r="AD74" s="144"/>
      <c r="AE74" s="144"/>
      <c r="AF74" s="144"/>
      <c r="AG74" s="144"/>
      <c r="AH74" s="144"/>
      <c r="AI74" s="144"/>
    </row>
    <row r="75" spans="1:35" ht="15" customHeight="1" x14ac:dyDescent="0.2">
      <c r="A75" s="144"/>
      <c r="B75" s="73">
        <v>71</v>
      </c>
      <c r="C75" s="62" t="s">
        <v>317</v>
      </c>
      <c r="D75" s="62" t="s">
        <v>258</v>
      </c>
      <c r="E75" s="77">
        <v>1600</v>
      </c>
      <c r="F75" s="62" t="s">
        <v>111</v>
      </c>
      <c r="G75" s="100">
        <v>0</v>
      </c>
      <c r="H75" s="100">
        <v>0</v>
      </c>
      <c r="I75" s="62" t="s">
        <v>94</v>
      </c>
      <c r="J75" s="62" t="s">
        <v>61</v>
      </c>
      <c r="K75" s="63" t="s">
        <v>94</v>
      </c>
      <c r="L75" s="62" t="s">
        <v>62</v>
      </c>
      <c r="M75" s="96" t="s">
        <v>153</v>
      </c>
      <c r="N75" s="85" t="s">
        <v>225</v>
      </c>
      <c r="O75" s="85" t="s">
        <v>44</v>
      </c>
      <c r="P75" s="85"/>
      <c r="Q75" s="86"/>
      <c r="R75" s="87">
        <v>2</v>
      </c>
      <c r="S75" s="87">
        <v>0</v>
      </c>
      <c r="T75" s="87">
        <v>0</v>
      </c>
      <c r="U75" s="88">
        <v>0</v>
      </c>
      <c r="V75" s="89">
        <v>6.27</v>
      </c>
      <c r="W75" s="89">
        <v>0</v>
      </c>
      <c r="X75" s="89">
        <v>0</v>
      </c>
      <c r="Y75" s="90">
        <v>0</v>
      </c>
      <c r="Z75" s="87">
        <f t="shared" si="0"/>
        <v>2</v>
      </c>
      <c r="AA75" s="90">
        <f>IFERROR(((R75*V75)+(S75*W75)+(T75*X75)+(U75*Y75))/Materialtabell[[#This Row],[Transport 
km]],0)</f>
        <v>6.27</v>
      </c>
      <c r="AB75" s="62" t="s">
        <v>226</v>
      </c>
      <c r="AC75" s="62" t="s">
        <v>227</v>
      </c>
      <c r="AD75" s="144"/>
      <c r="AE75" s="144"/>
      <c r="AF75" s="144"/>
      <c r="AG75" s="144"/>
      <c r="AH75" s="144"/>
      <c r="AI75" s="144"/>
    </row>
    <row r="76" spans="1:35" ht="15" customHeight="1" x14ac:dyDescent="0.2">
      <c r="A76" s="144"/>
      <c r="B76" s="73">
        <v>72</v>
      </c>
      <c r="C76" s="62" t="s">
        <v>318</v>
      </c>
      <c r="D76" s="62" t="s">
        <v>258</v>
      </c>
      <c r="E76" s="77">
        <v>1600</v>
      </c>
      <c r="F76" s="62" t="s">
        <v>111</v>
      </c>
      <c r="G76" s="100">
        <v>2.9999999999999997E-4</v>
      </c>
      <c r="H76" s="100">
        <v>2.9999999999999997E-4</v>
      </c>
      <c r="I76" s="62" t="s">
        <v>95</v>
      </c>
      <c r="J76" s="62" t="s">
        <v>61</v>
      </c>
      <c r="K76" s="63" t="s">
        <v>95</v>
      </c>
      <c r="L76" s="62" t="s">
        <v>62</v>
      </c>
      <c r="M76" s="96"/>
      <c r="N76" s="85" t="s">
        <v>228</v>
      </c>
      <c r="O76" s="85" t="s">
        <v>44</v>
      </c>
      <c r="P76" s="85"/>
      <c r="Q76" s="86"/>
      <c r="R76" s="87">
        <v>30</v>
      </c>
      <c r="S76" s="87">
        <v>0</v>
      </c>
      <c r="T76" s="87">
        <v>0</v>
      </c>
      <c r="U76" s="88">
        <v>0</v>
      </c>
      <c r="V76" s="89">
        <v>1.5</v>
      </c>
      <c r="W76" s="89">
        <v>0</v>
      </c>
      <c r="X76" s="89">
        <v>0</v>
      </c>
      <c r="Y76" s="90">
        <v>0</v>
      </c>
      <c r="Z76" s="87">
        <f t="shared" ref="Z76:Z104" si="2">SUM(R76:U76)</f>
        <v>30</v>
      </c>
      <c r="AA76" s="90">
        <f>IFERROR(((R76*V76)+(S76*W76)+(T76*X76)+(U76*Y76))/Materialtabell[[#This Row],[Transport 
km]],0)</f>
        <v>1.5</v>
      </c>
      <c r="AB76" s="62" t="s">
        <v>229</v>
      </c>
      <c r="AC76" s="62"/>
      <c r="AD76" s="144"/>
      <c r="AE76" s="144"/>
      <c r="AF76" s="144"/>
      <c r="AG76" s="144"/>
      <c r="AH76" s="144"/>
      <c r="AI76" s="144"/>
    </row>
    <row r="77" spans="1:35" ht="15" customHeight="1" x14ac:dyDescent="0.2">
      <c r="A77" s="144"/>
      <c r="B77" s="73">
        <v>73</v>
      </c>
      <c r="C77" s="62" t="s">
        <v>319</v>
      </c>
      <c r="D77" s="62" t="s">
        <v>258</v>
      </c>
      <c r="E77" s="77">
        <v>1800</v>
      </c>
      <c r="F77" s="62" t="s">
        <v>111</v>
      </c>
      <c r="G77" s="100">
        <v>0</v>
      </c>
      <c r="H77" s="100">
        <v>0</v>
      </c>
      <c r="I77" s="62" t="s">
        <v>90</v>
      </c>
      <c r="J77" s="62" t="s">
        <v>61</v>
      </c>
      <c r="K77" s="62" t="s">
        <v>90</v>
      </c>
      <c r="L77" s="62" t="s">
        <v>62</v>
      </c>
      <c r="M77" s="96"/>
      <c r="N77" s="85" t="s">
        <v>225</v>
      </c>
      <c r="O77" s="85" t="s">
        <v>44</v>
      </c>
      <c r="P77" s="85"/>
      <c r="Q77" s="86"/>
      <c r="R77" s="87">
        <v>2</v>
      </c>
      <c r="S77" s="87">
        <v>0</v>
      </c>
      <c r="T77" s="87">
        <v>0</v>
      </c>
      <c r="U77" s="88">
        <v>0</v>
      </c>
      <c r="V77" s="89">
        <v>6.27</v>
      </c>
      <c r="W77" s="89">
        <v>0</v>
      </c>
      <c r="X77" s="89">
        <v>0</v>
      </c>
      <c r="Y77" s="90">
        <v>0</v>
      </c>
      <c r="Z77" s="87">
        <f t="shared" si="2"/>
        <v>2</v>
      </c>
      <c r="AA77" s="90">
        <f>IFERROR(((R77*V77)+(S77*W77)+(T77*X77)+(U77*Y77))/Materialtabell[[#This Row],[Transport 
km]],0)</f>
        <v>6.27</v>
      </c>
      <c r="AB77" s="62" t="s">
        <v>226</v>
      </c>
      <c r="AC77" s="62" t="s">
        <v>227</v>
      </c>
      <c r="AD77" s="144"/>
      <c r="AE77" s="144"/>
      <c r="AF77" s="144"/>
      <c r="AG77" s="144"/>
      <c r="AH77" s="144"/>
      <c r="AI77" s="144"/>
    </row>
    <row r="78" spans="1:35" ht="15" customHeight="1" x14ac:dyDescent="0.2">
      <c r="A78" s="144"/>
      <c r="B78" s="73">
        <v>74</v>
      </c>
      <c r="C78" s="62" t="s">
        <v>320</v>
      </c>
      <c r="D78" s="62" t="s">
        <v>258</v>
      </c>
      <c r="E78" s="77">
        <v>1800</v>
      </c>
      <c r="F78" s="62" t="s">
        <v>111</v>
      </c>
      <c r="G78" s="100">
        <v>4.0000000000000001E-3</v>
      </c>
      <c r="H78" s="100">
        <v>3.0000000000000001E-3</v>
      </c>
      <c r="I78" s="62" t="s">
        <v>91</v>
      </c>
      <c r="J78" s="62" t="s">
        <v>61</v>
      </c>
      <c r="K78" s="62" t="s">
        <v>91</v>
      </c>
      <c r="L78" s="62" t="s">
        <v>62</v>
      </c>
      <c r="M78" s="96"/>
      <c r="N78" s="85" t="s">
        <v>228</v>
      </c>
      <c r="O78" s="85" t="s">
        <v>44</v>
      </c>
      <c r="P78" s="85"/>
      <c r="Q78" s="86"/>
      <c r="R78" s="87">
        <v>30</v>
      </c>
      <c r="S78" s="87">
        <v>0</v>
      </c>
      <c r="T78" s="87">
        <v>0</v>
      </c>
      <c r="U78" s="88">
        <v>0</v>
      </c>
      <c r="V78" s="89">
        <v>1.5</v>
      </c>
      <c r="W78" s="89">
        <v>0</v>
      </c>
      <c r="X78" s="89">
        <v>0</v>
      </c>
      <c r="Y78" s="90">
        <v>0</v>
      </c>
      <c r="Z78" s="87">
        <f t="shared" si="2"/>
        <v>30</v>
      </c>
      <c r="AA78" s="90">
        <f>IFERROR(((R78*V78)+(S78*W78)+(T78*X78)+(U78*Y78))/Materialtabell[[#This Row],[Transport 
km]],0)</f>
        <v>1.5</v>
      </c>
      <c r="AB78" s="62" t="s">
        <v>229</v>
      </c>
      <c r="AC78" s="62"/>
      <c r="AD78" s="144"/>
      <c r="AE78" s="144"/>
      <c r="AF78" s="144"/>
      <c r="AG78" s="144"/>
      <c r="AH78" s="144"/>
      <c r="AI78" s="144"/>
    </row>
    <row r="79" spans="1:35" ht="15" customHeight="1" x14ac:dyDescent="0.2">
      <c r="A79" s="144"/>
      <c r="B79" s="73">
        <v>75</v>
      </c>
      <c r="C79" s="62" t="s">
        <v>321</v>
      </c>
      <c r="D79" s="62" t="s">
        <v>260</v>
      </c>
      <c r="E79" s="77">
        <v>1800</v>
      </c>
      <c r="F79" s="62" t="s">
        <v>111</v>
      </c>
      <c r="G79" s="100">
        <v>4.0000000000000001E-3</v>
      </c>
      <c r="H79" s="100">
        <v>3.0000000000000001E-3</v>
      </c>
      <c r="I79" s="62" t="s">
        <v>75</v>
      </c>
      <c r="J79" s="62" t="s">
        <v>61</v>
      </c>
      <c r="K79" s="62" t="s">
        <v>75</v>
      </c>
      <c r="L79" s="62" t="s">
        <v>62</v>
      </c>
      <c r="M79" s="96"/>
      <c r="N79" s="85" t="s">
        <v>228</v>
      </c>
      <c r="O79" s="85"/>
      <c r="P79" s="85"/>
      <c r="Q79" s="86"/>
      <c r="R79" s="87">
        <v>30</v>
      </c>
      <c r="S79" s="87">
        <v>0</v>
      </c>
      <c r="T79" s="87">
        <v>0</v>
      </c>
      <c r="U79" s="88">
        <v>0</v>
      </c>
      <c r="V79" s="89">
        <v>1.5</v>
      </c>
      <c r="W79" s="89">
        <v>0</v>
      </c>
      <c r="X79" s="89">
        <v>0</v>
      </c>
      <c r="Y79" s="90">
        <v>0</v>
      </c>
      <c r="Z79" s="87">
        <f t="shared" ref="Z79:Z91" si="3">SUM(R79:U79)</f>
        <v>30</v>
      </c>
      <c r="AA79" s="90">
        <f>IFERROR(((R79*V79)+(S79*W79)+(T79*X79)+(U79*Y79))/Materialtabell[[#This Row],[Transport 
km]],0)</f>
        <v>1.5</v>
      </c>
      <c r="AB79" s="62" t="s">
        <v>235</v>
      </c>
      <c r="AC79" s="62" t="s">
        <v>236</v>
      </c>
      <c r="AD79" s="144"/>
      <c r="AE79" s="144"/>
      <c r="AF79" s="144"/>
      <c r="AG79" s="144"/>
      <c r="AH79" s="144"/>
      <c r="AI79" s="144"/>
    </row>
    <row r="80" spans="1:35" ht="15" customHeight="1" x14ac:dyDescent="0.2">
      <c r="A80" s="144"/>
      <c r="B80" s="73">
        <v>76</v>
      </c>
      <c r="C80" s="62" t="s">
        <v>322</v>
      </c>
      <c r="D80" s="62" t="s">
        <v>260</v>
      </c>
      <c r="E80" s="77">
        <f>1800/1000*80</f>
        <v>144</v>
      </c>
      <c r="F80" s="62" t="s">
        <v>110</v>
      </c>
      <c r="G80" s="100">
        <v>4.0000000000000001E-3</v>
      </c>
      <c r="H80" s="100">
        <v>3.0000000000000001E-3</v>
      </c>
      <c r="I80" s="62" t="s">
        <v>75</v>
      </c>
      <c r="J80" s="62" t="s">
        <v>61</v>
      </c>
      <c r="K80" s="62" t="s">
        <v>75</v>
      </c>
      <c r="L80" s="62" t="s">
        <v>62</v>
      </c>
      <c r="M80" s="96"/>
      <c r="N80" s="85" t="s">
        <v>228</v>
      </c>
      <c r="O80" s="85"/>
      <c r="P80" s="85"/>
      <c r="Q80" s="86"/>
      <c r="R80" s="87">
        <v>30</v>
      </c>
      <c r="S80" s="87">
        <v>0</v>
      </c>
      <c r="T80" s="87">
        <v>0</v>
      </c>
      <c r="U80" s="88">
        <v>0</v>
      </c>
      <c r="V80" s="89">
        <v>1.5</v>
      </c>
      <c r="W80" s="89">
        <v>0</v>
      </c>
      <c r="X80" s="89">
        <v>0</v>
      </c>
      <c r="Y80" s="90">
        <v>0</v>
      </c>
      <c r="Z80" s="87">
        <f t="shared" si="3"/>
        <v>30</v>
      </c>
      <c r="AA80" s="90">
        <f>IFERROR(((R80*V80)+(S80*W80)+(T80*X80)+(U80*Y80))/Materialtabell[[#This Row],[Transport 
km]],0)</f>
        <v>1.5</v>
      </c>
      <c r="AB80" s="62" t="s">
        <v>235</v>
      </c>
      <c r="AC80" s="62" t="s">
        <v>422</v>
      </c>
      <c r="AD80" s="144"/>
      <c r="AE80" s="144"/>
      <c r="AF80" s="144"/>
      <c r="AG80" s="144"/>
      <c r="AH80" s="144"/>
      <c r="AI80" s="144"/>
    </row>
    <row r="81" spans="1:35" ht="15" customHeight="1" x14ac:dyDescent="0.2">
      <c r="A81" s="144"/>
      <c r="B81" s="73">
        <v>77</v>
      </c>
      <c r="C81" s="75" t="s">
        <v>323</v>
      </c>
      <c r="D81" s="75" t="s">
        <v>260</v>
      </c>
      <c r="E81" s="76">
        <v>1800</v>
      </c>
      <c r="F81" s="75" t="s">
        <v>111</v>
      </c>
      <c r="G81" s="101">
        <v>4.0000000000000001E-3</v>
      </c>
      <c r="H81" s="101">
        <v>3.0000000000000001E-3</v>
      </c>
      <c r="I81" s="74" t="s">
        <v>75</v>
      </c>
      <c r="J81" s="75" t="s">
        <v>61</v>
      </c>
      <c r="K81" s="75" t="s">
        <v>75</v>
      </c>
      <c r="L81" s="75" t="s">
        <v>62</v>
      </c>
      <c r="M81" s="97"/>
      <c r="N81" s="85" t="s">
        <v>228</v>
      </c>
      <c r="O81" s="85"/>
      <c r="P81" s="85"/>
      <c r="Q81" s="86"/>
      <c r="R81" s="87">
        <v>30</v>
      </c>
      <c r="S81" s="87">
        <v>0</v>
      </c>
      <c r="T81" s="87">
        <v>0</v>
      </c>
      <c r="U81" s="88">
        <v>0</v>
      </c>
      <c r="V81" s="89">
        <v>1.5</v>
      </c>
      <c r="W81" s="89">
        <v>0</v>
      </c>
      <c r="X81" s="89">
        <v>0</v>
      </c>
      <c r="Y81" s="90">
        <v>0</v>
      </c>
      <c r="Z81" s="87">
        <f t="shared" si="3"/>
        <v>30</v>
      </c>
      <c r="AA81" s="90">
        <f>IFERROR(((R81*V81)+(S81*W81)+(T81*X81)+(U81*Y81))/Materialtabell[[#This Row],[Transport 
km]],0)</f>
        <v>1.5</v>
      </c>
      <c r="AB81" s="62" t="s">
        <v>235</v>
      </c>
      <c r="AC81" s="62" t="s">
        <v>422</v>
      </c>
      <c r="AD81" s="144"/>
      <c r="AE81" s="144"/>
      <c r="AF81" s="144"/>
      <c r="AG81" s="144"/>
      <c r="AH81" s="144"/>
      <c r="AI81" s="144"/>
    </row>
    <row r="82" spans="1:35" ht="15" customHeight="1" x14ac:dyDescent="0.2">
      <c r="A82" s="144"/>
      <c r="B82" s="73">
        <v>78</v>
      </c>
      <c r="C82" s="75" t="s">
        <v>324</v>
      </c>
      <c r="D82" s="75" t="s">
        <v>260</v>
      </c>
      <c r="E82" s="76">
        <v>268</v>
      </c>
      <c r="F82" s="75" t="s">
        <v>111</v>
      </c>
      <c r="G82" s="101">
        <v>0.29799999999999999</v>
      </c>
      <c r="H82" s="101">
        <v>0.29799999999999999</v>
      </c>
      <c r="I82" s="74" t="s">
        <v>76</v>
      </c>
      <c r="J82" s="75" t="s">
        <v>61</v>
      </c>
      <c r="K82" s="75" t="s">
        <v>76</v>
      </c>
      <c r="L82" s="75" t="s">
        <v>62</v>
      </c>
      <c r="M82" s="97"/>
      <c r="N82" s="85" t="s">
        <v>201</v>
      </c>
      <c r="O82" s="85" t="s">
        <v>202</v>
      </c>
      <c r="P82" s="85"/>
      <c r="Q82" s="86"/>
      <c r="R82" s="87">
        <v>800</v>
      </c>
      <c r="S82" s="87">
        <v>40</v>
      </c>
      <c r="T82" s="87">
        <v>0</v>
      </c>
      <c r="U82" s="88">
        <v>0</v>
      </c>
      <c r="V82" s="89">
        <v>1</v>
      </c>
      <c r="W82" s="89">
        <v>2.5</v>
      </c>
      <c r="X82" s="89">
        <v>0</v>
      </c>
      <c r="Y82" s="90">
        <v>0</v>
      </c>
      <c r="Z82" s="87">
        <f t="shared" si="3"/>
        <v>840</v>
      </c>
      <c r="AA82" s="90">
        <f>IFERROR(((R82*V82)+(S82*W82)+(T82*X82)+(U82*Y82))/Materialtabell[[#This Row],[Transport 
km]],0)</f>
        <v>1.0714285714285714</v>
      </c>
      <c r="AB82" s="62" t="s">
        <v>237</v>
      </c>
      <c r="AC82" s="62"/>
      <c r="AD82" s="144"/>
      <c r="AE82" s="144"/>
      <c r="AF82" s="144"/>
      <c r="AG82" s="144"/>
      <c r="AH82" s="144"/>
      <c r="AI82" s="144"/>
    </row>
    <row r="83" spans="1:35" ht="15" customHeight="1" x14ac:dyDescent="0.2">
      <c r="A83" s="144"/>
      <c r="B83" s="73">
        <v>79</v>
      </c>
      <c r="C83" s="75" t="s">
        <v>325</v>
      </c>
      <c r="D83" s="75" t="s">
        <v>260</v>
      </c>
      <c r="E83" s="76">
        <v>1300</v>
      </c>
      <c r="F83" s="75" t="s">
        <v>111</v>
      </c>
      <c r="G83" s="101">
        <v>6.0000000000000001E-3</v>
      </c>
      <c r="H83" s="101">
        <v>6.0000000000000001E-3</v>
      </c>
      <c r="I83" s="74" t="s">
        <v>8</v>
      </c>
      <c r="J83" s="75" t="s">
        <v>63</v>
      </c>
      <c r="K83" s="75" t="s">
        <v>8</v>
      </c>
      <c r="L83" s="75" t="s">
        <v>63</v>
      </c>
      <c r="M83" s="97"/>
      <c r="N83" s="85" t="s">
        <v>228</v>
      </c>
      <c r="O83" s="85"/>
      <c r="P83" s="85"/>
      <c r="Q83" s="86"/>
      <c r="R83" s="87">
        <v>30</v>
      </c>
      <c r="S83" s="87">
        <v>0</v>
      </c>
      <c r="T83" s="87">
        <v>0</v>
      </c>
      <c r="U83" s="88">
        <v>0</v>
      </c>
      <c r="V83" s="89">
        <v>1.5</v>
      </c>
      <c r="W83" s="89">
        <v>0</v>
      </c>
      <c r="X83" s="89">
        <v>0</v>
      </c>
      <c r="Y83" s="90">
        <v>0</v>
      </c>
      <c r="Z83" s="87">
        <f t="shared" si="3"/>
        <v>30</v>
      </c>
      <c r="AA83" s="90">
        <f>IFERROR(((R83*V83)+(S83*W83)+(T83*X83)+(U83*Y83))/Materialtabell[[#This Row],[Transport 
km]],0)</f>
        <v>1.5</v>
      </c>
      <c r="AB83" s="62" t="s">
        <v>238</v>
      </c>
      <c r="AC83" s="62"/>
      <c r="AD83" s="144"/>
      <c r="AE83" s="144"/>
      <c r="AF83" s="144"/>
      <c r="AG83" s="144"/>
      <c r="AH83" s="144"/>
      <c r="AI83" s="144"/>
    </row>
    <row r="84" spans="1:35" ht="15" customHeight="1" x14ac:dyDescent="0.2">
      <c r="A84" s="144"/>
      <c r="B84" s="73">
        <v>80</v>
      </c>
      <c r="C84" s="75" t="s">
        <v>326</v>
      </c>
      <c r="D84" s="75" t="s">
        <v>260</v>
      </c>
      <c r="E84" s="76">
        <v>1800</v>
      </c>
      <c r="F84" s="75" t="s">
        <v>111</v>
      </c>
      <c r="G84" s="101">
        <v>4.0000000000000001E-3</v>
      </c>
      <c r="H84" s="101">
        <v>3.0000000000000001E-3</v>
      </c>
      <c r="I84" s="74" t="s">
        <v>75</v>
      </c>
      <c r="J84" s="75" t="s">
        <v>61</v>
      </c>
      <c r="K84" s="75" t="s">
        <v>75</v>
      </c>
      <c r="L84" s="75" t="s">
        <v>62</v>
      </c>
      <c r="M84" s="97"/>
      <c r="N84" s="85" t="s">
        <v>228</v>
      </c>
      <c r="O84" s="85"/>
      <c r="P84" s="85"/>
      <c r="Q84" s="86"/>
      <c r="R84" s="87">
        <v>30</v>
      </c>
      <c r="S84" s="87">
        <v>0</v>
      </c>
      <c r="T84" s="87">
        <v>0</v>
      </c>
      <c r="U84" s="88">
        <v>0</v>
      </c>
      <c r="V84" s="89">
        <v>1.5</v>
      </c>
      <c r="W84" s="89">
        <v>0</v>
      </c>
      <c r="X84" s="89">
        <v>0</v>
      </c>
      <c r="Y84" s="90">
        <v>0</v>
      </c>
      <c r="Z84" s="87">
        <f t="shared" si="3"/>
        <v>30</v>
      </c>
      <c r="AA84" s="90">
        <f>IFERROR(((R84*V84)+(S84*W84)+(T84*X84)+(U84*Y84))/Materialtabell[[#This Row],[Transport 
km]],0)</f>
        <v>1.5</v>
      </c>
      <c r="AB84" s="62" t="s">
        <v>239</v>
      </c>
      <c r="AC84" s="62" t="s">
        <v>240</v>
      </c>
      <c r="AD84" s="144"/>
      <c r="AE84" s="144"/>
      <c r="AF84" s="144"/>
      <c r="AG84" s="144"/>
      <c r="AH84" s="144"/>
      <c r="AI84" s="144"/>
    </row>
    <row r="85" spans="1:35" ht="15" customHeight="1" x14ac:dyDescent="0.2">
      <c r="A85" s="144"/>
      <c r="B85" s="73">
        <v>81</v>
      </c>
      <c r="C85" s="75" t="s">
        <v>327</v>
      </c>
      <c r="D85" s="75" t="s">
        <v>7</v>
      </c>
      <c r="E85" s="76">
        <v>455</v>
      </c>
      <c r="F85" s="75" t="s">
        <v>111</v>
      </c>
      <c r="G85" s="101">
        <v>6.9000000000000006E-2</v>
      </c>
      <c r="H85" s="101">
        <v>6.0999999999999999E-2</v>
      </c>
      <c r="I85" s="74" t="s">
        <v>81</v>
      </c>
      <c r="J85" s="75" t="s">
        <v>61</v>
      </c>
      <c r="K85" s="75" t="s">
        <v>81</v>
      </c>
      <c r="L85" s="75" t="s">
        <v>62</v>
      </c>
      <c r="M85" s="97"/>
      <c r="N85" s="85" t="s">
        <v>201</v>
      </c>
      <c r="O85" s="85" t="s">
        <v>202</v>
      </c>
      <c r="P85" s="85"/>
      <c r="Q85" s="86"/>
      <c r="R85" s="87">
        <v>150</v>
      </c>
      <c r="S85" s="87">
        <v>40</v>
      </c>
      <c r="T85" s="87">
        <v>0</v>
      </c>
      <c r="U85" s="88">
        <v>0</v>
      </c>
      <c r="V85" s="89">
        <v>1</v>
      </c>
      <c r="W85" s="89">
        <v>2.5</v>
      </c>
      <c r="X85" s="89">
        <v>0</v>
      </c>
      <c r="Y85" s="90">
        <v>0</v>
      </c>
      <c r="Z85" s="87">
        <f t="shared" si="3"/>
        <v>190</v>
      </c>
      <c r="AA85" s="90">
        <f>IFERROR(((R85*V85)+(S85*W85)+(T85*X85)+(U85*Y85))/Materialtabell[[#This Row],[Transport 
km]],0)</f>
        <v>1.3157894736842106</v>
      </c>
      <c r="AB85" s="62" t="s">
        <v>241</v>
      </c>
      <c r="AC85" s="62" t="s">
        <v>242</v>
      </c>
      <c r="AD85" s="144"/>
      <c r="AE85" s="144"/>
      <c r="AF85" s="144"/>
      <c r="AG85" s="144"/>
      <c r="AH85" s="144"/>
      <c r="AI85" s="144"/>
    </row>
    <row r="86" spans="1:35" ht="15" customHeight="1" x14ac:dyDescent="0.2">
      <c r="A86" s="144"/>
      <c r="B86" s="73">
        <v>82</v>
      </c>
      <c r="C86" s="75" t="s">
        <v>328</v>
      </c>
      <c r="D86" s="75" t="s">
        <v>7</v>
      </c>
      <c r="E86" s="76">
        <v>455</v>
      </c>
      <c r="F86" s="75" t="s">
        <v>111</v>
      </c>
      <c r="G86" s="101">
        <v>9.5000000000000001E-2</v>
      </c>
      <c r="H86" s="101">
        <v>9.5000000000000001E-2</v>
      </c>
      <c r="I86" s="74" t="s">
        <v>80</v>
      </c>
      <c r="J86" s="75" t="s">
        <v>61</v>
      </c>
      <c r="K86" s="75" t="s">
        <v>80</v>
      </c>
      <c r="L86" s="75" t="s">
        <v>62</v>
      </c>
      <c r="M86" s="97"/>
      <c r="N86" s="85" t="s">
        <v>201</v>
      </c>
      <c r="O86" s="85" t="s">
        <v>202</v>
      </c>
      <c r="P86" s="85"/>
      <c r="Q86" s="86"/>
      <c r="R86" s="87">
        <v>400</v>
      </c>
      <c r="S86" s="87">
        <v>40</v>
      </c>
      <c r="T86" s="87">
        <v>0</v>
      </c>
      <c r="U86" s="88">
        <v>0</v>
      </c>
      <c r="V86" s="89">
        <v>1</v>
      </c>
      <c r="W86" s="89">
        <v>2.5</v>
      </c>
      <c r="X86" s="89">
        <v>0</v>
      </c>
      <c r="Y86" s="90">
        <v>0</v>
      </c>
      <c r="Z86" s="87">
        <f t="shared" si="3"/>
        <v>440</v>
      </c>
      <c r="AA86" s="90">
        <f>IFERROR(((R86*V86)+(S86*W86)+(T86*X86)+(U86*Y86))/Materialtabell[[#This Row],[Transport 
km]],0)</f>
        <v>1.1363636363636365</v>
      </c>
      <c r="AB86" s="62" t="s">
        <v>243</v>
      </c>
      <c r="AC86" s="62" t="s">
        <v>244</v>
      </c>
      <c r="AD86" s="144"/>
      <c r="AE86" s="144"/>
      <c r="AF86" s="144"/>
      <c r="AG86" s="144"/>
      <c r="AH86" s="144"/>
      <c r="AI86" s="144"/>
    </row>
    <row r="87" spans="1:35" ht="15" customHeight="1" x14ac:dyDescent="0.2">
      <c r="A87" s="144"/>
      <c r="B87" s="73">
        <v>83</v>
      </c>
      <c r="C87" s="75" t="s">
        <v>329</v>
      </c>
      <c r="D87" s="75" t="s">
        <v>7</v>
      </c>
      <c r="E87" s="230" t="s">
        <v>353</v>
      </c>
      <c r="F87" s="227" t="s">
        <v>353</v>
      </c>
      <c r="G87" s="101">
        <v>1.45</v>
      </c>
      <c r="H87" s="101">
        <v>1.45</v>
      </c>
      <c r="I87" s="74" t="s">
        <v>21</v>
      </c>
      <c r="J87" s="75" t="s">
        <v>61</v>
      </c>
      <c r="K87" s="75" t="s">
        <v>21</v>
      </c>
      <c r="L87" s="75" t="s">
        <v>62</v>
      </c>
      <c r="M87" s="97"/>
      <c r="N87" s="85" t="s">
        <v>201</v>
      </c>
      <c r="O87" s="85"/>
      <c r="P87" s="85"/>
      <c r="Q87" s="86"/>
      <c r="R87" s="87">
        <v>1000</v>
      </c>
      <c r="S87" s="87">
        <v>0</v>
      </c>
      <c r="T87" s="87">
        <v>0</v>
      </c>
      <c r="U87" s="88">
        <v>0</v>
      </c>
      <c r="V87" s="89">
        <v>1</v>
      </c>
      <c r="W87" s="89">
        <v>0</v>
      </c>
      <c r="X87" s="89">
        <v>0</v>
      </c>
      <c r="Y87" s="90">
        <v>0</v>
      </c>
      <c r="Z87" s="87">
        <f t="shared" si="3"/>
        <v>1000</v>
      </c>
      <c r="AA87" s="90">
        <f>IFERROR(((R87*V87)+(S87*W87)+(T87*X87)+(U87*Y87))/Materialtabell[[#This Row],[Transport 
km]],0)</f>
        <v>1</v>
      </c>
      <c r="AB87" s="62" t="s">
        <v>245</v>
      </c>
      <c r="AC87" s="62"/>
      <c r="AD87" s="144"/>
      <c r="AE87" s="144"/>
      <c r="AF87" s="144"/>
      <c r="AG87" s="144"/>
      <c r="AH87" s="144"/>
      <c r="AI87" s="144"/>
    </row>
    <row r="88" spans="1:35" ht="15" customHeight="1" x14ac:dyDescent="0.2">
      <c r="A88" s="144"/>
      <c r="B88" s="73">
        <v>84</v>
      </c>
      <c r="C88" s="75" t="s">
        <v>330</v>
      </c>
      <c r="D88" s="75" t="s">
        <v>7</v>
      </c>
      <c r="E88" s="230" t="s">
        <v>353</v>
      </c>
      <c r="F88" s="227" t="s">
        <v>353</v>
      </c>
      <c r="G88" s="101">
        <v>1.35</v>
      </c>
      <c r="H88" s="101">
        <v>1.35</v>
      </c>
      <c r="I88" s="74" t="s">
        <v>30</v>
      </c>
      <c r="J88" s="75" t="s">
        <v>61</v>
      </c>
      <c r="K88" s="75" t="s">
        <v>30</v>
      </c>
      <c r="L88" s="75" t="s">
        <v>62</v>
      </c>
      <c r="M88" s="97"/>
      <c r="N88" s="85" t="s">
        <v>201</v>
      </c>
      <c r="O88" s="85"/>
      <c r="P88" s="85"/>
      <c r="Q88" s="86"/>
      <c r="R88" s="87">
        <v>1000</v>
      </c>
      <c r="S88" s="87">
        <v>0</v>
      </c>
      <c r="T88" s="87">
        <v>0</v>
      </c>
      <c r="U88" s="88">
        <v>0</v>
      </c>
      <c r="V88" s="89">
        <v>1</v>
      </c>
      <c r="W88" s="89">
        <v>0</v>
      </c>
      <c r="X88" s="89">
        <v>0</v>
      </c>
      <c r="Y88" s="90">
        <v>0</v>
      </c>
      <c r="Z88" s="87">
        <f t="shared" si="3"/>
        <v>1000</v>
      </c>
      <c r="AA88" s="90">
        <f>IFERROR(((R88*V88)+(S88*W88)+(T88*X88)+(U88*Y88))/Materialtabell[[#This Row],[Transport 
km]],0)</f>
        <v>1</v>
      </c>
      <c r="AB88" s="62" t="s">
        <v>246</v>
      </c>
      <c r="AC88" s="62"/>
      <c r="AD88" s="144"/>
      <c r="AE88" s="144"/>
      <c r="AF88" s="144"/>
      <c r="AG88" s="144"/>
      <c r="AH88" s="144"/>
      <c r="AI88" s="144"/>
    </row>
    <row r="89" spans="1:35" ht="15" customHeight="1" x14ac:dyDescent="0.2">
      <c r="A89" s="144"/>
      <c r="B89" s="73">
        <v>85</v>
      </c>
      <c r="C89" s="75" t="s">
        <v>331</v>
      </c>
      <c r="D89" s="75" t="s">
        <v>7</v>
      </c>
      <c r="E89" s="230" t="s">
        <v>353</v>
      </c>
      <c r="F89" s="227" t="s">
        <v>353</v>
      </c>
      <c r="G89" s="101">
        <v>1.54</v>
      </c>
      <c r="H89" s="101">
        <v>1.54</v>
      </c>
      <c r="I89" s="74" t="s">
        <v>31</v>
      </c>
      <c r="J89" s="75" t="s">
        <v>61</v>
      </c>
      <c r="K89" s="75" t="s">
        <v>31</v>
      </c>
      <c r="L89" s="75" t="s">
        <v>62</v>
      </c>
      <c r="M89" s="97"/>
      <c r="N89" s="85" t="s">
        <v>201</v>
      </c>
      <c r="O89" s="85"/>
      <c r="P89" s="85"/>
      <c r="Q89" s="86"/>
      <c r="R89" s="87">
        <v>1000</v>
      </c>
      <c r="S89" s="87">
        <v>0</v>
      </c>
      <c r="T89" s="87">
        <v>0</v>
      </c>
      <c r="U89" s="88">
        <v>0</v>
      </c>
      <c r="V89" s="89">
        <v>1</v>
      </c>
      <c r="W89" s="89">
        <v>0</v>
      </c>
      <c r="X89" s="89">
        <v>0</v>
      </c>
      <c r="Y89" s="90">
        <v>0</v>
      </c>
      <c r="Z89" s="87">
        <f t="shared" si="3"/>
        <v>1000</v>
      </c>
      <c r="AA89" s="90">
        <f>IFERROR(((R89*V89)+(S89*W89)+(T89*X89)+(U89*Y89))/Materialtabell[[#This Row],[Transport 
km]],0)</f>
        <v>1</v>
      </c>
      <c r="AB89" s="62" t="s">
        <v>247</v>
      </c>
      <c r="AC89" s="62"/>
      <c r="AD89" s="144"/>
      <c r="AE89" s="144"/>
      <c r="AF89" s="144"/>
      <c r="AG89" s="144"/>
      <c r="AH89" s="144"/>
      <c r="AI89" s="144"/>
    </row>
    <row r="90" spans="1:35" ht="15" customHeight="1" x14ac:dyDescent="0.2">
      <c r="A90" s="144"/>
      <c r="B90" s="73">
        <v>86</v>
      </c>
      <c r="C90" s="75" t="s">
        <v>332</v>
      </c>
      <c r="D90" s="75" t="s">
        <v>7</v>
      </c>
      <c r="E90" s="231">
        <f>1800/1000*70</f>
        <v>126</v>
      </c>
      <c r="F90" s="75" t="s">
        <v>110</v>
      </c>
      <c r="G90" s="101">
        <v>0.435</v>
      </c>
      <c r="H90" s="101">
        <v>0.435</v>
      </c>
      <c r="I90" s="74" t="s">
        <v>141</v>
      </c>
      <c r="J90" s="75" t="s">
        <v>64</v>
      </c>
      <c r="K90" s="75" t="s">
        <v>141</v>
      </c>
      <c r="L90" s="75" t="s">
        <v>142</v>
      </c>
      <c r="M90" s="97"/>
      <c r="N90" s="85" t="s">
        <v>201</v>
      </c>
      <c r="O90" s="85" t="s">
        <v>202</v>
      </c>
      <c r="P90" s="85"/>
      <c r="Q90" s="86"/>
      <c r="R90" s="87">
        <v>600</v>
      </c>
      <c r="S90" s="87">
        <v>40</v>
      </c>
      <c r="T90" s="87">
        <v>0</v>
      </c>
      <c r="U90" s="88">
        <v>0</v>
      </c>
      <c r="V90" s="89">
        <v>1</v>
      </c>
      <c r="W90" s="89">
        <v>2.5</v>
      </c>
      <c r="X90" s="89">
        <v>0</v>
      </c>
      <c r="Y90" s="90">
        <v>0</v>
      </c>
      <c r="Z90" s="87">
        <f t="shared" si="3"/>
        <v>640</v>
      </c>
      <c r="AA90" s="90">
        <f>IFERROR(((R90*V90)+(S90*W90)+(T90*X90)+(U90*Y90))/Materialtabell[[#This Row],[Transport 
km]],0)</f>
        <v>1.09375</v>
      </c>
      <c r="AB90" s="62" t="s">
        <v>248</v>
      </c>
      <c r="AC90" s="62"/>
      <c r="AD90" s="144"/>
      <c r="AE90" s="144"/>
      <c r="AF90" s="144"/>
      <c r="AG90" s="144"/>
      <c r="AH90" s="144"/>
      <c r="AI90" s="144"/>
    </row>
    <row r="91" spans="1:35" ht="15" customHeight="1" x14ac:dyDescent="0.2">
      <c r="A91" s="144"/>
      <c r="B91" s="73">
        <v>87</v>
      </c>
      <c r="C91" s="75" t="s">
        <v>364</v>
      </c>
      <c r="D91" s="75" t="s">
        <v>365</v>
      </c>
      <c r="E91" s="230" t="s">
        <v>353</v>
      </c>
      <c r="F91" s="227" t="s">
        <v>353</v>
      </c>
      <c r="G91" s="228">
        <v>0</v>
      </c>
      <c r="H91" s="228">
        <v>0</v>
      </c>
      <c r="I91" s="229" t="s">
        <v>44</v>
      </c>
      <c r="J91" s="227" t="s">
        <v>44</v>
      </c>
      <c r="K91" s="227" t="s">
        <v>44</v>
      </c>
      <c r="L91" s="227" t="s">
        <v>44</v>
      </c>
      <c r="M91" s="97" t="s">
        <v>418</v>
      </c>
      <c r="N91" s="85" t="s">
        <v>364</v>
      </c>
      <c r="O91" s="91"/>
      <c r="P91" s="85"/>
      <c r="Q91" s="86"/>
      <c r="R91" s="85">
        <v>0</v>
      </c>
      <c r="S91" s="85">
        <v>0</v>
      </c>
      <c r="T91" s="85">
        <v>0</v>
      </c>
      <c r="U91" s="88">
        <v>0</v>
      </c>
      <c r="V91" s="85">
        <v>0</v>
      </c>
      <c r="W91" s="85">
        <v>0</v>
      </c>
      <c r="X91" s="85">
        <v>0</v>
      </c>
      <c r="Y91" s="90">
        <v>0</v>
      </c>
      <c r="Z91" s="87">
        <f t="shared" si="3"/>
        <v>0</v>
      </c>
      <c r="AA91" s="90">
        <f>IFERROR(((R91*V91)+(S91*W91)+(T91*X91)+(U91*Y91))/Materialtabell[[#This Row],[Transport 
km]],0)</f>
        <v>0</v>
      </c>
      <c r="AB91" s="85" t="s">
        <v>44</v>
      </c>
      <c r="AC91" s="85"/>
      <c r="AD91" s="144"/>
      <c r="AE91" s="144"/>
      <c r="AF91" s="144"/>
      <c r="AG91" s="144"/>
      <c r="AH91" s="144"/>
      <c r="AI91" s="144"/>
    </row>
    <row r="92" spans="1:35" ht="15" customHeight="1" x14ac:dyDescent="0.2">
      <c r="A92" s="144"/>
      <c r="B92" s="73">
        <v>88</v>
      </c>
      <c r="C92" s="75"/>
      <c r="D92" s="75"/>
      <c r="E92" s="76"/>
      <c r="F92" s="75"/>
      <c r="G92" s="101"/>
      <c r="H92" s="101"/>
      <c r="I92" s="74"/>
      <c r="J92" s="75"/>
      <c r="K92" s="75"/>
      <c r="L92" s="75"/>
      <c r="M92" s="97"/>
      <c r="N92" s="85"/>
      <c r="O92" s="85"/>
      <c r="P92" s="85"/>
      <c r="Q92" s="86"/>
      <c r="R92" s="85"/>
      <c r="S92" s="85"/>
      <c r="T92" s="85"/>
      <c r="U92" s="88"/>
      <c r="V92" s="85"/>
      <c r="W92" s="85"/>
      <c r="X92" s="85"/>
      <c r="Y92" s="90"/>
      <c r="Z92" s="87">
        <f t="shared" ref="Z92:Z94" si="4">SUM(R92:U92)</f>
        <v>0</v>
      </c>
      <c r="AA92" s="90">
        <f>IFERROR(((R92*V92)+(S92*W92)+(T92*X92)+(U92*Y92))/Materialtabell[[#This Row],[Transport 
km]],0)</f>
        <v>0</v>
      </c>
      <c r="AB92" s="85"/>
      <c r="AC92" s="85"/>
      <c r="AD92" s="144"/>
      <c r="AE92" s="144"/>
      <c r="AF92" s="144"/>
      <c r="AG92" s="144"/>
      <c r="AH92" s="144"/>
      <c r="AI92" s="144"/>
    </row>
    <row r="93" spans="1:35" ht="15" customHeight="1" x14ac:dyDescent="0.2">
      <c r="A93" s="144"/>
      <c r="B93" s="73">
        <v>89</v>
      </c>
      <c r="C93" s="75"/>
      <c r="D93" s="75"/>
      <c r="E93" s="76"/>
      <c r="F93" s="75"/>
      <c r="G93" s="101"/>
      <c r="H93" s="101"/>
      <c r="I93" s="74"/>
      <c r="J93" s="75"/>
      <c r="K93" s="75"/>
      <c r="L93" s="75"/>
      <c r="M93" s="97"/>
      <c r="N93" s="85"/>
      <c r="O93" s="85"/>
      <c r="P93" s="85"/>
      <c r="Q93" s="86"/>
      <c r="R93" s="85"/>
      <c r="S93" s="85"/>
      <c r="T93" s="85"/>
      <c r="U93" s="88"/>
      <c r="V93" s="85"/>
      <c r="W93" s="85"/>
      <c r="X93" s="85"/>
      <c r="Y93" s="90"/>
      <c r="Z93" s="87">
        <f t="shared" si="4"/>
        <v>0</v>
      </c>
      <c r="AA93" s="90">
        <f>IFERROR(((R93*V93)+(S93*W93)+(T93*X93)+(U93*Y93))/Materialtabell[[#This Row],[Transport 
km]],0)</f>
        <v>0</v>
      </c>
      <c r="AB93" s="85"/>
      <c r="AC93" s="85"/>
      <c r="AD93" s="144"/>
      <c r="AE93" s="144"/>
      <c r="AF93" s="144"/>
      <c r="AG93" s="144"/>
      <c r="AH93" s="144"/>
      <c r="AI93" s="144"/>
    </row>
    <row r="94" spans="1:35" ht="15" customHeight="1" x14ac:dyDescent="0.2">
      <c r="A94" s="144"/>
      <c r="B94" s="73">
        <v>90</v>
      </c>
      <c r="C94" s="62"/>
      <c r="D94" s="62"/>
      <c r="E94" s="77"/>
      <c r="F94" s="62"/>
      <c r="G94" s="100"/>
      <c r="H94" s="100"/>
      <c r="I94" s="62"/>
      <c r="J94" s="62"/>
      <c r="K94" s="62"/>
      <c r="L94" s="62"/>
      <c r="M94" s="96"/>
      <c r="N94" s="62"/>
      <c r="O94" s="91"/>
      <c r="P94" s="85"/>
      <c r="Q94" s="86"/>
      <c r="R94" s="85"/>
      <c r="S94" s="85"/>
      <c r="T94" s="85"/>
      <c r="U94" s="88"/>
      <c r="V94" s="85"/>
      <c r="W94" s="85"/>
      <c r="X94" s="85"/>
      <c r="Y94" s="90"/>
      <c r="Z94" s="87">
        <f t="shared" si="4"/>
        <v>0</v>
      </c>
      <c r="AA94" s="90">
        <f>IFERROR(((R94*V94)+(S94*W94)+(T94*X94)+(U94*Y94))/Materialtabell[[#This Row],[Transport 
km]],0)</f>
        <v>0</v>
      </c>
      <c r="AB94" s="85"/>
      <c r="AC94" s="85"/>
      <c r="AD94" s="144"/>
      <c r="AE94" s="144"/>
      <c r="AF94" s="144"/>
      <c r="AG94" s="144"/>
      <c r="AH94" s="144"/>
      <c r="AI94" s="144"/>
    </row>
    <row r="95" spans="1:35" ht="15" customHeight="1" x14ac:dyDescent="0.2">
      <c r="A95" s="144"/>
      <c r="B95" s="73">
        <v>91</v>
      </c>
      <c r="C95" s="62"/>
      <c r="D95" s="62"/>
      <c r="E95" s="77"/>
      <c r="F95" s="62"/>
      <c r="G95" s="100"/>
      <c r="H95" s="100"/>
      <c r="I95" s="62"/>
      <c r="J95" s="62"/>
      <c r="K95" s="62"/>
      <c r="L95" s="62"/>
      <c r="M95" s="96"/>
      <c r="N95" s="85"/>
      <c r="O95" s="91"/>
      <c r="P95" s="85"/>
      <c r="Q95" s="86"/>
      <c r="R95" s="85"/>
      <c r="S95" s="85"/>
      <c r="T95" s="85"/>
      <c r="U95" s="88"/>
      <c r="V95" s="85"/>
      <c r="W95" s="85"/>
      <c r="X95" s="85"/>
      <c r="Y95" s="90"/>
      <c r="Z95" s="87">
        <f t="shared" si="2"/>
        <v>0</v>
      </c>
      <c r="AA95" s="90">
        <f>IFERROR(((R95*V95)+(S95*W95)+(T95*X95)+(U95*Y95))/Materialtabell[[#This Row],[Transport 
km]],0)</f>
        <v>0</v>
      </c>
      <c r="AB95" s="85"/>
      <c r="AC95" s="85"/>
      <c r="AD95" s="144"/>
      <c r="AE95" s="144"/>
      <c r="AF95" s="144"/>
      <c r="AG95" s="144"/>
      <c r="AH95" s="144"/>
      <c r="AI95" s="144"/>
    </row>
    <row r="96" spans="1:35" ht="15" customHeight="1" x14ac:dyDescent="0.2">
      <c r="A96" s="144"/>
      <c r="B96" s="73">
        <v>92</v>
      </c>
      <c r="C96" s="62"/>
      <c r="D96" s="62"/>
      <c r="E96" s="77"/>
      <c r="F96" s="62"/>
      <c r="G96" s="100"/>
      <c r="H96" s="100"/>
      <c r="I96" s="62"/>
      <c r="J96" s="62"/>
      <c r="K96" s="62"/>
      <c r="L96" s="62"/>
      <c r="M96" s="96"/>
      <c r="N96" s="85"/>
      <c r="O96" s="91"/>
      <c r="P96" s="85"/>
      <c r="Q96" s="86"/>
      <c r="R96" s="85"/>
      <c r="S96" s="85"/>
      <c r="T96" s="85"/>
      <c r="U96" s="88"/>
      <c r="V96" s="85"/>
      <c r="W96" s="85"/>
      <c r="X96" s="85"/>
      <c r="Y96" s="90"/>
      <c r="Z96" s="87">
        <f t="shared" si="2"/>
        <v>0</v>
      </c>
      <c r="AA96" s="90">
        <f>IFERROR(((R96*V96)+(S96*W96)+(T96*X96)+(U96*Y96))/Materialtabell[[#This Row],[Transport 
km]],0)</f>
        <v>0</v>
      </c>
      <c r="AB96" s="85"/>
      <c r="AC96" s="85"/>
      <c r="AD96" s="144"/>
      <c r="AE96" s="144"/>
      <c r="AF96" s="144"/>
      <c r="AG96" s="144"/>
      <c r="AH96" s="144"/>
      <c r="AI96" s="144"/>
    </row>
    <row r="97" spans="1:35" ht="15" customHeight="1" x14ac:dyDescent="0.2">
      <c r="A97" s="144"/>
      <c r="B97" s="73">
        <v>93</v>
      </c>
      <c r="C97" s="62"/>
      <c r="D97" s="85"/>
      <c r="E97" s="77"/>
      <c r="F97" s="62"/>
      <c r="G97" s="100"/>
      <c r="H97" s="100"/>
      <c r="I97" s="62"/>
      <c r="J97" s="62"/>
      <c r="K97" s="62"/>
      <c r="L97" s="62"/>
      <c r="M97" s="96"/>
      <c r="N97" s="85"/>
      <c r="O97" s="91"/>
      <c r="P97" s="85"/>
      <c r="Q97" s="86"/>
      <c r="R97" s="85"/>
      <c r="S97" s="85"/>
      <c r="T97" s="85"/>
      <c r="U97" s="88"/>
      <c r="V97" s="85"/>
      <c r="W97" s="85"/>
      <c r="X97" s="85"/>
      <c r="Y97" s="90"/>
      <c r="Z97" s="87">
        <f t="shared" si="2"/>
        <v>0</v>
      </c>
      <c r="AA97" s="90">
        <f>IFERROR(((R97*V97)+(S97*W97)+(T97*X97)+(U97*Y97))/Materialtabell[[#This Row],[Transport 
km]],0)</f>
        <v>0</v>
      </c>
      <c r="AB97" s="85"/>
      <c r="AC97" s="85"/>
      <c r="AD97" s="144"/>
      <c r="AE97" s="144"/>
      <c r="AF97" s="144"/>
      <c r="AG97" s="144"/>
      <c r="AH97" s="144"/>
      <c r="AI97" s="144"/>
    </row>
    <row r="98" spans="1:35" ht="15" customHeight="1" x14ac:dyDescent="0.2">
      <c r="A98" s="144"/>
      <c r="B98" s="73">
        <v>94</v>
      </c>
      <c r="C98" s="75"/>
      <c r="D98" s="75"/>
      <c r="E98" s="77"/>
      <c r="F98" s="62"/>
      <c r="G98" s="101"/>
      <c r="H98" s="101"/>
      <c r="I98" s="74"/>
      <c r="J98" s="75"/>
      <c r="K98" s="75"/>
      <c r="L98" s="75"/>
      <c r="M98" s="97"/>
      <c r="N98" s="85"/>
      <c r="O98" s="91"/>
      <c r="P98" s="85"/>
      <c r="Q98" s="86"/>
      <c r="R98" s="85"/>
      <c r="S98" s="85"/>
      <c r="T98" s="85"/>
      <c r="U98" s="88"/>
      <c r="V98" s="85"/>
      <c r="W98" s="85"/>
      <c r="X98" s="85"/>
      <c r="Y98" s="90"/>
      <c r="Z98" s="87">
        <f t="shared" si="2"/>
        <v>0</v>
      </c>
      <c r="AA98" s="90">
        <f>IFERROR(((R98*V98)+(S98*W98)+(T98*X98)+(U98*Y98))/Materialtabell[[#This Row],[Transport 
km]],0)</f>
        <v>0</v>
      </c>
      <c r="AB98" s="85"/>
      <c r="AC98" s="85"/>
      <c r="AD98" s="144"/>
      <c r="AE98" s="144"/>
      <c r="AF98" s="144"/>
      <c r="AG98" s="144"/>
      <c r="AH98" s="144"/>
      <c r="AI98" s="144"/>
    </row>
    <row r="99" spans="1:35" ht="15" customHeight="1" x14ac:dyDescent="0.2">
      <c r="A99" s="144"/>
      <c r="B99" s="73">
        <v>95</v>
      </c>
      <c r="C99" s="75"/>
      <c r="D99" s="75"/>
      <c r="E99" s="77"/>
      <c r="F99" s="62"/>
      <c r="G99" s="101"/>
      <c r="H99" s="101"/>
      <c r="I99" s="74"/>
      <c r="J99" s="75"/>
      <c r="K99" s="75"/>
      <c r="L99" s="75"/>
      <c r="M99" s="97"/>
      <c r="N99" s="85"/>
      <c r="O99" s="91"/>
      <c r="P99" s="85"/>
      <c r="Q99" s="86"/>
      <c r="R99" s="85"/>
      <c r="S99" s="85"/>
      <c r="T99" s="85"/>
      <c r="U99" s="88"/>
      <c r="V99" s="85"/>
      <c r="W99" s="85"/>
      <c r="X99" s="85"/>
      <c r="Y99" s="90"/>
      <c r="Z99" s="87">
        <f t="shared" si="2"/>
        <v>0</v>
      </c>
      <c r="AA99" s="90">
        <f>IFERROR(((R99*V99)+(S99*W99)+(T99*X99)+(U99*Y99))/Materialtabell[[#This Row],[Transport 
km]],0)</f>
        <v>0</v>
      </c>
      <c r="AB99" s="85"/>
      <c r="AC99" s="85"/>
      <c r="AD99" s="144"/>
      <c r="AE99" s="144"/>
      <c r="AF99" s="144"/>
      <c r="AG99" s="144"/>
      <c r="AH99" s="144"/>
      <c r="AI99" s="144"/>
    </row>
    <row r="100" spans="1:35" ht="15" customHeight="1" x14ac:dyDescent="0.2">
      <c r="A100" s="144"/>
      <c r="B100" s="73">
        <v>96</v>
      </c>
      <c r="C100" s="75"/>
      <c r="D100" s="75"/>
      <c r="E100" s="77"/>
      <c r="F100" s="62"/>
      <c r="G100" s="101"/>
      <c r="H100" s="101"/>
      <c r="I100" s="74"/>
      <c r="J100" s="75"/>
      <c r="K100" s="75"/>
      <c r="L100" s="75"/>
      <c r="M100" s="97"/>
      <c r="N100" s="85"/>
      <c r="O100" s="91"/>
      <c r="P100" s="85"/>
      <c r="Q100" s="86"/>
      <c r="R100" s="85"/>
      <c r="S100" s="85"/>
      <c r="T100" s="85"/>
      <c r="U100" s="86"/>
      <c r="V100" s="85"/>
      <c r="W100" s="85"/>
      <c r="X100" s="85"/>
      <c r="Y100" s="86"/>
      <c r="Z100" s="87">
        <f t="shared" si="2"/>
        <v>0</v>
      </c>
      <c r="AA100" s="90">
        <f>IFERROR(((R100*V100)+(S100*W100)+(T100*X100)+(U100*Y100))/Materialtabell[[#This Row],[Transport 
km]],0)</f>
        <v>0</v>
      </c>
      <c r="AB100" s="85"/>
      <c r="AC100" s="85"/>
      <c r="AD100" s="144"/>
      <c r="AE100" s="144"/>
      <c r="AF100" s="144"/>
      <c r="AG100" s="144"/>
      <c r="AH100" s="144"/>
      <c r="AI100" s="144"/>
    </row>
    <row r="101" spans="1:35" ht="15" customHeight="1" x14ac:dyDescent="0.2">
      <c r="A101" s="144"/>
      <c r="B101" s="73">
        <v>97</v>
      </c>
      <c r="C101" s="75"/>
      <c r="D101" s="75"/>
      <c r="E101" s="77"/>
      <c r="F101" s="62"/>
      <c r="G101" s="101"/>
      <c r="H101" s="101"/>
      <c r="I101" s="74"/>
      <c r="J101" s="75"/>
      <c r="K101" s="75"/>
      <c r="L101" s="75"/>
      <c r="M101" s="97"/>
      <c r="N101" s="85"/>
      <c r="O101" s="91"/>
      <c r="P101" s="85"/>
      <c r="Q101" s="86"/>
      <c r="R101" s="85"/>
      <c r="S101" s="85"/>
      <c r="T101" s="85"/>
      <c r="U101" s="86"/>
      <c r="V101" s="85"/>
      <c r="W101" s="85"/>
      <c r="X101" s="85"/>
      <c r="Y101" s="86"/>
      <c r="Z101" s="87">
        <f t="shared" si="2"/>
        <v>0</v>
      </c>
      <c r="AA101" s="90">
        <f>IFERROR(((R101*V101)+(S101*W101)+(T101*X101)+(U101*Y101))/Materialtabell[[#This Row],[Transport 
km]],0)</f>
        <v>0</v>
      </c>
      <c r="AB101" s="85"/>
      <c r="AC101" s="85"/>
      <c r="AD101" s="144"/>
      <c r="AE101" s="144"/>
      <c r="AF101" s="144"/>
      <c r="AG101" s="144"/>
      <c r="AH101" s="144"/>
      <c r="AI101" s="144"/>
    </row>
    <row r="102" spans="1:35" ht="15" customHeight="1" x14ac:dyDescent="0.2">
      <c r="A102" s="144"/>
      <c r="B102" s="73">
        <v>98</v>
      </c>
      <c r="C102" s="75"/>
      <c r="D102" s="75"/>
      <c r="E102" s="77"/>
      <c r="F102" s="62"/>
      <c r="G102" s="101"/>
      <c r="H102" s="101"/>
      <c r="I102" s="74"/>
      <c r="J102" s="75"/>
      <c r="K102" s="75"/>
      <c r="L102" s="75"/>
      <c r="M102" s="97"/>
      <c r="N102" s="85"/>
      <c r="O102" s="91"/>
      <c r="P102" s="85"/>
      <c r="Q102" s="86"/>
      <c r="R102" s="85"/>
      <c r="S102" s="85"/>
      <c r="T102" s="85"/>
      <c r="U102" s="86"/>
      <c r="V102" s="85"/>
      <c r="W102" s="85"/>
      <c r="X102" s="85"/>
      <c r="Y102" s="86"/>
      <c r="Z102" s="87">
        <f t="shared" si="2"/>
        <v>0</v>
      </c>
      <c r="AA102" s="90">
        <f>IFERROR(((R102*V102)+(S102*W102)+(T102*X102)+(U102*Y102))/Materialtabell[[#This Row],[Transport 
km]],0)</f>
        <v>0</v>
      </c>
      <c r="AB102" s="85"/>
      <c r="AC102" s="85"/>
      <c r="AD102" s="144"/>
      <c r="AE102" s="144"/>
      <c r="AF102" s="144"/>
      <c r="AG102" s="144"/>
      <c r="AH102" s="144"/>
      <c r="AI102" s="144"/>
    </row>
    <row r="103" spans="1:35" ht="15" customHeight="1" x14ac:dyDescent="0.2">
      <c r="A103" s="144"/>
      <c r="B103" s="73">
        <v>99</v>
      </c>
      <c r="C103" s="75"/>
      <c r="D103" s="75"/>
      <c r="E103" s="77"/>
      <c r="F103" s="62"/>
      <c r="G103" s="101"/>
      <c r="H103" s="101"/>
      <c r="I103" s="74"/>
      <c r="J103" s="75"/>
      <c r="K103" s="75"/>
      <c r="L103" s="75"/>
      <c r="M103" s="97"/>
      <c r="N103" s="85"/>
      <c r="O103" s="91"/>
      <c r="P103" s="85"/>
      <c r="Q103" s="86"/>
      <c r="R103" s="85"/>
      <c r="S103" s="85"/>
      <c r="T103" s="85"/>
      <c r="U103" s="86"/>
      <c r="V103" s="85"/>
      <c r="W103" s="85"/>
      <c r="X103" s="85"/>
      <c r="Y103" s="86"/>
      <c r="Z103" s="87">
        <f t="shared" si="2"/>
        <v>0</v>
      </c>
      <c r="AA103" s="90">
        <f>IFERROR(((R103*V103)+(S103*W103)+(T103*X103)+(U103*Y103))/Materialtabell[[#This Row],[Transport 
km]],0)</f>
        <v>0</v>
      </c>
      <c r="AB103" s="85"/>
      <c r="AC103" s="85"/>
      <c r="AD103" s="144"/>
      <c r="AE103" s="144"/>
      <c r="AF103" s="144"/>
      <c r="AG103" s="144"/>
      <c r="AH103" s="144"/>
      <c r="AI103" s="144"/>
    </row>
    <row r="104" spans="1:35" ht="15" customHeight="1" x14ac:dyDescent="0.2">
      <c r="A104" s="144"/>
      <c r="B104" s="73">
        <v>100</v>
      </c>
      <c r="C104" s="75"/>
      <c r="D104" s="75"/>
      <c r="E104" s="76"/>
      <c r="F104" s="62"/>
      <c r="G104" s="101"/>
      <c r="H104" s="101"/>
      <c r="I104" s="74"/>
      <c r="J104" s="75"/>
      <c r="K104" s="75"/>
      <c r="L104" s="75"/>
      <c r="M104" s="97"/>
      <c r="N104" s="85"/>
      <c r="O104" s="91"/>
      <c r="P104" s="85"/>
      <c r="Q104" s="86"/>
      <c r="R104" s="85"/>
      <c r="S104" s="85"/>
      <c r="T104" s="85"/>
      <c r="U104" s="86"/>
      <c r="V104" s="85"/>
      <c r="W104" s="85"/>
      <c r="X104" s="85"/>
      <c r="Y104" s="86"/>
      <c r="Z104" s="87">
        <f t="shared" si="2"/>
        <v>0</v>
      </c>
      <c r="AA104" s="90">
        <f>IFERROR(((R104*V104)+(S104*W104)+(T104*X104)+(U104*Y104))/Materialtabell[[#This Row],[Transport 
km]],0)</f>
        <v>0</v>
      </c>
      <c r="AB104" s="85"/>
      <c r="AC104" s="85"/>
      <c r="AD104" s="144"/>
      <c r="AE104" s="144"/>
      <c r="AF104" s="144"/>
      <c r="AG104" s="144"/>
      <c r="AH104" s="144"/>
      <c r="AI104" s="144"/>
    </row>
    <row r="105" spans="1:35" ht="15" customHeight="1" x14ac:dyDescent="0.25">
      <c r="A105" s="14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144"/>
      <c r="AG105" s="144"/>
      <c r="AH105" s="144"/>
      <c r="AI105" s="144"/>
    </row>
    <row r="106" spans="1:35" ht="15" customHeight="1" x14ac:dyDescent="0.25">
      <c r="A106" s="14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144"/>
      <c r="AG106" s="144"/>
      <c r="AH106" s="144"/>
      <c r="AI106" s="144"/>
    </row>
    <row r="107" spans="1:35" ht="15" customHeight="1" x14ac:dyDescent="0.25">
      <c r="A107" s="14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144"/>
      <c r="AG107" s="144"/>
      <c r="AH107" s="144"/>
      <c r="AI107" s="144"/>
    </row>
    <row r="108" spans="1:35" ht="15" customHeight="1" x14ac:dyDescent="0.25">
      <c r="A108" s="14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144"/>
      <c r="AE108" s="144"/>
      <c r="AF108" s="144"/>
      <c r="AG108" s="144"/>
      <c r="AH108" s="144"/>
      <c r="AI108" s="144"/>
    </row>
    <row r="109" spans="1:35" ht="15" customHeight="1" x14ac:dyDescent="0.25">
      <c r="A109" s="14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144"/>
      <c r="AE109" s="144"/>
      <c r="AF109" s="144"/>
      <c r="AG109" s="144"/>
      <c r="AH109" s="144"/>
      <c r="AI109" s="144"/>
    </row>
    <row r="110" spans="1:35" ht="15" customHeight="1" x14ac:dyDescent="0.25">
      <c r="A110" s="14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144"/>
      <c r="AE110" s="144"/>
      <c r="AF110" s="144"/>
      <c r="AG110" s="144"/>
      <c r="AH110" s="144"/>
      <c r="AI110" s="144"/>
    </row>
    <row r="111" spans="1:35" ht="15" customHeight="1" x14ac:dyDescent="0.25">
      <c r="A111" s="14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144"/>
      <c r="AE111" s="144"/>
      <c r="AF111" s="144"/>
      <c r="AG111" s="144"/>
      <c r="AH111" s="144"/>
      <c r="AI111" s="144"/>
    </row>
    <row r="112" spans="1:35" ht="15" customHeight="1" x14ac:dyDescent="0.25">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c r="AA112" s="135"/>
      <c r="AB112" s="135"/>
      <c r="AC112" s="135"/>
      <c r="AD112" s="135"/>
      <c r="AE112" s="135"/>
      <c r="AF112" s="135"/>
      <c r="AG112" s="135"/>
      <c r="AH112" s="135"/>
      <c r="AI112" s="135"/>
    </row>
    <row r="113" spans="1:35" ht="15" customHeight="1" x14ac:dyDescent="0.25">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c r="AA113" s="135"/>
      <c r="AB113" s="135"/>
      <c r="AC113" s="135"/>
      <c r="AD113" s="135"/>
      <c r="AE113" s="135"/>
      <c r="AF113" s="135"/>
      <c r="AG113" s="135"/>
      <c r="AH113" s="135"/>
      <c r="AI113" s="135"/>
    </row>
    <row r="114" spans="1:35" ht="15" customHeight="1" x14ac:dyDescent="0.25">
      <c r="A114" s="135"/>
      <c r="B114" s="136"/>
      <c r="C114" s="137"/>
      <c r="D114" s="136"/>
      <c r="E114" s="136"/>
      <c r="F114" s="136"/>
      <c r="G114" s="136"/>
      <c r="H114" s="136"/>
      <c r="I114" s="136"/>
      <c r="J114" s="137"/>
      <c r="K114" s="137"/>
      <c r="L114" s="136"/>
      <c r="M114" s="136"/>
      <c r="N114" s="136"/>
      <c r="O114" s="138"/>
      <c r="P114" s="138"/>
      <c r="Q114" s="136"/>
      <c r="R114" s="136"/>
      <c r="S114" s="136"/>
      <c r="T114" s="136"/>
      <c r="U114" s="136"/>
      <c r="V114" s="136"/>
      <c r="W114" s="136"/>
      <c r="X114" s="136"/>
      <c r="Y114" s="136"/>
      <c r="Z114" s="136"/>
      <c r="AA114" s="136"/>
      <c r="AB114" s="136"/>
      <c r="AC114" s="136"/>
      <c r="AD114" s="135"/>
      <c r="AE114" s="135"/>
      <c r="AF114" s="135"/>
      <c r="AG114" s="135"/>
      <c r="AH114" s="135"/>
      <c r="AI114" s="135"/>
    </row>
    <row r="115" spans="1:35" ht="15" customHeight="1" x14ac:dyDescent="0.25">
      <c r="A115" s="135"/>
      <c r="B115" s="136"/>
      <c r="C115" s="137"/>
      <c r="D115" s="136"/>
      <c r="E115" s="136"/>
      <c r="F115" s="136"/>
      <c r="G115" s="136"/>
      <c r="H115" s="136"/>
      <c r="I115" s="136"/>
      <c r="J115" s="137"/>
      <c r="K115" s="137"/>
      <c r="L115" s="136"/>
      <c r="M115" s="136"/>
      <c r="N115" s="136"/>
      <c r="O115" s="138"/>
      <c r="P115" s="138"/>
      <c r="Q115" s="136"/>
      <c r="R115" s="136"/>
      <c r="S115" s="136"/>
      <c r="T115" s="136"/>
      <c r="U115" s="136"/>
      <c r="V115" s="136"/>
      <c r="W115" s="136"/>
      <c r="X115" s="136"/>
      <c r="Y115" s="136"/>
      <c r="Z115" s="136"/>
      <c r="AA115" s="136"/>
      <c r="AB115" s="136"/>
      <c r="AC115" s="136"/>
      <c r="AD115" s="135"/>
      <c r="AE115" s="135"/>
      <c r="AF115" s="135"/>
      <c r="AG115" s="135"/>
      <c r="AH115" s="135"/>
      <c r="AI115" s="135"/>
    </row>
    <row r="116" spans="1:35" ht="15" hidden="1" customHeight="1" x14ac:dyDescent="0.25"/>
  </sheetData>
  <sheetProtection algorithmName="SHA-512" hashValue="8so6D7rTlWx6/7jVGzSfA64i35zoQ+13wFVc6MlVMDTAlVNDxjh5FfItohOAR2MMsUMN/NSq1Gl2qNciUbUIpA==" saltValue="EvJGUmC8Fn4TMsmV5uN0GA==" spinCount="100000" sheet="1" autoFilter="0"/>
  <phoneticPr fontId="4" type="noConversion"/>
  <pageMargins left="0.25" right="0.25" top="0.75" bottom="0.75" header="0.3" footer="0.3"/>
  <pageSetup paperSize="9" scale="37" fitToHeight="0" orientation="portrait" verticalDpi="0" r:id="rId1"/>
  <ignoredErrors>
    <ignoredError sqref="Z5:Z65 Z95:Z104 Z66:Z68 Z71:Z78 Y69:Z70 Y79:Z91 Y71:Y78 Y66" formulaRange="1"/>
  </ignoredError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88FE4-0049-47DD-A94B-5C5C5687E7FF}">
  <dimension ref="A1:A5"/>
  <sheetViews>
    <sheetView workbookViewId="0"/>
  </sheetViews>
  <sheetFormatPr defaultColWidth="9.140625" defaultRowHeight="15" customHeight="1" x14ac:dyDescent="0.25"/>
  <cols>
    <col min="1" max="1" width="12.7109375" style="1" customWidth="1"/>
    <col min="2" max="2" width="50.7109375" style="1" customWidth="1"/>
    <col min="3" max="4" width="12.7109375" style="1" customWidth="1"/>
    <col min="5" max="5" width="18.42578125" style="1" bestFit="1" customWidth="1"/>
    <col min="6" max="7" width="12.7109375" style="1" customWidth="1"/>
    <col min="8" max="16384" width="9.140625" style="1"/>
  </cols>
  <sheetData>
    <row r="1" spans="1:1" ht="15" customHeight="1" x14ac:dyDescent="0.25">
      <c r="A1" s="197" t="s">
        <v>371</v>
      </c>
    </row>
    <row r="2" spans="1:1" ht="15" customHeight="1" x14ac:dyDescent="0.25">
      <c r="A2" s="197"/>
    </row>
    <row r="3" spans="1:1" ht="15" customHeight="1" x14ac:dyDescent="0.25">
      <c r="A3" s="197"/>
    </row>
    <row r="4" spans="1:1" ht="15" customHeight="1" x14ac:dyDescent="0.25">
      <c r="A4" s="1" t="s">
        <v>432</v>
      </c>
    </row>
    <row r="5" spans="1:1" ht="15" customHeight="1" x14ac:dyDescent="0.25">
      <c r="A5" s="1" t="s">
        <v>431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F9B53-1C34-4525-80CE-6E4744AA4FD3}">
  <dimension ref="A1:G30"/>
  <sheetViews>
    <sheetView workbookViewId="0">
      <selection activeCell="A8" sqref="A8"/>
    </sheetView>
  </sheetViews>
  <sheetFormatPr defaultColWidth="9.140625" defaultRowHeight="15" customHeight="1" x14ac:dyDescent="0.25"/>
  <cols>
    <col min="1" max="1" width="20.7109375" style="1" customWidth="1"/>
    <col min="2" max="2" width="60.7109375" style="1" customWidth="1"/>
    <col min="3" max="7" width="20.7109375" style="1" customWidth="1"/>
    <col min="8" max="16384" width="9.140625" style="1"/>
  </cols>
  <sheetData>
    <row r="1" spans="1:7" ht="15" customHeight="1" x14ac:dyDescent="0.25">
      <c r="A1" s="197" t="s">
        <v>371</v>
      </c>
    </row>
    <row r="2" spans="1:7" ht="15" customHeight="1" x14ac:dyDescent="0.25">
      <c r="A2" s="197"/>
    </row>
    <row r="3" spans="1:7" ht="15" customHeight="1" x14ac:dyDescent="0.25">
      <c r="A3" s="197"/>
    </row>
    <row r="4" spans="1:7" ht="15" customHeight="1" x14ac:dyDescent="0.25">
      <c r="A4" s="1" t="s">
        <v>427</v>
      </c>
    </row>
    <row r="7" spans="1:7" ht="45" customHeight="1" x14ac:dyDescent="0.25">
      <c r="A7" s="219" t="s">
        <v>256</v>
      </c>
      <c r="B7" s="219" t="s">
        <v>370</v>
      </c>
      <c r="C7" s="219" t="s">
        <v>257</v>
      </c>
      <c r="D7" s="219" t="s">
        <v>0</v>
      </c>
      <c r="E7" s="220" t="s">
        <v>372</v>
      </c>
      <c r="F7" s="220" t="s">
        <v>257</v>
      </c>
      <c r="G7" s="220" t="s">
        <v>0</v>
      </c>
    </row>
    <row r="8" spans="1:7" ht="15" customHeight="1" x14ac:dyDescent="0.25">
      <c r="A8" s="218"/>
      <c r="B8" s="218"/>
      <c r="C8" s="222"/>
      <c r="D8" s="218"/>
      <c r="E8" s="218"/>
      <c r="F8" s="222">
        <f>C8*E8</f>
        <v>0</v>
      </c>
      <c r="G8" s="225" t="e">
        <f>"kg/ton/"&amp;RIGHT(VLOOKUP(B8,Materialtabell[[#All],[Materialnamn]:[Enhet]],4,0),LEN(VLOOKUP(B8,Materialtabell[[#All],[Materialnamn]:[Enhet]],4,0))-3)</f>
        <v>#N/A</v>
      </c>
    </row>
    <row r="9" spans="1:7" ht="15" customHeight="1" x14ac:dyDescent="0.25">
      <c r="A9" s="217"/>
      <c r="B9" s="217"/>
      <c r="C9" s="223"/>
      <c r="D9" s="217"/>
      <c r="E9" s="217"/>
      <c r="F9" s="222">
        <f t="shared" ref="F9:F30" si="0">C9*E9</f>
        <v>0</v>
      </c>
      <c r="G9" s="225" t="e">
        <f>"kg/ton/"&amp;RIGHT(VLOOKUP(B9,Materialtabell[[#All],[Materialnamn]:[Enhet]],4,0),LEN(VLOOKUP(B9,Materialtabell[[#All],[Materialnamn]:[Enhet]],4,0))-3)</f>
        <v>#N/A</v>
      </c>
    </row>
    <row r="10" spans="1:7" ht="15" customHeight="1" x14ac:dyDescent="0.25">
      <c r="A10" s="217"/>
      <c r="B10" s="217"/>
      <c r="C10" s="223"/>
      <c r="D10" s="217"/>
      <c r="E10" s="217"/>
      <c r="F10" s="222">
        <f t="shared" si="0"/>
        <v>0</v>
      </c>
      <c r="G10" s="225" t="e">
        <f>"kg/ton/"&amp;RIGHT(VLOOKUP(B10,Materialtabell[[#All],[Materialnamn]:[Enhet]],4,0),LEN(VLOOKUP(B10,Materialtabell[[#All],[Materialnamn]:[Enhet]],4,0))-3)</f>
        <v>#N/A</v>
      </c>
    </row>
    <row r="11" spans="1:7" ht="15" customHeight="1" x14ac:dyDescent="0.25">
      <c r="A11" s="217"/>
      <c r="B11" s="217"/>
      <c r="C11" s="223"/>
      <c r="D11" s="217"/>
      <c r="E11" s="217"/>
      <c r="F11" s="222">
        <f t="shared" si="0"/>
        <v>0</v>
      </c>
      <c r="G11" s="225" t="e">
        <f>"kg/ton/"&amp;RIGHT(VLOOKUP(B11,Materialtabell[[#All],[Materialnamn]:[Enhet]],4,0),LEN(VLOOKUP(B11,Materialtabell[[#All],[Materialnamn]:[Enhet]],4,0))-3)</f>
        <v>#N/A</v>
      </c>
    </row>
    <row r="12" spans="1:7" ht="15" customHeight="1" x14ac:dyDescent="0.25">
      <c r="A12" s="217"/>
      <c r="B12" s="217"/>
      <c r="C12" s="223"/>
      <c r="D12" s="217"/>
      <c r="E12" s="217"/>
      <c r="F12" s="222">
        <f t="shared" si="0"/>
        <v>0</v>
      </c>
      <c r="G12" s="225" t="e">
        <f>"kg/ton/"&amp;RIGHT(VLOOKUP(B12,Materialtabell[[#All],[Materialnamn]:[Enhet]],4,0),LEN(VLOOKUP(B12,Materialtabell[[#All],[Materialnamn]:[Enhet]],4,0))-3)</f>
        <v>#N/A</v>
      </c>
    </row>
    <row r="13" spans="1:7" ht="15" customHeight="1" x14ac:dyDescent="0.25">
      <c r="A13" s="217"/>
      <c r="B13" s="217"/>
      <c r="C13" s="223"/>
      <c r="D13" s="217"/>
      <c r="E13" s="217"/>
      <c r="F13" s="222">
        <f t="shared" si="0"/>
        <v>0</v>
      </c>
      <c r="G13" s="225" t="e">
        <f>"kg/ton/"&amp;RIGHT(VLOOKUP(B13,Materialtabell[[#All],[Materialnamn]:[Enhet]],4,0),LEN(VLOOKUP(B13,Materialtabell[[#All],[Materialnamn]:[Enhet]],4,0))-3)</f>
        <v>#N/A</v>
      </c>
    </row>
    <row r="14" spans="1:7" ht="15" customHeight="1" x14ac:dyDescent="0.25">
      <c r="A14" s="217"/>
      <c r="B14" s="217"/>
      <c r="C14" s="223"/>
      <c r="D14" s="217"/>
      <c r="E14" s="217"/>
      <c r="F14" s="222">
        <f t="shared" si="0"/>
        <v>0</v>
      </c>
      <c r="G14" s="225" t="e">
        <f>"kg/ton/"&amp;RIGHT(VLOOKUP(B14,Materialtabell[[#All],[Materialnamn]:[Enhet]],4,0),LEN(VLOOKUP(B14,Materialtabell[[#All],[Materialnamn]:[Enhet]],4,0))-3)</f>
        <v>#N/A</v>
      </c>
    </row>
    <row r="15" spans="1:7" ht="15" customHeight="1" x14ac:dyDescent="0.25">
      <c r="A15" s="217"/>
      <c r="B15" s="217"/>
      <c r="C15" s="223"/>
      <c r="D15" s="217"/>
      <c r="E15" s="217"/>
      <c r="F15" s="222">
        <f t="shared" si="0"/>
        <v>0</v>
      </c>
      <c r="G15" s="225" t="e">
        <f>"kg/ton/"&amp;RIGHT(VLOOKUP(B15,Materialtabell[[#All],[Materialnamn]:[Enhet]],4,0),LEN(VLOOKUP(B15,Materialtabell[[#All],[Materialnamn]:[Enhet]],4,0))-3)</f>
        <v>#N/A</v>
      </c>
    </row>
    <row r="16" spans="1:7" ht="15" customHeight="1" x14ac:dyDescent="0.25">
      <c r="A16" s="217"/>
      <c r="B16" s="217"/>
      <c r="C16" s="223"/>
      <c r="D16" s="217"/>
      <c r="E16" s="217"/>
      <c r="F16" s="222">
        <f t="shared" si="0"/>
        <v>0</v>
      </c>
      <c r="G16" s="225" t="e">
        <f>"kg/ton/"&amp;RIGHT(VLOOKUP(B16,Materialtabell[[#All],[Materialnamn]:[Enhet]],4,0),LEN(VLOOKUP(B16,Materialtabell[[#All],[Materialnamn]:[Enhet]],4,0))-3)</f>
        <v>#N/A</v>
      </c>
    </row>
    <row r="17" spans="1:7" ht="15" customHeight="1" x14ac:dyDescent="0.25">
      <c r="A17" s="217"/>
      <c r="B17" s="217"/>
      <c r="C17" s="223"/>
      <c r="D17" s="217"/>
      <c r="E17" s="217"/>
      <c r="F17" s="222">
        <f t="shared" si="0"/>
        <v>0</v>
      </c>
      <c r="G17" s="225" t="e">
        <f>"kg/ton/"&amp;RIGHT(VLOOKUP(B17,Materialtabell[[#All],[Materialnamn]:[Enhet]],4,0),LEN(VLOOKUP(B17,Materialtabell[[#All],[Materialnamn]:[Enhet]],4,0))-3)</f>
        <v>#N/A</v>
      </c>
    </row>
    <row r="18" spans="1:7" ht="15" customHeight="1" x14ac:dyDescent="0.25">
      <c r="A18" s="217"/>
      <c r="B18" s="217"/>
      <c r="C18" s="223"/>
      <c r="D18" s="217"/>
      <c r="E18" s="217"/>
      <c r="F18" s="222">
        <f t="shared" si="0"/>
        <v>0</v>
      </c>
      <c r="G18" s="225" t="e">
        <f>"kg/ton/"&amp;RIGHT(VLOOKUP(B18,Materialtabell[[#All],[Materialnamn]:[Enhet]],4,0),LEN(VLOOKUP(B18,Materialtabell[[#All],[Materialnamn]:[Enhet]],4,0))-3)</f>
        <v>#N/A</v>
      </c>
    </row>
    <row r="19" spans="1:7" ht="15" customHeight="1" x14ac:dyDescent="0.25">
      <c r="A19" s="217"/>
      <c r="B19" s="217"/>
      <c r="C19" s="223"/>
      <c r="D19" s="217"/>
      <c r="E19" s="217"/>
      <c r="F19" s="222">
        <f t="shared" si="0"/>
        <v>0</v>
      </c>
      <c r="G19" s="225" t="e">
        <f>"kg/ton/"&amp;RIGHT(VLOOKUP(B19,Materialtabell[[#All],[Materialnamn]:[Enhet]],4,0),LEN(VLOOKUP(B19,Materialtabell[[#All],[Materialnamn]:[Enhet]],4,0))-3)</f>
        <v>#N/A</v>
      </c>
    </row>
    <row r="20" spans="1:7" ht="15" customHeight="1" x14ac:dyDescent="0.25">
      <c r="A20" s="217"/>
      <c r="B20" s="217"/>
      <c r="C20" s="223"/>
      <c r="D20" s="217"/>
      <c r="E20" s="217"/>
      <c r="F20" s="222">
        <f t="shared" si="0"/>
        <v>0</v>
      </c>
      <c r="G20" s="225" t="e">
        <f>"kg/ton/"&amp;RIGHT(VLOOKUP(B20,Materialtabell[[#All],[Materialnamn]:[Enhet]],4,0),LEN(VLOOKUP(B20,Materialtabell[[#All],[Materialnamn]:[Enhet]],4,0))-3)</f>
        <v>#N/A</v>
      </c>
    </row>
    <row r="21" spans="1:7" ht="15" customHeight="1" x14ac:dyDescent="0.25">
      <c r="A21" s="217"/>
      <c r="B21" s="217"/>
      <c r="C21" s="223"/>
      <c r="D21" s="217"/>
      <c r="E21" s="217"/>
      <c r="F21" s="222">
        <f t="shared" si="0"/>
        <v>0</v>
      </c>
      <c r="G21" s="225" t="e">
        <f>"kg/ton/"&amp;RIGHT(VLOOKUP(B21,Materialtabell[[#All],[Materialnamn]:[Enhet]],4,0),LEN(VLOOKUP(B21,Materialtabell[[#All],[Materialnamn]:[Enhet]],4,0))-3)</f>
        <v>#N/A</v>
      </c>
    </row>
    <row r="22" spans="1:7" ht="15" customHeight="1" x14ac:dyDescent="0.25">
      <c r="A22" s="217"/>
      <c r="B22" s="217"/>
      <c r="C22" s="223"/>
      <c r="D22" s="217"/>
      <c r="E22" s="217"/>
      <c r="F22" s="222">
        <f t="shared" si="0"/>
        <v>0</v>
      </c>
      <c r="G22" s="225" t="e">
        <f>"kg/ton/"&amp;RIGHT(VLOOKUP(B22,Materialtabell[[#All],[Materialnamn]:[Enhet]],4,0),LEN(VLOOKUP(B22,Materialtabell[[#All],[Materialnamn]:[Enhet]],4,0))-3)</f>
        <v>#N/A</v>
      </c>
    </row>
    <row r="23" spans="1:7" ht="15" customHeight="1" x14ac:dyDescent="0.25">
      <c r="A23" s="217"/>
      <c r="B23" s="217"/>
      <c r="C23" s="223"/>
      <c r="D23" s="217"/>
      <c r="E23" s="217"/>
      <c r="F23" s="222">
        <f t="shared" si="0"/>
        <v>0</v>
      </c>
      <c r="G23" s="225" t="e">
        <f>"kg/ton/"&amp;RIGHT(VLOOKUP(B23,Materialtabell[[#All],[Materialnamn]:[Enhet]],4,0),LEN(VLOOKUP(B23,Materialtabell[[#All],[Materialnamn]:[Enhet]],4,0))-3)</f>
        <v>#N/A</v>
      </c>
    </row>
    <row r="24" spans="1:7" ht="15" customHeight="1" x14ac:dyDescent="0.25">
      <c r="A24" s="217"/>
      <c r="B24" s="217"/>
      <c r="C24" s="223"/>
      <c r="D24" s="217"/>
      <c r="E24" s="217"/>
      <c r="F24" s="222">
        <f t="shared" si="0"/>
        <v>0</v>
      </c>
      <c r="G24" s="225" t="e">
        <f>"kg/ton/"&amp;RIGHT(VLOOKUP(B24,Materialtabell[[#All],[Materialnamn]:[Enhet]],4,0),LEN(VLOOKUP(B24,Materialtabell[[#All],[Materialnamn]:[Enhet]],4,0))-3)</f>
        <v>#N/A</v>
      </c>
    </row>
    <row r="25" spans="1:7" ht="15" customHeight="1" x14ac:dyDescent="0.25">
      <c r="A25" s="217"/>
      <c r="B25" s="217"/>
      <c r="C25" s="223"/>
      <c r="D25" s="217"/>
      <c r="E25" s="217"/>
      <c r="F25" s="222">
        <f t="shared" si="0"/>
        <v>0</v>
      </c>
      <c r="G25" s="225" t="e">
        <f>"kg/ton/"&amp;RIGHT(VLOOKUP(B25,Materialtabell[[#All],[Materialnamn]:[Enhet]],4,0),LEN(VLOOKUP(B25,Materialtabell[[#All],[Materialnamn]:[Enhet]],4,0))-3)</f>
        <v>#N/A</v>
      </c>
    </row>
    <row r="26" spans="1:7" ht="15" customHeight="1" x14ac:dyDescent="0.25">
      <c r="A26" s="217"/>
      <c r="B26" s="217"/>
      <c r="C26" s="223"/>
      <c r="D26" s="217"/>
      <c r="E26" s="217"/>
      <c r="F26" s="222">
        <f t="shared" si="0"/>
        <v>0</v>
      </c>
      <c r="G26" s="225" t="e">
        <f>"kg/ton/"&amp;RIGHT(VLOOKUP(B26,Materialtabell[[#All],[Materialnamn]:[Enhet]],4,0),LEN(VLOOKUP(B26,Materialtabell[[#All],[Materialnamn]:[Enhet]],4,0))-3)</f>
        <v>#N/A</v>
      </c>
    </row>
    <row r="27" spans="1:7" ht="15" customHeight="1" x14ac:dyDescent="0.25">
      <c r="A27" s="217"/>
      <c r="B27" s="217"/>
      <c r="C27" s="223"/>
      <c r="D27" s="217"/>
      <c r="E27" s="217"/>
      <c r="F27" s="222">
        <f t="shared" si="0"/>
        <v>0</v>
      </c>
      <c r="G27" s="225" t="e">
        <f>"kg/ton/"&amp;RIGHT(VLOOKUP(B27,Materialtabell[[#All],[Materialnamn]:[Enhet]],4,0),LEN(VLOOKUP(B27,Materialtabell[[#All],[Materialnamn]:[Enhet]],4,0))-3)</f>
        <v>#N/A</v>
      </c>
    </row>
    <row r="28" spans="1:7" ht="15" customHeight="1" x14ac:dyDescent="0.25">
      <c r="A28" s="217"/>
      <c r="B28" s="217"/>
      <c r="C28" s="223"/>
      <c r="D28" s="217"/>
      <c r="E28" s="217"/>
      <c r="F28" s="222">
        <f t="shared" si="0"/>
        <v>0</v>
      </c>
      <c r="G28" s="225" t="e">
        <f>"kg/ton/"&amp;RIGHT(VLOOKUP(B28,Materialtabell[[#All],[Materialnamn]:[Enhet]],4,0),LEN(VLOOKUP(B28,Materialtabell[[#All],[Materialnamn]:[Enhet]],4,0))-3)</f>
        <v>#N/A</v>
      </c>
    </row>
    <row r="29" spans="1:7" ht="15" customHeight="1" x14ac:dyDescent="0.25">
      <c r="A29" s="217"/>
      <c r="B29" s="217"/>
      <c r="C29" s="223"/>
      <c r="D29" s="217"/>
      <c r="E29" s="217"/>
      <c r="F29" s="222">
        <f t="shared" si="0"/>
        <v>0</v>
      </c>
      <c r="G29" s="225" t="e">
        <f>"kg/ton/"&amp;RIGHT(VLOOKUP(B29,Materialtabell[[#All],[Materialnamn]:[Enhet]],4,0),LEN(VLOOKUP(B29,Materialtabell[[#All],[Materialnamn]:[Enhet]],4,0))-3)</f>
        <v>#N/A</v>
      </c>
    </row>
    <row r="30" spans="1:7" ht="15" customHeight="1" x14ac:dyDescent="0.25">
      <c r="A30" s="221"/>
      <c r="B30" s="221"/>
      <c r="C30" s="224"/>
      <c r="D30" s="221"/>
      <c r="E30" s="221"/>
      <c r="F30" s="224">
        <f t="shared" si="0"/>
        <v>0</v>
      </c>
      <c r="G30" s="226" t="e">
        <f>"kg/ton/"&amp;RIGHT(VLOOKUP(B30,Materialtabell[[#All],[Materialnamn]:[Enhet]],4,0),LEN(VLOOKUP(B30,Materialtabell[[#All],[Materialnamn]:[Enhet]],4,0))-3)</f>
        <v>#N/A</v>
      </c>
    </row>
  </sheetData>
  <dataValidations count="1">
    <dataValidation type="list" allowBlank="1" showInputMessage="1" showErrorMessage="1" sqref="D8:D30 G8:G30" xr:uid="{C4DC677A-9BEE-48D8-876E-E4BEE5E84893}">
      <formula1>OFFSET(Omräkningsfaktor,0,0,COUNTA(Omräkningsfaktor),1)</formula1>
    </dataValidation>
  </dataValidations>
  <pageMargins left="0.7" right="0.7" top="0.75" bottom="0.75" header="0.3" footer="0.3"/>
  <ignoredErrors>
    <ignoredError sqref="G8:G30" evalErro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B105F-8F7D-46F8-985E-E29FFE6CE1CC}">
  <sheetPr>
    <tabColor rgb="FF76368C"/>
  </sheetPr>
  <dimension ref="A1:AO34"/>
  <sheetViews>
    <sheetView workbookViewId="0">
      <selection activeCell="F6" sqref="F6"/>
    </sheetView>
  </sheetViews>
  <sheetFormatPr defaultRowHeight="15" zeroHeight="1" x14ac:dyDescent="0.25"/>
  <cols>
    <col min="1" max="1" width="5.7109375" customWidth="1"/>
    <col min="2" max="2" width="21.7109375" customWidth="1"/>
    <col min="6" max="6" width="30.7109375" customWidth="1"/>
    <col min="15" max="15" width="9.5703125" bestFit="1" customWidth="1"/>
    <col min="17" max="17" width="12.140625" bestFit="1" customWidth="1"/>
    <col min="23" max="23" width="9.42578125" bestFit="1" customWidth="1"/>
  </cols>
  <sheetData>
    <row r="1" spans="1:41" s="1" customFormat="1" ht="20.100000000000001" customHeight="1" x14ac:dyDescent="0.25">
      <c r="A1" s="3"/>
      <c r="B1" s="23"/>
      <c r="C1" s="23"/>
      <c r="D1" s="23"/>
      <c r="E1" s="23"/>
      <c r="F1" s="23"/>
      <c r="G1" s="23"/>
      <c r="H1" s="23"/>
      <c r="I1" s="23"/>
      <c r="J1" s="23"/>
      <c r="K1" s="23"/>
      <c r="L1" s="23"/>
      <c r="M1" s="23"/>
      <c r="N1" s="23"/>
      <c r="O1" s="23"/>
      <c r="P1" s="23"/>
      <c r="Q1" s="23"/>
      <c r="R1" s="23"/>
      <c r="S1" s="23"/>
      <c r="T1" s="3"/>
      <c r="U1" s="3"/>
      <c r="V1" s="3"/>
      <c r="W1" s="3"/>
      <c r="X1" s="3"/>
      <c r="Y1" s="3"/>
      <c r="Z1" s="3"/>
      <c r="AA1" s="3"/>
      <c r="AB1" s="3"/>
      <c r="AC1" s="3"/>
      <c r="AD1" s="3"/>
      <c r="AE1" s="3"/>
      <c r="AF1" s="3"/>
      <c r="AG1" s="3"/>
      <c r="AH1" s="3"/>
      <c r="AI1" s="3"/>
      <c r="AJ1" s="3"/>
      <c r="AK1" s="3"/>
      <c r="AL1" s="3"/>
      <c r="AM1" s="3"/>
      <c r="AN1" s="3"/>
      <c r="AO1" s="3"/>
    </row>
    <row r="2" spans="1:41" s="19" customFormat="1" ht="45" customHeight="1" x14ac:dyDescent="0.5">
      <c r="A2" s="26"/>
      <c r="B2" s="26"/>
      <c r="C2" s="38" t="s">
        <v>401</v>
      </c>
      <c r="D2" s="26"/>
      <c r="E2" s="26"/>
      <c r="F2" s="26"/>
      <c r="G2" s="26"/>
      <c r="H2" s="26"/>
      <c r="I2" s="26"/>
      <c r="J2" s="26"/>
      <c r="K2" s="26"/>
      <c r="L2" s="26"/>
      <c r="M2" s="26"/>
      <c r="N2" s="26"/>
      <c r="O2" s="26"/>
      <c r="P2" s="26"/>
      <c r="Q2" s="26"/>
      <c r="R2" s="27"/>
      <c r="S2" s="26"/>
      <c r="T2" s="26"/>
      <c r="U2" s="26"/>
      <c r="V2" s="26"/>
      <c r="W2" s="26"/>
      <c r="X2" s="26"/>
      <c r="Y2" s="26"/>
      <c r="Z2" s="26"/>
      <c r="AA2" s="26"/>
      <c r="AB2" s="26"/>
      <c r="AC2" s="26"/>
      <c r="AD2" s="26"/>
      <c r="AE2" s="26"/>
      <c r="AF2" s="26"/>
      <c r="AG2" s="26"/>
      <c r="AH2" s="26"/>
      <c r="AI2" s="26"/>
      <c r="AJ2" s="26"/>
      <c r="AK2" s="26"/>
      <c r="AL2" s="26"/>
      <c r="AM2" s="26"/>
    </row>
    <row r="3" spans="1:41" s="1" customFormat="1" ht="20.100000000000001" customHeight="1" x14ac:dyDescent="0.25">
      <c r="A3" s="3"/>
      <c r="B3" s="23"/>
      <c r="C3" s="23"/>
      <c r="D3" s="3"/>
      <c r="E3" s="23"/>
      <c r="F3" s="23"/>
      <c r="G3" s="23"/>
      <c r="H3" s="23"/>
      <c r="I3" s="23"/>
      <c r="J3" s="23"/>
      <c r="K3" s="23"/>
      <c r="L3" s="23"/>
      <c r="M3" s="23"/>
      <c r="N3" s="23"/>
      <c r="O3" s="3"/>
      <c r="P3" s="3"/>
      <c r="Q3" s="3"/>
      <c r="R3" s="23"/>
      <c r="S3" s="3"/>
      <c r="T3" s="3"/>
      <c r="U3" s="3"/>
      <c r="V3" s="3"/>
      <c r="W3" s="3"/>
      <c r="X3" s="3"/>
      <c r="Y3" s="3"/>
      <c r="Z3" s="3"/>
      <c r="AA3" s="3"/>
      <c r="AB3" s="3"/>
      <c r="AC3" s="3"/>
      <c r="AD3" s="3"/>
      <c r="AE3" s="3"/>
      <c r="AF3" s="3"/>
      <c r="AG3" s="3"/>
      <c r="AH3" s="3"/>
      <c r="AI3" s="3"/>
      <c r="AJ3" s="3"/>
      <c r="AK3" s="3"/>
      <c r="AL3" s="3"/>
      <c r="AM3" s="3"/>
      <c r="AN3" s="3"/>
      <c r="AO3" s="3"/>
    </row>
    <row r="4" spans="1:41" s="1" customFormat="1" ht="20.100000000000001"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row>
    <row r="5" spans="1:41" ht="20.100000000000001" customHeight="1" x14ac:dyDescent="0.25">
      <c r="A5" s="3"/>
      <c r="B5" s="198"/>
      <c r="C5" s="30" t="s">
        <v>400</v>
      </c>
      <c r="D5" s="198"/>
      <c r="E5" s="198"/>
      <c r="F5" s="198"/>
      <c r="G5" s="198"/>
      <c r="H5" s="198"/>
      <c r="I5" s="198"/>
      <c r="J5" s="30" t="s">
        <v>399</v>
      </c>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3"/>
      <c r="AO5" s="3"/>
    </row>
    <row r="6" spans="1:41" ht="20.100000000000001" customHeight="1" x14ac:dyDescent="0.25">
      <c r="A6" s="3"/>
      <c r="B6" s="198"/>
      <c r="C6" s="55" t="s">
        <v>398</v>
      </c>
      <c r="D6" s="201"/>
      <c r="E6" s="55"/>
      <c r="F6" s="200">
        <f ca="1">TODAY()</f>
        <v>46282</v>
      </c>
      <c r="G6" s="198"/>
      <c r="H6" s="198"/>
      <c r="I6" s="198"/>
      <c r="J6" s="3" t="s">
        <v>402</v>
      </c>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3"/>
      <c r="AO6" s="3"/>
    </row>
    <row r="7" spans="1:41" ht="20.100000000000001" customHeight="1" x14ac:dyDescent="0.25">
      <c r="A7" s="3"/>
      <c r="B7" s="198"/>
      <c r="C7" s="55" t="s">
        <v>107</v>
      </c>
      <c r="D7" s="55"/>
      <c r="E7" s="55"/>
      <c r="F7" s="199"/>
      <c r="G7" s="198"/>
      <c r="H7" s="198"/>
      <c r="I7" s="198"/>
      <c r="J7" s="198" t="s">
        <v>404</v>
      </c>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3"/>
      <c r="AO7" s="3"/>
    </row>
    <row r="8" spans="1:41" ht="20.100000000000001" customHeight="1" x14ac:dyDescent="0.25">
      <c r="A8" s="3"/>
      <c r="B8" s="198"/>
      <c r="C8" s="55" t="s">
        <v>397</v>
      </c>
      <c r="D8" s="55"/>
      <c r="E8" s="55"/>
      <c r="F8" s="199"/>
      <c r="G8" s="198"/>
      <c r="H8" s="3"/>
      <c r="I8" s="3"/>
      <c r="J8" s="198" t="s">
        <v>405</v>
      </c>
      <c r="K8" s="3"/>
      <c r="L8" s="3"/>
      <c r="M8" s="3"/>
      <c r="N8" s="3"/>
      <c r="O8" s="3"/>
      <c r="P8" s="3"/>
      <c r="Q8" s="198"/>
      <c r="R8" s="3"/>
      <c r="S8" s="3"/>
      <c r="T8" s="3"/>
      <c r="U8" s="3"/>
      <c r="V8" s="3"/>
      <c r="W8" s="3"/>
      <c r="X8" s="3"/>
      <c r="Y8" s="3"/>
      <c r="Z8" s="3"/>
      <c r="AA8" s="3"/>
      <c r="AB8" s="3"/>
      <c r="AC8" s="3"/>
      <c r="AD8" s="3"/>
      <c r="AE8" s="3"/>
      <c r="AF8" s="3"/>
      <c r="AG8" s="3"/>
      <c r="AH8" s="3"/>
      <c r="AI8" s="3"/>
      <c r="AJ8" s="3"/>
      <c r="AK8" s="3"/>
      <c r="AL8" s="3"/>
      <c r="AM8" s="3"/>
      <c r="AN8" s="3"/>
      <c r="AO8" s="3"/>
    </row>
    <row r="9" spans="1:41" ht="20.100000000000001" customHeight="1" x14ac:dyDescent="0.25">
      <c r="A9" s="3"/>
      <c r="B9" s="3"/>
      <c r="C9" s="55" t="s">
        <v>396</v>
      </c>
      <c r="D9" s="55"/>
      <c r="E9" s="55"/>
      <c r="F9" s="199"/>
      <c r="G9" s="198"/>
      <c r="H9" s="3"/>
      <c r="I9" s="3"/>
      <c r="J9" s="3" t="s">
        <v>403</v>
      </c>
      <c r="K9" s="3"/>
      <c r="L9" s="3"/>
      <c r="M9" s="3"/>
      <c r="N9" s="3"/>
      <c r="O9" s="3"/>
      <c r="P9" s="3"/>
      <c r="Q9" s="198"/>
      <c r="R9" s="3"/>
      <c r="S9" s="3"/>
      <c r="T9" s="3"/>
      <c r="U9" s="3"/>
      <c r="V9" s="3"/>
      <c r="W9" s="3"/>
      <c r="X9" s="3"/>
      <c r="Y9" s="3"/>
      <c r="Z9" s="3"/>
      <c r="AA9" s="3"/>
      <c r="AB9" s="3"/>
      <c r="AC9" s="3"/>
      <c r="AD9" s="3"/>
      <c r="AE9" s="3"/>
      <c r="AF9" s="3"/>
      <c r="AG9" s="3"/>
      <c r="AH9" s="3"/>
      <c r="AI9" s="3"/>
      <c r="AJ9" s="3"/>
      <c r="AK9" s="3"/>
      <c r="AL9" s="3"/>
      <c r="AM9" s="3"/>
      <c r="AN9" s="3"/>
      <c r="AO9" s="3"/>
    </row>
    <row r="10" spans="1:41" ht="20.100000000000001" customHeight="1" x14ac:dyDescent="0.25">
      <c r="A10" s="3"/>
      <c r="B10" s="3"/>
      <c r="C10" s="3"/>
      <c r="D10" s="3"/>
      <c r="E10" s="3"/>
      <c r="F10" s="3"/>
      <c r="G10" s="3"/>
      <c r="H10" s="3"/>
      <c r="I10" s="3"/>
      <c r="J10" s="3" t="s">
        <v>406</v>
      </c>
      <c r="K10" s="198"/>
      <c r="L10" s="3"/>
      <c r="M10" s="3"/>
      <c r="N10" s="3"/>
      <c r="O10" s="3"/>
      <c r="P10" s="3"/>
      <c r="Q10" s="198"/>
      <c r="R10" s="3"/>
      <c r="S10" s="3"/>
      <c r="T10" s="3"/>
      <c r="U10" s="3"/>
      <c r="V10" s="3"/>
      <c r="W10" s="3"/>
      <c r="X10" s="3"/>
      <c r="Y10" s="3"/>
      <c r="Z10" s="3"/>
      <c r="AA10" s="3"/>
      <c r="AB10" s="3"/>
      <c r="AC10" s="3"/>
      <c r="AD10" s="3"/>
      <c r="AE10" s="3"/>
      <c r="AF10" s="3"/>
      <c r="AG10" s="3"/>
      <c r="AH10" s="3"/>
      <c r="AI10" s="3"/>
      <c r="AJ10" s="3"/>
      <c r="AK10" s="3"/>
      <c r="AL10" s="3"/>
      <c r="AM10" s="3"/>
      <c r="AN10" s="3"/>
      <c r="AO10" s="3"/>
    </row>
    <row r="11" spans="1:41" ht="20.100000000000001" customHeight="1" x14ac:dyDescent="0.25">
      <c r="A11" s="3"/>
      <c r="B11" s="3"/>
      <c r="C11" s="3"/>
      <c r="D11" s="3"/>
      <c r="E11" s="3"/>
      <c r="F11" s="3"/>
      <c r="G11" s="3"/>
      <c r="H11" s="3"/>
      <c r="I11" s="3"/>
      <c r="J11" s="198"/>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row>
    <row r="12" spans="1:41" ht="20.100000000000001" customHeight="1" x14ac:dyDescent="0.25">
      <c r="A12" s="3"/>
      <c r="B12" s="3"/>
      <c r="C12" s="216" t="s">
        <v>428</v>
      </c>
      <c r="D12" s="3"/>
      <c r="E12" s="3"/>
      <c r="F12" s="3"/>
      <c r="G12" s="3"/>
      <c r="H12" s="3"/>
      <c r="I12" s="3"/>
      <c r="J12" s="198"/>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row>
    <row r="13" spans="1:41" ht="20.100000000000001" customHeight="1" x14ac:dyDescent="0.25">
      <c r="A13" s="3"/>
      <c r="B13" s="3"/>
      <c r="C13" s="3"/>
      <c r="D13" s="3"/>
      <c r="E13" s="3"/>
      <c r="F13" s="3"/>
      <c r="G13" s="19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row>
    <row r="14" spans="1:41" ht="20.100000000000001" customHeight="1" x14ac:dyDescent="0.2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row>
    <row r="15" spans="1:41" ht="20.100000000000001" customHeight="1" x14ac:dyDescent="0.2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row>
    <row r="16" spans="1:41" ht="20.100000000000001" customHeight="1" x14ac:dyDescent="0.2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row>
    <row r="17" spans="1:41" ht="80.099999999999994" customHeight="1" thickBot="1" x14ac:dyDescent="0.3">
      <c r="A17" s="3"/>
      <c r="B17" s="30" t="s">
        <v>398</v>
      </c>
      <c r="C17" s="30" t="s">
        <v>107</v>
      </c>
      <c r="D17" s="30" t="s">
        <v>397</v>
      </c>
      <c r="E17" s="30" t="s">
        <v>396</v>
      </c>
      <c r="F17" s="9" t="s">
        <v>156</v>
      </c>
      <c r="G17" s="9" t="s">
        <v>180</v>
      </c>
      <c r="H17" s="9" t="s">
        <v>157</v>
      </c>
      <c r="I17" s="9" t="s">
        <v>57</v>
      </c>
      <c r="J17" s="9" t="s">
        <v>102</v>
      </c>
      <c r="K17" s="9" t="s">
        <v>103</v>
      </c>
      <c r="L17" s="9" t="s">
        <v>104</v>
      </c>
      <c r="M17" s="9" t="s">
        <v>163</v>
      </c>
      <c r="N17" s="9" t="s">
        <v>160</v>
      </c>
      <c r="O17" s="9" t="s">
        <v>9</v>
      </c>
      <c r="P17" s="9" t="s">
        <v>128</v>
      </c>
      <c r="Q17" s="9" t="s">
        <v>155</v>
      </c>
      <c r="R17" s="9" t="s">
        <v>10</v>
      </c>
      <c r="S17" s="9" t="s">
        <v>127</v>
      </c>
      <c r="T17" s="9" t="s">
        <v>45</v>
      </c>
      <c r="U17" s="9" t="s">
        <v>112</v>
      </c>
      <c r="V17" s="9" t="s">
        <v>395</v>
      </c>
      <c r="W17" s="9" t="s">
        <v>394</v>
      </c>
      <c r="X17" s="9" t="s">
        <v>393</v>
      </c>
      <c r="Y17" s="9" t="s">
        <v>392</v>
      </c>
      <c r="Z17" s="9" t="s">
        <v>391</v>
      </c>
      <c r="AA17" s="9" t="s">
        <v>390</v>
      </c>
      <c r="AB17" s="9" t="s">
        <v>389</v>
      </c>
      <c r="AC17" s="9" t="s">
        <v>388</v>
      </c>
      <c r="AD17" s="9" t="s">
        <v>387</v>
      </c>
      <c r="AE17" s="9" t="s">
        <v>386</v>
      </c>
      <c r="AF17" s="9" t="s">
        <v>385</v>
      </c>
      <c r="AG17" s="9" t="s">
        <v>384</v>
      </c>
      <c r="AH17" s="9" t="s">
        <v>383</v>
      </c>
      <c r="AI17" s="9" t="s">
        <v>382</v>
      </c>
      <c r="AJ17" s="9" t="s">
        <v>381</v>
      </c>
      <c r="AK17" s="9" t="s">
        <v>380</v>
      </c>
      <c r="AL17" s="9" t="s">
        <v>379</v>
      </c>
      <c r="AM17" s="9" t="s">
        <v>378</v>
      </c>
      <c r="AN17" s="3"/>
      <c r="AO17" s="3"/>
    </row>
    <row r="18" spans="1:41" ht="20.100000000000001" customHeight="1" thickBot="1" x14ac:dyDescent="0.3">
      <c r="A18" s="3"/>
      <c r="B18" s="202">
        <f ca="1">F6</f>
        <v>46282</v>
      </c>
      <c r="C18" s="203">
        <f>D7</f>
        <v>0</v>
      </c>
      <c r="D18" s="203">
        <f>D8</f>
        <v>0</v>
      </c>
      <c r="E18" s="203">
        <f>D9</f>
        <v>0</v>
      </c>
      <c r="F18" s="204">
        <f>Försättsblad!$D$7</f>
        <v>0</v>
      </c>
      <c r="G18" s="204">
        <f>Försättsblad!$D$8</f>
        <v>0</v>
      </c>
      <c r="H18" s="204">
        <f>Försättsblad!$D$9</f>
        <v>0</v>
      </c>
      <c r="I18" s="204">
        <f>Försättsblad!$D$10</f>
        <v>0</v>
      </c>
      <c r="J18" s="204">
        <f>Försättsblad!$D$12</f>
        <v>0</v>
      </c>
      <c r="K18" s="204">
        <f>Försättsblad!$D$13</f>
        <v>0</v>
      </c>
      <c r="L18" s="204">
        <f>Försättsblad!$D$14</f>
        <v>0</v>
      </c>
      <c r="M18" s="204">
        <f>Försättsblad!$D$15</f>
        <v>0</v>
      </c>
      <c r="N18" s="204">
        <f>Försättsblad!$D$16</f>
        <v>0</v>
      </c>
      <c r="O18" s="205">
        <f>Försättsblad!$D$17</f>
        <v>0</v>
      </c>
      <c r="P18" s="206">
        <f>Försättsblad!$D$18</f>
        <v>0.25</v>
      </c>
      <c r="Q18" s="207">
        <f>Försättsblad!$D$19</f>
        <v>0</v>
      </c>
      <c r="R18" s="203">
        <f>Försättsblad!$D$20</f>
        <v>0</v>
      </c>
      <c r="S18" s="203">
        <f>Försättsblad!$D$21</f>
        <v>0</v>
      </c>
      <c r="T18" s="208">
        <f>Försättsblad!$D$22</f>
        <v>0</v>
      </c>
      <c r="U18" s="203" t="s">
        <v>334</v>
      </c>
      <c r="V18" s="209">
        <f>(SUM(KalkylStart[[#All],[Materialvikt]]))/1000</f>
        <v>0</v>
      </c>
      <c r="W18" s="209">
        <f>(SUM(KalkylStart[[#All],[2019
kg CO2e]])/1000)</f>
        <v>0</v>
      </c>
      <c r="X18" s="209">
        <f>(SUM(KalkylStart[[#All],[A1-3
kg CO2e]])/1000)</f>
        <v>0</v>
      </c>
      <c r="Y18" s="209" t="e">
        <f>W18/N18*1000</f>
        <v>#DIV/0!</v>
      </c>
      <c r="Z18" s="209" t="e">
        <f>X18/N18*1000</f>
        <v>#DIV/0!</v>
      </c>
      <c r="AA18" s="209" t="e">
        <f>W18/(O18/1000000)</f>
        <v>#DIV/0!</v>
      </c>
      <c r="AB18" s="209" t="e">
        <f>X18/(O18/1000000)</f>
        <v>#DIV/0!</v>
      </c>
      <c r="AC18" s="209">
        <f>(SUM(KalkylStart[[#All],[20% HVO
kg CO2e]])/1000)</f>
        <v>0</v>
      </c>
      <c r="AD18" s="209">
        <f>(SUM(KalkylStart[[#All],[100% HVO
kg CO2e]])/1000)</f>
        <v>0</v>
      </c>
      <c r="AE18" s="209">
        <f>(SUM(KalkylSlut[[#All],[Materialvikt]])/1000)</f>
        <v>0</v>
      </c>
      <c r="AF18" s="209">
        <f>(SUM(KalkylSlut[[#All],[2019
kg CO2e]])/1000)</f>
        <v>0</v>
      </c>
      <c r="AG18" s="209">
        <f>(SUM(KalkylSlut[[#All],[A1-3
kg CO2e]])/1000)</f>
        <v>0</v>
      </c>
      <c r="AH18" s="209" t="e">
        <f>AF18/N18*1000</f>
        <v>#DIV/0!</v>
      </c>
      <c r="AI18" s="209" t="e">
        <f>AG18/N18*1000</f>
        <v>#DIV/0!</v>
      </c>
      <c r="AJ18" s="209" t="e">
        <f>AF18/(O18/1000000)</f>
        <v>#DIV/0!</v>
      </c>
      <c r="AK18" s="209" t="e">
        <f>AG18/(O18/1000000)</f>
        <v>#DIV/0!</v>
      </c>
      <c r="AL18" s="209">
        <f>(SUM(KalkylSlut[[#All],[20% HVO
kg CO2e]])/1000)</f>
        <v>0</v>
      </c>
      <c r="AM18" s="210">
        <f>(SUM(KalkylSlut[[#All],[100% HVO
kg CO2e]])/1000)</f>
        <v>0</v>
      </c>
      <c r="AN18" s="3"/>
      <c r="AO18" s="3"/>
    </row>
    <row r="19" spans="1:41" ht="20.100000000000001" customHeight="1" x14ac:dyDescent="0.25">
      <c r="A19" s="3"/>
      <c r="B19" s="24"/>
      <c r="C19" s="24"/>
      <c r="D19" s="24"/>
      <c r="E19" s="24"/>
      <c r="F19" s="24"/>
      <c r="G19" s="24"/>
      <c r="H19" s="24"/>
      <c r="I19" s="24"/>
      <c r="J19" s="24"/>
      <c r="K19" s="196"/>
      <c r="L19" s="195"/>
      <c r="M19" s="194"/>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row>
    <row r="20" spans="1:41" ht="20.100000000000001" customHeight="1" x14ac:dyDescent="0.25">
      <c r="A20" s="3"/>
      <c r="B20" s="24"/>
      <c r="C20" s="24"/>
      <c r="D20" s="24"/>
      <c r="E20" s="24"/>
      <c r="F20" s="24"/>
      <c r="G20" s="24"/>
      <c r="H20" s="24"/>
      <c r="I20" s="24"/>
      <c r="J20" s="24"/>
      <c r="K20" s="196"/>
      <c r="L20" s="195"/>
      <c r="M20" s="194"/>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row>
    <row r="21" spans="1:41" ht="20.100000000000001"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row>
    <row r="22" spans="1:41" ht="20.100000000000001" customHeight="1" x14ac:dyDescent="0.25">
      <c r="A22" s="3"/>
      <c r="B22" s="198"/>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8"/>
      <c r="AL22" s="198"/>
      <c r="AM22" s="198"/>
      <c r="AN22" s="3"/>
      <c r="AO22" s="3"/>
    </row>
    <row r="23" spans="1:41" ht="20.100000000000001" customHeight="1" x14ac:dyDescent="0.25">
      <c r="A23" s="3"/>
      <c r="B23" s="198"/>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3"/>
      <c r="AO23" s="3"/>
    </row>
    <row r="24" spans="1:41" ht="20.100000000000001" customHeight="1" x14ac:dyDescent="0.25">
      <c r="A24" s="3"/>
      <c r="B24" s="198"/>
      <c r="C24" s="198"/>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8"/>
      <c r="AL24" s="198"/>
      <c r="AM24" s="198"/>
      <c r="AN24" s="3"/>
      <c r="AO24" s="3"/>
    </row>
    <row r="25" spans="1:41" ht="20.100000000000001" customHeight="1" x14ac:dyDescent="0.25">
      <c r="A25" s="3"/>
      <c r="B25" s="198"/>
      <c r="C25" s="198"/>
      <c r="D25" s="198"/>
      <c r="E25" s="198"/>
      <c r="F25" s="198"/>
      <c r="G25" s="198"/>
      <c r="H25" s="198"/>
      <c r="I25" s="198"/>
      <c r="J25" s="198"/>
      <c r="K25" s="198"/>
      <c r="L25" s="198"/>
      <c r="M25" s="198"/>
      <c r="N25" s="198"/>
      <c r="O25" s="198"/>
      <c r="P25" s="198"/>
      <c r="Q25" s="198"/>
      <c r="R25" s="198"/>
      <c r="S25" s="198"/>
      <c r="T25" s="198"/>
      <c r="U25" s="198"/>
      <c r="V25" s="198"/>
      <c r="W25" s="198"/>
      <c r="X25" s="198"/>
      <c r="Y25" s="198"/>
      <c r="Z25" s="198"/>
      <c r="AA25" s="198"/>
      <c r="AB25" s="198"/>
      <c r="AC25" s="198"/>
      <c r="AD25" s="198"/>
      <c r="AE25" s="198"/>
      <c r="AF25" s="198"/>
      <c r="AG25" s="198"/>
      <c r="AH25" s="198"/>
      <c r="AI25" s="198"/>
      <c r="AJ25" s="198"/>
      <c r="AK25" s="198"/>
      <c r="AL25" s="198"/>
      <c r="AM25" s="198"/>
      <c r="AN25" s="3"/>
      <c r="AO25" s="3"/>
    </row>
    <row r="26" spans="1:41" ht="20.100000000000001" customHeight="1" x14ac:dyDescent="0.25">
      <c r="A26" s="3"/>
      <c r="B26" s="198"/>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8"/>
      <c r="AN26" s="3"/>
      <c r="AO26" s="3"/>
    </row>
    <row r="27" spans="1:41" ht="20.100000000000001" customHeight="1" x14ac:dyDescent="0.25">
      <c r="A27" s="198"/>
      <c r="B27" s="198"/>
      <c r="C27" s="198"/>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3"/>
      <c r="AO27" s="3"/>
    </row>
    <row r="28" spans="1:41" ht="20.100000000000001" customHeight="1" x14ac:dyDescent="0.25">
      <c r="A28" s="198"/>
      <c r="B28" s="198"/>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8"/>
      <c r="AJ28" s="198"/>
      <c r="AK28" s="198"/>
      <c r="AL28" s="198"/>
      <c r="AM28" s="198"/>
      <c r="AN28" s="3"/>
      <c r="AO28" s="3"/>
    </row>
    <row r="29" spans="1:41" ht="20.100000000000001" customHeight="1" x14ac:dyDescent="0.25">
      <c r="A29" s="198"/>
      <c r="B29" s="198"/>
      <c r="C29" s="198"/>
      <c r="D29" s="198"/>
      <c r="E29" s="198"/>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3"/>
      <c r="AO29" s="3"/>
    </row>
    <row r="30" spans="1:41" ht="20.100000000000001" customHeight="1" x14ac:dyDescent="0.25">
      <c r="A30" s="198"/>
      <c r="B30" s="198"/>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3"/>
      <c r="AO30" s="3"/>
    </row>
    <row r="31" spans="1:41" ht="20.100000000000001" customHeight="1" x14ac:dyDescent="0.25">
      <c r="A31" s="135"/>
      <c r="B31" s="13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row>
    <row r="32" spans="1:41" ht="20.100000000000001" customHeight="1" x14ac:dyDescent="0.25">
      <c r="A32" s="135"/>
      <c r="B32" s="135"/>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row>
    <row r="33" spans="1:41" ht="20.100000000000001" customHeight="1" x14ac:dyDescent="0.25">
      <c r="A33" s="135"/>
      <c r="B33" s="135"/>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row>
    <row r="34" spans="1:41" ht="20.100000000000001" customHeight="1" x14ac:dyDescent="0.25">
      <c r="A34" s="135"/>
      <c r="B34" s="135"/>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row>
  </sheetData>
  <sheetProtection algorithmName="SHA-512" hashValue="8+k4kEIF6DEyIBI0j+DethTQx31eNCKBj9cKolYrOadjpXZq3Tve3bwu74cEd0qutaF4a6UYryI5L9YdqNAzPg==" saltValue="oMs0AYYQ+ApEEqxGuWTvaA==" spinCount="100000" sheet="1" objects="1" scenarios="1"/>
  <protectedRanges>
    <protectedRange sqref="F6:F9" name="Exportinfo"/>
  </protectedRange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8BC42-72BF-4DF6-A224-2AB6B1F0E9F8}">
  <sheetPr codeName="Sheet10">
    <tabColor rgb="FFC00000"/>
  </sheetPr>
  <dimension ref="A1:O35"/>
  <sheetViews>
    <sheetView zoomScaleNormal="100" workbookViewId="0">
      <selection activeCell="F6" sqref="F6"/>
    </sheetView>
  </sheetViews>
  <sheetFormatPr defaultColWidth="9.140625" defaultRowHeight="15" customHeight="1" x14ac:dyDescent="0.2"/>
  <cols>
    <col min="1" max="1" width="9.140625" style="47"/>
    <col min="2" max="2" width="18.140625" style="47" bestFit="1" customWidth="1"/>
    <col min="3" max="4" width="15.7109375" style="47" customWidth="1"/>
    <col min="5" max="5" width="14.5703125" style="47" bestFit="1" customWidth="1"/>
    <col min="6" max="6" width="14.5703125" style="47" customWidth="1"/>
    <col min="7" max="7" width="35.7109375" style="47" bestFit="1" customWidth="1"/>
    <col min="8" max="8" width="47" style="47" bestFit="1" customWidth="1"/>
    <col min="9" max="9" width="31.28515625" style="47" bestFit="1" customWidth="1"/>
    <col min="10" max="10" width="45.85546875" style="47" bestFit="1" customWidth="1"/>
    <col min="11" max="11" width="39" style="47" bestFit="1" customWidth="1"/>
    <col min="12" max="12" width="27.85546875" style="47" bestFit="1" customWidth="1"/>
    <col min="13" max="14" width="27.85546875" style="47" customWidth="1"/>
    <col min="15" max="15" width="39.5703125" style="47" bestFit="1" customWidth="1"/>
    <col min="16" max="16384" width="9.140625" style="47"/>
  </cols>
  <sheetData>
    <row r="1" spans="2:15" ht="15" customHeight="1" thickBot="1" x14ac:dyDescent="0.25">
      <c r="B1" s="40" t="s">
        <v>38</v>
      </c>
      <c r="C1" s="40" t="s">
        <v>39</v>
      </c>
      <c r="D1" s="40" t="s">
        <v>122</v>
      </c>
      <c r="E1" s="40" t="s">
        <v>36</v>
      </c>
      <c r="F1" s="40" t="s">
        <v>166</v>
      </c>
      <c r="G1" s="40" t="s">
        <v>6</v>
      </c>
      <c r="H1" s="40" t="s">
        <v>2</v>
      </c>
      <c r="I1" s="40" t="s">
        <v>22</v>
      </c>
      <c r="J1" s="40" t="s">
        <v>24</v>
      </c>
      <c r="K1" s="40" t="s">
        <v>32</v>
      </c>
      <c r="L1" s="40" t="s">
        <v>259</v>
      </c>
      <c r="M1" s="40" t="s">
        <v>258</v>
      </c>
      <c r="N1" s="40" t="s">
        <v>260</v>
      </c>
      <c r="O1" s="40" t="s">
        <v>7</v>
      </c>
    </row>
    <row r="2" spans="2:15" ht="15" customHeight="1" x14ac:dyDescent="0.2">
      <c r="B2" s="42" t="s">
        <v>1</v>
      </c>
      <c r="C2" s="41" t="s">
        <v>50</v>
      </c>
      <c r="D2" s="43" t="s">
        <v>158</v>
      </c>
      <c r="E2" s="41" t="s">
        <v>32</v>
      </c>
      <c r="F2" s="42" t="s">
        <v>167</v>
      </c>
      <c r="G2" s="42" t="str" cm="1">
        <f t="array" ref="G2:G19">_xlfn._xlws.FILTER(Materialtabell[Materialnamn],Tabeller!G$1=Materialtabell[Materialtyp])</f>
        <v>Asfalt: Asfalt, generellt värde</v>
      </c>
      <c r="H2" s="43" t="str" cm="1">
        <f t="array" ref="H2:H20">_xlfn._xlws.FILTER(Materialtabell[Materialnamn],Tabeller!H$1=Materialtabell[Materialtyp])</f>
        <v>Betong: Cement (CEM I)</v>
      </c>
      <c r="I2" s="43" t="str" cm="1">
        <f t="array" ref="I2:I11">_xlfn._xlws.FILTER(Materialtabell[Materialnamn],Tabeller!I$1=Materialtabell[Materialtyp])</f>
        <v>Metall: Stål, varmförzinkat, generellt värde</v>
      </c>
      <c r="J2" s="43" t="str" cm="1">
        <f t="array" ref="J2:J12">_xlfn._xlws.FILTER(Materialtabell[Materialnamn],Tabeller!J$1=Materialtabell[Materialtyp])</f>
        <v>Plast: Cellplast, expanderad polystyren (lättfyllnadsmaterial)</v>
      </c>
      <c r="K2" s="43" t="str" cm="1">
        <f t="array" ref="K2:K9">_xlfn._xlws.FILTER(Materialtabell[Materialnamn],Tabeller!K$1=Materialtabell[Materialtyp])</f>
        <v>Anläggningssten: Anläggningssten, generellt värde</v>
      </c>
      <c r="L2" s="43" t="str" cm="1">
        <f t="array" ref="L2:L5">_xlfn._xlws.FILTER(Materialtabell[Materialnamn],Tabeller!L$1=Materialtabell[Materialtyp])</f>
        <v>Schakt: Jordschakt Fall A</v>
      </c>
      <c r="M2" s="43" t="str" cm="1">
        <f t="array" ref="M2:M5">_xlfn._xlws.FILTER(Materialtabell[Materialnamn],Tabeller!M$1=Materialtabell[Materialtyp])</f>
        <v>Fyll: Jord Fall A, fyll</v>
      </c>
      <c r="N2" s="43" t="str" cm="1">
        <f t="array" ref="N2:N7">_xlfn._xlws.FILTER(Materialtabell[Materialnamn],Tabeller!N$1=Materialtabell[Materialtyp])</f>
        <v>Teknisk massa: Krossmaterial, generellt värde</v>
      </c>
      <c r="O2" s="44" t="str" cm="1">
        <f t="array" ref="O2:O7">_xlfn._xlws.FILTER(Materialtabell[Materialnamn],Tabeller!O$1=Materialtabell[Materialtyp])</f>
        <v>Övrigt: Trä</v>
      </c>
    </row>
    <row r="3" spans="2:15" ht="15" customHeight="1" x14ac:dyDescent="0.2">
      <c r="B3" s="46" t="s">
        <v>5</v>
      </c>
      <c r="C3" s="45" t="s">
        <v>51</v>
      </c>
      <c r="D3" s="47" t="s">
        <v>123</v>
      </c>
      <c r="E3" s="45" t="s">
        <v>6</v>
      </c>
      <c r="F3" s="46" t="s">
        <v>168</v>
      </c>
      <c r="G3" s="46" t="str">
        <v>Asfalt: Asfalt, halvvarm asfalt</v>
      </c>
      <c r="H3" s="47" t="str">
        <v>Betong: Cement (CEM II)</v>
      </c>
      <c r="I3" s="47" t="str">
        <v>Metall: Stolpe vägmärke 3m, 60mm</v>
      </c>
      <c r="J3" s="47" t="str">
        <v>Plast: Geotextil, PP textil</v>
      </c>
      <c r="K3" s="47" t="str">
        <v>Anläggningssten: Smågatsten</v>
      </c>
      <c r="L3" s="47" t="str">
        <v>Schakt: Jordschakt Fall B</v>
      </c>
      <c r="M3" s="47" t="str">
        <v>Fyll: Jord Fall B, fyll</v>
      </c>
      <c r="N3" s="47" t="str">
        <v>Teknisk massa: Bärlager, 80 mm</v>
      </c>
      <c r="O3" s="48" t="str">
        <v>Övrigt: Limträ</v>
      </c>
    </row>
    <row r="4" spans="2:15" ht="15" customHeight="1" x14ac:dyDescent="0.2">
      <c r="B4" s="46" t="s">
        <v>154</v>
      </c>
      <c r="C4" s="45" t="s">
        <v>52</v>
      </c>
      <c r="D4" s="47" t="s">
        <v>124</v>
      </c>
      <c r="E4" s="45" t="s">
        <v>2</v>
      </c>
      <c r="F4" s="46" t="s">
        <v>169</v>
      </c>
      <c r="G4" s="46" t="str">
        <v>Asfalt: Bitumen</v>
      </c>
      <c r="H4" s="47" t="str">
        <v>Betong: Prefabricerad armerat betongelement, övrigt</v>
      </c>
      <c r="I4" s="47" t="str">
        <v>Metall: Standardvägmärke, normalstorlek</v>
      </c>
      <c r="J4" s="47" t="str">
        <v>Plast: Ledning av plaströr, dränrör dim 200</v>
      </c>
      <c r="K4" s="47" t="str">
        <v>Anläggningssten: Storgatsten</v>
      </c>
      <c r="L4" s="47" t="str">
        <v>Schakt: Bergschakt fall A</v>
      </c>
      <c r="M4" s="47" t="str">
        <v>Fyll: Berg Fall A, fyll</v>
      </c>
      <c r="N4" s="47" t="str">
        <v>Teknisk massa: Förstärkningslager</v>
      </c>
      <c r="O4" s="48" t="str">
        <v>Övrigt: Kalk</v>
      </c>
    </row>
    <row r="5" spans="2:15" ht="15" customHeight="1" x14ac:dyDescent="0.2">
      <c r="B5" s="46" t="s">
        <v>101</v>
      </c>
      <c r="C5" s="45"/>
      <c r="D5" s="47" t="s">
        <v>125</v>
      </c>
      <c r="E5" s="45" t="s">
        <v>22</v>
      </c>
      <c r="F5" s="46" t="s">
        <v>170</v>
      </c>
      <c r="G5" s="46" t="str">
        <v>Asfalt: Bitumenmatta</v>
      </c>
      <c r="H5" s="47" t="str">
        <v>Betong: Betongkantstöd</v>
      </c>
      <c r="I5" s="47" t="str">
        <v>Metall: Stål, konstruktionsstål, generellt värde, ej varmförzinkat</v>
      </c>
      <c r="J5" s="47" t="str">
        <v>Plast: Ledning av plaströr, dränrör dim 110</v>
      </c>
      <c r="K5" s="47" t="str">
        <v>Anläggningssten: Naturstensplattor, 70 mm</v>
      </c>
      <c r="L5" s="47" t="str">
        <v>Schakt: Bergschakt fall B</v>
      </c>
      <c r="M5" s="47" t="str">
        <v>Fyll: Berg Fall B, fyll</v>
      </c>
      <c r="N5" s="47" t="str">
        <v>Teknisk massa: Lättklinker (lättfyllnadsmaterial)</v>
      </c>
      <c r="O5" s="48" t="str">
        <v>Övrigt: Glas, härdat</v>
      </c>
    </row>
    <row r="6" spans="2:15" ht="15" customHeight="1" x14ac:dyDescent="0.2">
      <c r="B6" s="46" t="s">
        <v>3</v>
      </c>
      <c r="C6" s="45"/>
      <c r="D6" s="47" t="s">
        <v>126</v>
      </c>
      <c r="E6" s="45" t="s">
        <v>24</v>
      </c>
      <c r="F6" s="46" t="s">
        <v>171</v>
      </c>
      <c r="G6" s="46" t="str">
        <v>Asfalt: Asfalt, ABb</v>
      </c>
      <c r="H6" s="47" t="str">
        <v>Betong: Stödmur, 2m längd (höjd 0,6)</v>
      </c>
      <c r="I6" s="47" t="str">
        <v>Metall: Stål, rostfritt, generellt värde</v>
      </c>
      <c r="J6" s="47" t="str">
        <v>Plast: Ledning av plaströr, dim 225</v>
      </c>
      <c r="K6" s="47" t="str">
        <v>Anläggningssten: Granitkantstöd, generellt värde</v>
      </c>
      <c r="N6" s="47" t="str">
        <v>Teknisk massa: Makadam 16/32</v>
      </c>
      <c r="O6" s="48" t="str">
        <v>Övrigt: Glasfiber för optokabel</v>
      </c>
    </row>
    <row r="7" spans="2:15" ht="15" customHeight="1" x14ac:dyDescent="0.2">
      <c r="B7" s="46" t="s">
        <v>444</v>
      </c>
      <c r="C7" s="45"/>
      <c r="D7" s="47" t="s">
        <v>159</v>
      </c>
      <c r="E7" s="45" t="s">
        <v>259</v>
      </c>
      <c r="F7" s="46" t="s">
        <v>172</v>
      </c>
      <c r="G7" s="46" t="str">
        <v>Asfalt: Bindlager, ABb 11, 30-45 mm</v>
      </c>
      <c r="H7" s="47" t="str">
        <v>Betong: Stödmur, 2m längd (höjd 1)</v>
      </c>
      <c r="I7" s="47" t="str">
        <v>Metall: Aluminium</v>
      </c>
      <c r="J7" s="47" t="str">
        <v>Plast: Ledning av plaströr, dim 400</v>
      </c>
      <c r="K7" s="47" t="str">
        <v>Anläggningssten: Granitkantstöd, generellt värde, tillverkad i Kina</v>
      </c>
      <c r="N7" s="47" t="str">
        <v>Teknisk massa: Sand/grus/singel m.m.</v>
      </c>
      <c r="O7" s="48" t="str">
        <v>Övrigt: Marktegel, 70mm</v>
      </c>
    </row>
    <row r="8" spans="2:15" ht="15" customHeight="1" x14ac:dyDescent="0.2">
      <c r="B8" s="46"/>
      <c r="C8" s="45"/>
      <c r="E8" s="45" t="s">
        <v>258</v>
      </c>
      <c r="F8" s="46" t="s">
        <v>173</v>
      </c>
      <c r="G8" s="46" t="str">
        <v>Asfalt: Bindlager, ABb 16, 40-60 mm</v>
      </c>
      <c r="H8" s="47" t="str">
        <v>Betong: Stödmur, 2m längd (höjd 1.4)</v>
      </c>
      <c r="I8" s="47" t="str">
        <v>Metall: Stål, armeringsstänger, slakarmering</v>
      </c>
      <c r="J8" s="47" t="str">
        <v>Plast: Polyamide, PA</v>
      </c>
      <c r="K8" s="47" t="str">
        <v>Anläggningssten: Granit, generellt värde</v>
      </c>
      <c r="O8" s="48"/>
    </row>
    <row r="9" spans="2:15" ht="15" customHeight="1" x14ac:dyDescent="0.2">
      <c r="B9" s="46"/>
      <c r="C9" s="45"/>
      <c r="E9" s="45" t="s">
        <v>260</v>
      </c>
      <c r="F9" s="46" t="s">
        <v>174</v>
      </c>
      <c r="G9" s="46" t="str">
        <v>Asfalt: Bindlager, ABb 22, 55-80 mm</v>
      </c>
      <c r="H9" s="47" t="str">
        <v>Betong: Stödmur, 2m längd (höjd 1.8)</v>
      </c>
      <c r="I9" s="47" t="str">
        <v>Metall: Stål, armeringstråd, spännarmering</v>
      </c>
      <c r="J9" s="47" t="str">
        <v>Plast: Polyeten, HDPE</v>
      </c>
      <c r="K9" s="47" t="str">
        <v>Anläggningssten: Granit, generellt värde, tillverkad i Kina</v>
      </c>
      <c r="O9" s="48"/>
    </row>
    <row r="10" spans="2:15" ht="15" customHeight="1" x14ac:dyDescent="0.2">
      <c r="B10" s="46"/>
      <c r="C10" s="45"/>
      <c r="E10" s="45" t="s">
        <v>7</v>
      </c>
      <c r="F10" s="46" t="s">
        <v>175</v>
      </c>
      <c r="G10" s="46" t="str">
        <v>Asfalt: Asfalt, ABb PMB, 50 mm</v>
      </c>
      <c r="H10" s="47" t="str">
        <v>Betong: Betongfundament belysning, Cetong XXX/900</v>
      </c>
      <c r="I10" s="47" t="str">
        <v>Metall: Stål, rosttrögt stål/cortenstål</v>
      </c>
      <c r="J10" s="47" t="str">
        <v>Plast: Polyeten, LDPE</v>
      </c>
      <c r="O10" s="48"/>
    </row>
    <row r="11" spans="2:15" ht="15" customHeight="1" x14ac:dyDescent="0.2">
      <c r="B11" s="46"/>
      <c r="C11" s="45"/>
      <c r="E11" s="45"/>
      <c r="F11" s="46" t="s">
        <v>159</v>
      </c>
      <c r="G11" s="46" t="str">
        <v>Asfalt: Slitlager, ABS, 40 mm</v>
      </c>
      <c r="H11" s="47" t="str">
        <v>Betong: Betongfundament belysning, Cetong XXX/1300</v>
      </c>
      <c r="I11" s="47" t="str">
        <v>Metall: Koppartråd</v>
      </c>
      <c r="J11" s="47" t="str">
        <v>Plast: Polypropylen, PP</v>
      </c>
      <c r="O11" s="48"/>
    </row>
    <row r="12" spans="2:15" ht="15" customHeight="1" x14ac:dyDescent="0.2">
      <c r="B12" s="46"/>
      <c r="C12" s="45"/>
      <c r="E12" s="45"/>
      <c r="F12" s="46"/>
      <c r="G12" s="46" t="str">
        <v>Asfalt: Asfalt, ABS PMB, 40 mm</v>
      </c>
      <c r="H12" s="47" t="str">
        <v>Betong: Betongfundament belysning, Cetong XXX/1500 (Linspänn)</v>
      </c>
      <c r="J12" s="47" t="str">
        <v>Plast: PVC</v>
      </c>
      <c r="O12" s="48"/>
    </row>
    <row r="13" spans="2:15" ht="15" customHeight="1" x14ac:dyDescent="0.2">
      <c r="B13" s="46"/>
      <c r="C13" s="64"/>
      <c r="D13" s="80"/>
      <c r="E13" s="45"/>
      <c r="F13" s="46"/>
      <c r="G13" s="46" t="str">
        <v>Asfalt: Slitlager, ABT, 40 mm</v>
      </c>
      <c r="H13" s="47" t="str">
        <v>Betong: Betong, anläggning, generellt värde (C35/45), exponeringsklass XD3, XS3, XF4</v>
      </c>
      <c r="O13" s="48"/>
    </row>
    <row r="14" spans="2:15" ht="15" customHeight="1" x14ac:dyDescent="0.2">
      <c r="B14" s="46"/>
      <c r="C14" s="64"/>
      <c r="D14" s="80"/>
      <c r="E14" s="45"/>
      <c r="F14" s="46"/>
      <c r="G14" s="46" t="str">
        <v>Asfalt: Asfalt, ABT PMB, 40 mm</v>
      </c>
      <c r="H14" s="47" t="str">
        <v>Betong: KC-pelare</v>
      </c>
      <c r="O14" s="48"/>
    </row>
    <row r="15" spans="2:15" ht="15" customHeight="1" x14ac:dyDescent="0.2">
      <c r="B15" s="46"/>
      <c r="C15" s="64"/>
      <c r="D15" s="80"/>
      <c r="E15" s="45"/>
      <c r="F15" s="46"/>
      <c r="G15" s="46" t="str">
        <v>Asfalt: Asfalt, AG</v>
      </c>
      <c r="H15" s="47" t="str">
        <v>Betong: Fibercementskiva</v>
      </c>
      <c r="O15" s="48"/>
    </row>
    <row r="16" spans="2:15" ht="15" customHeight="1" x14ac:dyDescent="0.2">
      <c r="B16" s="46"/>
      <c r="C16" s="64"/>
      <c r="D16" s="80"/>
      <c r="E16" s="45"/>
      <c r="F16" s="46"/>
      <c r="G16" s="46" t="str">
        <v>Asfalt: Bärlager, AG 16, 40-60 mm</v>
      </c>
      <c r="H16" s="47" t="str">
        <v>Betong: Markplattor, betong, 0-50 mm</v>
      </c>
      <c r="O16" s="48"/>
    </row>
    <row r="17" spans="1:15" ht="15" customHeight="1" x14ac:dyDescent="0.2">
      <c r="B17" s="46"/>
      <c r="C17" s="64"/>
      <c r="D17" s="80"/>
      <c r="E17" s="45"/>
      <c r="F17" s="46"/>
      <c r="G17" s="46" t="str">
        <v>Asfalt: Bärlager, AG 22, 60-80 mm</v>
      </c>
      <c r="H17" s="47" t="str">
        <v>Betong: Markplattor, betong, 50-100 mm</v>
      </c>
      <c r="O17" s="48"/>
    </row>
    <row r="18" spans="1:15" ht="15" customHeight="1" x14ac:dyDescent="0.2">
      <c r="B18" s="46"/>
      <c r="C18" s="45"/>
      <c r="E18" s="45"/>
      <c r="F18" s="46"/>
      <c r="G18" s="46" t="str">
        <v>Asfalt: Bärlager, AG 32, 80-120 mm</v>
      </c>
      <c r="H18" s="47" t="str">
        <v>Betong: Betong anläggning (C30/37), exponeringsklass XC1</v>
      </c>
      <c r="O18" s="48"/>
    </row>
    <row r="19" spans="1:15" ht="15" customHeight="1" x14ac:dyDescent="0.2">
      <c r="B19" s="46"/>
      <c r="C19" s="45"/>
      <c r="E19" s="45"/>
      <c r="F19" s="46"/>
      <c r="G19" s="46" t="str">
        <v>Asfalt: Asfalt, AG PMB, 60 mm</v>
      </c>
      <c r="H19" s="47" t="str">
        <v>Betong: Betong, anläggning (C32/40) exponeringsklass XD2, XS2, XF2</v>
      </c>
      <c r="O19" s="48"/>
    </row>
    <row r="20" spans="1:15" ht="15" customHeight="1" x14ac:dyDescent="0.2">
      <c r="B20" s="46"/>
      <c r="C20" s="45"/>
      <c r="E20" s="45"/>
      <c r="F20" s="46"/>
      <c r="G20" s="46"/>
      <c r="H20" s="47" t="str">
        <v>Betong: Betong, byggnad (C40/50) exponeringsklass XD3</v>
      </c>
      <c r="O20" s="48"/>
    </row>
    <row r="21" spans="1:15" ht="15" customHeight="1" x14ac:dyDescent="0.2">
      <c r="B21" s="46"/>
      <c r="C21" s="45"/>
      <c r="E21" s="45"/>
      <c r="F21" s="46"/>
      <c r="G21" s="46"/>
      <c r="O21" s="48"/>
    </row>
    <row r="22" spans="1:15" ht="15" customHeight="1" x14ac:dyDescent="0.2">
      <c r="B22" s="46"/>
      <c r="C22" s="45"/>
      <c r="E22" s="45"/>
      <c r="F22" s="46"/>
      <c r="G22" s="46"/>
      <c r="O22" s="48"/>
    </row>
    <row r="23" spans="1:15" ht="15" customHeight="1" x14ac:dyDescent="0.2">
      <c r="B23" s="46"/>
      <c r="C23" s="45"/>
      <c r="E23" s="45"/>
      <c r="F23" s="46"/>
      <c r="G23" s="46"/>
      <c r="O23" s="48"/>
    </row>
    <row r="24" spans="1:15" ht="15" customHeight="1" x14ac:dyDescent="0.2">
      <c r="B24" s="46"/>
      <c r="C24" s="45"/>
      <c r="E24" s="45"/>
      <c r="F24" s="46"/>
      <c r="G24" s="46"/>
      <c r="O24" s="48"/>
    </row>
    <row r="25" spans="1:15" ht="15" customHeight="1" x14ac:dyDescent="0.2">
      <c r="B25" s="46"/>
      <c r="C25" s="45"/>
      <c r="E25" s="45"/>
      <c r="F25" s="46"/>
      <c r="G25" s="46"/>
      <c r="O25" s="48"/>
    </row>
    <row r="26" spans="1:15" ht="15" customHeight="1" thickBot="1" x14ac:dyDescent="0.25">
      <c r="B26" s="50"/>
      <c r="C26" s="49"/>
      <c r="D26" s="51"/>
      <c r="E26" s="49"/>
      <c r="F26" s="50"/>
      <c r="G26" s="50"/>
      <c r="H26" s="51"/>
      <c r="I26" s="51"/>
      <c r="J26" s="51"/>
      <c r="K26" s="51"/>
      <c r="L26" s="51"/>
      <c r="M26" s="51"/>
      <c r="N26" s="51"/>
      <c r="O26" s="52"/>
    </row>
    <row r="27" spans="1:15" ht="15" customHeight="1" x14ac:dyDescent="0.2">
      <c r="E27" s="83"/>
      <c r="F27" s="83"/>
      <c r="G27" s="83"/>
      <c r="H27" s="83"/>
      <c r="I27" s="83"/>
      <c r="J27" s="83"/>
      <c r="K27" s="83"/>
      <c r="L27" s="83"/>
      <c r="M27" s="83"/>
      <c r="N27" s="83"/>
      <c r="O27" s="83"/>
    </row>
    <row r="28" spans="1:15" ht="30" customHeight="1" x14ac:dyDescent="0.3">
      <c r="A28" s="84"/>
      <c r="B28" s="59" t="s">
        <v>58</v>
      </c>
      <c r="C28" s="59" t="s">
        <v>59</v>
      </c>
      <c r="D28" s="59"/>
      <c r="E28" s="84"/>
      <c r="F28" s="84"/>
      <c r="G28" s="84"/>
      <c r="H28" s="84"/>
      <c r="I28" s="84"/>
      <c r="J28" s="84"/>
      <c r="K28" s="84"/>
      <c r="L28" s="84"/>
      <c r="M28" s="84"/>
      <c r="N28" s="84"/>
      <c r="O28" s="84"/>
    </row>
    <row r="29" spans="1:15" ht="30" customHeight="1" x14ac:dyDescent="0.3">
      <c r="A29" s="84"/>
      <c r="B29" s="59" t="s">
        <v>58</v>
      </c>
      <c r="C29" s="59" t="s">
        <v>429</v>
      </c>
      <c r="D29" s="59"/>
      <c r="E29" s="84"/>
      <c r="F29" s="84"/>
      <c r="G29" s="84"/>
      <c r="H29" s="84"/>
      <c r="I29" s="84"/>
      <c r="J29" s="84"/>
      <c r="K29" s="84"/>
      <c r="L29" s="84"/>
      <c r="M29" s="84"/>
      <c r="N29" s="84"/>
      <c r="O29" s="84"/>
    </row>
    <row r="30" spans="1:15" ht="30" customHeight="1" x14ac:dyDescent="0.3">
      <c r="A30" s="84"/>
      <c r="B30" s="59" t="s">
        <v>58</v>
      </c>
      <c r="C30" s="59" t="s">
        <v>430</v>
      </c>
      <c r="D30" s="59"/>
      <c r="E30" s="84"/>
      <c r="F30" s="84"/>
      <c r="G30" s="84"/>
      <c r="H30" s="84"/>
      <c r="I30" s="84"/>
      <c r="J30" s="84"/>
      <c r="K30" s="84"/>
      <c r="L30" s="84"/>
      <c r="M30" s="84"/>
      <c r="N30" s="84"/>
      <c r="O30" s="84"/>
    </row>
    <row r="33" spans="8:10" ht="15" customHeight="1" x14ac:dyDescent="0.2">
      <c r="H33" s="92"/>
      <c r="I33" s="18"/>
      <c r="J33" s="18"/>
    </row>
    <row r="34" spans="8:10" ht="15" customHeight="1" x14ac:dyDescent="0.2">
      <c r="H34" s="92"/>
      <c r="I34" s="93"/>
      <c r="J34" s="93"/>
    </row>
    <row r="35" spans="8:10" ht="15" customHeight="1" x14ac:dyDescent="0.2">
      <c r="H35" s="92"/>
      <c r="I35" s="18"/>
      <c r="J35" s="18"/>
    </row>
  </sheetData>
  <sortState xmlns:xlrd2="http://schemas.microsoft.com/office/spreadsheetml/2017/richdata2" ref="G37:G46">
    <sortCondition ref="G37:G46"/>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NDS Presentation med logga" ma:contentTypeID="0x01010045D27B686C4052449F90FAB7AE1123F6030100CA25D0D100942447918BE87484DFA10E" ma:contentTypeVersion="5" ma:contentTypeDescription="" ma:contentTypeScope="" ma:versionID="d937e2f1f617fac3d7b8f2f755043482">
  <xsd:schema xmlns:xsd="http://www.w3.org/2001/XMLSchema" xmlns:xs="http://www.w3.org/2001/XMLSchema" xmlns:p="http://schemas.microsoft.com/office/2006/metadata/properties" xmlns:ns2="76d915db-9417-41bf-8a2d-8515ec61aa19" targetNamespace="http://schemas.microsoft.com/office/2006/metadata/properties" ma:root="true" ma:fieldsID="9480f36b52800bed1b595c91bcbecbbd" ns2:_="">
    <xsd:import namespace="76d915db-9417-41bf-8a2d-8515ec61aa19"/>
    <xsd:element name="properties">
      <xsd:complexType>
        <xsd:sequence>
          <xsd:element name="documentManagement">
            <xsd:complexType>
              <xsd:all>
                <xsd:element ref="ns2:Rubrik_x0020_2" minOccurs="0"/>
                <xsd:element ref="ns2:Upprättat_x0020_datum" minOccurs="0"/>
                <xsd:element ref="ns2:Ändring_x0020_datum" minOccurs="0"/>
                <xsd:element ref="ns2:TaxCatchAll" minOccurs="0"/>
                <xsd:element ref="ns2:TaxCatchAllLabel" minOccurs="0"/>
                <xsd:element ref="ns2:o780630f40994d8ca88b62b5a3a55c4c" minOccurs="0"/>
                <xsd:element ref="ns2:hfc786f1adb64efea24aba7dc5984ae5" minOccurs="0"/>
                <xsd:element ref="ns2:e7021de458324fa483fc32e939c6db7a" minOccurs="0"/>
                <xsd:element ref="ns2:mc26ab17feec49c995c729ac72a4850f" minOccurs="0"/>
                <xsd:element ref="ns2:Änd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915db-9417-41bf-8a2d-8515ec61aa19" elementFormDefault="qualified">
    <xsd:import namespace="http://schemas.microsoft.com/office/2006/documentManagement/types"/>
    <xsd:import namespace="http://schemas.microsoft.com/office/infopath/2007/PartnerControls"/>
    <xsd:element name="Rubrik_x0020_2" ma:index="2" nillable="true" ma:displayName="Rubrik 2" ma:internalName="Rubrik_x0020_2">
      <xsd:simpleType>
        <xsd:restriction base="dms:Text">
          <xsd:maxLength value="255"/>
        </xsd:restriction>
      </xsd:simpleType>
    </xsd:element>
    <xsd:element name="Upprättat_x0020_datum" ma:index="7" nillable="true" ma:displayName="Upprättat datum" ma:format="DateOnly" ma:internalName="Uppr_x00e4_ttat_x0020_datum">
      <xsd:simpleType>
        <xsd:restriction base="dms:DateTime"/>
      </xsd:simpleType>
    </xsd:element>
    <xsd:element name="Ändring_x0020_datum" ma:index="8" nillable="true" ma:displayName="Ändring datum" ma:format="DateOnly" ma:internalName="_x00c4_ndring_x0020_datum">
      <xsd:simpleType>
        <xsd:restriction base="dms:DateTime"/>
      </xsd:simpleType>
    </xsd:element>
    <xsd:element name="TaxCatchAll" ma:index="9" nillable="true" ma:displayName="Taxonomy Catch All Column" ma:description="" ma:hidden="true" ma:list="{25bc065f-5098-4a70-8274-7d9c6d93d03f}" ma:internalName="TaxCatchAll" ma:showField="CatchAllData" ma:web="76d915db-9417-41bf-8a2d-8515ec61aa1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25bc065f-5098-4a70-8274-7d9c6d93d03f}" ma:internalName="TaxCatchAllLabel" ma:readOnly="true" ma:showField="CatchAllDataLabel" ma:web="76d915db-9417-41bf-8a2d-8515ec61aa19">
      <xsd:complexType>
        <xsd:complexContent>
          <xsd:extension base="dms:MultiChoiceLookup">
            <xsd:sequence>
              <xsd:element name="Value" type="dms:Lookup" maxOccurs="unbounded" minOccurs="0" nillable="true"/>
            </xsd:sequence>
          </xsd:extension>
        </xsd:complexContent>
      </xsd:complexType>
    </xsd:element>
    <xsd:element name="o780630f40994d8ca88b62b5a3a55c4c" ma:index="12" nillable="true" ma:taxonomy="true" ma:internalName="o780630f40994d8ca88b62b5a3a55c4c" ma:taxonomyFieldName="Dokumenttyp" ma:displayName="Dokumenttyp" ma:indexed="true" ma:readOnly="false" ma:default="" ma:fieldId="{8780630f-4099-4d8c-a88b-62b5a3a55c4c}" ma:sspId="ddd61487-444f-40d4-b7b1-f55a46b1646f" ma:termSetId="b789dc3a-a77e-49b7-98c3-e5aac85c48ba" ma:anchorId="00000000-0000-0000-0000-000000000000" ma:open="false" ma:isKeyword="false">
      <xsd:complexType>
        <xsd:sequence>
          <xsd:element ref="pc:Terms" minOccurs="0" maxOccurs="1"/>
        </xsd:sequence>
      </xsd:complexType>
    </xsd:element>
    <xsd:element name="hfc786f1adb64efea24aba7dc5984ae5" ma:index="14" nillable="true" ma:taxonomy="true" ma:internalName="hfc786f1adb64efea24aba7dc5984ae5" ma:taxonomyFieldName="Process" ma:displayName="Process" ma:indexed="true" ma:readOnly="false" ma:default="" ma:fieldId="{1fc786f1-adb6-4efe-a24a-ba7dc5984ae5}" ma:sspId="ddd61487-444f-40d4-b7b1-f55a46b1646f" ma:termSetId="b3838329-bce7-4f39-ac07-d8243a3a66b8" ma:anchorId="00000000-0000-0000-0000-000000000000" ma:open="false" ma:isKeyword="false">
      <xsd:complexType>
        <xsd:sequence>
          <xsd:element ref="pc:Terms" minOccurs="0" maxOccurs="1"/>
        </xsd:sequence>
      </xsd:complexType>
    </xsd:element>
    <xsd:element name="e7021de458324fa483fc32e939c6db7a" ma:index="16" nillable="true" ma:taxonomy="true" ma:internalName="e7021de458324fa483fc32e939c6db7a" ma:taxonomyFieldName="Disciplin" ma:displayName="Disciplin" ma:indexed="true" ma:default="" ma:fieldId="{e7021de4-5832-4fa4-83fc-32e939c6db7a}" ma:sspId="ddd61487-444f-40d4-b7b1-f55a46b1646f" ma:termSetId="cd04e7c0-d3f0-4578-a21e-33dce3b9fcb9" ma:anchorId="00000000-0000-0000-0000-000000000000" ma:open="false" ma:isKeyword="false">
      <xsd:complexType>
        <xsd:sequence>
          <xsd:element ref="pc:Terms" minOccurs="0" maxOccurs="1"/>
        </xsd:sequence>
      </xsd:complexType>
    </xsd:element>
    <xsd:element name="mc26ab17feec49c995c729ac72a4850f" ma:index="20" nillable="true" ma:taxonomy="true" ma:internalName="mc26ab17feec49c995c729ac72a4850f" ma:taxonomyFieldName="Projekt" ma:displayName="Projekt" ma:indexed="true" ma:readOnly="false" ma:default="" ma:fieldId="{6c26ab17-feec-49c9-95c7-29ac72a4850f}" ma:sspId="ddd61487-444f-40d4-b7b1-f55a46b1646f" ma:termSetId="2eb7056e-b8ec-4f9a-9655-c1738b77b690" ma:anchorId="00000000-0000-0000-0000-000000000000" ma:open="false" ma:isKeyword="false">
      <xsd:complexType>
        <xsd:sequence>
          <xsd:element ref="pc:Terms" minOccurs="0" maxOccurs="1"/>
        </xsd:sequence>
      </xsd:complexType>
    </xsd:element>
    <xsd:element name="Ändring" ma:index="21" nillable="true" ma:displayName="Ändring" ma:description="Skriv aktuell ändringsbokstav eller versionssiffra." ma:internalName="_x00c4_ndring">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Innehållstyp"/>
        <xsd:element ref="dc:title" minOccurs="0" maxOccurs="1" ma:index="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pprättat_x0020_datum xmlns="76d915db-9417-41bf-8a2d-8515ec61aa19" xsi:nil="true"/>
    <o780630f40994d8ca88b62b5a3a55c4c xmlns="76d915db-9417-41bf-8a2d-8515ec61aa19">
      <Terms xmlns="http://schemas.microsoft.com/office/infopath/2007/PartnerControls">
        <TermInfo xmlns="http://schemas.microsoft.com/office/infopath/2007/PartnerControls">
          <TermName xmlns="http://schemas.microsoft.com/office/infopath/2007/PartnerControls">Teknisk beskrivning</TermName>
          <TermId xmlns="http://schemas.microsoft.com/office/infopath/2007/PartnerControls">dc7eefb2-15f9-4796-a57f-00b88bb160f9</TermId>
        </TermInfo>
      </Terms>
    </o780630f40994d8ca88b62b5a3a55c4c>
    <Ändring_x0020_datum xmlns="76d915db-9417-41bf-8a2d-8515ec61aa19" xsi:nil="true"/>
    <Ändring xmlns="76d915db-9417-41bf-8a2d-8515ec61aa19" xsi:nil="true"/>
    <hfc786f1adb64efea24aba7dc5984ae5 xmlns="76d915db-9417-41bf-8a2d-8515ec61aa19">
      <Terms xmlns="http://schemas.microsoft.com/office/infopath/2007/PartnerControls">
        <TermInfo xmlns="http://schemas.microsoft.com/office/infopath/2007/PartnerControls">
          <TermName xmlns="http://schemas.microsoft.com/office/infopath/2007/PartnerControls">4. Genomföra</TermName>
          <TermId xmlns="http://schemas.microsoft.com/office/infopath/2007/PartnerControls">51efe15f-50a5-4222-bdc2-2ba9a70f5b5c</TermId>
        </TermInfo>
      </Terms>
    </hfc786f1adb64efea24aba7dc5984ae5>
    <e7021de458324fa483fc32e939c6db7a xmlns="76d915db-9417-41bf-8a2d-8515ec61aa19">
      <Terms xmlns="http://schemas.microsoft.com/office/infopath/2007/PartnerControls">
        <TermInfo xmlns="http://schemas.microsoft.com/office/infopath/2007/PartnerControls">
          <TermName xmlns="http://schemas.microsoft.com/office/infopath/2007/PartnerControls">Hållbarhet</TermName>
          <TermId xmlns="http://schemas.microsoft.com/office/infopath/2007/PartnerControls">81e7b958-5be1-4403-a657-9bbd5a272275</TermId>
        </TermInfo>
      </Terms>
    </e7021de458324fa483fc32e939c6db7a>
    <mc26ab17feec49c995c729ac72a4850f xmlns="76d915db-9417-41bf-8a2d-8515ec61aa19">
      <Terms xmlns="http://schemas.microsoft.com/office/infopath/2007/PartnerControls">
        <TermInfo xmlns="http://schemas.microsoft.com/office/infopath/2007/PartnerControls">
          <TermName xmlns="http://schemas.microsoft.com/office/infopath/2007/PartnerControls">Miljöprofilering</TermName>
          <TermId xmlns="http://schemas.microsoft.com/office/infopath/2007/PartnerControls">2859a757-11a9-4b05-983f-b2606b48c872</TermId>
        </TermInfo>
      </Terms>
    </mc26ab17feec49c995c729ac72a4850f>
    <Rubrik_x0020_2 xmlns="76d915db-9417-41bf-8a2d-8515ec61aa19" xsi:nil="true"/>
    <TaxCatchAll xmlns="76d915db-9417-41bf-8a2d-8515ec61aa19">
      <Value>20</Value>
      <Value>39</Value>
      <Value>17</Value>
      <Value>16</Value>
    </TaxCatchAll>
  </documentManagement>
</p:properties>
</file>

<file path=customXml/itemProps1.xml><?xml version="1.0" encoding="utf-8"?>
<ds:datastoreItem xmlns:ds="http://schemas.openxmlformats.org/officeDocument/2006/customXml" ds:itemID="{09A84CC1-DB3F-4598-8DAC-23B9CCDC6A0B}"/>
</file>

<file path=customXml/itemProps2.xml><?xml version="1.0" encoding="utf-8"?>
<ds:datastoreItem xmlns:ds="http://schemas.openxmlformats.org/officeDocument/2006/customXml" ds:itemID="{85EC0D3B-BDFA-45E9-96E4-A2EA9E6F1DC7}">
  <ds:schemaRefs>
    <ds:schemaRef ds:uri="http://schemas.microsoft.com/sharepoint/v3/contenttype/forms"/>
  </ds:schemaRefs>
</ds:datastoreItem>
</file>

<file path=customXml/itemProps3.xml><?xml version="1.0" encoding="utf-8"?>
<ds:datastoreItem xmlns:ds="http://schemas.openxmlformats.org/officeDocument/2006/customXml" ds:itemID="{112EED42-F512-4E53-9E55-812C1364E62E}">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 ds:uri="b4779d59-d436-4327-aeb7-533fc8e76b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10</vt:i4>
      </vt:variant>
      <vt:variant>
        <vt:lpstr>Namngivna områden</vt:lpstr>
      </vt:variant>
      <vt:variant>
        <vt:i4>21</vt:i4>
      </vt:variant>
    </vt:vector>
  </HeadingPairs>
  <TitlesOfParts>
    <vt:vector size="31" baseType="lpstr">
      <vt:lpstr>Vägledning</vt:lpstr>
      <vt:lpstr>Försättsblad</vt:lpstr>
      <vt:lpstr>Kalkyl start</vt:lpstr>
      <vt:lpstr>Kalkyl slut</vt:lpstr>
      <vt:lpstr>Sammanställning</vt:lpstr>
      <vt:lpstr>Materiallista</vt:lpstr>
      <vt:lpstr>Anteckningar</vt:lpstr>
      <vt:lpstr>Enhetsomräkning</vt:lpstr>
      <vt:lpstr>Staden Export</vt:lpstr>
      <vt:lpstr>Tabeller</vt:lpstr>
      <vt:lpstr>Anläggningssten</vt:lpstr>
      <vt:lpstr>Asfalt</vt:lpstr>
      <vt:lpstr>Betong</vt:lpstr>
      <vt:lpstr>Enhetsomräkning!Materialnamn</vt:lpstr>
      <vt:lpstr>'Kalkyl slut'!Materialnamn</vt:lpstr>
      <vt:lpstr>Materialnamn</vt:lpstr>
      <vt:lpstr>Materialtyp</vt:lpstr>
      <vt:lpstr>Metall</vt:lpstr>
      <vt:lpstr>Omräkningsfaktor</vt:lpstr>
      <vt:lpstr>Plast</vt:lpstr>
      <vt:lpstr>Projektskede</vt:lpstr>
      <vt:lpstr>Schaktmassa</vt:lpstr>
      <vt:lpstr>Skeden</vt:lpstr>
      <vt:lpstr>Teknikomr</vt:lpstr>
      <vt:lpstr>Försättsblad!Utskriftsområde</vt:lpstr>
      <vt:lpstr>'Kalkyl slut'!Utskriftsområde</vt:lpstr>
      <vt:lpstr>'Kalkyl start'!Utskriftsområde</vt:lpstr>
      <vt:lpstr>Materiallista!Utskriftsområde</vt:lpstr>
      <vt:lpstr>Sammanställning!Utskriftsområde</vt:lpstr>
      <vt:lpstr>Vägledning!Utskriftsområde</vt:lpstr>
      <vt:lpstr>Övrigt</vt:lpstr>
    </vt:vector>
  </TitlesOfParts>
  <Manager/>
  <Company>Stockholms 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KEX-Klimatberäkningsverktyget</dc:title>
  <dc:subject>Klimatberäkningsverktyg</dc:subject>
  <dc:creator>Robin Marve</dc:creator>
  <cp:keywords>KEX; Klimatberäkningsverktyget; CO2e; Exploatering</cp:keywords>
  <dc:description/>
  <cp:lastModifiedBy>Christina Salmhofer</cp:lastModifiedBy>
  <cp:revision/>
  <cp:lastPrinted>2026-06-02T06:15:04Z</cp:lastPrinted>
  <dcterms:created xsi:type="dcterms:W3CDTF">2021-08-19T09:05:26Z</dcterms:created>
  <dcterms:modified xsi:type="dcterms:W3CDTF">2026-09-17T08:32:27Z</dcterms:modified>
  <cp:category>Klimat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0x01010045D27B686C4052449F90FAB7AE1123F6030100CA25D0D100942447918BE87484DFA10E</vt:lpwstr>
  </property>
  <property fmtid="{D5CDD505-2E9C-101B-9397-08002B2CF9AE}" pid="3" name="Projekt">
    <vt:lpwstr>16;#Miljöprofilering|2859a757-11a9-4b05-983f-b2606b48c872</vt:lpwstr>
  </property>
  <property fmtid="{D5CDD505-2E9C-101B-9397-08002B2CF9AE}" pid="4" name="Process">
    <vt:lpwstr>17;#4. Genomföra|51efe15f-50a5-4222-bdc2-2ba9a70f5b5c</vt:lpwstr>
  </property>
  <property fmtid="{D5CDD505-2E9C-101B-9397-08002B2CF9AE}" pid="5" name="Dokumenttyp">
    <vt:lpwstr>20;#Teknisk beskrivning|dc7eefb2-15f9-4796-a57f-00b88bb160f9</vt:lpwstr>
  </property>
  <property fmtid="{D5CDD505-2E9C-101B-9397-08002B2CF9AE}" pid="6" name="Disciplin">
    <vt:lpwstr>39;#Hållbarhet|81e7b958-5be1-4403-a657-9bbd5a272275</vt:lpwstr>
  </property>
  <property fmtid="{D5CDD505-2E9C-101B-9397-08002B2CF9AE}" pid="7" name="Ansvarig part">
    <vt:lpwstr/>
  </property>
  <property fmtid="{D5CDD505-2E9C-101B-9397-08002B2CF9AE}" pid="8" name="j26e169c46c947d39d7fd0b48620396f">
    <vt:lpwstr/>
  </property>
  <property fmtid="{D5CDD505-2E9C-101B-9397-08002B2CF9AE}" pid="9" name="Geografiskt område">
    <vt:lpwstr>87;#E201 Arbetsgata och ledningar|646b7406-7bf4-48fa-ab5b-84aca54e08dd</vt:lpwstr>
  </property>
  <property fmtid="{D5CDD505-2E9C-101B-9397-08002B2CF9AE}" pid="10" name="Granskningsstatus">
    <vt:lpwstr/>
  </property>
  <property fmtid="{D5CDD505-2E9C-101B-9397-08002B2CF9AE}" pid="11" name="cb7a1fd7282e4724a27c7ae04b3ce004">
    <vt:lpwstr>E201 Arbetsgata och ledningar|646b7406-7bf4-48fa-ab5b-84aca54e08dd</vt:lpwstr>
  </property>
  <property fmtid="{D5CDD505-2E9C-101B-9397-08002B2CF9AE}" pid="12" name="hbc46546f3ab473aa969ca822efed484">
    <vt:lpwstr/>
  </property>
  <property fmtid="{D5CDD505-2E9C-101B-9397-08002B2CF9AE}" pid="13" name="Part">
    <vt:lpwstr/>
  </property>
  <property fmtid="{D5CDD505-2E9C-101B-9397-08002B2CF9AE}" pid="14" name="Handlingstyp">
    <vt:lpwstr>81;#Förfrågningsunderlag|106c408d-59e2-47ac-a7b6-3af7f6b1860d</vt:lpwstr>
  </property>
  <property fmtid="{D5CDD505-2E9C-101B-9397-08002B2CF9AE}" pid="15" name="Status leverans">
    <vt:lpwstr/>
  </property>
  <property fmtid="{D5CDD505-2E9C-101B-9397-08002B2CF9AE}" pid="16" name="nc1cca16b3a2494898ebc0a63482bf57">
    <vt:lpwstr>Förfrågningsunderlag|106c408d-59e2-47ac-a7b6-3af7f6b1860d</vt:lpwstr>
  </property>
  <property fmtid="{D5CDD505-2E9C-101B-9397-08002B2CF9AE}" pid="17" name="b1853a636e3a4afdb13ca4e5c980829e">
    <vt:lpwstr/>
  </property>
  <property fmtid="{D5CDD505-2E9C-101B-9397-08002B2CF9AE}" pid="18" name="Anläggningsdel (kod)">
    <vt:lpwstr>91;#191|73e62e43-c584-47d5-bf0a-de2c9dffc75a</vt:lpwstr>
  </property>
  <property fmtid="{D5CDD505-2E9C-101B-9397-08002B2CF9AE}" pid="19" name="c5a1eabc68364e7686eb1b7117b39bc5">
    <vt:lpwstr>191|73e62e43-c584-47d5-bf0a-de2c9dffc75a</vt:lpwstr>
  </property>
  <property fmtid="{D5CDD505-2E9C-101B-9397-08002B2CF9AE}" pid="20" name="Teknikområde">
    <vt:lpwstr/>
  </property>
  <property fmtid="{D5CDD505-2E9C-101B-9397-08002B2CF9AE}" pid="21" name="Folder_Number">
    <vt:lpwstr/>
  </property>
  <property fmtid="{D5CDD505-2E9C-101B-9397-08002B2CF9AE}" pid="22" name="Folder_Code">
    <vt:lpwstr/>
  </property>
  <property fmtid="{D5CDD505-2E9C-101B-9397-08002B2CF9AE}" pid="23" name="Folder_Name">
    <vt:lpwstr/>
  </property>
  <property fmtid="{D5CDD505-2E9C-101B-9397-08002B2CF9AE}" pid="24" name="Folder_Description">
    <vt:lpwstr/>
  </property>
  <property fmtid="{D5CDD505-2E9C-101B-9397-08002B2CF9AE}" pid="25" name="/Folder_Name/">
    <vt:lpwstr/>
  </property>
  <property fmtid="{D5CDD505-2E9C-101B-9397-08002B2CF9AE}" pid="26" name="/Folder_Description/">
    <vt:lpwstr/>
  </property>
  <property fmtid="{D5CDD505-2E9C-101B-9397-08002B2CF9AE}" pid="27" name="Folder_Version">
    <vt:lpwstr/>
  </property>
  <property fmtid="{D5CDD505-2E9C-101B-9397-08002B2CF9AE}" pid="28" name="Folder_VersionSeq">
    <vt:lpwstr/>
  </property>
  <property fmtid="{D5CDD505-2E9C-101B-9397-08002B2CF9AE}" pid="29" name="Folder_Manager">
    <vt:lpwstr/>
  </property>
  <property fmtid="{D5CDD505-2E9C-101B-9397-08002B2CF9AE}" pid="30" name="Folder_ManagerDesc">
    <vt:lpwstr/>
  </property>
  <property fmtid="{D5CDD505-2E9C-101B-9397-08002B2CF9AE}" pid="31" name="Folder_Storage">
    <vt:lpwstr/>
  </property>
  <property fmtid="{D5CDD505-2E9C-101B-9397-08002B2CF9AE}" pid="32" name="Folder_StorageDesc">
    <vt:lpwstr/>
  </property>
  <property fmtid="{D5CDD505-2E9C-101B-9397-08002B2CF9AE}" pid="33" name="Folder_Creator">
    <vt:lpwstr/>
  </property>
  <property fmtid="{D5CDD505-2E9C-101B-9397-08002B2CF9AE}" pid="34" name="Folder_CreatorDesc">
    <vt:lpwstr/>
  </property>
  <property fmtid="{D5CDD505-2E9C-101B-9397-08002B2CF9AE}" pid="35" name="Folder_CreateDate">
    <vt:lpwstr/>
  </property>
  <property fmtid="{D5CDD505-2E9C-101B-9397-08002B2CF9AE}" pid="36" name="Folder_Updater">
    <vt:lpwstr/>
  </property>
  <property fmtid="{D5CDD505-2E9C-101B-9397-08002B2CF9AE}" pid="37" name="Folder_UpdaterDesc">
    <vt:lpwstr/>
  </property>
  <property fmtid="{D5CDD505-2E9C-101B-9397-08002B2CF9AE}" pid="38" name="Folder_UpdateDate">
    <vt:lpwstr/>
  </property>
  <property fmtid="{D5CDD505-2E9C-101B-9397-08002B2CF9AE}" pid="39" name="Document_Number">
    <vt:lpwstr/>
  </property>
  <property fmtid="{D5CDD505-2E9C-101B-9397-08002B2CF9AE}" pid="40" name="Document_Name">
    <vt:lpwstr/>
  </property>
  <property fmtid="{D5CDD505-2E9C-101B-9397-08002B2CF9AE}" pid="41" name="Document_FileName">
    <vt:lpwstr/>
  </property>
  <property fmtid="{D5CDD505-2E9C-101B-9397-08002B2CF9AE}" pid="42" name="Document_Version">
    <vt:lpwstr/>
  </property>
  <property fmtid="{D5CDD505-2E9C-101B-9397-08002B2CF9AE}" pid="43" name="Document_VersionSeq">
    <vt:lpwstr/>
  </property>
  <property fmtid="{D5CDD505-2E9C-101B-9397-08002B2CF9AE}" pid="44" name="Document_Creator">
    <vt:lpwstr/>
  </property>
  <property fmtid="{D5CDD505-2E9C-101B-9397-08002B2CF9AE}" pid="45" name="Document_CreatorDesc">
    <vt:lpwstr/>
  </property>
  <property fmtid="{D5CDD505-2E9C-101B-9397-08002B2CF9AE}" pid="46" name="Document_CreateDate">
    <vt:lpwstr/>
  </property>
  <property fmtid="{D5CDD505-2E9C-101B-9397-08002B2CF9AE}" pid="47" name="Document_Updater">
    <vt:lpwstr/>
  </property>
  <property fmtid="{D5CDD505-2E9C-101B-9397-08002B2CF9AE}" pid="48" name="Document_UpdaterDesc">
    <vt:lpwstr/>
  </property>
  <property fmtid="{D5CDD505-2E9C-101B-9397-08002B2CF9AE}" pid="49" name="Document_UpdateDate">
    <vt:lpwstr/>
  </property>
  <property fmtid="{D5CDD505-2E9C-101B-9397-08002B2CF9AE}" pid="50" name="Document_Size">
    <vt:lpwstr/>
  </property>
  <property fmtid="{D5CDD505-2E9C-101B-9397-08002B2CF9AE}" pid="51" name="Document_Storage">
    <vt:lpwstr/>
  </property>
  <property fmtid="{D5CDD505-2E9C-101B-9397-08002B2CF9AE}" pid="52" name="Document_StorageDesc">
    <vt:lpwstr/>
  </property>
  <property fmtid="{D5CDD505-2E9C-101B-9397-08002B2CF9AE}" pid="53" name="Document_Department">
    <vt:lpwstr/>
  </property>
  <property fmtid="{D5CDD505-2E9C-101B-9397-08002B2CF9AE}" pid="54" name="Document_DepartmentDesc">
    <vt:lpwstr/>
  </property>
  <property fmtid="{D5CDD505-2E9C-101B-9397-08002B2CF9AE}" pid="55" name="MSIP_Label_bc39398e-350a-456e-902d-194b9c90b617_Enabled">
    <vt:lpwstr>true</vt:lpwstr>
  </property>
  <property fmtid="{D5CDD505-2E9C-101B-9397-08002B2CF9AE}" pid="56" name="MSIP_Label_bc39398e-350a-456e-902d-194b9c90b617_SetDate">
    <vt:lpwstr>2025-10-21T12:48:04Z</vt:lpwstr>
  </property>
  <property fmtid="{D5CDD505-2E9C-101B-9397-08002B2CF9AE}" pid="57" name="MSIP_Label_bc39398e-350a-456e-902d-194b9c90b617_Method">
    <vt:lpwstr>Privileged</vt:lpwstr>
  </property>
  <property fmtid="{D5CDD505-2E9C-101B-9397-08002B2CF9AE}" pid="58" name="MSIP_Label_bc39398e-350a-456e-902d-194b9c90b617_Name">
    <vt:lpwstr>Client Materials</vt:lpwstr>
  </property>
  <property fmtid="{D5CDD505-2E9C-101B-9397-08002B2CF9AE}" pid="59" name="MSIP_Label_bc39398e-350a-456e-902d-194b9c90b617_SiteId">
    <vt:lpwstr>c8823c91-be81-4f89-b024-6c3dd789c106</vt:lpwstr>
  </property>
  <property fmtid="{D5CDD505-2E9C-101B-9397-08002B2CF9AE}" pid="60" name="MSIP_Label_bc39398e-350a-456e-902d-194b9c90b617_ActionId">
    <vt:lpwstr>cae3a8fc-0bda-4fb1-a280-dcd7793c6171</vt:lpwstr>
  </property>
  <property fmtid="{D5CDD505-2E9C-101B-9397-08002B2CF9AE}" pid="61" name="MSIP_Label_bc39398e-350a-456e-902d-194b9c90b617_ContentBits">
    <vt:lpwstr>0</vt:lpwstr>
  </property>
  <property fmtid="{D5CDD505-2E9C-101B-9397-08002B2CF9AE}" pid="62" name="MSIP_Label_bc39398e-350a-456e-902d-194b9c90b617_Tag">
    <vt:lpwstr>10, 0, 1, 1</vt:lpwstr>
  </property>
</Properties>
</file>