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drawings/drawing3.xml" ContentType="application/vnd.openxmlformats-officedocument.drawing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drawings/drawing4.xml" ContentType="application/vnd.openxmlformats-officedocument.drawing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drawings/drawing5.xml" ContentType="application/vnd.openxmlformats-officedocument.drawing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drawings/drawing6.xml" ContentType="application/vnd.openxmlformats-officedocument.drawing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drawings/drawing7.xml" ContentType="application/vnd.openxmlformats-officedocument.drawing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eníky Czechphone\Ceník 2024\CZK\"/>
    </mc:Choice>
  </mc:AlternateContent>
  <xr:revisionPtr revIDLastSave="0" documentId="13_ncr:1_{5850E16D-7BC3-4F72-80D2-8B9F6FE7A418}" xr6:coauthVersionLast="47" xr6:coauthVersionMax="47" xr10:uidLastSave="{00000000-0000-0000-0000-000000000000}"/>
  <bookViews>
    <workbookView xWindow="-103" yWindow="-103" windowWidth="33120" windowHeight="18120" tabRatio="500" xr2:uid="{00000000-000D-0000-FFFF-FFFF00000000}"/>
  </bookViews>
  <sheets>
    <sheet name="OBSAH" sheetId="1" r:id="rId1"/>
    <sheet name="DOMOVNÍ TELEFONY" sheetId="2" r:id="rId2"/>
    <sheet name="MELODY E-INK S KLÁVESNICÍ" sheetId="3" r:id="rId3"/>
    <sheet name="DUO plus+ E-INK S KLÁVESNICÍ" sheetId="4" r:id="rId4"/>
    <sheet name="DUO Standard E-INK S KLÁVESNICÍ" sheetId="5" r:id="rId5"/>
    <sheet name="DOPLŇKY K TABLŮM A TELEFONŮM" sheetId="6" r:id="rId6"/>
    <sheet name="VŠE DO ROZVADĚČŮ A STOUPAČEK" sheetId="7" r:id="rId7"/>
  </sheets>
  <calcPr calcId="181029" iterateDelta="1E-4"/>
</workbook>
</file>

<file path=xl/calcChain.xml><?xml version="1.0" encoding="utf-8"?>
<calcChain xmlns="http://schemas.openxmlformats.org/spreadsheetml/2006/main">
  <c r="D98" i="5" l="1"/>
  <c r="E98" i="5" s="1"/>
  <c r="D99" i="5"/>
  <c r="E99" i="5" s="1"/>
  <c r="D100" i="5"/>
  <c r="D102" i="5"/>
  <c r="E102" i="5" s="1"/>
  <c r="D103" i="5"/>
  <c r="D104" i="5"/>
  <c r="E104" i="5" s="1"/>
  <c r="D105" i="5"/>
  <c r="E105" i="5" s="1"/>
  <c r="D106" i="5"/>
  <c r="E106" i="5" s="1"/>
  <c r="D107" i="5"/>
  <c r="E107" i="5" s="1"/>
  <c r="D108" i="5"/>
  <c r="E108" i="5" s="1"/>
  <c r="D109" i="5"/>
  <c r="E109" i="5" s="1"/>
  <c r="D110" i="5"/>
  <c r="E110" i="5" s="1"/>
  <c r="D112" i="5"/>
  <c r="E112" i="5" s="1"/>
  <c r="D113" i="5"/>
  <c r="E113" i="5" s="1"/>
  <c r="D114" i="5"/>
  <c r="E114" i="5" s="1"/>
  <c r="D115" i="5"/>
  <c r="E115" i="5" s="1"/>
  <c r="D116" i="5"/>
  <c r="E116" i="5" s="1"/>
  <c r="D117" i="5"/>
  <c r="E117" i="5" s="1"/>
  <c r="E100" i="5"/>
  <c r="E103" i="5"/>
  <c r="D18" i="7"/>
  <c r="E18" i="7" s="1"/>
  <c r="D27" i="7" l="1"/>
  <c r="E27" i="7" s="1"/>
  <c r="D21" i="7"/>
  <c r="E21" i="7" s="1"/>
  <c r="D20" i="7"/>
  <c r="E20" i="7" s="1"/>
  <c r="D19" i="7"/>
  <c r="E19" i="7" s="1"/>
  <c r="D17" i="7"/>
  <c r="E17" i="7" s="1"/>
  <c r="D16" i="7"/>
  <c r="E16" i="7" s="1"/>
  <c r="D10" i="7"/>
  <c r="E10" i="7" s="1"/>
  <c r="D9" i="7"/>
  <c r="E9" i="7" s="1"/>
  <c r="D8" i="7"/>
  <c r="E8" i="7" s="1"/>
  <c r="I1" i="7"/>
  <c r="D34" i="6"/>
  <c r="E34" i="6" s="1"/>
  <c r="D33" i="6"/>
  <c r="E33" i="6" s="1"/>
  <c r="D27" i="6"/>
  <c r="E27" i="6" s="1"/>
  <c r="D26" i="6"/>
  <c r="E26" i="6" s="1"/>
  <c r="D25" i="6"/>
  <c r="E25" i="6" s="1"/>
  <c r="D24" i="6"/>
  <c r="E24" i="6" s="1"/>
  <c r="D23" i="6"/>
  <c r="E23" i="6" s="1"/>
  <c r="D22" i="6"/>
  <c r="E22" i="6" s="1"/>
  <c r="D21" i="6"/>
  <c r="E21" i="6" s="1"/>
  <c r="D20" i="6"/>
  <c r="E20" i="6" s="1"/>
  <c r="D14" i="6"/>
  <c r="E14" i="6" s="1"/>
  <c r="D13" i="6"/>
  <c r="E13" i="6" s="1"/>
  <c r="D12" i="6"/>
  <c r="E12" i="6" s="1"/>
  <c r="D11" i="6"/>
  <c r="E11" i="6" s="1"/>
  <c r="D10" i="6"/>
  <c r="E10" i="6" s="1"/>
  <c r="D9" i="6"/>
  <c r="E9" i="6" s="1"/>
  <c r="D8" i="6"/>
  <c r="E8" i="6" s="1"/>
  <c r="I1" i="6"/>
  <c r="D86" i="5"/>
  <c r="E86" i="5" s="1"/>
  <c r="D85" i="5"/>
  <c r="E85" i="5" s="1"/>
  <c r="D84" i="5"/>
  <c r="E84" i="5" s="1"/>
  <c r="D83" i="5"/>
  <c r="E83" i="5" s="1"/>
  <c r="D82" i="5"/>
  <c r="E82" i="5" s="1"/>
  <c r="D78" i="5"/>
  <c r="E78" i="5" s="1"/>
  <c r="D77" i="5"/>
  <c r="E77" i="5" s="1"/>
  <c r="D76" i="5"/>
  <c r="E76" i="5" s="1"/>
  <c r="D75" i="5"/>
  <c r="E75" i="5" s="1"/>
  <c r="D74" i="5"/>
  <c r="E74" i="5" s="1"/>
  <c r="D66" i="5"/>
  <c r="E66" i="5" s="1"/>
  <c r="D65" i="5"/>
  <c r="E65" i="5" s="1"/>
  <c r="D64" i="5"/>
  <c r="E64" i="5" s="1"/>
  <c r="D63" i="5"/>
  <c r="E63" i="5" s="1"/>
  <c r="D62" i="5"/>
  <c r="E62" i="5" s="1"/>
  <c r="D61" i="5"/>
  <c r="E61" i="5" s="1"/>
  <c r="D60" i="5"/>
  <c r="E60" i="5" s="1"/>
  <c r="D59" i="5"/>
  <c r="E59" i="5" s="1"/>
  <c r="D58" i="5"/>
  <c r="E58" i="5" s="1"/>
  <c r="D57" i="5"/>
  <c r="E57" i="5" s="1"/>
  <c r="D56" i="5"/>
  <c r="E56" i="5" s="1"/>
  <c r="D52" i="5"/>
  <c r="E52" i="5" s="1"/>
  <c r="D51" i="5"/>
  <c r="E51" i="5" s="1"/>
  <c r="D50" i="5"/>
  <c r="E50" i="5" s="1"/>
  <c r="D49" i="5"/>
  <c r="E49" i="5" s="1"/>
  <c r="D48" i="5"/>
  <c r="E48" i="5" s="1"/>
  <c r="D47" i="5"/>
  <c r="E47" i="5" s="1"/>
  <c r="D46" i="5"/>
  <c r="E46" i="5" s="1"/>
  <c r="D45" i="5"/>
  <c r="E45" i="5" s="1"/>
  <c r="D44" i="5"/>
  <c r="E44" i="5" s="1"/>
  <c r="D43" i="5"/>
  <c r="E43" i="5" s="1"/>
  <c r="D42" i="5"/>
  <c r="E42" i="5" s="1"/>
  <c r="D34" i="5"/>
  <c r="E34" i="5" s="1"/>
  <c r="D33" i="5"/>
  <c r="E33" i="5" s="1"/>
  <c r="D32" i="5"/>
  <c r="E32" i="5" s="1"/>
  <c r="D31" i="5"/>
  <c r="E31" i="5" s="1"/>
  <c r="D30" i="5"/>
  <c r="E30" i="5" s="1"/>
  <c r="D29" i="5"/>
  <c r="E29" i="5" s="1"/>
  <c r="D28" i="5"/>
  <c r="E28" i="5" s="1"/>
  <c r="D27" i="5"/>
  <c r="E27" i="5" s="1"/>
  <c r="D26" i="5"/>
  <c r="E26" i="5" s="1"/>
  <c r="D25" i="5"/>
  <c r="E25" i="5" s="1"/>
  <c r="D24" i="5"/>
  <c r="E24" i="5" s="1"/>
  <c r="D20" i="5"/>
  <c r="E20" i="5" s="1"/>
  <c r="D19" i="5"/>
  <c r="E19" i="5" s="1"/>
  <c r="D18" i="5"/>
  <c r="E18" i="5" s="1"/>
  <c r="D17" i="5"/>
  <c r="E17" i="5" s="1"/>
  <c r="D16" i="5"/>
  <c r="E16" i="5" s="1"/>
  <c r="D15" i="5"/>
  <c r="E15" i="5" s="1"/>
  <c r="D14" i="5"/>
  <c r="E14" i="5" s="1"/>
  <c r="D13" i="5"/>
  <c r="E13" i="5" s="1"/>
  <c r="D12" i="5"/>
  <c r="E12" i="5" s="1"/>
  <c r="D11" i="5"/>
  <c r="E11" i="5" s="1"/>
  <c r="D10" i="5"/>
  <c r="E10" i="5" s="1"/>
  <c r="I1" i="5"/>
  <c r="D86" i="4"/>
  <c r="E86" i="4" s="1"/>
  <c r="D85" i="4"/>
  <c r="E85" i="4" s="1"/>
  <c r="D84" i="4"/>
  <c r="E84" i="4" s="1"/>
  <c r="D83" i="4"/>
  <c r="E83" i="4" s="1"/>
  <c r="D82" i="4"/>
  <c r="E82" i="4" s="1"/>
  <c r="D78" i="4"/>
  <c r="E78" i="4" s="1"/>
  <c r="D77" i="4"/>
  <c r="E77" i="4" s="1"/>
  <c r="D76" i="4"/>
  <c r="E76" i="4" s="1"/>
  <c r="D75" i="4"/>
  <c r="E75" i="4" s="1"/>
  <c r="D74" i="4"/>
  <c r="E74" i="4" s="1"/>
  <c r="D66" i="4"/>
  <c r="E66" i="4" s="1"/>
  <c r="D65" i="4"/>
  <c r="E65" i="4" s="1"/>
  <c r="D64" i="4"/>
  <c r="E64" i="4" s="1"/>
  <c r="D63" i="4"/>
  <c r="E63" i="4" s="1"/>
  <c r="D62" i="4"/>
  <c r="E62" i="4" s="1"/>
  <c r="D61" i="4"/>
  <c r="E61" i="4" s="1"/>
  <c r="D60" i="4"/>
  <c r="E60" i="4" s="1"/>
  <c r="D59" i="4"/>
  <c r="E59" i="4" s="1"/>
  <c r="D58" i="4"/>
  <c r="E58" i="4" s="1"/>
  <c r="D57" i="4"/>
  <c r="E57" i="4" s="1"/>
  <c r="D56" i="4"/>
  <c r="E56" i="4" s="1"/>
  <c r="D52" i="4"/>
  <c r="E52" i="4" s="1"/>
  <c r="D51" i="4"/>
  <c r="E51" i="4" s="1"/>
  <c r="D50" i="4"/>
  <c r="E50" i="4" s="1"/>
  <c r="D49" i="4"/>
  <c r="E49" i="4" s="1"/>
  <c r="D48" i="4"/>
  <c r="E48" i="4" s="1"/>
  <c r="D47" i="4"/>
  <c r="E47" i="4" s="1"/>
  <c r="D46" i="4"/>
  <c r="E46" i="4" s="1"/>
  <c r="D45" i="4"/>
  <c r="E45" i="4" s="1"/>
  <c r="D44" i="4"/>
  <c r="E44" i="4" s="1"/>
  <c r="D43" i="4"/>
  <c r="E43" i="4" s="1"/>
  <c r="D42" i="4"/>
  <c r="E42" i="4" s="1"/>
  <c r="D34" i="4"/>
  <c r="E34" i="4" s="1"/>
  <c r="D33" i="4"/>
  <c r="E33" i="4" s="1"/>
  <c r="D32" i="4"/>
  <c r="E32" i="4" s="1"/>
  <c r="D31" i="4"/>
  <c r="E31" i="4" s="1"/>
  <c r="D30" i="4"/>
  <c r="E30" i="4" s="1"/>
  <c r="D29" i="4"/>
  <c r="E29" i="4" s="1"/>
  <c r="D28" i="4"/>
  <c r="E28" i="4" s="1"/>
  <c r="D27" i="4"/>
  <c r="E27" i="4" s="1"/>
  <c r="D26" i="4"/>
  <c r="E26" i="4" s="1"/>
  <c r="D25" i="4"/>
  <c r="E25" i="4" s="1"/>
  <c r="D24" i="4"/>
  <c r="E24" i="4" s="1"/>
  <c r="D20" i="4"/>
  <c r="E20" i="4" s="1"/>
  <c r="D19" i="4"/>
  <c r="E19" i="4" s="1"/>
  <c r="D18" i="4"/>
  <c r="E18" i="4" s="1"/>
  <c r="D17" i="4"/>
  <c r="E17" i="4" s="1"/>
  <c r="D16" i="4"/>
  <c r="E16" i="4" s="1"/>
  <c r="D15" i="4"/>
  <c r="E15" i="4" s="1"/>
  <c r="D14" i="4"/>
  <c r="E14" i="4" s="1"/>
  <c r="D13" i="4"/>
  <c r="E13" i="4" s="1"/>
  <c r="D12" i="4"/>
  <c r="E12" i="4" s="1"/>
  <c r="D11" i="4"/>
  <c r="E11" i="4" s="1"/>
  <c r="D10" i="4"/>
  <c r="E10" i="4" s="1"/>
  <c r="I1" i="4"/>
  <c r="D156" i="3"/>
  <c r="E156" i="3" s="1"/>
  <c r="D155" i="3"/>
  <c r="E155" i="3" s="1"/>
  <c r="D154" i="3"/>
  <c r="E154" i="3" s="1"/>
  <c r="D153" i="3"/>
  <c r="E153" i="3" s="1"/>
  <c r="D152" i="3"/>
  <c r="E152" i="3" s="1"/>
  <c r="D148" i="3"/>
  <c r="E148" i="3" s="1"/>
  <c r="D147" i="3"/>
  <c r="E147" i="3" s="1"/>
  <c r="D146" i="3"/>
  <c r="E146" i="3" s="1"/>
  <c r="D145" i="3"/>
  <c r="E145" i="3" s="1"/>
  <c r="D144" i="3"/>
  <c r="E144" i="3" s="1"/>
  <c r="D136" i="3"/>
  <c r="E136" i="3" s="1"/>
  <c r="D135" i="3"/>
  <c r="E135" i="3" s="1"/>
  <c r="D134" i="3"/>
  <c r="E134" i="3" s="1"/>
  <c r="D133" i="3"/>
  <c r="E133" i="3" s="1"/>
  <c r="D132" i="3"/>
  <c r="E132" i="3" s="1"/>
  <c r="D128" i="3"/>
  <c r="E128" i="3" s="1"/>
  <c r="D127" i="3"/>
  <c r="E127" i="3" s="1"/>
  <c r="D126" i="3"/>
  <c r="E126" i="3" s="1"/>
  <c r="D125" i="3"/>
  <c r="E125" i="3" s="1"/>
  <c r="D124" i="3"/>
  <c r="E124" i="3" s="1"/>
  <c r="D116" i="3"/>
  <c r="E116" i="3" s="1"/>
  <c r="D115" i="3"/>
  <c r="E115" i="3" s="1"/>
  <c r="D114" i="3"/>
  <c r="E114" i="3" s="1"/>
  <c r="D113" i="3"/>
  <c r="E113" i="3" s="1"/>
  <c r="D112" i="3"/>
  <c r="E112" i="3" s="1"/>
  <c r="D111" i="3"/>
  <c r="E111" i="3" s="1"/>
  <c r="D110" i="3"/>
  <c r="E110" i="3" s="1"/>
  <c r="D109" i="3"/>
  <c r="E109" i="3" s="1"/>
  <c r="D108" i="3"/>
  <c r="E108" i="3" s="1"/>
  <c r="D107" i="3"/>
  <c r="E107" i="3" s="1"/>
  <c r="D106" i="3"/>
  <c r="E106" i="3" s="1"/>
  <c r="D102" i="3"/>
  <c r="E102" i="3" s="1"/>
  <c r="D101" i="3"/>
  <c r="E101" i="3" s="1"/>
  <c r="D100" i="3"/>
  <c r="E100" i="3" s="1"/>
  <c r="D99" i="3"/>
  <c r="E99" i="3" s="1"/>
  <c r="D98" i="3"/>
  <c r="E98" i="3" s="1"/>
  <c r="D97" i="3"/>
  <c r="E97" i="3" s="1"/>
  <c r="D96" i="3"/>
  <c r="E96" i="3" s="1"/>
  <c r="D95" i="3"/>
  <c r="E95" i="3" s="1"/>
  <c r="D94" i="3"/>
  <c r="E94" i="3" s="1"/>
  <c r="D93" i="3"/>
  <c r="E93" i="3" s="1"/>
  <c r="D92" i="3"/>
  <c r="E92" i="3" s="1"/>
  <c r="D84" i="3"/>
  <c r="E84" i="3" s="1"/>
  <c r="D83" i="3"/>
  <c r="E83" i="3" s="1"/>
  <c r="D82" i="3"/>
  <c r="E82" i="3" s="1"/>
  <c r="D81" i="3"/>
  <c r="E81" i="3" s="1"/>
  <c r="D80" i="3"/>
  <c r="E80" i="3" s="1"/>
  <c r="D76" i="3"/>
  <c r="E76" i="3" s="1"/>
  <c r="D75" i="3"/>
  <c r="E75" i="3" s="1"/>
  <c r="D74" i="3"/>
  <c r="E74" i="3" s="1"/>
  <c r="D73" i="3"/>
  <c r="E73" i="3" s="1"/>
  <c r="D72" i="3"/>
  <c r="E72" i="3" s="1"/>
  <c r="D64" i="3"/>
  <c r="E64" i="3" s="1"/>
  <c r="D63" i="3"/>
  <c r="E63" i="3" s="1"/>
  <c r="D62" i="3"/>
  <c r="E62" i="3" s="1"/>
  <c r="D61" i="3"/>
  <c r="E61" i="3" s="1"/>
  <c r="D60" i="3"/>
  <c r="E60" i="3" s="1"/>
  <c r="D59" i="3"/>
  <c r="E59" i="3" s="1"/>
  <c r="D58" i="3"/>
  <c r="E58" i="3" s="1"/>
  <c r="D57" i="3"/>
  <c r="E57" i="3" s="1"/>
  <c r="D56" i="3"/>
  <c r="E56" i="3" s="1"/>
  <c r="D55" i="3"/>
  <c r="E55" i="3" s="1"/>
  <c r="D51" i="3"/>
  <c r="E51" i="3" s="1"/>
  <c r="D50" i="3"/>
  <c r="E50" i="3" s="1"/>
  <c r="D49" i="3"/>
  <c r="E49" i="3" s="1"/>
  <c r="D48" i="3"/>
  <c r="E48" i="3" s="1"/>
  <c r="D47" i="3"/>
  <c r="E47" i="3" s="1"/>
  <c r="D46" i="3"/>
  <c r="E46" i="3" s="1"/>
  <c r="D45" i="3"/>
  <c r="E45" i="3" s="1"/>
  <c r="D44" i="3"/>
  <c r="E44" i="3" s="1"/>
  <c r="D43" i="3"/>
  <c r="E43" i="3" s="1"/>
  <c r="D42" i="3"/>
  <c r="E42" i="3" s="1"/>
  <c r="D34" i="3"/>
  <c r="E34" i="3" s="1"/>
  <c r="D33" i="3"/>
  <c r="E33" i="3" s="1"/>
  <c r="D32" i="3"/>
  <c r="E32" i="3" s="1"/>
  <c r="D31" i="3"/>
  <c r="E31" i="3" s="1"/>
  <c r="D30" i="3"/>
  <c r="E30" i="3" s="1"/>
  <c r="D29" i="3"/>
  <c r="E29" i="3" s="1"/>
  <c r="D28" i="3"/>
  <c r="E28" i="3" s="1"/>
  <c r="D27" i="3"/>
  <c r="E27" i="3" s="1"/>
  <c r="D26" i="3"/>
  <c r="E26" i="3" s="1"/>
  <c r="D25" i="3"/>
  <c r="E25" i="3" s="1"/>
  <c r="D24" i="3"/>
  <c r="E24" i="3" s="1"/>
  <c r="D20" i="3"/>
  <c r="E20" i="3" s="1"/>
  <c r="D19" i="3"/>
  <c r="E19" i="3" s="1"/>
  <c r="D18" i="3"/>
  <c r="E18" i="3" s="1"/>
  <c r="D17" i="3"/>
  <c r="E17" i="3" s="1"/>
  <c r="D16" i="3"/>
  <c r="E16" i="3" s="1"/>
  <c r="D15" i="3"/>
  <c r="E15" i="3" s="1"/>
  <c r="D14" i="3"/>
  <c r="E14" i="3" s="1"/>
  <c r="D13" i="3"/>
  <c r="E13" i="3" s="1"/>
  <c r="D12" i="3"/>
  <c r="E12" i="3" s="1"/>
  <c r="D11" i="3"/>
  <c r="E11" i="3" s="1"/>
  <c r="D10" i="3"/>
  <c r="E10" i="3" s="1"/>
  <c r="I1" i="3"/>
  <c r="D23" i="2"/>
  <c r="E23" i="2" s="1"/>
  <c r="D22" i="2"/>
  <c r="E22" i="2" s="1"/>
  <c r="D17" i="2"/>
  <c r="E17" i="2" s="1"/>
  <c r="D16" i="2"/>
  <c r="E16" i="2" s="1"/>
  <c r="D11" i="2"/>
  <c r="E11" i="2" s="1"/>
  <c r="D10" i="2"/>
  <c r="E10" i="2" s="1"/>
  <c r="D9" i="2"/>
  <c r="E9" i="2" s="1"/>
  <c r="D8" i="2"/>
  <c r="E8" i="2" s="1"/>
  <c r="I1" i="2"/>
</calcChain>
</file>

<file path=xl/sharedStrings.xml><?xml version="1.0" encoding="utf-8"?>
<sst xmlns="http://schemas.openxmlformats.org/spreadsheetml/2006/main" count="575" uniqueCount="327">
  <si>
    <t>www.czechphone.cz</t>
  </si>
  <si>
    <t>ZADEJTE VAŠI SLEVU:</t>
  </si>
  <si>
    <t>%</t>
  </si>
  <si>
    <t>PŘEJÍT NA UPOZORNĚNÍ</t>
  </si>
  <si>
    <t>DOMOVNÍ TELEFONY</t>
  </si>
  <si>
    <t>PRO SYS. MELODY</t>
  </si>
  <si>
    <t>PRO SYS. DUO plus+</t>
  </si>
  <si>
    <t>PRO SYS. DUO Standard</t>
  </si>
  <si>
    <t>ZVONKOVÁ TABLA S ELEKTRONICKÝM PAPÍREM</t>
  </si>
  <si>
    <t>Systém MELODY</t>
  </si>
  <si>
    <t>DIGITÁLNÍ SYSTÉM</t>
  </si>
  <si>
    <t>TABLA S KLÁVESNICÍ A ELEKTRONICKÝM PAPÍREM</t>
  </si>
  <si>
    <t>TABLA S KLÁVESNICÍ, ELEKTRONICKÝM PAPÍREMA S PŘÍSTUPOVÝM SYSTÉMEM: RFID 125kHz (BIS)</t>
  </si>
  <si>
    <t>TABLA S KLÁVESNICÍ, ELEKTRONICKÝM PAPÍREM A S PŘÍSTUPOVÝM SYSTÉMEM: RFID MIFARE</t>
  </si>
  <si>
    <t>TABLA S KLÁVESNICÍ, ELEKTRONICKÝM PAPÍREM A KAMEROU</t>
  </si>
  <si>
    <t>TABLA S KLÁVESNICÍ, ELEKTRONICKÝM PAPÍREM, KAMEROU A S PŘÍSTUPOVÝM SYSTÉMEM: RFID 125kHz (BIS)</t>
  </si>
  <si>
    <t>TABLA S KLÁVESNICÍ, ELEKTRONICKÝM PAPÍREM, KAMEROU A S PŘÍSTUPOVÝM SYSTÉMEM: RFID MIFARE</t>
  </si>
  <si>
    <r>
      <rPr>
        <b/>
        <sz val="22"/>
        <color rgb="FF000000"/>
        <rFont val="Tahoma"/>
        <family val="2"/>
        <charset val="238"/>
      </rPr>
      <t>Systém DUO plus</t>
    </r>
    <r>
      <rPr>
        <b/>
        <vertAlign val="superscript"/>
        <sz val="22"/>
        <color rgb="FF000000"/>
        <rFont val="Tahoma"/>
        <family val="2"/>
        <charset val="238"/>
      </rPr>
      <t>+</t>
    </r>
  </si>
  <si>
    <t>NOVÝ DVOUDRÁTOVÝ SYSTÉM</t>
  </si>
  <si>
    <t>Systém DUO Standard</t>
  </si>
  <si>
    <t>NOVÝ STANDARDNÍ DVOUDRÁTOVÝ SYSTÉM</t>
  </si>
  <si>
    <t>DOPLŇKOVÉ KOMPONENTY</t>
  </si>
  <si>
    <t>MONTÁŽNÍ KRABICE (MK) PRO TABLA GENOVA V RÁMKU (DO ZDI)</t>
  </si>
  <si>
    <t>LÍMCE PROTI DEŠTI PRO TABLA DO ZDI (V RÁMKU)</t>
  </si>
  <si>
    <t>KONFIGURÁTORY SYSTÉMŮ</t>
  </si>
  <si>
    <t>VŠE DO ROZVADĚČŮ A STOUPAČEK</t>
  </si>
  <si>
    <t>NAPÁJECÍ MODULY</t>
  </si>
  <si>
    <t>DISTRIBUTORY A ELEKTRONIKA PRO SYSTÉM MELODY</t>
  </si>
  <si>
    <t>OSTATNÍ ELEKTRONIKA</t>
  </si>
  <si>
    <t>NAHORU ˄</t>
  </si>
  <si>
    <t>UPOZORNĚNÍ</t>
  </si>
  <si>
    <t xml:space="preserve">˄ NAHORU </t>
  </si>
  <si>
    <t>Ačkoli se má za to, že poskytnuté cenové informace v tomto dokumentu jsou přesné, mohou obsahovat chyby či nepřesnosti.</t>
  </si>
  <si>
    <t>Platné a závazné údaje lze získat na telefonním čísle 553 663 322 nebo prostřednictvím e-mailu: info@czechphone.cz</t>
  </si>
  <si>
    <t>Výrobce si vyhrazuje právo změnit ceny výrobků v cenících bez předchozího upozornění.</t>
  </si>
  <si>
    <t>ELEKTRO-FA.PAVELEK, s.r.o. - výroba Czechphone®</t>
  </si>
  <si>
    <t>SLEVA NASTAVENÁ V OBSAHU:</t>
  </si>
  <si>
    <t>Průmyslová 15 ● 747 23 Bolatice ● ČR ● T: +420 553 663 322  ● E: obchod@czechphone.cz</t>
  </si>
  <si>
    <t>DT pro systém MELODY</t>
  </si>
  <si>
    <t>OBJ. ČÍSLO</t>
  </si>
  <si>
    <t>NÁZEV PRODUKTU</t>
  </si>
  <si>
    <t>CENA bez DPH</t>
  </si>
  <si>
    <t>UŠETŘÍTE</t>
  </si>
  <si>
    <t>KONEČNÁ CENA bez DPH</t>
  </si>
  <si>
    <t>DT Verona Melody audio bílý  ABS</t>
  </si>
  <si>
    <t>DT Verona Melody video bílý  ABS</t>
  </si>
  <si>
    <t>DT Viola Melody audio bílý  ABS</t>
  </si>
  <si>
    <t>DT Melody HF 5.0. handsfree videotelefon</t>
  </si>
  <si>
    <r>
      <rPr>
        <b/>
        <sz val="24"/>
        <color rgb="FFFFFFFF"/>
        <rFont val="Tahoma"/>
        <family val="2"/>
        <charset val="238"/>
      </rPr>
      <t>DT pro systém DUO plus</t>
    </r>
    <r>
      <rPr>
        <b/>
        <vertAlign val="superscript"/>
        <sz val="24"/>
        <color rgb="FFFFFFFF"/>
        <rFont val="Tahoma"/>
        <family val="2"/>
        <charset val="238"/>
      </rPr>
      <t>+</t>
    </r>
  </si>
  <si>
    <t>DT Verona DUO+ bílý ABS</t>
  </si>
  <si>
    <t>DT Viola DUO+ bílý ABS</t>
  </si>
  <si>
    <t>DT pro systém DUO Standard</t>
  </si>
  <si>
    <t>DT Verona DS14 bílý ABS</t>
  </si>
  <si>
    <t>DT Viola DS15 bílý ABS</t>
  </si>
  <si>
    <t>ZVONKOVÁ TABLA</t>
  </si>
  <si>
    <t>RYCHLÉ ODKAZY SYS. MELODY:</t>
  </si>
  <si>
    <t>S ELEKTRONICKÝM PAPÍREM</t>
  </si>
  <si>
    <t>DO RÁMKU</t>
  </si>
  <si>
    <t>E-INK MELODY kl.až 14jm.(2M),kom,D</t>
  </si>
  <si>
    <t>E-INK MELODY kl.až 22jm.(4M),kom,D</t>
  </si>
  <si>
    <t>E-INK MELODY kl.až 36jm.(4M),kom,D</t>
  </si>
  <si>
    <t>E-INK MELODY kl.až 44jm.(6M),kom,D</t>
  </si>
  <si>
    <t>E-INK MELODY kl.až 58jm.(6M),kom,D</t>
  </si>
  <si>
    <t>E-INK MELODY kl.až 66jm.(4M+4M),kom,D</t>
  </si>
  <si>
    <t>E-INK MELODY kl.až 80jm.(4M+4M),kom,D</t>
  </si>
  <si>
    <t>E-INK MELODY kl.až 88jm.(6M+4M),kom,D</t>
  </si>
  <si>
    <t>E-INK MELODY kl.až 102jm.(6M+4M),kom,D</t>
  </si>
  <si>
    <t>E-INK MELODY kl.až 110jm.(6M+6M),kom,D</t>
  </si>
  <si>
    <t>E-INK MELODY kl.až 124jm.(6M+6M),kom,D</t>
  </si>
  <si>
    <t>STŘÍŠKA</t>
  </si>
  <si>
    <t>E-INK MELODY kl.až 14jm.(2M),kom,S</t>
  </si>
  <si>
    <t>E-INK MELODY kl.až 22jm.(4M),kom,S</t>
  </si>
  <si>
    <t>E-INK MELODY kl.až 36jm.(4M),kom,S</t>
  </si>
  <si>
    <t>E-INK MELODY kl.až 44jm.(6M),kom,S</t>
  </si>
  <si>
    <t>E-INK MELODY kl.až 58jm.(6M),kom,S</t>
  </si>
  <si>
    <t>E-INK MELODY kl.až 66jm.(4M+4M),kom,S</t>
  </si>
  <si>
    <t>E-INK MELODY kl.až 80jm.(4M+4M),kom,S</t>
  </si>
  <si>
    <t>E-INK MELODY kl.až 88jm.(6M+4M),kom,S</t>
  </si>
  <si>
    <t>E-INK MELODY kl.až 102jm.(6M+4M),kom,S</t>
  </si>
  <si>
    <t>E-INK MELODY kl.až 110jm.(6M+6M),kom,S</t>
  </si>
  <si>
    <t>E-INK MELODY kl.až 124jm.(6M+6M),kom,S</t>
  </si>
  <si>
    <t>TABLA S KLÁVESNICÍ, ELEKTRONICKÝM PAPÍREM</t>
  </si>
  <si>
    <t>A S PŘÍSTUPOVÝM SYSTÉMEM: RFID 125kHz (BIS)</t>
  </si>
  <si>
    <t>E-INK MELODY kl.až 22jm.(4M),kom,BIS125,D</t>
  </si>
  <si>
    <t>E-INK MELODY kl.až 36jm.(4M),kom,BIS125,D</t>
  </si>
  <si>
    <t>E-INK MELODY kl.až 44jm.(6M),kom,BIS125,D</t>
  </si>
  <si>
    <t>E-INK MELODY kl.až 58jm.(6M),kom,BIS125,D</t>
  </si>
  <si>
    <t>E-INK MELODY kl.až 66jm.(4M+4M),kom,BIS125,D</t>
  </si>
  <si>
    <t>E-INK MELODY kl.až 80jm.(4M+4M),kom,BIS125,D</t>
  </si>
  <si>
    <t>E-INK MELODY kl.až 88jm.(6M+4M),kom,BIS125,D</t>
  </si>
  <si>
    <t>E-INK MELODY kl.až 102jm.(6M+4M),kom,BIS125,D</t>
  </si>
  <si>
    <t>E-INK MELODY kl.až 110jm.(6M+6M),kom,BIS125,D</t>
  </si>
  <si>
    <t>E-INK MELODY kl.až 124jm.(6M+6M),kom,BIS125,D</t>
  </si>
  <si>
    <t>E-INK MELODY kl.až 22jm.(4M),kom,BIS125,S</t>
  </si>
  <si>
    <t>E-INK MELODY kl.až 36jm.(4M),kom,BIS125,S</t>
  </si>
  <si>
    <t>E-INK MELODY kl.až 44jm.(6M),kom,BIS125,S</t>
  </si>
  <si>
    <t>E-INK MELODY kl.až 58jm.(6M),kom,BIS125,S</t>
  </si>
  <si>
    <t>E-INK MELODY kl.až 66jm.(4M+4M),kom,BIS125,S</t>
  </si>
  <si>
    <t>E-INK MELODY kl.až 80jm.(4M+4M),kom,BIS125,S</t>
  </si>
  <si>
    <t>E-INK MELODY kl.až 88jm.(6M+4M),kom,BIS125,S</t>
  </si>
  <si>
    <t>E-INK MELODY kl.až 102jm.(6M+4M),kom,BIS125,S</t>
  </si>
  <si>
    <t>E-INK MELODY kl.až 110jm.(6M+6M),kom,BIS125,S</t>
  </si>
  <si>
    <t>E-INK MELODY kl.až 124jm.(6M+6M),kom,BIS125,S</t>
  </si>
  <si>
    <t>A S PŘÍSTUPOVÝM SYSTÉMEM: RFID MIFARE</t>
  </si>
  <si>
    <t>E-INK MELODY kl.až 22jm.(4M),kom,MIFARE,D</t>
  </si>
  <si>
    <t>E-INK MELODY kl.až 44jm.(6M),kom,MIFARE,D</t>
  </si>
  <si>
    <t>E-INK MELODY kl.až 66jm.(4M+4M),kom,MIFARE,D</t>
  </si>
  <si>
    <t>E-INK MELODY kl.až 88jm.(6M+4M),kom,MIFARE,D</t>
  </si>
  <si>
    <t>E-INK MELODY kl.až 110jm.(6M+6M),kom,MIFARE,D</t>
  </si>
  <si>
    <t>E-INK MELODY kl.až 22jm.(4M),kom,MIFARE,S</t>
  </si>
  <si>
    <t>E-INK MELODY kl.až 44jm.(6M),kom,MIFARE,S</t>
  </si>
  <si>
    <t>E-INK MELODY kl.až 66jm.(4M+4M),kom,MIFARE,S</t>
  </si>
  <si>
    <t>E-INK MELODY kl.až 88jm.(6M+4M),kom,MIFARE,S</t>
  </si>
  <si>
    <t>E-INK MELODY kl.až 110jm.(6M+6M),kom,MIFARE,S</t>
  </si>
  <si>
    <t>A KAMEROU</t>
  </si>
  <si>
    <t>E-INK MELODY kl.až 14jm.(2M),kom,KAM,D</t>
  </si>
  <si>
    <t>E-INK MELODY kl.až 22jm.(4M),kom,KAM,D</t>
  </si>
  <si>
    <t>E-INK MELODY kl.až 36jm.(4M),kom,KAM,D</t>
  </si>
  <si>
    <t>E-INK MELODY kl.až 44jm.(6M),kom,KAM,D</t>
  </si>
  <si>
    <t>E-INK MELODY kl.až 58jm.(6M),kom,KAM,D</t>
  </si>
  <si>
    <t>E-INK MELODY kl.až 66jm.(4M+4M),kom,KAM,D</t>
  </si>
  <si>
    <t>E-INK MELODY kl.až 80jm.(4M+4M),kom,KAM,D</t>
  </si>
  <si>
    <t>E-INK MELODY kl.až 88jm.(6M+4M),kom,KAM,D</t>
  </si>
  <si>
    <t>E-INK MELODY kl.až 102jm.(6M+4M),kom,KAM,D</t>
  </si>
  <si>
    <t>E-INK MELODY kl.až 110jm.(6M+6M),kom,KAM,D</t>
  </si>
  <si>
    <t>E-INK MELODY kl.až 124jm.(6M+6M),kom,KAM,D</t>
  </si>
  <si>
    <t>E-INK MELODY kl.až 14jm.(2M),kom,KAM,S</t>
  </si>
  <si>
    <t>E-INK MELODY kl.až 22jm.(4M),kom,KAM,S</t>
  </si>
  <si>
    <t>E-INK MELODY kl.až 36jm.(4M),kom,KAM,S</t>
  </si>
  <si>
    <t>E-INK MELODY kl.až 44jm.(6M),kom,KAM,S</t>
  </si>
  <si>
    <t>E-INK MELODY kl.až 58jm.(6M),kom,KAM,S</t>
  </si>
  <si>
    <t>E-INK MELODY kl.až 66jm.(4M+4M),kom,KAM,S</t>
  </si>
  <si>
    <t>E-INK MELODY kl.až 80jm.(4M+4M),kom,KAM,S</t>
  </si>
  <si>
    <t>E-INK MELODY kl.až 88jm.(6M+4M),kom,KAM,S</t>
  </si>
  <si>
    <t>E-INK MELODY kl.až 102jm.(6M+4M),kom,KAM,S</t>
  </si>
  <si>
    <t>E-INK MELODY kl.až 110jm.(6M+6M),kom,KAM,S</t>
  </si>
  <si>
    <t>E-INK MELODY kl.až 124jm.(6M+6M),kom,KAM,S</t>
  </si>
  <si>
    <t>TABLA S KLÁVESNICÍ, ELEKTRONICKÝM PAPÍREM,</t>
  </si>
  <si>
    <t>KAMEROU A S PŘÍSTUPOVÝM SYSTÉMEM: RFID 125kHz (BIS)</t>
  </si>
  <si>
    <t>E-INK MELODY kl.až 22jm.(4M),kom,KAM,BIS125,D</t>
  </si>
  <si>
    <t>E-INK MELODY kl.až 44jm.(6M),kom,KAM,BIS125,D</t>
  </si>
  <si>
    <t>E-INK MELODY kl.až 66jm.(4M+4M),kom,KAM,BIS125,D</t>
  </si>
  <si>
    <t>E-INK MELODY kl.až 88jm.(6M+4M),kom,KAM,BIS125,D</t>
  </si>
  <si>
    <t>E-INK MELODY kl.až 110jm.(6M+6M),kom,KAM,BIS125,D</t>
  </si>
  <si>
    <t>E-INK MELODY kl.až 22jm.(4M),kom,KAM,BIS125,S</t>
  </si>
  <si>
    <t>E-INK MELODY kl.až 44jm.(6M),kom,KAM,BIS125,S</t>
  </si>
  <si>
    <t>E-INK MELODY kl.až 66jm.(4M+4M),kom,KAM,BIS125,S</t>
  </si>
  <si>
    <t>E-INK MELODY kl.až 88jm.(6M+4M),kom,KAM,BIS125,S</t>
  </si>
  <si>
    <t>E-INK MELODY kl.až 110jm.(6M+6M),kom,KAM,BIS125,S</t>
  </si>
  <si>
    <t>KAMEROU A S PŘÍSTUPOVÝM SYSTÉMEM: RFID MIFARE</t>
  </si>
  <si>
    <t>E-INK MELODY kl.až 22jm.(4M),kom,KAM,MIFARE,D</t>
  </si>
  <si>
    <t>E-INK MELODY kl.až 44jm.(6M),kom,KAM,MIFARE,D</t>
  </si>
  <si>
    <t>E-INK MELODY kl.až 66jm.(4M+4M),kom,KAM,MIFARE,D</t>
  </si>
  <si>
    <t>E-INK MELODY kl.až 88jm.(6M+4M),kom,KAM,MIFARE,D</t>
  </si>
  <si>
    <t>E-INK MELODY kl.až 110jm.(6M+6M),kom,KAM,MIFARE,D</t>
  </si>
  <si>
    <t>E-INK MELODY kl.až 22jm.(4M),kom,KAM,MIFARE,S</t>
  </si>
  <si>
    <t>E-INK MELODY kl.až 44jm.(6M),kom,KAM,MIFARE,S</t>
  </si>
  <si>
    <t>E-INK MELODY kl.až 66jm.(4M+4M),kom,KAM,MIFARE,S</t>
  </si>
  <si>
    <t>E-INK MELODY kl.až 88jm.(6M+4M),kom,KAM,MIFARE,S</t>
  </si>
  <si>
    <t>E-INK MELODY kl.až 110jm.(6M+6M),kom,KAM,MIFARE,S</t>
  </si>
  <si>
    <t>RYCHLÉ ODKAZY SYS. DUO plus+:</t>
  </si>
  <si>
    <r>
      <rPr>
        <b/>
        <sz val="24"/>
        <color rgb="FFFFFFFF"/>
        <rFont val="Tahoma"/>
        <family val="2"/>
        <charset val="238"/>
      </rPr>
      <t>Systém DUO plus</t>
    </r>
    <r>
      <rPr>
        <b/>
        <vertAlign val="superscript"/>
        <sz val="24"/>
        <color rgb="FFFFFFFF"/>
        <rFont val="Tahoma"/>
        <family val="2"/>
        <charset val="238"/>
      </rPr>
      <t>+</t>
    </r>
  </si>
  <si>
    <t>E-INK DUO+ kl.až 14jm.(2M),kom,D</t>
  </si>
  <si>
    <t>E-INK DUO+ kl.až 22jm.(4M),kom,D</t>
  </si>
  <si>
    <t>E-INK DUO+ kl.až 36jm.(4M),kom,D</t>
  </si>
  <si>
    <t>E-INK DUO+ kl.až 44jm.(6M),kom,D</t>
  </si>
  <si>
    <t>E-INK DUO+ kl.až 58jm.(6M),kom,D</t>
  </si>
  <si>
    <t>E-INK DUO+ kl.až 66jm.(4M+4M),kom,D</t>
  </si>
  <si>
    <t>E-INK DUO+ kl.až 80jm.(4M+4M),kom,D</t>
  </si>
  <si>
    <t>E-INK DUO+ kl.až 88jm.(6M+4M),kom,D</t>
  </si>
  <si>
    <t>E-INK DUO+ kl.až 102jm.(6M+4M),kom,D</t>
  </si>
  <si>
    <t>E-INK DUO+ kl.až 110jm.(6M+6M),kom,D</t>
  </si>
  <si>
    <t>E-INK DUO+ kl.až 124jm.(6M+6M),kom,D</t>
  </si>
  <si>
    <t>E-INK DUO+ kl.až 14jm.(2M),kom,S</t>
  </si>
  <si>
    <t>E-INK DUO+ kl.až 22jm.(4M),kom,S</t>
  </si>
  <si>
    <t>E-INK DUO+ kl.až 36jm.(4M),kom,S</t>
  </si>
  <si>
    <t>E-INK DUO+ kl.až 44jm.(6M),kom,S</t>
  </si>
  <si>
    <t>E-INK DUO+ kl.až 58jm.(6M),kom,S</t>
  </si>
  <si>
    <t>E-INK DUO+ kl.až 66jm.(4M+4M),kom,S</t>
  </si>
  <si>
    <t>E-INK DUO+ kl.až 80jm.(4M+4M),kom,S</t>
  </si>
  <si>
    <t>E-INK DUO+ kl.až 88jm.(6M+4M),kom,S</t>
  </si>
  <si>
    <t>E-INK DUO+ kl.až 102jm.(6M+4M),kom,S</t>
  </si>
  <si>
    <t>E-INK DUO+ kl.až 110jm.(6M+6M),kom,S</t>
  </si>
  <si>
    <t>E-INK DUO+ kl.až 124jm.(6M+6M),kom,S</t>
  </si>
  <si>
    <t>E-INK DUO+ kl.až 14jm.(2M),kom,BIS125,D</t>
  </si>
  <si>
    <t>E-INK DUO+ kl.až 22jm.(4M),kom,BIS125,D</t>
  </si>
  <si>
    <t>E-INK DUO+ kl.až 36jm.(4M),kom,BIS125,D</t>
  </si>
  <si>
    <t>E-INK DUO+ kl.až 44jm.(6M),kom,BIS125,D</t>
  </si>
  <si>
    <t>E-INK DUO+ kl.až 58jm.(6M),kom,BIS125,D</t>
  </si>
  <si>
    <t>E-INK DUO+ kl.až 66jm.(4M+4M),kom,BIS125,D</t>
  </si>
  <si>
    <t>E-INK DUO+ kl.až 80jm.(4M+4M),kom,BIS125,D</t>
  </si>
  <si>
    <t>E-INK DUO+ kl.až 88jm.(6M+4M),kom,BIS125,D</t>
  </si>
  <si>
    <t>E-INK DUO+ kl.až 102jm.(6M+4M),kom,BIS125,D</t>
  </si>
  <si>
    <t>E-INK DUO+ kl.až 110jm.(6M+6M),kom,BIS125,D</t>
  </si>
  <si>
    <t>E-INK DUO+ kl.až 124jm.(6M+6M),kom,BIS125,D</t>
  </si>
  <si>
    <t>E-INK DUO+ kl.až 14jm.(2M),kom,BIS125,S</t>
  </si>
  <si>
    <t>E-INK DUO+ kl.až 22jm.(4M),kom,BIS125,S</t>
  </si>
  <si>
    <t>E-INK DUO+ kl.až 36jm.(4M),kom,BIS125,S</t>
  </si>
  <si>
    <t>E-INK DUO+ kl.až 44jm.(6M),kom,BIS125,S</t>
  </si>
  <si>
    <t>E-INK DUO+ kl.až 58jm.(6M),kom,BIS125,S</t>
  </si>
  <si>
    <t>E-INK DUO+ kl.až 66jm.(4M+4M),kom,BIS125,S</t>
  </si>
  <si>
    <t>E-INK DUO+ kl.až 80jm.(4M+4M),kom,BIS125,S</t>
  </si>
  <si>
    <t>E-INK DUO+ kl.až 88jm.(6M+4M),kom,BIS125,S</t>
  </si>
  <si>
    <t>E-INK DUO+ kl.až 102jm.(6M+4M),kom,BIS125,S</t>
  </si>
  <si>
    <t>E-INK DUO+ kl.až 110jm.(6M+6M),kom,BIS125,S</t>
  </si>
  <si>
    <t>E-INK DUO+ kl.až 124jm.(6M+6M),kom,BIS125,S</t>
  </si>
  <si>
    <t xml:space="preserve">A S PŘÍSTUPOVÝM SYSTÉMEM: MIFARE </t>
  </si>
  <si>
    <t>E-INK DUO+ kl.až 22jm.(4M),kom,MIFARE,D</t>
  </si>
  <si>
    <t>E-INK DUO+ kl.až 44jm.(6M),kom,MIFARE,D</t>
  </si>
  <si>
    <t>E-INK DUO+ kl.až 66jm.(4M+4M),kom,MIFARE,D</t>
  </si>
  <si>
    <t>E-INK DUO+ kl.až 88jm.(6M+4M),kom,MIFARE,D</t>
  </si>
  <si>
    <t>E-INK DUO+ kl.až 110jm.(6M+6M),kom,MIFARE,D</t>
  </si>
  <si>
    <t>E-INK DUO+ kl.až 22jm.(4M),kom,MIFARE,S</t>
  </si>
  <si>
    <t>E-INK DUO+ kl.až 44jm.(6M),kom,MIFARE,S</t>
  </si>
  <si>
    <t>E-INK DUO+ kl.až 66jm.(4M+4M),kom,MIFARE,S</t>
  </si>
  <si>
    <t>E-INK DUO+ kl.až 88jm.(6M+4M),kom,MIFARE,S</t>
  </si>
  <si>
    <t>E-INK DUO+ kl.až 110jm.(6M+6M),kom,MIFARE,S</t>
  </si>
  <si>
    <t>RYCHLÉ ODKAZY SYS. DUO Standard:</t>
  </si>
  <si>
    <t>E-INK DUO St. kl.až 14jm.(2M),kom,D</t>
  </si>
  <si>
    <t>E-INK DUO St. kl.až 22jm.(4M),kom,D</t>
  </si>
  <si>
    <t>E-INK DUO St. kl.až 36jm.(4M),kom,D</t>
  </si>
  <si>
    <t>E-INK DUO St. kl.až 44jm.(6M),kom,D</t>
  </si>
  <si>
    <t>E-INK DUO St. kl.až 58jm.(6M),kom,D</t>
  </si>
  <si>
    <t>E-INK DUO St. kl.až 66jm.(4M+4M),kom,D</t>
  </si>
  <si>
    <t>E-INK DUO St. kl.až 80jm.(4M+4M),kom,D</t>
  </si>
  <si>
    <t>E-INK DUO St. kl.až 88jm.(6M+4M),kom,D</t>
  </si>
  <si>
    <t>E-INK DUO St. kl.až 102jm.(6M+4M),kom,D</t>
  </si>
  <si>
    <t>E-INK DUO St. kl.až 110jm.(6M+6M),kom,D</t>
  </si>
  <si>
    <t>E-INK DUO St. kl.až 124jm.(6M+6M),kom,D</t>
  </si>
  <si>
    <t>E-INK DUO St. kl.až 14jm.(2M),kom,S</t>
  </si>
  <si>
    <t>E-INK DUO St. kl.až 22jm.(4M),kom,S</t>
  </si>
  <si>
    <t>E-INK DUO St. kl.až 36jm.(4M),kom,S</t>
  </si>
  <si>
    <t>E-INK DUO St. kl.až 44jm.(6M),kom,S</t>
  </si>
  <si>
    <t>E-INK DUO St. kl.až 58jm.(6M),kom,S</t>
  </si>
  <si>
    <t>E-INK DUO St. kl.až 66jm.(4M+4M),kom,S</t>
  </si>
  <si>
    <t>E-INK DUO St. kl.až 80jm.(4M+4M),kom,S</t>
  </si>
  <si>
    <t>E-INK DUO St. kl.až 88jm.(6M+4M),kom,S</t>
  </si>
  <si>
    <t>E-INK DUO St. kl.až 102jm.(6M+4M),kom,S</t>
  </si>
  <si>
    <t>E-INK DUO St. kl.až 110jm.(6M+6M),kom,S</t>
  </si>
  <si>
    <t>E-INK DUO St. kl.až 124jm.(6M+6M),kom,S</t>
  </si>
  <si>
    <t>E-INK DUO St. kl.až 14jm.(2M),kom,BIS125,D</t>
  </si>
  <si>
    <t>E-INK DUO St. kl.až 22jm.(4M),kom,BIS125,D</t>
  </si>
  <si>
    <t>E-INK DUO St. kl.až 36jm.(4M),kom,BIS125,D</t>
  </si>
  <si>
    <t>E-INK DUO St. kl.až 44jm.(6M),kom,BIS125,D</t>
  </si>
  <si>
    <t>E-INK DUO St. kl.až 58jm.(6M),kom,BIS125,D</t>
  </si>
  <si>
    <t>E-INK DUO St. kl.až 66jm.(4M+4M),kom,BIS125,D</t>
  </si>
  <si>
    <t>E-INK DUO St. kl.až 80jm.(4M+4M),kom,BIS125,D</t>
  </si>
  <si>
    <t>E-INK DUO St. kl.až 88jm.(6M+4M),kom,BIS125,D</t>
  </si>
  <si>
    <t>E-INK DUO St. kl.až 102jm.(6M+4M),kom,BIS125,D</t>
  </si>
  <si>
    <t>E-INK DUO St. kl.až 110jm.(6M+6M),kom,BIS125,D</t>
  </si>
  <si>
    <t>E-INK DUO St. kl.až 124jm.(6M+6M),kom,BIS125,D</t>
  </si>
  <si>
    <t>E-INK DUO St. kl.až 14jm.(2M),kom,BIS125,S</t>
  </si>
  <si>
    <t>E-INK DUO St. kl.až 22jm.(4M),kom,BIS125,S</t>
  </si>
  <si>
    <t>E-INK DUO St. kl.až 36jm.(4M),kom,BIS125,S</t>
  </si>
  <si>
    <t>E-INK DUO St. kl.až 44jm.(6M),kom,BIS125,S</t>
  </si>
  <si>
    <t>E-INK DUO St. kl.až 58jm.(6M),kom,BIS125,S</t>
  </si>
  <si>
    <t>E-INK DUO St. kl.až 66jm.(4M+4M),kom,BIS125,S</t>
  </si>
  <si>
    <t>E-INK DUO St. kl.až 80jm.(4M+4M),kom,BIS125,S</t>
  </si>
  <si>
    <t>E-INK DUO St. kl.až 88jm.(6M+4M),kom,BIS125,S</t>
  </si>
  <si>
    <t>E-INK DUO St. kl.až 102jm.(6M+4M),kom,BIS125,S</t>
  </si>
  <si>
    <t>E-INK DUO St. kl.až 110jm.(6M+6M),kom,BIS125,S</t>
  </si>
  <si>
    <t>E-INK DUO St. kl.až 124jm.(6M+6M),kom,BIS125,S</t>
  </si>
  <si>
    <t>E-INK DUO St. kl.až 22jm.(4M),kom,MIFARE,D</t>
  </si>
  <si>
    <t>E-INK DUO St. kl.až 44jm.(6M),kom,MIFARE,D</t>
  </si>
  <si>
    <t>E-INK DUO St. kl.až 66jm.(4M+4M),kom,MIFARE,D</t>
  </si>
  <si>
    <t>E-INK DUO St. kl.až 88jm.(6M+4M),kom,MIFARE,D</t>
  </si>
  <si>
    <t>E-INK DUO St. kl.až 110jm.(6M+6M),kom,MIFARE,D</t>
  </si>
  <si>
    <t>E-INK DUO St. kl.až 22jm.(4M),kom,MIFARE,S</t>
  </si>
  <si>
    <t>E-INK DUO St. kl.až 44jm.(6M),kom,MIFARE,S</t>
  </si>
  <si>
    <t>E-INK DUO St. kl.až 66jm.(4M+4M),kom,MIFARE,S</t>
  </si>
  <si>
    <t>E-INK DUO St. kl.až 88jm.(6M+4M),kom,MIFARE,S</t>
  </si>
  <si>
    <t>E-INK DUO St. kl.až 110jm.(6M+6M),kom,MIFARE,S</t>
  </si>
  <si>
    <t>DOPLŇKY K TABLŮM A TELEFONŮM</t>
  </si>
  <si>
    <r>
      <rPr>
        <b/>
        <sz val="16"/>
        <color rgb="FFFFFFFF"/>
        <rFont val="Tahoma"/>
        <family val="2"/>
        <charset val="238"/>
      </rPr>
      <t>MONTÁŽNÍ KRABICE (MK)</t>
    </r>
    <r>
      <rPr>
        <b/>
        <sz val="11"/>
        <color rgb="FFFFFFFF"/>
        <rFont val="Tahoma"/>
        <family val="2"/>
        <charset val="238"/>
      </rPr>
      <t xml:space="preserve"> PRO TABLA GENOVA V RÁMKU (DO ZDI)</t>
    </r>
  </si>
  <si>
    <t>MK 1M montážní krabice zápustná 214x93x53mm</t>
  </si>
  <si>
    <t>MK 2M montážní krabice zápustná 214x168x53mm</t>
  </si>
  <si>
    <t>MK 3M montážní krabice zápustná 214x244x53mm</t>
  </si>
  <si>
    <t>MK 4M montážní krabice zápustná 214x319x53mm</t>
  </si>
  <si>
    <t>MK 5M montážní krabice zápustná 214x395x53mm</t>
  </si>
  <si>
    <t>MK 6M montážní krabice zápustná 214x470x53mm</t>
  </si>
  <si>
    <t>MK 7M montážní krabice zápustná 214x542x53mm</t>
  </si>
  <si>
    <t>Límec proti dešti - 0M mini (lesk)</t>
  </si>
  <si>
    <t>Límec proti dešti - nízký 1M (lesk)</t>
  </si>
  <si>
    <t>Límec proti dešti - nízký 2M (lesk)</t>
  </si>
  <si>
    <t>Límec proti dešti - nízký 3M (lesk)</t>
  </si>
  <si>
    <t>Límec proti dešti - nízký 4M (lesk)</t>
  </si>
  <si>
    <t>Límec proti dešti - nízký 5M (lesk)</t>
  </si>
  <si>
    <t>Límec proti dešti - nízký 6M (lesk)</t>
  </si>
  <si>
    <t>Límec proti dešti - nízký 7M (lesk)</t>
  </si>
  <si>
    <t>USB Konfigurátor DUO Standard a DUO (AS04)</t>
  </si>
  <si>
    <t>USB Konfigurátor iDum V2 - DUO+ a MELODY</t>
  </si>
  <si>
    <t>NM HDR 60-15, 15V/4A, DC, DIN 3M</t>
  </si>
  <si>
    <t>NM HDR 60-24, 24V/0-2,5A, AC/DC, DIN 3M</t>
  </si>
  <si>
    <t>Distributor ARK/RJ45 rev.2 Czechphone</t>
  </si>
  <si>
    <t>Napojení externí kamery DIN 2M</t>
  </si>
  <si>
    <t>Spínač kamery</t>
  </si>
  <si>
    <t>GSM Modul 2 Czechphone</t>
  </si>
  <si>
    <t>Generátor vyzvánění DBS14 pro DUO Standard</t>
  </si>
  <si>
    <t>Mini Video distributor rev.2 Czechphone PRŮBĚŽNÝ</t>
  </si>
  <si>
    <t>Mini Video distributor rev.2 Czechphone KONCOVÝ</t>
  </si>
  <si>
    <r>
      <t xml:space="preserve">FLATLINE: TABLA S KLÁVESNICÍ, ELEKTRONICKÝM PAPÍREM A S PŘÍSTUPOVÝM SYSTÉMEM: BOD - </t>
    </r>
    <r>
      <rPr>
        <b/>
        <u/>
        <sz val="12"/>
        <color rgb="FFFF0000"/>
        <rFont val="Calibri"/>
        <family val="2"/>
        <charset val="238"/>
      </rPr>
      <t>NOVINKA</t>
    </r>
  </si>
  <si>
    <t>ZVONKOVÁ TABLA FlatLine</t>
  </si>
  <si>
    <t>A KOMPONENTY</t>
  </si>
  <si>
    <t>TABLA S KLÁVESNICÍ A KOMPONENTY</t>
  </si>
  <si>
    <t>DO ZDI</t>
  </si>
  <si>
    <t>MONTÁŽNÍ KRABICE</t>
  </si>
  <si>
    <t>FL: Montážní krabice: 2M (V 302 x Š 230 mm)</t>
  </si>
  <si>
    <t>FL: Montážní krabice: 3M (V 302 x Š 371 mm)</t>
  </si>
  <si>
    <t>FL: Montážní krabice: 4M (V 302 x Š 468 mm)</t>
  </si>
  <si>
    <t>KRYTY ZVONKOVÝCH TABEL</t>
  </si>
  <si>
    <t>FL kryt: 2M rozdělený - ANTRACIT</t>
  </si>
  <si>
    <t>FL kryt: 3M rozdělený - ANTRACIT</t>
  </si>
  <si>
    <t>FL kryt: 4M rozdělený - ANTRACIT</t>
  </si>
  <si>
    <t>FL kryt: 2M rozdělený - SVĚTLE ŠEDÝ</t>
  </si>
  <si>
    <t>FL kryt: 3M rozdělený - SVĚTLE ŠEDÝ</t>
  </si>
  <si>
    <t>FL kryt: 4M rozdělený - SVĚTLE ŠEDÝ</t>
  </si>
  <si>
    <t>FL kryt: 2M rozdělený - MĚDĚNÝ</t>
  </si>
  <si>
    <t>FL kryt: 3M rozdělený - MĚDĚNÝ</t>
  </si>
  <si>
    <t>FL kryt: 4M rozdělený - MĚDĚNÝ</t>
  </si>
  <si>
    <t>ZVONKOVÁ TABLA BEZ KRYTU</t>
  </si>
  <si>
    <t>FL E-INK: DUO St. až 16jm.(2M),BOD,D bez krytu</t>
  </si>
  <si>
    <t>FL E-INK: DUO St. až 32jm.(2M),BOD,D bez krytu</t>
  </si>
  <si>
    <t>FL E-INK: DUO St. až 48jm.(3M),BOD,D bez krytu</t>
  </si>
  <si>
    <t>FL E-INK: DUO St. až 64jm.(3M),BOD,D bez krytu</t>
  </si>
  <si>
    <t>FL E-INK: DUO St. až 80jm.(4M),BOD,D bez krytu</t>
  </si>
  <si>
    <t>FL E-INK: DUO St. až 96jm.(4M),BOD,D bez krytu</t>
  </si>
  <si>
    <t>DRC-100A Mean Well zdroj na DIN s funkcí nab.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</si>
</sst>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&quot; Kč&quot;"/>
    <numFmt numFmtId="165" formatCode="#,##0\ &quot;Kč&quot;"/>
  </numFmts>
  <fonts count="65" x14ac:knownFonts="1">
    <font>
      <sz val="11"/>
      <color rgb="FF000000"/>
      <name val="Calibri"/>
      <family val="2"/>
      <charset val="1"/>
    </font>
    <font>
      <u/>
      <sz val="14"/>
      <color rgb="FF16355A"/>
      <name val="Calibri"/>
      <family val="2"/>
      <charset val="1"/>
    </font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sz val="10"/>
      <color rgb="FF000000"/>
      <name val="Verdana"/>
      <family val="2"/>
      <charset val="238"/>
    </font>
    <font>
      <sz val="11"/>
      <color rgb="FF000000"/>
      <name val="Tahoma"/>
      <family val="2"/>
      <charset val="238"/>
    </font>
    <font>
      <b/>
      <sz val="24"/>
      <color rgb="FF000000"/>
      <name val="Tahoma"/>
      <family val="2"/>
      <charset val="238"/>
    </font>
    <font>
      <sz val="1"/>
      <color rgb="FFFFFFFF"/>
      <name val="Tahoma"/>
      <family val="2"/>
      <charset val="238"/>
    </font>
    <font>
      <b/>
      <sz val="12"/>
      <color rgb="FF000000"/>
      <name val="Tahoma"/>
      <family val="2"/>
      <charset val="238"/>
    </font>
    <font>
      <b/>
      <sz val="18"/>
      <color rgb="FF000000"/>
      <name val="Tahoma"/>
      <family val="2"/>
      <charset val="238"/>
    </font>
    <font>
      <u/>
      <sz val="12"/>
      <color rgb="FFFF0000"/>
      <name val="Calibri"/>
      <family val="2"/>
      <charset val="238"/>
    </font>
    <font>
      <u/>
      <sz val="10"/>
      <color rgb="FFC00000"/>
      <name val="Tahoma"/>
      <family val="2"/>
      <charset val="238"/>
    </font>
    <font>
      <sz val="14"/>
      <color rgb="FF000000"/>
      <name val="Tahoma"/>
      <family val="2"/>
      <charset val="238"/>
    </font>
    <font>
      <sz val="18"/>
      <color rgb="FF000000"/>
      <name val="Tahoma"/>
      <family val="2"/>
      <charset val="238"/>
    </font>
    <font>
      <b/>
      <sz val="28"/>
      <color rgb="FF000000"/>
      <name val="Tahoma"/>
      <family val="2"/>
      <charset val="238"/>
    </font>
    <font>
      <u/>
      <sz val="12"/>
      <color rgb="FF16355A"/>
      <name val="Calibri"/>
      <family val="2"/>
      <charset val="1"/>
    </font>
    <font>
      <sz val="14"/>
      <color rgb="FFFF0000"/>
      <name val="Tahoma"/>
      <family val="2"/>
      <charset val="238"/>
    </font>
    <font>
      <sz val="11"/>
      <color rgb="FFFF0000"/>
      <name val="Tahoma"/>
      <family val="2"/>
      <charset val="238"/>
    </font>
    <font>
      <sz val="12"/>
      <color rgb="FF000000"/>
      <name val="Tahoma"/>
      <family val="2"/>
      <charset val="238"/>
    </font>
    <font>
      <b/>
      <sz val="10"/>
      <color rgb="FF000000"/>
      <name val="Tahoma"/>
      <family val="2"/>
      <charset val="238"/>
    </font>
    <font>
      <sz val="10"/>
      <color rgb="FF000000"/>
      <name val="Tahoma"/>
      <family val="2"/>
      <charset val="238"/>
    </font>
    <font>
      <b/>
      <sz val="36"/>
      <color rgb="FF000000"/>
      <name val="Tahoma"/>
      <family val="2"/>
      <charset val="238"/>
    </font>
    <font>
      <b/>
      <sz val="22"/>
      <color rgb="FF000000"/>
      <name val="Tahoma"/>
      <family val="2"/>
      <charset val="238"/>
    </font>
    <font>
      <u/>
      <sz val="12"/>
      <color rgb="FF16355A"/>
      <name val="Tahoma"/>
      <family val="2"/>
      <charset val="238"/>
    </font>
    <font>
      <b/>
      <sz val="16"/>
      <color rgb="FF000000"/>
      <name val="Tahoma"/>
      <family val="2"/>
      <charset val="238"/>
    </font>
    <font>
      <b/>
      <vertAlign val="superscript"/>
      <sz val="22"/>
      <color rgb="FF000000"/>
      <name val="Tahoma"/>
      <family val="2"/>
      <charset val="238"/>
    </font>
    <font>
      <b/>
      <sz val="14"/>
      <color rgb="FF000000"/>
      <name val="Tahoma"/>
      <family val="2"/>
      <charset val="238"/>
    </font>
    <font>
      <u/>
      <sz val="10"/>
      <color rgb="FF16355A"/>
      <name val="Tahoma"/>
      <family val="2"/>
      <charset val="238"/>
    </font>
    <font>
      <b/>
      <sz val="10"/>
      <color rgb="FF558ED5"/>
      <name val="Tahoma"/>
      <family val="2"/>
      <charset val="238"/>
    </font>
    <font>
      <b/>
      <sz val="10"/>
      <color rgb="FFFF0000"/>
      <name val="Tahoma"/>
      <family val="2"/>
      <charset val="238"/>
    </font>
    <font>
      <b/>
      <sz val="10"/>
      <name val="Tahoma"/>
      <family val="2"/>
      <charset val="238"/>
    </font>
    <font>
      <sz val="10"/>
      <name val="Tahoma"/>
      <family val="2"/>
      <charset val="238"/>
    </font>
    <font>
      <sz val="11"/>
      <name val="Tahoma"/>
      <family val="2"/>
      <charset val="238"/>
    </font>
    <font>
      <sz val="8"/>
      <color rgb="FF000000"/>
      <name val="Tahoma"/>
      <family val="2"/>
      <charset val="238"/>
    </font>
    <font>
      <sz val="9"/>
      <color rgb="FF262626"/>
      <name val="Tahoma"/>
      <family val="2"/>
      <charset val="238"/>
    </font>
    <font>
      <sz val="10"/>
      <color rgb="FF808080"/>
      <name val="Tahoma"/>
      <family val="2"/>
      <charset val="238"/>
    </font>
    <font>
      <b/>
      <sz val="11"/>
      <color rgb="FF808080"/>
      <name val="Tahoma"/>
      <family val="2"/>
      <charset val="238"/>
    </font>
    <font>
      <u/>
      <sz val="8"/>
      <color rgb="FFFF0000"/>
      <name val="Tahoma"/>
      <family val="2"/>
      <charset val="238"/>
    </font>
    <font>
      <b/>
      <sz val="11"/>
      <color rgb="FFFF0000"/>
      <name val="Tahoma"/>
      <family val="2"/>
      <charset val="238"/>
    </font>
    <font>
      <b/>
      <sz val="24"/>
      <color rgb="FFFFFFFF"/>
      <name val="Tahoma"/>
      <family val="2"/>
      <charset val="238"/>
    </font>
    <font>
      <sz val="9"/>
      <name val="Tahoma"/>
      <family val="2"/>
      <charset val="238"/>
    </font>
    <font>
      <b/>
      <sz val="9"/>
      <name val="Tahoma"/>
      <family val="2"/>
      <charset val="238"/>
    </font>
    <font>
      <sz val="9"/>
      <color rgb="FF000000"/>
      <name val="Tahoma"/>
      <family val="2"/>
      <charset val="238"/>
    </font>
    <font>
      <b/>
      <u/>
      <sz val="9"/>
      <color rgb="FF000000"/>
      <name val="Tahoma"/>
      <family val="2"/>
      <charset val="238"/>
    </font>
    <font>
      <sz val="9"/>
      <color rgb="FFFF0000"/>
      <name val="Tahoma"/>
      <family val="2"/>
      <charset val="238"/>
    </font>
    <font>
      <b/>
      <u/>
      <sz val="11"/>
      <color rgb="FF000000"/>
      <name val="Tahoma"/>
      <family val="2"/>
      <charset val="238"/>
    </font>
    <font>
      <b/>
      <vertAlign val="superscript"/>
      <sz val="24"/>
      <color rgb="FFFFFFFF"/>
      <name val="Tahoma"/>
      <family val="2"/>
      <charset val="238"/>
    </font>
    <font>
      <i/>
      <sz val="9"/>
      <color rgb="FF000000"/>
      <name val="Tahoma"/>
      <family val="2"/>
      <charset val="238"/>
    </font>
    <font>
      <u/>
      <sz val="12"/>
      <color rgb="FF558ED5"/>
      <name val="Tahoma"/>
      <family val="2"/>
      <charset val="238"/>
    </font>
    <font>
      <sz val="12"/>
      <color rgb="FF558ED5"/>
      <name val="Tahoma"/>
      <family val="2"/>
      <charset val="238"/>
    </font>
    <font>
      <b/>
      <sz val="16"/>
      <color rgb="FFFFFFFF"/>
      <name val="Tahoma"/>
      <family val="2"/>
      <charset val="238"/>
    </font>
    <font>
      <b/>
      <sz val="12"/>
      <color rgb="FFFFFFFF"/>
      <name val="Tahoma"/>
      <family val="2"/>
      <charset val="238"/>
    </font>
    <font>
      <i/>
      <sz val="10"/>
      <color rgb="FF000000"/>
      <name val="Tahoma"/>
      <family val="2"/>
      <charset val="238"/>
    </font>
    <font>
      <sz val="10"/>
      <color rgb="FFFF0000"/>
      <name val="Tahoma"/>
      <family val="2"/>
      <charset val="238"/>
    </font>
    <font>
      <u/>
      <sz val="9"/>
      <color rgb="FF16355A"/>
      <name val="Tahoma"/>
      <family val="2"/>
      <charset val="238"/>
    </font>
    <font>
      <b/>
      <sz val="20"/>
      <color rgb="FF000000"/>
      <name val="Tahoma"/>
      <family val="2"/>
      <charset val="238"/>
    </font>
    <font>
      <b/>
      <sz val="11"/>
      <color rgb="FFFFFFFF"/>
      <name val="Tahoma"/>
      <family val="2"/>
      <charset val="238"/>
    </font>
    <font>
      <sz val="11"/>
      <color rgb="FF000000"/>
      <name val="Calibri"/>
      <family val="2"/>
      <charset val="1"/>
    </font>
    <font>
      <sz val="10"/>
      <color rgb="FF000000"/>
      <name val="Verdana"/>
      <family val="2"/>
      <charset val="238"/>
    </font>
    <font>
      <sz val="11"/>
      <color rgb="FF006100"/>
      <name val="Calibri"/>
      <family val="2"/>
      <charset val="238"/>
    </font>
    <font>
      <b/>
      <sz val="22"/>
      <name val="Tahoma"/>
      <family val="2"/>
      <charset val="238"/>
    </font>
    <font>
      <b/>
      <sz val="28"/>
      <name val="Tahoma"/>
      <family val="2"/>
      <charset val="238"/>
    </font>
    <font>
      <b/>
      <u/>
      <sz val="12"/>
      <color rgb="FFFF0000"/>
      <name val="Calibri"/>
      <family val="2"/>
      <charset val="238"/>
    </font>
    <font>
      <b/>
      <sz val="12"/>
      <name val="Tahoma"/>
      <family val="2"/>
      <charset val="238"/>
    </font>
    <font>
      <i/>
      <sz val="9"/>
      <name val="Tahoma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BFBFBF"/>
        <bgColor rgb="FFB2B2B2"/>
      </patternFill>
    </fill>
    <fill>
      <patternFill patternType="solid">
        <fgColor rgb="FF00579A"/>
        <bgColor rgb="FF008080"/>
      </patternFill>
    </fill>
    <fill>
      <patternFill patternType="solid">
        <fgColor rgb="FFFFFFFF"/>
        <bgColor rgb="FFF2F2F2"/>
      </patternFill>
    </fill>
    <fill>
      <patternFill patternType="solid">
        <fgColor rgb="FFF2F2F2"/>
        <bgColor rgb="FFFFFFFF"/>
      </patternFill>
    </fill>
    <fill>
      <patternFill patternType="solid">
        <fgColor rgb="FFCDDDAC"/>
        <bgColor rgb="FFC3D69B"/>
      </patternFill>
    </fill>
    <fill>
      <patternFill patternType="solid">
        <fgColor rgb="FFAAC6EA"/>
        <bgColor rgb="FFA7C0DE"/>
      </patternFill>
    </fill>
    <fill>
      <patternFill patternType="solid">
        <fgColor rgb="FFFBCAA2"/>
        <bgColor rgb="FFFAC090"/>
      </patternFill>
    </fill>
    <fill>
      <patternFill patternType="solid">
        <fgColor rgb="FFA7C0DE"/>
        <bgColor rgb="FFAAC6EA"/>
      </patternFill>
    </fill>
    <fill>
      <patternFill patternType="solid">
        <fgColor rgb="FFDFDFDF"/>
        <bgColor rgb="FFD9D9D9"/>
      </patternFill>
    </fill>
    <fill>
      <patternFill patternType="solid">
        <fgColor rgb="FF77933C"/>
        <bgColor rgb="FF8EB149"/>
      </patternFill>
    </fill>
    <fill>
      <patternFill patternType="solid">
        <fgColor rgb="FFC3D69B"/>
        <bgColor rgb="FFCDDDAC"/>
      </patternFill>
    </fill>
    <fill>
      <patternFill patternType="solid">
        <fgColor rgb="FF3176C9"/>
        <bgColor rgb="FF558ED5"/>
      </patternFill>
    </fill>
    <fill>
      <patternFill patternType="solid">
        <fgColor rgb="FFC6D9F1"/>
        <bgColor rgb="FFD9D9D9"/>
      </patternFill>
    </fill>
    <fill>
      <patternFill patternType="solid">
        <fgColor rgb="FFE46C0A"/>
        <bgColor rgb="FFF79646"/>
      </patternFill>
    </fill>
    <fill>
      <patternFill patternType="solid">
        <fgColor rgb="FFFAC090"/>
        <bgColor rgb="FFFBCAA2"/>
      </patternFill>
    </fill>
    <fill>
      <patternFill patternType="solid">
        <fgColor rgb="FF8EB149"/>
        <bgColor rgb="FF9BBB59"/>
      </patternFill>
    </fill>
    <fill>
      <patternFill patternType="solid">
        <fgColor rgb="FFADC773"/>
        <bgColor rgb="FF9BBB59"/>
      </patternFill>
    </fill>
    <fill>
      <patternFill patternType="solid">
        <fgColor rgb="FF558ED5"/>
        <bgColor rgb="FF3176C9"/>
      </patternFill>
    </fill>
    <fill>
      <patternFill patternType="solid">
        <fgColor rgb="FF8EB4E3"/>
        <bgColor rgb="FFA7C0DE"/>
      </patternFill>
    </fill>
    <fill>
      <patternFill patternType="solid">
        <fgColor rgb="FFF79646"/>
        <bgColor rgb="FFE46C0A"/>
      </patternFill>
    </fill>
    <fill>
      <patternFill patternType="solid">
        <fgColor rgb="FF7F7F7F"/>
        <bgColor rgb="FF808080"/>
      </patternFill>
    </fill>
    <fill>
      <patternFill patternType="solid">
        <fgColor rgb="FFA6A6A6"/>
        <bgColor rgb="FFB2B2B2"/>
      </patternFill>
    </fill>
    <fill>
      <patternFill patternType="solid">
        <fgColor theme="0"/>
        <bgColor rgb="FFDFDFDF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rgb="FFFEF0CA"/>
      </patternFill>
    </fill>
    <fill>
      <patternFill patternType="solid">
        <fgColor rgb="FFC6EFCE"/>
        <bgColor rgb="FFCDDDAC"/>
      </patternFill>
    </fill>
    <fill>
      <patternFill patternType="solid">
        <fgColor theme="0"/>
        <bgColor rgb="FFB2B2B2"/>
      </patternFill>
    </fill>
    <fill>
      <patternFill patternType="solid">
        <fgColor rgb="FFF79646"/>
        <bgColor rgb="FFF3B507"/>
      </patternFill>
    </fill>
    <fill>
      <patternFill patternType="solid">
        <fgColor theme="6" tint="0.59999389629810485"/>
        <bgColor rgb="FFFBCAA2"/>
      </patternFill>
    </fill>
  </fills>
  <borders count="2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  <border>
      <left style="hair">
        <color rgb="FF808080"/>
      </left>
      <right style="hair">
        <color rgb="FF808080"/>
      </right>
      <top style="dashed">
        <color auto="1"/>
      </top>
      <bottom style="dashed">
        <color auto="1"/>
      </bottom>
      <diagonal/>
    </border>
    <border>
      <left/>
      <right style="dashed">
        <color auto="1"/>
      </right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/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20">
    <xf numFmtId="0" fontId="0" fillId="0" borderId="0"/>
    <xf numFmtId="0" fontId="1" fillId="0" borderId="0" applyBorder="0" applyProtection="0"/>
    <xf numFmtId="0" fontId="1" fillId="0" borderId="0" applyBorder="0" applyProtection="0"/>
    <xf numFmtId="0" fontId="57" fillId="0" borderId="0"/>
    <xf numFmtId="0" fontId="2" fillId="0" borderId="0"/>
    <xf numFmtId="0" fontId="2" fillId="0" borderId="0"/>
    <xf numFmtId="0" fontId="2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3" fillId="0" borderId="0"/>
    <xf numFmtId="0" fontId="4" fillId="0" borderId="0"/>
    <xf numFmtId="0" fontId="4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57" fillId="0" borderId="0"/>
    <xf numFmtId="0" fontId="3" fillId="0" borderId="0"/>
    <xf numFmtId="0" fontId="3" fillId="0" borderId="0"/>
    <xf numFmtId="0" fontId="2" fillId="0" borderId="0"/>
    <xf numFmtId="0" fontId="57" fillId="0" borderId="0"/>
    <xf numFmtId="0" fontId="57" fillId="0" borderId="0"/>
    <xf numFmtId="0" fontId="5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7" fillId="2" borderId="1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5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7" fillId="28" borderId="1" applyProtection="0"/>
    <xf numFmtId="0" fontId="59" fillId="29" borderId="0" applyBorder="0" applyProtection="0"/>
  </cellStyleXfs>
  <cellXfs count="278">
    <xf numFmtId="0" fontId="0" fillId="0" borderId="0" xfId="0"/>
    <xf numFmtId="0" fontId="5" fillId="3" borderId="0" xfId="0" applyFont="1" applyFill="1"/>
    <xf numFmtId="0" fontId="6" fillId="3" borderId="0" xfId="0" applyFont="1" applyFill="1" applyAlignment="1">
      <alignment vertical="center"/>
    </xf>
    <xf numFmtId="0" fontId="5" fillId="5" borderId="0" xfId="0" applyFont="1" applyFill="1"/>
    <xf numFmtId="1" fontId="9" fillId="5" borderId="3" xfId="0" applyNumberFormat="1" applyFont="1" applyFill="1" applyBorder="1" applyAlignment="1">
      <alignment vertical="center"/>
    </xf>
    <xf numFmtId="0" fontId="8" fillId="6" borderId="4" xfId="0" applyFont="1" applyFill="1" applyBorder="1" applyAlignment="1">
      <alignment vertical="center"/>
    </xf>
    <xf numFmtId="0" fontId="11" fillId="5" borderId="0" xfId="1" applyFont="1" applyFill="1" applyBorder="1" applyAlignment="1" applyProtection="1">
      <alignment horizontal="center" vertical="center"/>
    </xf>
    <xf numFmtId="0" fontId="12" fillId="5" borderId="0" xfId="0" applyFont="1" applyFill="1" applyAlignment="1">
      <alignment horizontal="right"/>
    </xf>
    <xf numFmtId="1" fontId="13" fillId="5" borderId="0" xfId="0" applyNumberFormat="1" applyFont="1" applyFill="1"/>
    <xf numFmtId="0" fontId="13" fillId="5" borderId="0" xfId="0" applyFont="1" applyFill="1"/>
    <xf numFmtId="0" fontId="12" fillId="3" borderId="0" xfId="0" applyFont="1" applyFill="1"/>
    <xf numFmtId="0" fontId="12" fillId="5" borderId="0" xfId="0" applyFont="1" applyFill="1"/>
    <xf numFmtId="0" fontId="12" fillId="5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16" fillId="3" borderId="0" xfId="0" applyFont="1" applyFill="1"/>
    <xf numFmtId="0" fontId="17" fillId="3" borderId="0" xfId="0" applyFont="1" applyFill="1"/>
    <xf numFmtId="0" fontId="8" fillId="5" borderId="0" xfId="14" applyFont="1" applyFill="1" applyAlignment="1">
      <alignment horizontal="center" vertical="top"/>
    </xf>
    <xf numFmtId="0" fontId="18" fillId="5" borderId="0" xfId="0" applyFont="1" applyFill="1"/>
    <xf numFmtId="0" fontId="19" fillId="5" borderId="0" xfId="14" applyFont="1" applyFill="1" applyAlignment="1">
      <alignment horizontal="center" vertical="top"/>
    </xf>
    <xf numFmtId="0" fontId="20" fillId="5" borderId="0" xfId="0" applyFont="1" applyFill="1" applyAlignment="1">
      <alignment vertical="top"/>
    </xf>
    <xf numFmtId="0" fontId="20" fillId="0" borderId="0" xfId="0" applyFont="1" applyAlignment="1">
      <alignment vertical="top"/>
    </xf>
    <xf numFmtId="0" fontId="21" fillId="5" borderId="0" xfId="0" applyFont="1" applyFill="1" applyAlignment="1">
      <alignment horizontal="center"/>
    </xf>
    <xf numFmtId="0" fontId="24" fillId="5" borderId="0" xfId="14" applyFont="1" applyFill="1" applyAlignment="1">
      <alignment horizontal="center" vertical="center"/>
    </xf>
    <xf numFmtId="0" fontId="18" fillId="5" borderId="0" xfId="0" applyFont="1" applyFill="1" applyAlignment="1">
      <alignment horizontal="center"/>
    </xf>
    <xf numFmtId="0" fontId="19" fillId="3" borderId="0" xfId="0" applyFont="1" applyFill="1"/>
    <xf numFmtId="0" fontId="27" fillId="5" borderId="0" xfId="1" applyFont="1" applyFill="1" applyBorder="1" applyAlignment="1" applyProtection="1">
      <alignment horizontal="right"/>
    </xf>
    <xf numFmtId="0" fontId="28" fillId="5" borderId="0" xfId="0" applyFont="1" applyFill="1"/>
    <xf numFmtId="0" fontId="29" fillId="5" borderId="0" xfId="0" applyFont="1" applyFill="1" applyAlignment="1">
      <alignment horizontal="center"/>
    </xf>
    <xf numFmtId="0" fontId="27" fillId="5" borderId="0" xfId="1" applyFont="1" applyFill="1" applyBorder="1" applyAlignment="1" applyProtection="1">
      <alignment horizontal="left"/>
    </xf>
    <xf numFmtId="0" fontId="31" fillId="5" borderId="0" xfId="0" applyFont="1" applyFill="1"/>
    <xf numFmtId="0" fontId="32" fillId="5" borderId="0" xfId="0" applyFont="1" applyFill="1"/>
    <xf numFmtId="0" fontId="33" fillId="3" borderId="0" xfId="0" applyFont="1" applyFill="1"/>
    <xf numFmtId="0" fontId="20" fillId="3" borderId="0" xfId="0" applyFont="1" applyFill="1"/>
    <xf numFmtId="1" fontId="36" fillId="5" borderId="0" xfId="0" applyNumberFormat="1" applyFont="1" applyFill="1"/>
    <xf numFmtId="0" fontId="36" fillId="5" borderId="0" xfId="0" applyFont="1" applyFill="1"/>
    <xf numFmtId="0" fontId="38" fillId="5" borderId="0" xfId="0" applyFont="1" applyFill="1"/>
    <xf numFmtId="0" fontId="33" fillId="5" borderId="0" xfId="0" applyFont="1" applyFill="1"/>
    <xf numFmtId="0" fontId="20" fillId="5" borderId="0" xfId="0" applyFont="1" applyFill="1"/>
    <xf numFmtId="0" fontId="40" fillId="13" borderId="10" xfId="14" applyFont="1" applyFill="1" applyBorder="1" applyAlignment="1">
      <alignment horizontal="center" vertical="center"/>
    </xf>
    <xf numFmtId="164" fontId="40" fillId="13" borderId="10" xfId="14" applyNumberFormat="1" applyFont="1" applyFill="1" applyBorder="1" applyAlignment="1">
      <alignment horizontal="center" vertical="center" wrapText="1"/>
    </xf>
    <xf numFmtId="164" fontId="41" fillId="13" borderId="10" xfId="14" applyNumberFormat="1" applyFont="1" applyFill="1" applyBorder="1" applyAlignment="1">
      <alignment horizontal="center" vertical="center" wrapText="1"/>
    </xf>
    <xf numFmtId="0" fontId="42" fillId="5" borderId="0" xfId="0" applyFont="1" applyFill="1"/>
    <xf numFmtId="0" fontId="43" fillId="5" borderId="0" xfId="0" applyFont="1" applyFill="1" applyAlignment="1">
      <alignment horizontal="center"/>
    </xf>
    <xf numFmtId="0" fontId="44" fillId="3" borderId="0" xfId="0" applyFont="1" applyFill="1"/>
    <xf numFmtId="0" fontId="42" fillId="3" borderId="0" xfId="0" applyFont="1" applyFill="1"/>
    <xf numFmtId="0" fontId="45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5" fillId="3" borderId="0" xfId="5" applyFont="1" applyFill="1"/>
    <xf numFmtId="0" fontId="40" fillId="15" borderId="10" xfId="14" applyFont="1" applyFill="1" applyBorder="1" applyAlignment="1">
      <alignment horizontal="center" vertical="center"/>
    </xf>
    <xf numFmtId="164" fontId="40" fillId="15" borderId="10" xfId="14" applyNumberFormat="1" applyFont="1" applyFill="1" applyBorder="1" applyAlignment="1">
      <alignment horizontal="center" vertical="center" wrapText="1"/>
    </xf>
    <xf numFmtId="164" fontId="41" fillId="15" borderId="10" xfId="14" applyNumberFormat="1" applyFont="1" applyFill="1" applyBorder="1" applyAlignment="1">
      <alignment horizontal="center" vertical="center" wrapText="1"/>
    </xf>
    <xf numFmtId="0" fontId="40" fillId="17" borderId="10" xfId="14" applyFont="1" applyFill="1" applyBorder="1" applyAlignment="1">
      <alignment horizontal="center" vertical="center"/>
    </xf>
    <xf numFmtId="164" fontId="40" fillId="17" borderId="10" xfId="14" applyNumberFormat="1" applyFont="1" applyFill="1" applyBorder="1" applyAlignment="1">
      <alignment horizontal="center" vertical="center" wrapText="1"/>
    </xf>
    <xf numFmtId="164" fontId="41" fillId="17" borderId="10" xfId="14" applyNumberFormat="1" applyFont="1" applyFill="1" applyBorder="1" applyAlignment="1">
      <alignment horizontal="center" vertical="center" wrapText="1"/>
    </xf>
    <xf numFmtId="164" fontId="31" fillId="0" borderId="10" xfId="14" applyNumberFormat="1" applyFont="1" applyBorder="1" applyAlignment="1">
      <alignment horizontal="right"/>
    </xf>
    <xf numFmtId="164" fontId="30" fillId="0" borderId="20" xfId="14" applyNumberFormat="1" applyFont="1" applyBorder="1"/>
    <xf numFmtId="164" fontId="20" fillId="3" borderId="0" xfId="0" applyNumberFormat="1" applyFont="1" applyFill="1"/>
    <xf numFmtId="0" fontId="49" fillId="5" borderId="0" xfId="0" applyFont="1" applyFill="1"/>
    <xf numFmtId="0" fontId="42" fillId="5" borderId="20" xfId="0" applyFont="1" applyFill="1" applyBorder="1"/>
    <xf numFmtId="0" fontId="20" fillId="0" borderId="11" xfId="54" applyFont="1" applyBorder="1"/>
    <xf numFmtId="0" fontId="20" fillId="0" borderId="12" xfId="54" applyFont="1" applyBorder="1"/>
    <xf numFmtId="164" fontId="31" fillId="0" borderId="12" xfId="14" applyNumberFormat="1" applyFont="1" applyBorder="1" applyAlignment="1">
      <alignment horizontal="right"/>
    </xf>
    <xf numFmtId="164" fontId="30" fillId="0" borderId="13" xfId="14" applyNumberFormat="1" applyFont="1" applyBorder="1"/>
    <xf numFmtId="0" fontId="20" fillId="0" borderId="14" xfId="54" applyFont="1" applyBorder="1"/>
    <xf numFmtId="0" fontId="20" fillId="0" borderId="9" xfId="54" applyFont="1" applyBorder="1"/>
    <xf numFmtId="164" fontId="31" fillId="0" borderId="9" xfId="14" applyNumberFormat="1" applyFont="1" applyBorder="1" applyAlignment="1">
      <alignment horizontal="right"/>
    </xf>
    <xf numFmtId="164" fontId="30" fillId="0" borderId="15" xfId="14" applyNumberFormat="1" applyFont="1" applyBorder="1"/>
    <xf numFmtId="0" fontId="20" fillId="0" borderId="14" xfId="14" applyFont="1" applyBorder="1" applyAlignment="1">
      <alignment horizontal="center"/>
    </xf>
    <xf numFmtId="0" fontId="20" fillId="0" borderId="16" xfId="54" applyFont="1" applyBorder="1"/>
    <xf numFmtId="0" fontId="20" fillId="0" borderId="17" xfId="54" applyFont="1" applyBorder="1"/>
    <xf numFmtId="0" fontId="31" fillId="5" borderId="0" xfId="14" applyFont="1" applyFill="1" applyAlignment="1">
      <alignment horizontal="center"/>
    </xf>
    <xf numFmtId="0" fontId="31" fillId="5" borderId="0" xfId="14" applyFont="1" applyFill="1"/>
    <xf numFmtId="164" fontId="31" fillId="5" borderId="0" xfId="14" applyNumberFormat="1" applyFont="1" applyFill="1"/>
    <xf numFmtId="164" fontId="31" fillId="5" borderId="0" xfId="14" applyNumberFormat="1" applyFont="1" applyFill="1" applyAlignment="1">
      <alignment horizontal="right"/>
    </xf>
    <xf numFmtId="164" fontId="30" fillId="5" borderId="0" xfId="14" applyNumberFormat="1" applyFont="1" applyFill="1"/>
    <xf numFmtId="0" fontId="19" fillId="5" borderId="0" xfId="0" applyFont="1" applyFill="1" applyAlignment="1">
      <alignment horizontal="center" vertical="center"/>
    </xf>
    <xf numFmtId="164" fontId="31" fillId="0" borderId="17" xfId="14" applyNumberFormat="1" applyFont="1" applyBorder="1" applyAlignment="1">
      <alignment horizontal="right"/>
    </xf>
    <xf numFmtId="164" fontId="30" fillId="0" borderId="18" xfId="14" applyNumberFormat="1" applyFont="1" applyBorder="1"/>
    <xf numFmtId="0" fontId="20" fillId="5" borderId="0" xfId="54" applyFont="1" applyFill="1"/>
    <xf numFmtId="164" fontId="20" fillId="5" borderId="0" xfId="54" applyNumberFormat="1" applyFont="1" applyFill="1"/>
    <xf numFmtId="164" fontId="42" fillId="5" borderId="0" xfId="0" applyNumberFormat="1" applyFont="1" applyFill="1"/>
    <xf numFmtId="164" fontId="20" fillId="5" borderId="0" xfId="0" applyNumberFormat="1" applyFont="1" applyFill="1"/>
    <xf numFmtId="164" fontId="31" fillId="5" borderId="0" xfId="15" applyNumberFormat="1" applyFont="1" applyFill="1"/>
    <xf numFmtId="0" fontId="20" fillId="5" borderId="21" xfId="54" applyFont="1" applyFill="1" applyBorder="1"/>
    <xf numFmtId="164" fontId="31" fillId="5" borderId="21" xfId="15" applyNumberFormat="1" applyFont="1" applyFill="1" applyBorder="1"/>
    <xf numFmtId="164" fontId="31" fillId="5" borderId="21" xfId="14" applyNumberFormat="1" applyFont="1" applyFill="1" applyBorder="1" applyAlignment="1">
      <alignment horizontal="right"/>
    </xf>
    <xf numFmtId="164" fontId="30" fillId="5" borderId="21" xfId="14" applyNumberFormat="1" applyFont="1" applyFill="1" applyBorder="1"/>
    <xf numFmtId="0" fontId="40" fillId="21" borderId="10" xfId="14" applyFont="1" applyFill="1" applyBorder="1" applyAlignment="1">
      <alignment horizontal="center" vertical="center"/>
    </xf>
    <xf numFmtId="164" fontId="40" fillId="21" borderId="10" xfId="14" applyNumberFormat="1" applyFont="1" applyFill="1" applyBorder="1" applyAlignment="1">
      <alignment horizontal="center" vertical="center" wrapText="1"/>
    </xf>
    <xf numFmtId="164" fontId="41" fillId="21" borderId="10" xfId="14" applyNumberFormat="1" applyFont="1" applyFill="1" applyBorder="1" applyAlignment="1">
      <alignment horizontal="center" vertical="center" wrapText="1"/>
    </xf>
    <xf numFmtId="0" fontId="20" fillId="0" borderId="11" xfId="5" applyFont="1" applyBorder="1"/>
    <xf numFmtId="0" fontId="20" fillId="0" borderId="12" xfId="5" applyFont="1" applyBorder="1"/>
    <xf numFmtId="0" fontId="20" fillId="0" borderId="14" xfId="5" applyFont="1" applyBorder="1"/>
    <xf numFmtId="0" fontId="20" fillId="0" borderId="9" xfId="5" applyFont="1" applyBorder="1"/>
    <xf numFmtId="0" fontId="20" fillId="0" borderId="16" xfId="5" applyFont="1" applyBorder="1"/>
    <xf numFmtId="0" fontId="20" fillId="0" borderId="17" xfId="5" applyFont="1" applyBorder="1"/>
    <xf numFmtId="2" fontId="20" fillId="5" borderId="0" xfId="0" applyNumberFormat="1" applyFont="1" applyFill="1"/>
    <xf numFmtId="0" fontId="20" fillId="0" borderId="12" xfId="0" applyFont="1" applyBorder="1"/>
    <xf numFmtId="0" fontId="20" fillId="0" borderId="9" xfId="0" applyFont="1" applyBorder="1"/>
    <xf numFmtId="0" fontId="20" fillId="0" borderId="17" xfId="0" applyFont="1" applyBorder="1"/>
    <xf numFmtId="0" fontId="20" fillId="0" borderId="11" xfId="0" applyFont="1" applyBorder="1"/>
    <xf numFmtId="0" fontId="20" fillId="0" borderId="14" xfId="0" applyFont="1" applyBorder="1"/>
    <xf numFmtId="0" fontId="20" fillId="0" borderId="16" xfId="0" applyFont="1" applyBorder="1"/>
    <xf numFmtId="0" fontId="40" fillId="24" borderId="9" xfId="14" applyFont="1" applyFill="1" applyBorder="1" applyAlignment="1">
      <alignment horizontal="center" vertical="center"/>
    </xf>
    <xf numFmtId="164" fontId="40" fillId="24" borderId="9" xfId="14" applyNumberFormat="1" applyFont="1" applyFill="1" applyBorder="1" applyAlignment="1">
      <alignment horizontal="center" vertical="center" wrapText="1"/>
    </xf>
    <xf numFmtId="164" fontId="41" fillId="24" borderId="9" xfId="14" applyNumberFormat="1" applyFont="1" applyFill="1" applyBorder="1" applyAlignment="1">
      <alignment horizontal="center" vertical="center" wrapText="1"/>
    </xf>
    <xf numFmtId="0" fontId="42" fillId="3" borderId="20" xfId="0" applyFont="1" applyFill="1" applyBorder="1"/>
    <xf numFmtId="0" fontId="20" fillId="0" borderId="9" xfId="82" applyFont="1" applyBorder="1"/>
    <xf numFmtId="0" fontId="20" fillId="0" borderId="11" xfId="82" applyFont="1" applyBorder="1"/>
    <xf numFmtId="0" fontId="20" fillId="0" borderId="12" xfId="3" applyFont="1" applyBorder="1"/>
    <xf numFmtId="0" fontId="20" fillId="0" borderId="14" xfId="82" applyFont="1" applyBorder="1"/>
    <xf numFmtId="0" fontId="20" fillId="0" borderId="9" xfId="3" applyFont="1" applyBorder="1"/>
    <xf numFmtId="0" fontId="20" fillId="0" borderId="16" xfId="14" applyFont="1" applyBorder="1" applyAlignment="1">
      <alignment horizontal="center"/>
    </xf>
    <xf numFmtId="0" fontId="20" fillId="0" borderId="17" xfId="14" applyFont="1" applyBorder="1"/>
    <xf numFmtId="0" fontId="31" fillId="0" borderId="9" xfId="82" applyFont="1" applyBorder="1"/>
    <xf numFmtId="0" fontId="53" fillId="3" borderId="0" xfId="0" applyFont="1" applyFill="1"/>
    <xf numFmtId="0" fontId="20" fillId="0" borderId="9" xfId="14" applyFont="1" applyBorder="1"/>
    <xf numFmtId="0" fontId="5" fillId="5" borderId="0" xfId="80" applyFont="1" applyFill="1"/>
    <xf numFmtId="0" fontId="40" fillId="3" borderId="0" xfId="14" applyFont="1" applyFill="1" applyAlignment="1">
      <alignment horizontal="center" vertical="center"/>
    </xf>
    <xf numFmtId="164" fontId="40" fillId="3" borderId="0" xfId="14" applyNumberFormat="1" applyFont="1" applyFill="1" applyAlignment="1">
      <alignment horizontal="center" vertical="center" wrapText="1"/>
    </xf>
    <xf numFmtId="164" fontId="41" fillId="3" borderId="0" xfId="14" applyNumberFormat="1" applyFont="1" applyFill="1" applyAlignment="1">
      <alignment horizontal="center" vertical="center" wrapText="1"/>
    </xf>
    <xf numFmtId="0" fontId="5" fillId="3" borderId="0" xfId="80" applyFont="1" applyFill="1"/>
    <xf numFmtId="2" fontId="5" fillId="3" borderId="0" xfId="80" applyNumberFormat="1" applyFont="1" applyFill="1"/>
    <xf numFmtId="164" fontId="31" fillId="3" borderId="0" xfId="14" applyNumberFormat="1" applyFont="1" applyFill="1" applyAlignment="1">
      <alignment horizontal="right"/>
    </xf>
    <xf numFmtId="164" fontId="30" fillId="3" borderId="0" xfId="14" applyNumberFormat="1" applyFont="1" applyFill="1"/>
    <xf numFmtId="0" fontId="20" fillId="25" borderId="9" xfId="5" applyFont="1" applyFill="1" applyBorder="1"/>
    <xf numFmtId="164" fontId="31" fillId="25" borderId="9" xfId="14" applyNumberFormat="1" applyFont="1" applyFill="1" applyBorder="1" applyAlignment="1">
      <alignment horizontal="right"/>
    </xf>
    <xf numFmtId="164" fontId="30" fillId="25" borderId="9" xfId="14" applyNumberFormat="1" applyFont="1" applyFill="1" applyBorder="1"/>
    <xf numFmtId="0" fontId="20" fillId="26" borderId="9" xfId="5" applyFont="1" applyFill="1" applyBorder="1"/>
    <xf numFmtId="164" fontId="31" fillId="26" borderId="9" xfId="14" applyNumberFormat="1" applyFont="1" applyFill="1" applyBorder="1" applyAlignment="1">
      <alignment horizontal="right"/>
    </xf>
    <xf numFmtId="164" fontId="30" fillId="26" borderId="9" xfId="14" applyNumberFormat="1" applyFont="1" applyFill="1" applyBorder="1"/>
    <xf numFmtId="0" fontId="20" fillId="27" borderId="9" xfId="86" applyFont="1" applyFill="1" applyBorder="1"/>
    <xf numFmtId="164" fontId="31" fillId="27" borderId="9" xfId="14" applyNumberFormat="1" applyFont="1" applyFill="1" applyBorder="1" applyAlignment="1">
      <alignment horizontal="right"/>
    </xf>
    <xf numFmtId="164" fontId="30" fillId="27" borderId="9" xfId="14" applyNumberFormat="1" applyFont="1" applyFill="1" applyBorder="1"/>
    <xf numFmtId="0" fontId="20" fillId="27" borderId="9" xfId="40" applyFont="1" applyFill="1" applyBorder="1"/>
    <xf numFmtId="0" fontId="20" fillId="27" borderId="9" xfId="5" applyFont="1" applyFill="1" applyBorder="1"/>
    <xf numFmtId="0" fontId="20" fillId="26" borderId="9" xfId="33" applyFont="1" applyFill="1" applyBorder="1"/>
    <xf numFmtId="0" fontId="20" fillId="0" borderId="12" xfId="82" applyFont="1" applyBorder="1"/>
    <xf numFmtId="0" fontId="20" fillId="0" borderId="16" xfId="82" applyFont="1" applyBorder="1"/>
    <xf numFmtId="0" fontId="20" fillId="0" borderId="17" xfId="82" applyFont="1" applyBorder="1"/>
    <xf numFmtId="0" fontId="31" fillId="0" borderId="11" xfId="82" applyFont="1" applyBorder="1"/>
    <xf numFmtId="0" fontId="31" fillId="0" borderId="12" xfId="82" applyFont="1" applyBorder="1"/>
    <xf numFmtId="0" fontId="31" fillId="0" borderId="16" xfId="82" applyFont="1" applyBorder="1"/>
    <xf numFmtId="0" fontId="31" fillId="0" borderId="17" xfId="82" applyFont="1" applyBorder="1"/>
    <xf numFmtId="0" fontId="20" fillId="0" borderId="19" xfId="14" applyFont="1" applyBorder="1" applyAlignment="1">
      <alignment horizontal="center"/>
    </xf>
    <xf numFmtId="0" fontId="20" fillId="0" borderId="10" xfId="14" applyFont="1" applyBorder="1"/>
    <xf numFmtId="164" fontId="31" fillId="27" borderId="9" xfId="5" applyNumberFormat="1" applyFont="1" applyFill="1" applyBorder="1"/>
    <xf numFmtId="164" fontId="31" fillId="25" borderId="9" xfId="5" applyNumberFormat="1" applyFont="1" applyFill="1" applyBorder="1"/>
    <xf numFmtId="164" fontId="31" fillId="26" borderId="9" xfId="5" applyNumberFormat="1" applyFont="1" applyFill="1" applyBorder="1"/>
    <xf numFmtId="165" fontId="20" fillId="0" borderId="22" xfId="93" applyNumberFormat="1" applyFont="1" applyBorder="1"/>
    <xf numFmtId="165" fontId="20" fillId="0" borderId="22" xfId="94" applyNumberFormat="1" applyFont="1" applyBorder="1"/>
    <xf numFmtId="165" fontId="20" fillId="0" borderId="22" xfId="96" applyNumberFormat="1" applyFont="1" applyBorder="1"/>
    <xf numFmtId="165" fontId="20" fillId="0" borderId="22" xfId="97" applyNumberFormat="1" applyFont="1" applyBorder="1"/>
    <xf numFmtId="165" fontId="20" fillId="0" borderId="22" xfId="98" applyNumberFormat="1" applyFont="1" applyBorder="1"/>
    <xf numFmtId="165" fontId="20" fillId="0" borderId="22" xfId="100" applyNumberFormat="1" applyFont="1" applyBorder="1"/>
    <xf numFmtId="165" fontId="20" fillId="0" borderId="22" xfId="101" applyNumberFormat="1" applyFont="1" applyBorder="1"/>
    <xf numFmtId="165" fontId="20" fillId="0" borderId="22" xfId="102" applyNumberFormat="1" applyFont="1" applyBorder="1"/>
    <xf numFmtId="165" fontId="20" fillId="0" borderId="22" xfId="103" applyNumberFormat="1" applyFont="1" applyBorder="1"/>
    <xf numFmtId="165" fontId="20" fillId="0" borderId="22" xfId="104" applyNumberFormat="1" applyFont="1" applyBorder="1"/>
    <xf numFmtId="165" fontId="20" fillId="0" borderId="22" xfId="105" applyNumberFormat="1" applyFont="1" applyBorder="1"/>
    <xf numFmtId="165" fontId="20" fillId="0" borderId="22" xfId="106" applyNumberFormat="1" applyFont="1" applyBorder="1"/>
    <xf numFmtId="165" fontId="20" fillId="0" borderId="22" xfId="107" applyNumberFormat="1" applyFont="1" applyBorder="1"/>
    <xf numFmtId="165" fontId="20" fillId="0" borderId="22" xfId="108" applyNumberFormat="1" applyFont="1" applyBorder="1"/>
    <xf numFmtId="165" fontId="20" fillId="0" borderId="22" xfId="109" applyNumberFormat="1" applyFont="1" applyBorder="1"/>
    <xf numFmtId="165" fontId="20" fillId="0" borderId="22" xfId="110" applyNumberFormat="1" applyFont="1" applyBorder="1"/>
    <xf numFmtId="165" fontId="20" fillId="0" borderId="22" xfId="111" applyNumberFormat="1" applyFont="1" applyBorder="1"/>
    <xf numFmtId="165" fontId="20" fillId="0" borderId="22" xfId="112" applyNumberFormat="1" applyFont="1" applyBorder="1"/>
    <xf numFmtId="165" fontId="20" fillId="0" borderId="22" xfId="113" applyNumberFormat="1" applyFont="1" applyBorder="1"/>
    <xf numFmtId="165" fontId="20" fillId="0" borderId="22" xfId="114" applyNumberFormat="1" applyFont="1" applyBorder="1"/>
    <xf numFmtId="165" fontId="20" fillId="0" borderId="22" xfId="115" applyNumberFormat="1" applyFont="1" applyBorder="1"/>
    <xf numFmtId="165" fontId="20" fillId="0" borderId="22" xfId="116" applyNumberFormat="1" applyFont="1" applyBorder="1"/>
    <xf numFmtId="165" fontId="20" fillId="0" borderId="22" xfId="117" applyNumberFormat="1" applyFont="1" applyBorder="1"/>
    <xf numFmtId="165" fontId="20" fillId="0" borderId="22" xfId="95" applyNumberFormat="1" applyFont="1" applyBorder="1"/>
    <xf numFmtId="164" fontId="31" fillId="0" borderId="9" xfId="3" applyNumberFormat="1" applyFont="1" applyBorder="1"/>
    <xf numFmtId="164" fontId="31" fillId="0" borderId="17" xfId="14" applyNumberFormat="1" applyFont="1" applyBorder="1"/>
    <xf numFmtId="164" fontId="31" fillId="0" borderId="12" xfId="3" applyNumberFormat="1" applyFont="1" applyBorder="1"/>
    <xf numFmtId="164" fontId="31" fillId="0" borderId="17" xfId="3" applyNumberFormat="1" applyFont="1" applyBorder="1"/>
    <xf numFmtId="164" fontId="20" fillId="0" borderId="12" xfId="3" applyNumberFormat="1" applyFont="1" applyBorder="1"/>
    <xf numFmtId="164" fontId="20" fillId="0" borderId="9" xfId="3" applyNumberFormat="1" applyFont="1" applyBorder="1"/>
    <xf numFmtId="0" fontId="20" fillId="30" borderId="0" xfId="0" applyFont="1" applyFill="1"/>
    <xf numFmtId="0" fontId="5" fillId="30" borderId="0" xfId="0" applyFont="1" applyFill="1"/>
    <xf numFmtId="0" fontId="40" fillId="32" borderId="15" xfId="14" applyFont="1" applyFill="1" applyBorder="1" applyAlignment="1">
      <alignment horizontal="center" vertical="center"/>
    </xf>
    <xf numFmtId="0" fontId="64" fillId="32" borderId="23" xfId="14" applyFont="1" applyFill="1" applyBorder="1" applyAlignment="1">
      <alignment horizontal="left" vertical="center"/>
    </xf>
    <xf numFmtId="164" fontId="40" fillId="32" borderId="23" xfId="14" applyNumberFormat="1" applyFont="1" applyFill="1" applyBorder="1" applyAlignment="1">
      <alignment horizontal="center" vertical="center" wrapText="1"/>
    </xf>
    <xf numFmtId="164" fontId="41" fillId="32" borderId="14" xfId="14" applyNumberFormat="1" applyFont="1" applyFill="1" applyBorder="1" applyAlignment="1">
      <alignment horizontal="center" vertical="center" wrapText="1"/>
    </xf>
    <xf numFmtId="165" fontId="31" fillId="0" borderId="12" xfId="0" applyNumberFormat="1" applyFont="1" applyBorder="1"/>
    <xf numFmtId="165" fontId="31" fillId="0" borderId="12" xfId="14" applyNumberFormat="1" applyFont="1" applyBorder="1" applyAlignment="1">
      <alignment horizontal="right"/>
    </xf>
    <xf numFmtId="165" fontId="30" fillId="0" borderId="13" xfId="14" applyNumberFormat="1" applyFont="1" applyBorder="1"/>
    <xf numFmtId="165" fontId="31" fillId="0" borderId="9" xfId="0" applyNumberFormat="1" applyFont="1" applyBorder="1"/>
    <xf numFmtId="165" fontId="31" fillId="0" borderId="9" xfId="14" applyNumberFormat="1" applyFont="1" applyBorder="1" applyAlignment="1">
      <alignment horizontal="right"/>
    </xf>
    <xf numFmtId="165" fontId="30" fillId="0" borderId="15" xfId="14" applyNumberFormat="1" applyFont="1" applyBorder="1"/>
    <xf numFmtId="165" fontId="31" fillId="0" borderId="17" xfId="0" applyNumberFormat="1" applyFont="1" applyBorder="1"/>
    <xf numFmtId="165" fontId="30" fillId="0" borderId="18" xfId="14" applyNumberFormat="1" applyFont="1" applyBorder="1"/>
    <xf numFmtId="0" fontId="20" fillId="30" borderId="14" xfId="0" applyFont="1" applyFill="1" applyBorder="1"/>
    <xf numFmtId="0" fontId="20" fillId="30" borderId="9" xfId="0" applyFont="1" applyFill="1" applyBorder="1"/>
    <xf numFmtId="165" fontId="31" fillId="30" borderId="9" xfId="0" applyNumberFormat="1" applyFont="1" applyFill="1" applyBorder="1"/>
    <xf numFmtId="165" fontId="20" fillId="30" borderId="9" xfId="0" applyNumberFormat="1" applyFont="1" applyFill="1" applyBorder="1"/>
    <xf numFmtId="165" fontId="19" fillId="30" borderId="15" xfId="0" applyNumberFormat="1" applyFont="1" applyFill="1" applyBorder="1"/>
    <xf numFmtId="0" fontId="20" fillId="30" borderId="16" xfId="0" applyFont="1" applyFill="1" applyBorder="1"/>
    <xf numFmtId="0" fontId="20" fillId="30" borderId="17" xfId="0" applyFont="1" applyFill="1" applyBorder="1"/>
    <xf numFmtId="165" fontId="31" fillId="30" borderId="17" xfId="0" applyNumberFormat="1" applyFont="1" applyFill="1" applyBorder="1"/>
    <xf numFmtId="165" fontId="20" fillId="30" borderId="17" xfId="0" applyNumberFormat="1" applyFont="1" applyFill="1" applyBorder="1"/>
    <xf numFmtId="165" fontId="19" fillId="30" borderId="18" xfId="0" applyNumberFormat="1" applyFont="1" applyFill="1" applyBorder="1"/>
    <xf numFmtId="0" fontId="20" fillId="30" borderId="11" xfId="0" applyFont="1" applyFill="1" applyBorder="1"/>
    <xf numFmtId="0" fontId="20" fillId="30" borderId="12" xfId="0" applyFont="1" applyFill="1" applyBorder="1"/>
    <xf numFmtId="165" fontId="31" fillId="30" borderId="12" xfId="0" applyNumberFormat="1" applyFont="1" applyFill="1" applyBorder="1"/>
    <xf numFmtId="165" fontId="20" fillId="30" borderId="12" xfId="0" applyNumberFormat="1" applyFont="1" applyFill="1" applyBorder="1"/>
    <xf numFmtId="165" fontId="19" fillId="30" borderId="13" xfId="0" applyNumberFormat="1" applyFont="1" applyFill="1" applyBorder="1"/>
    <xf numFmtId="0" fontId="19" fillId="0" borderId="0" xfId="0" applyFont="1" applyAlignment="1">
      <alignment horizontal="center"/>
    </xf>
    <xf numFmtId="0" fontId="20" fillId="5" borderId="0" xfId="0" applyFont="1" applyFill="1" applyAlignment="1">
      <alignment horizontal="center" vertical="center"/>
    </xf>
    <xf numFmtId="0" fontId="15" fillId="5" borderId="8" xfId="1" applyFont="1" applyFill="1" applyBorder="1" applyAlignment="1" applyProtection="1">
      <alignment horizontal="center"/>
    </xf>
    <xf numFmtId="0" fontId="15" fillId="5" borderId="7" xfId="1" applyFont="1" applyFill="1" applyBorder="1" applyAlignment="1" applyProtection="1">
      <alignment horizontal="center"/>
    </xf>
    <xf numFmtId="0" fontId="26" fillId="11" borderId="0" xfId="14" applyFont="1" applyFill="1" applyAlignment="1">
      <alignment horizontal="center"/>
    </xf>
    <xf numFmtId="0" fontId="12" fillId="5" borderId="0" xfId="0" applyFont="1" applyFill="1" applyAlignment="1">
      <alignment horizontal="center"/>
    </xf>
    <xf numFmtId="0" fontId="30" fillId="5" borderId="0" xfId="0" applyFont="1" applyFill="1" applyAlignment="1">
      <alignment horizontal="center" wrapText="1"/>
    </xf>
    <xf numFmtId="0" fontId="55" fillId="5" borderId="0" xfId="0" applyFont="1" applyFill="1" applyAlignment="1">
      <alignment horizontal="center"/>
    </xf>
    <xf numFmtId="0" fontId="15" fillId="5" borderId="6" xfId="1" applyFont="1" applyFill="1" applyBorder="1" applyAlignment="1" applyProtection="1">
      <alignment horizontal="center"/>
    </xf>
    <xf numFmtId="0" fontId="24" fillId="9" borderId="0" xfId="14" applyFont="1" applyFill="1" applyAlignment="1">
      <alignment horizontal="center" vertical="center"/>
    </xf>
    <xf numFmtId="0" fontId="22" fillId="9" borderId="0" xfId="14" applyFont="1" applyFill="1" applyAlignment="1">
      <alignment horizontal="center"/>
    </xf>
    <xf numFmtId="0" fontId="19" fillId="9" borderId="0" xfId="14" applyFont="1" applyFill="1" applyAlignment="1">
      <alignment horizontal="center" vertical="top"/>
    </xf>
    <xf numFmtId="0" fontId="24" fillId="10" borderId="0" xfId="14" applyFont="1" applyFill="1" applyAlignment="1">
      <alignment horizontal="center" vertical="center"/>
    </xf>
    <xf numFmtId="0" fontId="24" fillId="7" borderId="0" xfId="14" applyFont="1" applyFill="1" applyAlignment="1">
      <alignment horizontal="center" vertical="center"/>
    </xf>
    <xf numFmtId="0" fontId="19" fillId="10" borderId="0" xfId="14" applyFont="1" applyFill="1" applyAlignment="1">
      <alignment horizontal="center" vertical="top"/>
    </xf>
    <xf numFmtId="0" fontId="22" fillId="10" borderId="0" xfId="14" applyFont="1" applyFill="1" applyAlignment="1">
      <alignment horizontal="center"/>
    </xf>
    <xf numFmtId="0" fontId="23" fillId="5" borderId="8" xfId="1" applyFont="1" applyFill="1" applyBorder="1" applyAlignment="1" applyProtection="1">
      <alignment horizontal="center"/>
    </xf>
    <xf numFmtId="0" fontId="19" fillId="7" borderId="0" xfId="14" applyFont="1" applyFill="1" applyAlignment="1">
      <alignment horizontal="center" vertical="top"/>
    </xf>
    <xf numFmtId="0" fontId="22" fillId="7" borderId="0" xfId="14" applyFont="1" applyFill="1" applyAlignment="1">
      <alignment horizontal="center"/>
    </xf>
    <xf numFmtId="0" fontId="15" fillId="0" borderId="6" xfId="1" applyFont="1" applyBorder="1" applyAlignment="1" applyProtection="1">
      <alignment horizontal="center"/>
    </xf>
    <xf numFmtId="0" fontId="8" fillId="7" borderId="7" xfId="14" applyFont="1" applyFill="1" applyBorder="1" applyAlignment="1">
      <alignment horizontal="center" vertical="top"/>
    </xf>
    <xf numFmtId="0" fontId="8" fillId="8" borderId="7" xfId="14" applyFont="1" applyFill="1" applyBorder="1" applyAlignment="1">
      <alignment horizontal="center" vertical="top"/>
    </xf>
    <xf numFmtId="0" fontId="8" fillId="9" borderId="7" xfId="14" applyFont="1" applyFill="1" applyBorder="1" applyAlignment="1">
      <alignment horizontal="center" vertical="top"/>
    </xf>
    <xf numFmtId="0" fontId="7" fillId="4" borderId="0" xfId="1" applyFont="1" applyFill="1" applyBorder="1" applyAlignment="1" applyProtection="1">
      <alignment horizontal="center"/>
    </xf>
    <xf numFmtId="0" fontId="5" fillId="5" borderId="0" xfId="0" applyFont="1" applyFill="1" applyAlignment="1">
      <alignment horizontal="center" wrapText="1"/>
    </xf>
    <xf numFmtId="0" fontId="8" fillId="6" borderId="2" xfId="0" applyFont="1" applyFill="1" applyBorder="1" applyAlignment="1">
      <alignment horizontal="right" vertical="center"/>
    </xf>
    <xf numFmtId="0" fontId="10" fillId="5" borderId="5" xfId="1" applyFont="1" applyFill="1" applyBorder="1" applyAlignment="1" applyProtection="1">
      <alignment horizontal="center" vertical="center"/>
    </xf>
    <xf numFmtId="0" fontId="39" fillId="12" borderId="9" xfId="14" applyFont="1" applyFill="1" applyBorder="1" applyAlignment="1">
      <alignment horizontal="center" vertical="center" wrapText="1"/>
    </xf>
    <xf numFmtId="0" fontId="43" fillId="5" borderId="0" xfId="0" applyFont="1" applyFill="1" applyAlignment="1">
      <alignment horizontal="center"/>
    </xf>
    <xf numFmtId="0" fontId="39" fillId="14" borderId="9" xfId="14" applyFont="1" applyFill="1" applyBorder="1" applyAlignment="1">
      <alignment horizontal="center" vertical="center" wrapText="1"/>
    </xf>
    <xf numFmtId="0" fontId="39" fillId="16" borderId="9" xfId="14" applyFont="1" applyFill="1" applyBorder="1" applyAlignment="1">
      <alignment horizontal="center" vertical="center" wrapText="1"/>
    </xf>
    <xf numFmtId="0" fontId="34" fillId="5" borderId="0" xfId="0" applyFont="1" applyFill="1" applyAlignment="1">
      <alignment horizontal="center"/>
    </xf>
    <xf numFmtId="0" fontId="35" fillId="5" borderId="0" xfId="0" applyFont="1" applyFill="1"/>
    <xf numFmtId="0" fontId="37" fillId="5" borderId="0" xfId="1" applyFont="1" applyFill="1" applyBorder="1" applyAlignment="1" applyProtection="1">
      <alignment horizontal="center" vertical="center"/>
    </xf>
    <xf numFmtId="0" fontId="61" fillId="5" borderId="0" xfId="0" applyFont="1" applyFill="1" applyAlignment="1">
      <alignment horizontal="center"/>
    </xf>
    <xf numFmtId="0" fontId="50" fillId="18" borderId="10" xfId="14" applyFont="1" applyFill="1" applyBorder="1" applyAlignment="1">
      <alignment horizontal="center" vertical="top" wrapText="1"/>
    </xf>
    <xf numFmtId="0" fontId="51" fillId="19" borderId="12" xfId="14" applyFont="1" applyFill="1" applyBorder="1" applyAlignment="1">
      <alignment horizontal="center" vertical="center"/>
    </xf>
    <xf numFmtId="0" fontId="51" fillId="19" borderId="9" xfId="14" applyFont="1" applyFill="1" applyBorder="1" applyAlignment="1">
      <alignment horizontal="center" vertical="center"/>
    </xf>
    <xf numFmtId="0" fontId="50" fillId="18" borderId="17" xfId="14" applyFont="1" applyFill="1" applyBorder="1" applyAlignment="1">
      <alignment horizontal="center" vertical="center" wrapText="1"/>
    </xf>
    <xf numFmtId="0" fontId="45" fillId="5" borderId="0" xfId="0" applyFont="1" applyFill="1" applyAlignment="1">
      <alignment horizontal="center"/>
    </xf>
    <xf numFmtId="0" fontId="52" fillId="5" borderId="0" xfId="0" applyFont="1" applyFill="1" applyAlignment="1">
      <alignment horizontal="center" vertical="center"/>
    </xf>
    <xf numFmtId="0" fontId="19" fillId="5" borderId="0" xfId="0" applyFont="1" applyFill="1" applyAlignment="1">
      <alignment horizontal="center" vertical="center"/>
    </xf>
    <xf numFmtId="0" fontId="50" fillId="18" borderId="10" xfId="14" applyFont="1" applyFill="1" applyBorder="1" applyAlignment="1">
      <alignment horizontal="center" vertical="center" wrapText="1"/>
    </xf>
    <xf numFmtId="0" fontId="8" fillId="5" borderId="0" xfId="0" applyFont="1" applyFill="1" applyAlignment="1">
      <alignment horizontal="center"/>
    </xf>
    <xf numFmtId="0" fontId="48" fillId="5" borderId="0" xfId="1" applyFont="1" applyFill="1" applyBorder="1" applyAlignment="1" applyProtection="1">
      <alignment horizontal="center"/>
    </xf>
    <xf numFmtId="0" fontId="48" fillId="5" borderId="0" xfId="1" applyFont="1" applyFill="1" applyBorder="1" applyAlignment="1" applyProtection="1">
      <alignment horizontal="left"/>
    </xf>
    <xf numFmtId="0" fontId="14" fillId="5" borderId="0" xfId="0" applyFont="1" applyFill="1" applyAlignment="1">
      <alignment horizontal="center"/>
    </xf>
    <xf numFmtId="0" fontId="39" fillId="12" borderId="17" xfId="14" applyFont="1" applyFill="1" applyBorder="1" applyAlignment="1">
      <alignment horizontal="center" vertical="center" wrapText="1"/>
    </xf>
    <xf numFmtId="0" fontId="47" fillId="5" borderId="0" xfId="0" applyFont="1" applyFill="1" applyAlignment="1">
      <alignment horizontal="center"/>
    </xf>
    <xf numFmtId="0" fontId="50" fillId="20" borderId="10" xfId="14" applyFont="1" applyFill="1" applyBorder="1" applyAlignment="1">
      <alignment horizontal="center" vertical="top" wrapText="1"/>
    </xf>
    <xf numFmtId="0" fontId="51" fillId="21" borderId="12" xfId="14" applyFont="1" applyFill="1" applyBorder="1" applyAlignment="1">
      <alignment horizontal="center" vertical="center"/>
    </xf>
    <xf numFmtId="0" fontId="51" fillId="21" borderId="9" xfId="14" applyFont="1" applyFill="1" applyBorder="1" applyAlignment="1">
      <alignment horizontal="center" vertical="center"/>
    </xf>
    <xf numFmtId="0" fontId="54" fillId="5" borderId="0" xfId="1" applyFont="1" applyFill="1" applyBorder="1" applyAlignment="1" applyProtection="1">
      <alignment horizontal="center"/>
    </xf>
    <xf numFmtId="0" fontId="50" fillId="20" borderId="17" xfId="14" applyFont="1" applyFill="1" applyBorder="1" applyAlignment="1">
      <alignment horizontal="center" vertical="center" wrapText="1"/>
    </xf>
    <xf numFmtId="0" fontId="50" fillId="20" borderId="10" xfId="14" applyFont="1" applyFill="1" applyBorder="1" applyAlignment="1">
      <alignment horizontal="center" vertical="center" wrapText="1"/>
    </xf>
    <xf numFmtId="0" fontId="39" fillId="14" borderId="17" xfId="14" applyFont="1" applyFill="1" applyBorder="1" applyAlignment="1">
      <alignment horizontal="center" vertical="center" wrapText="1"/>
    </xf>
    <xf numFmtId="0" fontId="50" fillId="22" borderId="10" xfId="14" applyFont="1" applyFill="1" applyBorder="1" applyAlignment="1">
      <alignment horizontal="center" vertical="top" wrapText="1"/>
    </xf>
    <xf numFmtId="0" fontId="51" fillId="17" borderId="12" xfId="14" applyFont="1" applyFill="1" applyBorder="1" applyAlignment="1">
      <alignment horizontal="center" vertical="center"/>
    </xf>
    <xf numFmtId="0" fontId="51" fillId="17" borderId="9" xfId="14" applyFont="1" applyFill="1" applyBorder="1" applyAlignment="1">
      <alignment horizontal="center" vertical="center"/>
    </xf>
    <xf numFmtId="0" fontId="50" fillId="22" borderId="17" xfId="14" applyFont="1" applyFill="1" applyBorder="1" applyAlignment="1">
      <alignment horizontal="center" vertical="center" wrapText="1"/>
    </xf>
    <xf numFmtId="0" fontId="50" fillId="22" borderId="10" xfId="14" applyFont="1" applyFill="1" applyBorder="1" applyAlignment="1">
      <alignment horizontal="center" vertical="center" wrapText="1"/>
    </xf>
    <xf numFmtId="0" fontId="39" fillId="16" borderId="17" xfId="14" applyFont="1" applyFill="1" applyBorder="1" applyAlignment="1">
      <alignment horizontal="center" vertical="center" wrapText="1"/>
    </xf>
    <xf numFmtId="0" fontId="61" fillId="27" borderId="0" xfId="0" applyFont="1" applyFill="1" applyAlignment="1">
      <alignment horizontal="center"/>
    </xf>
    <xf numFmtId="0" fontId="63" fillId="5" borderId="0" xfId="0" applyFont="1" applyFill="1" applyAlignment="1">
      <alignment horizontal="center"/>
    </xf>
    <xf numFmtId="0" fontId="50" fillId="31" borderId="10" xfId="14" applyFont="1" applyFill="1" applyBorder="1" applyAlignment="1">
      <alignment horizontal="center" vertical="center" wrapText="1"/>
    </xf>
    <xf numFmtId="0" fontId="43" fillId="3" borderId="0" xfId="0" applyFont="1" applyFill="1" applyAlignment="1">
      <alignment horizontal="center"/>
    </xf>
    <xf numFmtId="0" fontId="50" fillId="23" borderId="17" xfId="14" applyFont="1" applyFill="1" applyBorder="1" applyAlignment="1">
      <alignment horizontal="center" vertical="center" wrapText="1"/>
    </xf>
    <xf numFmtId="0" fontId="60" fillId="5" borderId="0" xfId="0" applyFont="1" applyFill="1" applyAlignment="1">
      <alignment horizontal="center"/>
    </xf>
    <xf numFmtId="0" fontId="50" fillId="23" borderId="9" xfId="14" applyFont="1" applyFill="1" applyBorder="1" applyAlignment="1">
      <alignment horizontal="center" vertical="center" wrapText="1"/>
    </xf>
    <xf numFmtId="0" fontId="50" fillId="3" borderId="0" xfId="14" applyFont="1" applyFill="1" applyAlignment="1">
      <alignment horizontal="center" vertical="center" wrapText="1"/>
    </xf>
  </cellXfs>
  <cellStyles count="120">
    <cellStyle name="Excel Built-in Good" xfId="119" xr:uid="{00000000-0005-0000-0000-000000000000}"/>
    <cellStyle name="Hypertextový odkaz" xfId="1" builtinId="8"/>
    <cellStyle name="Hypertextový odkaz 2" xfId="2" xr:uid="{00000000-0005-0000-0000-000002000000}"/>
    <cellStyle name="Normální" xfId="0" builtinId="0"/>
    <cellStyle name="Normální 10" xfId="3" xr:uid="{00000000-0005-0000-0000-000004000000}"/>
    <cellStyle name="Normální 11" xfId="4" xr:uid="{00000000-0005-0000-0000-000005000000}"/>
    <cellStyle name="Normální 12" xfId="5" xr:uid="{00000000-0005-0000-0000-000006000000}"/>
    <cellStyle name="Normální 13" xfId="6" xr:uid="{00000000-0005-0000-0000-000007000000}"/>
    <cellStyle name="normální 13 2" xfId="7" xr:uid="{00000000-0005-0000-0000-000008000000}"/>
    <cellStyle name="normální 14" xfId="8" xr:uid="{00000000-0005-0000-0000-000009000000}"/>
    <cellStyle name="normální 15" xfId="9" xr:uid="{00000000-0005-0000-0000-00000A000000}"/>
    <cellStyle name="normální 16" xfId="10" xr:uid="{00000000-0005-0000-0000-00000B000000}"/>
    <cellStyle name="normální 17" xfId="11" xr:uid="{00000000-0005-0000-0000-00000C000000}"/>
    <cellStyle name="normální 18" xfId="12" xr:uid="{00000000-0005-0000-0000-00000D000000}"/>
    <cellStyle name="normální 19" xfId="13" xr:uid="{00000000-0005-0000-0000-00000E000000}"/>
    <cellStyle name="Normální 2" xfId="14" xr:uid="{00000000-0005-0000-0000-00000F000000}"/>
    <cellStyle name="Normální 2 2" xfId="15" xr:uid="{00000000-0005-0000-0000-000010000000}"/>
    <cellStyle name="Normální 2 3" xfId="16" xr:uid="{00000000-0005-0000-0000-000011000000}"/>
    <cellStyle name="normální 20" xfId="17" xr:uid="{00000000-0005-0000-0000-000012000000}"/>
    <cellStyle name="normální 21" xfId="18" xr:uid="{00000000-0005-0000-0000-000013000000}"/>
    <cellStyle name="normální 22" xfId="19" xr:uid="{00000000-0005-0000-0000-000014000000}"/>
    <cellStyle name="normální 23" xfId="20" xr:uid="{00000000-0005-0000-0000-000015000000}"/>
    <cellStyle name="normální 24" xfId="21" xr:uid="{00000000-0005-0000-0000-000016000000}"/>
    <cellStyle name="normální 25" xfId="22" xr:uid="{00000000-0005-0000-0000-000017000000}"/>
    <cellStyle name="normální 26" xfId="23" xr:uid="{00000000-0005-0000-0000-000018000000}"/>
    <cellStyle name="normální 27" xfId="24" xr:uid="{00000000-0005-0000-0000-000019000000}"/>
    <cellStyle name="normální 28" xfId="25" xr:uid="{00000000-0005-0000-0000-00001A000000}"/>
    <cellStyle name="normální 29" xfId="26" xr:uid="{00000000-0005-0000-0000-00001B000000}"/>
    <cellStyle name="Normální 3" xfId="27" xr:uid="{00000000-0005-0000-0000-00001C000000}"/>
    <cellStyle name="Normální 3 2" xfId="28" xr:uid="{00000000-0005-0000-0000-00001D000000}"/>
    <cellStyle name="Normální 3 3" xfId="29" xr:uid="{00000000-0005-0000-0000-00001E000000}"/>
    <cellStyle name="normální 30" xfId="30" xr:uid="{00000000-0005-0000-0000-00001F000000}"/>
    <cellStyle name="normální 31" xfId="31" xr:uid="{00000000-0005-0000-0000-000020000000}"/>
    <cellStyle name="normální 32" xfId="32" xr:uid="{00000000-0005-0000-0000-000021000000}"/>
    <cellStyle name="Normální 33" xfId="33" xr:uid="{00000000-0005-0000-0000-000022000000}"/>
    <cellStyle name="Normální 34" xfId="34" xr:uid="{00000000-0005-0000-0000-000023000000}"/>
    <cellStyle name="Normální 35" xfId="35" xr:uid="{00000000-0005-0000-0000-000024000000}"/>
    <cellStyle name="Normální 36" xfId="36" xr:uid="{00000000-0005-0000-0000-000025000000}"/>
    <cellStyle name="Normální 37" xfId="37" xr:uid="{00000000-0005-0000-0000-000026000000}"/>
    <cellStyle name="Normální 38" xfId="38" xr:uid="{00000000-0005-0000-0000-000027000000}"/>
    <cellStyle name="Normální 39" xfId="39" xr:uid="{00000000-0005-0000-0000-000028000000}"/>
    <cellStyle name="Normální 4" xfId="40" xr:uid="{00000000-0005-0000-0000-000029000000}"/>
    <cellStyle name="Normální 4 2" xfId="41" xr:uid="{00000000-0005-0000-0000-00002A000000}"/>
    <cellStyle name="Normální 4 3" xfId="42" xr:uid="{00000000-0005-0000-0000-00002B000000}"/>
    <cellStyle name="Normální 4 4" xfId="43" xr:uid="{00000000-0005-0000-0000-00002C000000}"/>
    <cellStyle name="Normální 40" xfId="44" xr:uid="{00000000-0005-0000-0000-00002D000000}"/>
    <cellStyle name="Normální 41" xfId="45" xr:uid="{00000000-0005-0000-0000-00002E000000}"/>
    <cellStyle name="Normální 42" xfId="46" xr:uid="{00000000-0005-0000-0000-00002F000000}"/>
    <cellStyle name="Normální 43" xfId="47" xr:uid="{00000000-0005-0000-0000-000030000000}"/>
    <cellStyle name="Normální 44" xfId="48" xr:uid="{00000000-0005-0000-0000-000031000000}"/>
    <cellStyle name="Normální 45" xfId="49" xr:uid="{00000000-0005-0000-0000-000032000000}"/>
    <cellStyle name="Normální 46" xfId="50" xr:uid="{00000000-0005-0000-0000-000033000000}"/>
    <cellStyle name="Normální 47" xfId="51" xr:uid="{00000000-0005-0000-0000-000034000000}"/>
    <cellStyle name="Normální 48" xfId="52" xr:uid="{00000000-0005-0000-0000-000035000000}"/>
    <cellStyle name="Normální 49" xfId="53" xr:uid="{00000000-0005-0000-0000-000036000000}"/>
    <cellStyle name="Normální 5" xfId="54" xr:uid="{00000000-0005-0000-0000-000037000000}"/>
    <cellStyle name="Normální 5 2" xfId="55" xr:uid="{00000000-0005-0000-0000-000038000000}"/>
    <cellStyle name="Normální 5 3" xfId="56" xr:uid="{00000000-0005-0000-0000-000039000000}"/>
    <cellStyle name="Normální 50" xfId="57" xr:uid="{00000000-0005-0000-0000-00003A000000}"/>
    <cellStyle name="Normální 51" xfId="58" xr:uid="{00000000-0005-0000-0000-00003B000000}"/>
    <cellStyle name="Normální 52" xfId="59" xr:uid="{00000000-0005-0000-0000-00003C000000}"/>
    <cellStyle name="Normální 53" xfId="60" xr:uid="{00000000-0005-0000-0000-00003D000000}"/>
    <cellStyle name="Normální 54" xfId="61" xr:uid="{00000000-0005-0000-0000-00003E000000}"/>
    <cellStyle name="Normální 55" xfId="62" xr:uid="{00000000-0005-0000-0000-00003F000000}"/>
    <cellStyle name="Normální 56" xfId="63" xr:uid="{00000000-0005-0000-0000-000040000000}"/>
    <cellStyle name="Normální 57" xfId="64" xr:uid="{00000000-0005-0000-0000-000041000000}"/>
    <cellStyle name="Normální 58" xfId="65" xr:uid="{00000000-0005-0000-0000-000042000000}"/>
    <cellStyle name="Normální 59" xfId="66" xr:uid="{00000000-0005-0000-0000-000043000000}"/>
    <cellStyle name="Normální 6" xfId="67" xr:uid="{00000000-0005-0000-0000-000044000000}"/>
    <cellStyle name="Normální 6 2" xfId="68" xr:uid="{00000000-0005-0000-0000-000045000000}"/>
    <cellStyle name="Normální 6 3" xfId="69" xr:uid="{00000000-0005-0000-0000-000046000000}"/>
    <cellStyle name="Normální 60" xfId="70" xr:uid="{00000000-0005-0000-0000-000047000000}"/>
    <cellStyle name="Normální 61" xfId="71" xr:uid="{00000000-0005-0000-0000-000048000000}"/>
    <cellStyle name="Normální 62" xfId="72" xr:uid="{00000000-0005-0000-0000-000049000000}"/>
    <cellStyle name="Normální 63" xfId="73" xr:uid="{00000000-0005-0000-0000-00004A000000}"/>
    <cellStyle name="Normální 64" xfId="74" xr:uid="{00000000-0005-0000-0000-00004B000000}"/>
    <cellStyle name="Normální 65" xfId="75" xr:uid="{00000000-0005-0000-0000-00004C000000}"/>
    <cellStyle name="Normální 66" xfId="76" xr:uid="{00000000-0005-0000-0000-00004D000000}"/>
    <cellStyle name="Normální 67" xfId="77" xr:uid="{00000000-0005-0000-0000-00004E000000}"/>
    <cellStyle name="Normální 68" xfId="78" xr:uid="{00000000-0005-0000-0000-00004F000000}"/>
    <cellStyle name="Normální 69" xfId="79" xr:uid="{00000000-0005-0000-0000-000050000000}"/>
    <cellStyle name="Normální 7" xfId="80" xr:uid="{00000000-0005-0000-0000-000051000000}"/>
    <cellStyle name="Normální 7 2" xfId="81" xr:uid="{00000000-0005-0000-0000-000052000000}"/>
    <cellStyle name="Normální 7 3" xfId="82" xr:uid="{00000000-0005-0000-0000-000053000000}"/>
    <cellStyle name="Normální 70" xfId="83" xr:uid="{00000000-0005-0000-0000-000054000000}"/>
    <cellStyle name="Normální 71" xfId="84" xr:uid="{00000000-0005-0000-0000-000055000000}"/>
    <cellStyle name="Normální 72" xfId="85" xr:uid="{00000000-0005-0000-0000-000056000000}"/>
    <cellStyle name="Normální 73" xfId="93" xr:uid="{00000000-0005-0000-0000-000057000000}"/>
    <cellStyle name="Normální 74" xfId="94" xr:uid="{00000000-0005-0000-0000-000058000000}"/>
    <cellStyle name="Normální 75" xfId="95" xr:uid="{00000000-0005-0000-0000-000059000000}"/>
    <cellStyle name="Normální 76" xfId="96" xr:uid="{00000000-0005-0000-0000-00005A000000}"/>
    <cellStyle name="Normální 77" xfId="97" xr:uid="{00000000-0005-0000-0000-00005B000000}"/>
    <cellStyle name="Normální 78" xfId="98" xr:uid="{00000000-0005-0000-0000-00005C000000}"/>
    <cellStyle name="Normální 79" xfId="99" xr:uid="{00000000-0005-0000-0000-00005D000000}"/>
    <cellStyle name="Normální 8" xfId="86" xr:uid="{00000000-0005-0000-0000-00005E000000}"/>
    <cellStyle name="Normální 8 2" xfId="87" xr:uid="{00000000-0005-0000-0000-00005F000000}"/>
    <cellStyle name="Normální 8 3" xfId="88" xr:uid="{00000000-0005-0000-0000-000060000000}"/>
    <cellStyle name="Normální 80" xfId="100" xr:uid="{00000000-0005-0000-0000-000061000000}"/>
    <cellStyle name="Normální 81" xfId="101" xr:uid="{00000000-0005-0000-0000-000062000000}"/>
    <cellStyle name="Normální 82" xfId="102" xr:uid="{00000000-0005-0000-0000-000063000000}"/>
    <cellStyle name="Normální 83" xfId="103" xr:uid="{00000000-0005-0000-0000-000064000000}"/>
    <cellStyle name="Normální 84" xfId="104" xr:uid="{00000000-0005-0000-0000-000065000000}"/>
    <cellStyle name="Normální 85" xfId="105" xr:uid="{00000000-0005-0000-0000-000066000000}"/>
    <cellStyle name="Normální 86" xfId="106" xr:uid="{00000000-0005-0000-0000-000067000000}"/>
    <cellStyle name="Normální 87" xfId="107" xr:uid="{00000000-0005-0000-0000-000068000000}"/>
    <cellStyle name="Normální 88" xfId="108" xr:uid="{00000000-0005-0000-0000-000069000000}"/>
    <cellStyle name="Normální 89" xfId="109" xr:uid="{00000000-0005-0000-0000-00006A000000}"/>
    <cellStyle name="Normální 9" xfId="89" xr:uid="{00000000-0005-0000-0000-00006B000000}"/>
    <cellStyle name="Normální 9 2" xfId="90" xr:uid="{00000000-0005-0000-0000-00006C000000}"/>
    <cellStyle name="Normální 9 3" xfId="91" xr:uid="{00000000-0005-0000-0000-00006D000000}"/>
    <cellStyle name="Normální 90" xfId="110" xr:uid="{00000000-0005-0000-0000-00006E000000}"/>
    <cellStyle name="Normální 91" xfId="111" xr:uid="{00000000-0005-0000-0000-00006F000000}"/>
    <cellStyle name="Normální 92" xfId="112" xr:uid="{00000000-0005-0000-0000-000070000000}"/>
    <cellStyle name="Normální 93" xfId="113" xr:uid="{00000000-0005-0000-0000-000071000000}"/>
    <cellStyle name="Normální 94" xfId="114" xr:uid="{00000000-0005-0000-0000-000072000000}"/>
    <cellStyle name="Normální 95" xfId="115" xr:uid="{00000000-0005-0000-0000-000073000000}"/>
    <cellStyle name="Normální 96" xfId="116" xr:uid="{00000000-0005-0000-0000-000074000000}"/>
    <cellStyle name="Normální 97" xfId="117" xr:uid="{00000000-0005-0000-0000-000075000000}"/>
    <cellStyle name="Poznámka 2" xfId="92" xr:uid="{00000000-0005-0000-0000-000076000000}"/>
    <cellStyle name="Poznámka 2 2" xfId="118" xr:uid="{00000000-0005-0000-0000-000077000000}"/>
  </cellStyles>
  <dxfs count="14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scheme val="none"/>
      </font>
      <numFmt numFmtId="164" formatCode="#,##0&quot; Kč&quot;"/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z val="10"/>
        <color auto="1"/>
        <name val="Tahoma"/>
      </font>
      <numFmt numFmtId="164" formatCode="#,##0&quot; Kč&quot;"/>
      <alignment horizontal="right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scheme val="none"/>
      </font>
      <numFmt numFmtId="164" formatCode="#,##0&quot; Kč&quot;"/>
      <border diagonalUp="0" diagonalDown="0">
        <left style="thin">
          <color auto="1"/>
        </left>
        <right style="thin">
          <color auto="1"/>
        </right>
        <top/>
        <bottom style="thin">
          <color auto="1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ahoma"/>
        <scheme val="none"/>
      </font>
      <numFmt numFmtId="164" formatCode="#,##0&quot; Kč&quot;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z val="10"/>
        <color auto="1"/>
        <name val="Tahoma"/>
      </font>
      <numFmt numFmtId="165" formatCode="#,##0\ &quot;Kč&quot;"/>
      <alignment horizontal="right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auto="1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Tahoma"/>
        <scheme val="none"/>
      </font>
      <numFmt numFmtId="165" formatCode="#,##0\ &quot;Kč&quot;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Tahoma"/>
        <scheme val="none"/>
      </font>
      <numFmt numFmtId="165" formatCode="#,##0\ &quot;Kč&quot;"/>
      <border diagonalUp="0" diagonalDown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auto="1"/>
        <name val="Tahoma"/>
        <scheme val="none"/>
      </font>
      <numFmt numFmtId="165" formatCode="#,##0\ &quot;Kč&quot;"/>
      <border diagonalUp="0" diagonalDown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sz val="10"/>
        <color auto="1"/>
        <name val="Tahoma"/>
      </font>
      <numFmt numFmtId="164" formatCode="#,##0&quot; Kč&quot;"/>
      <fill>
        <patternFill patternType="solid">
          <fgColor rgb="FFF2F2F2"/>
          <bgColor theme="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sz val="10"/>
        <color auto="1"/>
        <name val="Tahoma"/>
      </font>
      <numFmt numFmtId="164" formatCode="#,##0&quot; Kč&quot;"/>
      <fill>
        <patternFill patternType="solid">
          <fgColor indexed="64"/>
          <bgColor theme="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sz val="10"/>
        <color auto="1"/>
        <name val="Tahoma"/>
      </font>
      <numFmt numFmtId="164" formatCode="#,##0&quot; Kč&quot;"/>
      <fill>
        <patternFill patternType="solid">
          <fgColor rgb="FFF2F2F2"/>
          <bgColor theme="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sz val="10"/>
        <color auto="1"/>
        <name val="Tahoma"/>
      </font>
      <numFmt numFmtId="164" formatCode="#,##0&quot; Kč&quot;"/>
      <fill>
        <patternFill patternType="solid">
          <fgColor rgb="FFDFDFDF"/>
          <bgColor theme="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sz val="10"/>
        <color auto="1"/>
        <name val="Tahoma"/>
      </font>
      <numFmt numFmtId="164" formatCode="#,##0&quot; Kč&quot;"/>
      <fill>
        <patternFill patternType="solid">
          <fgColor indexed="64"/>
          <bgColor theme="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z val="10"/>
        <color auto="1"/>
        <name val="Tahoma"/>
      </font>
      <numFmt numFmtId="164" formatCode="#,##0&quot; Kč&quot;"/>
      <fill>
        <patternFill patternType="solid">
          <fgColor indexed="64"/>
          <bgColor theme="0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>
          <bgColor theme="0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>
          <bgColor theme="0"/>
        </patternFill>
      </fill>
    </dxf>
    <dxf>
      <fill>
        <patternFill>
          <bgColor theme="0"/>
        </patternFill>
      </fill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C3D69B"/>
      <rgbColor rgb="FFFF00FF"/>
      <rgbColor rgb="FF00FFFF"/>
      <rgbColor rgb="FFC00000"/>
      <rgbColor rgb="FF008000"/>
      <rgbColor rgb="FF000080"/>
      <rgbColor rgb="FF77933C"/>
      <rgbColor rgb="FF800080"/>
      <rgbColor rgb="FF8EB149"/>
      <rgbColor rgb="FFBFBFBF"/>
      <rgbColor rgb="FF808080"/>
      <rgbColor rgb="FF8EB4E3"/>
      <rgbColor rgb="FF993366"/>
      <rgbColor rgb="FFFFFFCC"/>
      <rgbColor rgb="FFDCE6F2"/>
      <rgbColor rgb="FF660066"/>
      <rgbColor rgb="FFADC773"/>
      <rgbColor rgb="FF00579A"/>
      <rgbColor rgb="FFC6D9F1"/>
      <rgbColor rgb="FF000080"/>
      <rgbColor rgb="FFFF00FF"/>
      <rgbColor rgb="FFD9D9D9"/>
      <rgbColor rgb="FF00FFFF"/>
      <rgbColor rgb="FF800080"/>
      <rgbColor rgb="FF800000"/>
      <rgbColor rgb="FF008080"/>
      <rgbColor rgb="FF0000FF"/>
      <rgbColor rgb="FF00CCFF"/>
      <rgbColor rgb="FFF2F2F2"/>
      <rgbColor rgb="FFDFDFDF"/>
      <rgbColor rgb="FFCDDDAC"/>
      <rgbColor rgb="FFAAC6EA"/>
      <rgbColor rgb="FFE6B9B8"/>
      <rgbColor rgb="FFB2B2B2"/>
      <rgbColor rgb="FFFBCAA2"/>
      <rgbColor rgb="FF3176C9"/>
      <rgbColor rgb="FFA7C0DE"/>
      <rgbColor rgb="FF9BBB59"/>
      <rgbColor rgb="FFFAC090"/>
      <rgbColor rgb="FFF79646"/>
      <rgbColor rgb="FFE46C0A"/>
      <rgbColor rgb="FF7F7F7F"/>
      <rgbColor rgb="FFA6A6A6"/>
      <rgbColor rgb="FF16355A"/>
      <rgbColor rgb="FF558ED5"/>
      <rgbColor rgb="FF003300"/>
      <rgbColor rgb="FF333300"/>
      <rgbColor rgb="FF993300"/>
      <rgbColor rgb="FF993366"/>
      <rgbColor rgb="FF333399"/>
      <rgbColor rgb="FF26262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OBSAH!I8"/><Relationship Id="rId2" Type="http://schemas.openxmlformats.org/officeDocument/2006/relationships/image" Target="../media/image4.jpeg"/><Relationship Id="rId1" Type="http://schemas.openxmlformats.org/officeDocument/2006/relationships/image" Target="../media/image3.jpe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V&#352;E DO ROZVAD&#282;&#268;&#366; A STOUPA&#268;EK'!A9"/><Relationship Id="rId2" Type="http://schemas.openxmlformats.org/officeDocument/2006/relationships/hyperlink" Target="#'DOMOVN&#205; TELEFONY'!A6"/><Relationship Id="rId1" Type="http://schemas.openxmlformats.org/officeDocument/2006/relationships/hyperlink" Target="#OBSAH!I8"/><Relationship Id="rId5" Type="http://schemas.openxmlformats.org/officeDocument/2006/relationships/image" Target="../media/image7.jpeg"/><Relationship Id="rId4" Type="http://schemas.openxmlformats.org/officeDocument/2006/relationships/hyperlink" Target="#'V&#352;E DO ROZVAD&#282;&#268;&#366; A STOUPA&#268;EK'!A13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V&#352;E DO ROZVAD&#282;&#268;&#366; A STOUPA&#268;EK'!A9"/><Relationship Id="rId2" Type="http://schemas.openxmlformats.org/officeDocument/2006/relationships/hyperlink" Target="#'DOMOVN&#205; TELEFONY'!A15"/><Relationship Id="rId1" Type="http://schemas.openxmlformats.org/officeDocument/2006/relationships/hyperlink" Target="#OBSAH!I8"/><Relationship Id="rId4" Type="http://schemas.openxmlformats.org/officeDocument/2006/relationships/image" Target="../media/image7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V&#352;E DO ROZVAD&#282;&#268;&#366; A STOUPA&#268;EK'!A9"/><Relationship Id="rId7" Type="http://schemas.openxmlformats.org/officeDocument/2006/relationships/image" Target="../media/image10.jpeg"/><Relationship Id="rId2" Type="http://schemas.openxmlformats.org/officeDocument/2006/relationships/hyperlink" Target="#'DOMOVN&#205; TELEFONY'!A21"/><Relationship Id="rId1" Type="http://schemas.openxmlformats.org/officeDocument/2006/relationships/hyperlink" Target="#OBSAH!I8"/><Relationship Id="rId6" Type="http://schemas.openxmlformats.org/officeDocument/2006/relationships/image" Target="../media/image9.jpeg"/><Relationship Id="rId5" Type="http://schemas.openxmlformats.org/officeDocument/2006/relationships/image" Target="../media/image8.jpeg"/><Relationship Id="rId4" Type="http://schemas.openxmlformats.org/officeDocument/2006/relationships/hyperlink" Target="#'V&#352;E DO ROZVAD&#282;&#268;&#366; A STOUPA&#268;EK'!A25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OBSAH!I8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OBSAH!I8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617400</xdr:colOff>
      <xdr:row>0</xdr:row>
      <xdr:rowOff>301320</xdr:rowOff>
    </xdr:from>
    <xdr:to>
      <xdr:col>15</xdr:col>
      <xdr:colOff>15480</xdr:colOff>
      <xdr:row>4</xdr:row>
      <xdr:rowOff>27000</xdr:rowOff>
    </xdr:to>
    <xdr:sp macro="" textlink="">
      <xdr:nvSpPr>
        <xdr:cNvPr id="2" name="CustomShape 1">
          <a:hlinkClick xmlns:r="http://schemas.openxmlformats.org/officeDocument/2006/relationships" r:id="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262880" y="301320"/>
          <a:ext cx="9074880" cy="1344600"/>
        </a:xfrm>
        <a:prstGeom prst="roundRect">
          <a:avLst>
            <a:gd name="adj" fmla="val 4956"/>
          </a:avLst>
        </a:prstGeom>
        <a:noFill/>
        <a:ln w="57240">
          <a:solidFill>
            <a:schemeClr val="accent1">
              <a:lumMod val="7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</xdr:sp>
    <xdr:clientData/>
  </xdr:twoCellAnchor>
  <xdr:twoCellAnchor editAs="oneCell">
    <xdr:from>
      <xdr:col>6</xdr:col>
      <xdr:colOff>74880</xdr:colOff>
      <xdr:row>0</xdr:row>
      <xdr:rowOff>162000</xdr:rowOff>
    </xdr:from>
    <xdr:to>
      <xdr:col>11</xdr:col>
      <xdr:colOff>402840</xdr:colOff>
      <xdr:row>3</xdr:row>
      <xdr:rowOff>20160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145040" y="162000"/>
          <a:ext cx="3801600" cy="1153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13</xdr:col>
      <xdr:colOff>47520</xdr:colOff>
      <xdr:row>1</xdr:row>
      <xdr:rowOff>268920</xdr:rowOff>
    </xdr:from>
    <xdr:to>
      <xdr:col>13</xdr:col>
      <xdr:colOff>637560</xdr:colOff>
      <xdr:row>3</xdr:row>
      <xdr:rowOff>39240</xdr:rowOff>
    </xdr:to>
    <xdr:pic>
      <xdr:nvPicPr>
        <xdr:cNvPr id="4" name="Obrázek 7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8980560" y="592560"/>
          <a:ext cx="590040" cy="74196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2</xdr:col>
      <xdr:colOff>428760</xdr:colOff>
      <xdr:row>1</xdr:row>
      <xdr:rowOff>314280</xdr:rowOff>
    </xdr:from>
    <xdr:to>
      <xdr:col>5</xdr:col>
      <xdr:colOff>228240</xdr:colOff>
      <xdr:row>4</xdr:row>
      <xdr:rowOff>65314</xdr:rowOff>
    </xdr:to>
    <xdr:sp macro="" textlink="">
      <xdr:nvSpPr>
        <xdr:cNvPr id="5" name="CustomShape 1">
          <a:hlinkClick xmlns:r="http://schemas.openxmlformats.org/officeDocument/2006/relationships" r:id="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1724160" y="635409"/>
          <a:ext cx="1889537" cy="1035548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FFFFFF"/>
              </a:solidFill>
              <a:latin typeface="Tahoma"/>
              <a:ea typeface="Tahoma"/>
            </a:rPr>
            <a:t>DODATEK K CENÍKU</a:t>
          </a:r>
          <a:endParaRPr lang="cs-CZ" sz="9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2000" b="1" strike="noStrike" spc="-1">
              <a:solidFill>
                <a:srgbClr val="FFFFFF"/>
              </a:solidFill>
              <a:latin typeface="Tahoma"/>
              <a:ea typeface="Tahoma"/>
            </a:rPr>
            <a:t>TABLA </a:t>
          </a:r>
          <a:br>
            <a:rPr lang="cs-CZ" sz="2000" b="1" strike="noStrike" spc="-1">
              <a:solidFill>
                <a:srgbClr val="FFFFFF"/>
              </a:solidFill>
              <a:latin typeface="Tahoma"/>
              <a:ea typeface="Tahoma"/>
            </a:rPr>
          </a:br>
          <a:r>
            <a:rPr lang="cs-CZ" sz="2000" b="1" strike="noStrike" spc="-1">
              <a:solidFill>
                <a:srgbClr val="FFFFFF"/>
              </a:solidFill>
              <a:latin typeface="Tahoma"/>
              <a:ea typeface="Tahoma"/>
            </a:rPr>
            <a:t>E-INK</a:t>
          </a:r>
          <a:endParaRPr lang="cs-CZ" sz="2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900" b="0" strike="noStrike" spc="-1">
              <a:solidFill>
                <a:srgbClr val="FFFFFF"/>
              </a:solidFill>
              <a:latin typeface="Tahoma"/>
              <a:ea typeface="Tahoma"/>
            </a:rPr>
            <a:t>OD 1.1.2024</a:t>
          </a:r>
          <a:endParaRPr lang="cs-CZ" sz="900" b="0" strike="noStrike" spc="-1">
            <a:latin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642240</xdr:colOff>
      <xdr:row>19</xdr:row>
      <xdr:rowOff>115920</xdr:rowOff>
    </xdr:from>
    <xdr:to>
      <xdr:col>10</xdr:col>
      <xdr:colOff>606630</xdr:colOff>
      <xdr:row>29</xdr:row>
      <xdr:rowOff>108360</xdr:rowOff>
    </xdr:to>
    <xdr:pic>
      <xdr:nvPicPr>
        <xdr:cNvPr id="5" name="Obrázek 25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778880" y="5241960"/>
          <a:ext cx="2566440" cy="24120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7</xdr:col>
      <xdr:colOff>65368</xdr:colOff>
      <xdr:row>11</xdr:row>
      <xdr:rowOff>5443</xdr:rowOff>
    </xdr:from>
    <xdr:to>
      <xdr:col>10</xdr:col>
      <xdr:colOff>299359</xdr:colOff>
      <xdr:row>19</xdr:row>
      <xdr:rowOff>124518</xdr:rowOff>
    </xdr:to>
    <xdr:pic>
      <xdr:nvPicPr>
        <xdr:cNvPr id="6" name="Obrázek 14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2"/>
        <a:stretch/>
      </xdr:blipFill>
      <xdr:spPr>
        <a:xfrm>
          <a:off x="7870425" y="2884714"/>
          <a:ext cx="2177091" cy="216559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7" name="CustomShape 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97196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 editAs="oneCell">
    <xdr:from>
      <xdr:col>9</xdr:col>
      <xdr:colOff>532080</xdr:colOff>
      <xdr:row>3</xdr:row>
      <xdr:rowOff>27360</xdr:rowOff>
    </xdr:from>
    <xdr:to>
      <xdr:col>12</xdr:col>
      <xdr:colOff>269280</xdr:colOff>
      <xdr:row>10</xdr:row>
      <xdr:rowOff>134640</xdr:rowOff>
    </xdr:to>
    <xdr:pic>
      <xdr:nvPicPr>
        <xdr:cNvPr id="8" name="Obrázek 2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/>
      </xdr:nvPicPr>
      <xdr:blipFill>
        <a:blip xmlns:r="http://schemas.openxmlformats.org/officeDocument/2006/relationships" r:embed="rId4"/>
        <a:stretch/>
      </xdr:blipFill>
      <xdr:spPr>
        <a:xfrm>
          <a:off x="9605880" y="838800"/>
          <a:ext cx="1674720" cy="20026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202320</xdr:colOff>
      <xdr:row>3</xdr:row>
      <xdr:rowOff>0</xdr:rowOff>
    </xdr:from>
    <xdr:to>
      <xdr:col>7</xdr:col>
      <xdr:colOff>601200</xdr:colOff>
      <xdr:row>10</xdr:row>
      <xdr:rowOff>165960</xdr:rowOff>
    </xdr:to>
    <xdr:pic>
      <xdr:nvPicPr>
        <xdr:cNvPr id="9" name="Obrázek 5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/>
      </xdr:nvPicPr>
      <xdr:blipFill>
        <a:blip xmlns:r="http://schemas.openxmlformats.org/officeDocument/2006/relationships" r:embed="rId5"/>
        <a:stretch/>
      </xdr:blipFill>
      <xdr:spPr>
        <a:xfrm>
          <a:off x="6693120" y="811440"/>
          <a:ext cx="1690560" cy="2061360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5</xdr:col>
      <xdr:colOff>0</xdr:colOff>
      <xdr:row>9</xdr:row>
      <xdr:rowOff>168840</xdr:rowOff>
    </xdr:from>
    <xdr:to>
      <xdr:col>12</xdr:col>
      <xdr:colOff>447480</xdr:colOff>
      <xdr:row>10</xdr:row>
      <xdr:rowOff>65160</xdr:rowOff>
    </xdr:to>
    <xdr:sp macro="" textlink="">
      <xdr:nvSpPr>
        <xdr:cNvPr id="10" name="CustomShape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6490800" y="2694600"/>
          <a:ext cx="4968000" cy="2584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Calibri"/>
            </a:rPr>
            <a:t>DT Verona Melody video                                           DT Verona Melody audio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0</xdr:colOff>
      <xdr:row>19</xdr:row>
      <xdr:rowOff>20520</xdr:rowOff>
    </xdr:from>
    <xdr:to>
      <xdr:col>12</xdr:col>
      <xdr:colOff>447480</xdr:colOff>
      <xdr:row>19</xdr:row>
      <xdr:rowOff>276120</xdr:rowOff>
    </xdr:to>
    <xdr:sp macro="" textlink="">
      <xdr:nvSpPr>
        <xdr:cNvPr id="11" name="CustomShape 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6490800" y="5146560"/>
          <a:ext cx="4968000" cy="25560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0" strike="noStrike" spc="-1">
              <a:solidFill>
                <a:srgbClr val="000000"/>
              </a:solidFill>
              <a:latin typeface="Calibri"/>
            </a:rPr>
            <a:t>DT Viola Melody audio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0</xdr:colOff>
      <xdr:row>27</xdr:row>
      <xdr:rowOff>178200</xdr:rowOff>
    </xdr:from>
    <xdr:to>
      <xdr:col>12</xdr:col>
      <xdr:colOff>447480</xdr:colOff>
      <xdr:row>29</xdr:row>
      <xdr:rowOff>74520</xdr:rowOff>
    </xdr:to>
    <xdr:sp macro="" textlink="">
      <xdr:nvSpPr>
        <xdr:cNvPr id="12" name="CustomShape 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6490800" y="7361640"/>
          <a:ext cx="4968000" cy="25848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200" b="0" strike="noStrike" spc="-1">
              <a:solidFill>
                <a:srgbClr val="000000"/>
              </a:solidFill>
              <a:latin typeface="Calibri"/>
            </a:rPr>
            <a:t>Domovní handsfree videotelefon MELODY HF 5.0.</a:t>
          </a:r>
          <a:endParaRPr lang="cs-CZ" sz="1200" b="0" strike="noStrike" spc="-1">
            <a:latin typeface="Times New Roman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142920</xdr:colOff>
      <xdr:row>5</xdr:row>
      <xdr:rowOff>0</xdr:rowOff>
    </xdr:from>
    <xdr:to>
      <xdr:col>12</xdr:col>
      <xdr:colOff>485640</xdr:colOff>
      <xdr:row>26</xdr:row>
      <xdr:rowOff>59400</xdr:rowOff>
    </xdr:to>
    <xdr:sp macro="" textlink="">
      <xdr:nvSpPr>
        <xdr:cNvPr id="13" name="CustomShape 1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6786000" y="1257120"/>
          <a:ext cx="4863240" cy="50695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MOŽNOSTI SYSTÉMU MELODY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Nová generace domácí dorozumívací techniky Czechphone® promění jakýkoliv dům v inteligentní a hlavně bezpečné obydlí.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Systém MELODY pomáhá zajistit komunikaci a kontrolovaný vstup do bytových domů včetně interní komunikace mezi dvěma účastníky. MELODY neomezuje vlastníky, ale naopak zamezuje vstup nežádoucím osobám. Integrovaný alarm v každém telefonu a systém propojení kabeláže umožňuje zabezpečit majetek ve všech bytech.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 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POPIS HLAVNÍCH VLASTNOSTÍ A FUNKCÍ: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VARIANTY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s tlačítky (přímá volba) a s kódovou klávesnicí,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LEŠTĚNÁ NEREZ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časově stálá a moderní,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ANTIVANDAL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vysoký stupeň ochrany před poškozením,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NÍZKÁ SPOTŘEBA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elektrické energie v klidovém stavu,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AŽ 250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účastníků,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KAMERY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možnost napojení více kamer,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PŘÍSTUPOVÝ SYSTÉM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(volitelné) na čip/kartu, interní/externí čtečku,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SCHOPNOST OVLÁDAT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externí zařízení (výtah, osvětlení, atd.),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LED PODSVĚTLENÍ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automatické celoplošné podsvětlení jmenovek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(čidlo přiblížení) včetně regulace intenzity,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UV STABILNÍ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a odolný materiál jmenovek,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ALARM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při spuštění alarmu na domácím telefonu může zvonkové  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tablo hlásit, který byt v domě byl napaden,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INDIVIDUÁLNÍ PŘIZPŮSOBENÍ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velké spektrum možností pro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přizpůsobení na míru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PŘÍKLAD TABLA S ELEKTRONICKÝM PAPÍREM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</xdr:txBody>
    </xdr:sp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14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9872280" y="0"/>
          <a:ext cx="137664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324000</xdr:colOff>
      <xdr:row>2</xdr:row>
      <xdr:rowOff>466560</xdr:rowOff>
    </xdr:from>
    <xdr:to>
      <xdr:col>7</xdr:col>
      <xdr:colOff>409320</xdr:colOff>
      <xdr:row>4</xdr:row>
      <xdr:rowOff>56520</xdr:rowOff>
    </xdr:to>
    <xdr:sp macro="" textlink="">
      <xdr:nvSpPr>
        <xdr:cNvPr id="15" name="CustomShap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6967080" y="84744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tx1">
                <a:lumMod val="65000"/>
                <a:lumOff val="35000"/>
              </a:schemeClr>
            </a:gs>
            <a:gs pos="50000">
              <a:schemeClr val="bg1">
                <a:lumMod val="50000"/>
              </a:schemeClr>
            </a:gs>
            <a:gs pos="100000">
              <a:schemeClr val="bg1">
                <a:lumMod val="75000"/>
              </a:schemeClr>
            </a:gs>
          </a:gsLst>
          <a:lin ang="2700000"/>
        </a:gradFill>
        <a:ln>
          <a:solidFill>
            <a:schemeClr val="tx1">
              <a:lumMod val="65000"/>
              <a:lumOff val="3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50" b="1" strike="noStrike" spc="-1">
              <a:solidFill>
                <a:srgbClr val="FFFFFF"/>
              </a:solidFill>
              <a:latin typeface="Calibri"/>
            </a:rPr>
            <a:t>DOMOVNÍ</a:t>
          </a:r>
          <a:r>
            <a:rPr lang="cs-CZ" sz="1000" b="1" strike="noStrike" spc="-1">
              <a:solidFill>
                <a:srgbClr val="FFFFFF"/>
              </a:solidFill>
              <a:latin typeface="Calibri"/>
            </a:rPr>
            <a:t> TELEFONY</a:t>
          </a:r>
          <a:endParaRPr lang="cs-CZ" sz="1000" b="0" strike="noStrike" spc="-1">
            <a:latin typeface="Times New Roman"/>
          </a:endParaRPr>
        </a:p>
      </xdr:txBody>
    </xdr:sp>
    <xdr:clientData/>
  </xdr:twoCellAnchor>
  <xdr:twoCellAnchor>
    <xdr:from>
      <xdr:col>7</xdr:col>
      <xdr:colOff>542880</xdr:colOff>
      <xdr:row>2</xdr:row>
      <xdr:rowOff>466560</xdr:rowOff>
    </xdr:from>
    <xdr:to>
      <xdr:col>10</xdr:col>
      <xdr:colOff>18720</xdr:colOff>
      <xdr:row>4</xdr:row>
      <xdr:rowOff>56520</xdr:rowOff>
    </xdr:to>
    <xdr:sp macro="" textlink="">
      <xdr:nvSpPr>
        <xdr:cNvPr id="16" name="CustomShape 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8477640" y="847440"/>
          <a:ext cx="141336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tx1">
                <a:lumMod val="65000"/>
                <a:lumOff val="35000"/>
              </a:schemeClr>
            </a:gs>
            <a:gs pos="50000">
              <a:schemeClr val="bg1">
                <a:lumMod val="50000"/>
              </a:schemeClr>
            </a:gs>
            <a:gs pos="100000">
              <a:schemeClr val="bg1">
                <a:lumMod val="75000"/>
              </a:schemeClr>
            </a:gs>
          </a:gsLst>
          <a:lin ang="2700000"/>
        </a:gradFill>
        <a:ln>
          <a:solidFill>
            <a:schemeClr val="tx1">
              <a:lumMod val="65000"/>
              <a:lumOff val="3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000" b="1" strike="noStrike" spc="-1">
              <a:solidFill>
                <a:srgbClr val="FFFFFF"/>
              </a:solidFill>
              <a:latin typeface="Calibri"/>
            </a:rPr>
            <a:t>VHODNÝ </a:t>
          </a:r>
          <a:r>
            <a:rPr lang="cs-CZ" sz="950" b="1" strike="noStrike" spc="-1">
              <a:solidFill>
                <a:srgbClr val="FFFFFF"/>
              </a:solidFill>
              <a:latin typeface="Calibri"/>
            </a:rPr>
            <a:t>NAPÁJEČ</a:t>
          </a:r>
          <a:endParaRPr lang="cs-CZ" sz="950" b="0" strike="noStrike" spc="-1">
            <a:latin typeface="Times New Roman"/>
          </a:endParaRPr>
        </a:p>
      </xdr:txBody>
    </xdr:sp>
    <xdr:clientData/>
  </xdr:twoCellAnchor>
  <xdr:twoCellAnchor>
    <xdr:from>
      <xdr:col>10</xdr:col>
      <xdr:colOff>142920</xdr:colOff>
      <xdr:row>2</xdr:row>
      <xdr:rowOff>466560</xdr:rowOff>
    </xdr:from>
    <xdr:to>
      <xdr:col>12</xdr:col>
      <xdr:colOff>228240</xdr:colOff>
      <xdr:row>4</xdr:row>
      <xdr:rowOff>56520</xdr:rowOff>
    </xdr:to>
    <xdr:sp macro="" textlink="">
      <xdr:nvSpPr>
        <xdr:cNvPr id="17" name="CustomShape 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10015200" y="847440"/>
          <a:ext cx="137664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tx1">
                <a:lumMod val="65000"/>
                <a:lumOff val="35000"/>
              </a:schemeClr>
            </a:gs>
            <a:gs pos="50000">
              <a:schemeClr val="bg1">
                <a:lumMod val="50000"/>
              </a:schemeClr>
            </a:gs>
            <a:gs pos="100000">
              <a:schemeClr val="bg1">
                <a:lumMod val="75000"/>
              </a:schemeClr>
            </a:gs>
          </a:gsLst>
          <a:lin ang="2700000"/>
        </a:gradFill>
        <a:ln>
          <a:solidFill>
            <a:schemeClr val="tx1">
              <a:lumMod val="65000"/>
              <a:lumOff val="3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50" b="1" strike="noStrike" spc="-1">
              <a:solidFill>
                <a:srgbClr val="FFFFFF"/>
              </a:solidFill>
              <a:latin typeface="Calibri"/>
            </a:rPr>
            <a:t>DISTRIBUTORY</a:t>
          </a:r>
          <a:r>
            <a:rPr lang="cs-CZ" sz="1000" b="1" strike="noStrike" spc="-1">
              <a:solidFill>
                <a:srgbClr val="FFFFFF"/>
              </a:solidFill>
              <a:latin typeface="Calibri"/>
            </a:rPr>
            <a:t> ATD.</a:t>
          </a:r>
          <a:endParaRPr lang="cs-CZ" sz="1000" b="0" strike="noStrike" spc="-1">
            <a:latin typeface="Times New Roman"/>
          </a:endParaRPr>
        </a:p>
      </xdr:txBody>
    </xdr:sp>
    <xdr:clientData/>
  </xdr:twoCellAnchor>
  <xdr:twoCellAnchor editAs="oneCell">
    <xdr:from>
      <xdr:col>5</xdr:col>
      <xdr:colOff>81720</xdr:colOff>
      <xdr:row>25</xdr:row>
      <xdr:rowOff>114120</xdr:rowOff>
    </xdr:from>
    <xdr:to>
      <xdr:col>12</xdr:col>
      <xdr:colOff>606240</xdr:colOff>
      <xdr:row>60</xdr:row>
      <xdr:rowOff>102600</xdr:rowOff>
    </xdr:to>
    <xdr:pic>
      <xdr:nvPicPr>
        <xdr:cNvPr id="18" name="Obrázek 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/>
      </xdr:nvPicPr>
      <xdr:blipFill>
        <a:blip xmlns:r="http://schemas.openxmlformats.org/officeDocument/2006/relationships" r:embed="rId5"/>
        <a:stretch/>
      </xdr:blipFill>
      <xdr:spPr>
        <a:xfrm>
          <a:off x="6724800" y="6200280"/>
          <a:ext cx="5045040" cy="7321680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85680</xdr:colOff>
      <xdr:row>5</xdr:row>
      <xdr:rowOff>16200</xdr:rowOff>
    </xdr:from>
    <xdr:to>
      <xdr:col>12</xdr:col>
      <xdr:colOff>523440</xdr:colOff>
      <xdr:row>46</xdr:row>
      <xdr:rowOff>104400</xdr:rowOff>
    </xdr:to>
    <xdr:sp macro="" textlink="">
      <xdr:nvSpPr>
        <xdr:cNvPr id="19" name="CustomShape 1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SpPr/>
      </xdr:nvSpPr>
      <xdr:spPr>
        <a:xfrm>
          <a:off x="6554880" y="1273320"/>
          <a:ext cx="4958280" cy="950832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MOŽNOSTI SYSTÉMU DUOplus</a:t>
          </a:r>
          <a:r>
            <a:rPr lang="cs-CZ" sz="1400" b="1" u="sng" strike="noStrike" spc="-1" baseline="30000">
              <a:solidFill>
                <a:srgbClr val="000000"/>
              </a:solidFill>
              <a:uFillTx/>
              <a:latin typeface="Tahoma"/>
              <a:ea typeface="Tahoma"/>
            </a:rPr>
            <a:t>+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DUOplus+ je dvoudrátový systém s rozšířenou nabídkou funkcí pro uživatele a ještě větší jednoduchostí zapojení při montáží.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Systém využívá nejnovější pokročilé mikroprocesory, které zajišťují technologický pokrok výrobků. Technologie je určena pro všechny typy bytových domů.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 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POPIS HLAVNÍCH VLASTNOSTÍ A FUNKCÍ: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VARIANTY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s tlačítky (přímá volba) a s kódovou klávesnicí,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LEŠTĚNÁ NEREZ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časově stálá a moderní,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ANTIVANDAL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vysoký stupeň ochrany před poškozením,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NÍZKÁ SPOTŘEBA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elektrické energie v klidovém stavu,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PŘÍSTUPOVÝ SYSTÉM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(volitelné) na čip/kartu, interní/externí čtečku,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LED PODSVĚTLENÍ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automatické celoplošné podsvětlení jmenovek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(čidlo přiblížení) včetně regulace intenzity,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UV STABILNÍ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a odolný materiál jmenovek,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INDIKACE STAVŮ ČTYŘMI LED DIODAMI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zkrat na lince L, vyzvánění,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hovor, datová aktivita na lince,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MOŽNOST ULOŽIT AŽ 1000 HESEL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pro otevření elektrického zámku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přes klávesnici zvonkového tabla.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PŘÍKLAD TABLA S ELEKTRONICKÝM PAPÍREM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</xdr:txBody>
    </xdr:sp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20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6</xdr:col>
      <xdr:colOff>466560</xdr:colOff>
      <xdr:row>2</xdr:row>
      <xdr:rowOff>466560</xdr:rowOff>
    </xdr:from>
    <xdr:to>
      <xdr:col>8</xdr:col>
      <xdr:colOff>551880</xdr:colOff>
      <xdr:row>4</xdr:row>
      <xdr:rowOff>56520</xdr:rowOff>
    </xdr:to>
    <xdr:sp macro="" textlink="">
      <xdr:nvSpPr>
        <xdr:cNvPr id="21" name="CustomShap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7581600" y="84744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tx1">
                <a:lumMod val="65000"/>
                <a:lumOff val="35000"/>
              </a:schemeClr>
            </a:gs>
            <a:gs pos="50000">
              <a:schemeClr val="bg1">
                <a:lumMod val="50000"/>
              </a:schemeClr>
            </a:gs>
            <a:gs pos="100000">
              <a:schemeClr val="bg1">
                <a:lumMod val="75000"/>
              </a:schemeClr>
            </a:gs>
          </a:gsLst>
          <a:lin ang="2700000"/>
        </a:gradFill>
        <a:ln>
          <a:solidFill>
            <a:schemeClr val="tx1">
              <a:lumMod val="65000"/>
              <a:lumOff val="3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50" b="1" strike="noStrike" spc="-1">
              <a:solidFill>
                <a:srgbClr val="FFFFFF"/>
              </a:solidFill>
              <a:latin typeface="Calibri"/>
            </a:rPr>
            <a:t>DOMOVNÍ</a:t>
          </a:r>
          <a:r>
            <a:rPr lang="cs-CZ" sz="1000" b="1" strike="noStrike" spc="-1">
              <a:solidFill>
                <a:srgbClr val="FFFFFF"/>
              </a:solidFill>
              <a:latin typeface="Calibri"/>
            </a:rPr>
            <a:t> TELEFONY</a:t>
          </a:r>
          <a:endParaRPr lang="cs-CZ" sz="1000" b="0" strike="noStrike" spc="-1">
            <a:latin typeface="Times New Roman"/>
          </a:endParaRPr>
        </a:p>
      </xdr:txBody>
    </xdr:sp>
    <xdr:clientData/>
  </xdr:twoCellAnchor>
  <xdr:twoCellAnchor>
    <xdr:from>
      <xdr:col>9</xdr:col>
      <xdr:colOff>76320</xdr:colOff>
      <xdr:row>2</xdr:row>
      <xdr:rowOff>466560</xdr:rowOff>
    </xdr:from>
    <xdr:to>
      <xdr:col>11</xdr:col>
      <xdr:colOff>161640</xdr:colOff>
      <xdr:row>4</xdr:row>
      <xdr:rowOff>56520</xdr:rowOff>
    </xdr:to>
    <xdr:sp macro="" textlink="">
      <xdr:nvSpPr>
        <xdr:cNvPr id="22" name="CustomShape 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9128880" y="847440"/>
          <a:ext cx="137664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tx1">
                <a:lumMod val="65000"/>
                <a:lumOff val="35000"/>
              </a:schemeClr>
            </a:gs>
            <a:gs pos="50000">
              <a:schemeClr val="bg1">
                <a:lumMod val="50000"/>
              </a:schemeClr>
            </a:gs>
            <a:gs pos="100000">
              <a:schemeClr val="bg1">
                <a:lumMod val="75000"/>
              </a:schemeClr>
            </a:gs>
          </a:gsLst>
          <a:lin ang="2700000"/>
        </a:gradFill>
        <a:ln>
          <a:solidFill>
            <a:schemeClr val="tx1">
              <a:lumMod val="65000"/>
              <a:lumOff val="3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000" b="1" strike="noStrike" spc="-1">
              <a:solidFill>
                <a:srgbClr val="FFFFFF"/>
              </a:solidFill>
              <a:latin typeface="Calibri"/>
            </a:rPr>
            <a:t>VHODNÝ </a:t>
          </a:r>
          <a:r>
            <a:rPr lang="cs-CZ" sz="950" b="1" strike="noStrike" spc="-1">
              <a:solidFill>
                <a:srgbClr val="FFFFFF"/>
              </a:solidFill>
              <a:latin typeface="Calibri"/>
            </a:rPr>
            <a:t>NAPÁJEČ</a:t>
          </a:r>
          <a:endParaRPr lang="cs-CZ" sz="950" b="0" strike="noStrike" spc="-1">
            <a:latin typeface="Times New Roman"/>
          </a:endParaRPr>
        </a:p>
      </xdr:txBody>
    </xdr:sp>
    <xdr:clientData/>
  </xdr:twoCellAnchor>
  <xdr:twoCellAnchor editAs="oneCell">
    <xdr:from>
      <xdr:col>5</xdr:col>
      <xdr:colOff>81720</xdr:colOff>
      <xdr:row>21</xdr:row>
      <xdr:rowOff>185040</xdr:rowOff>
    </xdr:from>
    <xdr:to>
      <xdr:col>12</xdr:col>
      <xdr:colOff>606240</xdr:colOff>
      <xdr:row>55</xdr:row>
      <xdr:rowOff>135360</xdr:rowOff>
    </xdr:to>
    <xdr:pic>
      <xdr:nvPicPr>
        <xdr:cNvPr id="23" name="Obrázek 20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PicPr/>
      </xdr:nvPicPr>
      <xdr:blipFill>
        <a:blip xmlns:r="http://schemas.openxmlformats.org/officeDocument/2006/relationships" r:embed="rId4"/>
        <a:stretch/>
      </xdr:blipFill>
      <xdr:spPr>
        <a:xfrm>
          <a:off x="6550920" y="5337720"/>
          <a:ext cx="5045040" cy="7322760"/>
        </a:xfrm>
        <a:prstGeom prst="rect">
          <a:avLst/>
        </a:prstGeom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142920</xdr:colOff>
      <xdr:row>5</xdr:row>
      <xdr:rowOff>0</xdr:rowOff>
    </xdr:from>
    <xdr:to>
      <xdr:col>12</xdr:col>
      <xdr:colOff>475920</xdr:colOff>
      <xdr:row>69</xdr:row>
      <xdr:rowOff>123480</xdr:rowOff>
    </xdr:to>
    <xdr:sp macro="" textlink="">
      <xdr:nvSpPr>
        <xdr:cNvPr id="24" name="CustomShape 1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SpPr/>
      </xdr:nvSpPr>
      <xdr:spPr>
        <a:xfrm>
          <a:off x="6612120" y="1257120"/>
          <a:ext cx="4853520" cy="139539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MOŽNOSTI SYSTÉMU DUO Standard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Dvoudrátový systém DUO Standard je navržen tak, aby splnil potřeby a přání běžných uživatelů. Zvonková tabla i domácí telefony se snadno ovládají, umožňují jednoduchou montáž a při komunikaci zajišťují kvalitní audio přenos.</a:t>
          </a: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Systém je plně funkční i na stávajících neporušených rozvodech a je určen především pro komunikaci v bytových domech a větších komerčních objektech.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POPIS HLAVNÍCH VLASTNOSTÍ A FUNKCÍ: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VARIANTY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s tlačítky (přímá volba) a s kódovou klávesnicí,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LEŠTĚNÁ NEREZ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časově stálá a moderní,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ANTIVANDAL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- vysoký stupeň ochrany před poškozením,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NÍZKÁ SPOTŘEBA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elektrické energie v klidovém stavu,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PŘÍSTUPOVÝ SYSTÉM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(volitelný) na čip/kartu,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LED PODSVĚTLENÍ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celoplošné podsvětlení jmenovek,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INDIKACE STAVŮ ČTYŘMI LED DIODAMI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zkrat na lince L, vyzvánění,  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hovor, datová aktivita na lince,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- </a:t>
          </a:r>
          <a:r>
            <a:rPr lang="cs-CZ" sz="1000" b="1" strike="noStrike" spc="-1">
              <a:solidFill>
                <a:srgbClr val="000000"/>
              </a:solidFill>
              <a:latin typeface="Tahoma"/>
              <a:ea typeface="Tahoma"/>
            </a:rPr>
            <a:t>MOŽNOST ULOŽIT AŽ 1000 HESEL </a:t>
          </a: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pro otevření elektrického zámku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r>
            <a:rPr lang="cs-CZ" sz="1000" b="0" strike="noStrike" spc="-1">
              <a:solidFill>
                <a:srgbClr val="000000"/>
              </a:solidFill>
              <a:latin typeface="Tahoma"/>
              <a:ea typeface="Tahoma"/>
            </a:rPr>
            <a:t>  přes klávesnici zvonkového tabla. </a:t>
          </a: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000" b="0" strike="noStrike" spc="-1">
            <a:latin typeface="Times New Roman"/>
          </a:endParaRPr>
        </a:p>
        <a:p>
          <a:pPr algn="ctr">
            <a:lnSpc>
              <a:spcPct val="100000"/>
            </a:lnSpc>
          </a:pPr>
          <a:r>
            <a:rPr lang="cs-CZ" sz="1400" b="1" u="sng" strike="noStrike" spc="-1">
              <a:solidFill>
                <a:srgbClr val="000000"/>
              </a:solidFill>
              <a:uFillTx/>
              <a:latin typeface="Tahoma"/>
              <a:ea typeface="Tahoma"/>
            </a:rPr>
            <a:t>PŘÍKLAD TABLA S ELEKTRONICKÝM PAPÍREM</a:t>
          </a:r>
          <a:endParaRPr lang="cs-CZ" sz="1400" b="0" strike="noStrike" spc="-1">
            <a:latin typeface="Times New Roman"/>
          </a:endParaRPr>
        </a:p>
        <a:p>
          <a:pPr>
            <a:lnSpc>
              <a:spcPct val="100000"/>
            </a:lnSpc>
          </a:pPr>
          <a:endParaRPr lang="cs-CZ" sz="1400" b="0" strike="noStrike" spc="-1">
            <a:latin typeface="Times New Roman"/>
          </a:endParaRPr>
        </a:p>
      </xdr:txBody>
    </xdr:sp>
    <xdr:clientData/>
  </xdr:twoCellAnchor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25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  <xdr:twoCellAnchor>
    <xdr:from>
      <xdr:col>5</xdr:col>
      <xdr:colOff>324000</xdr:colOff>
      <xdr:row>2</xdr:row>
      <xdr:rowOff>466560</xdr:rowOff>
    </xdr:from>
    <xdr:to>
      <xdr:col>7</xdr:col>
      <xdr:colOff>409320</xdr:colOff>
      <xdr:row>4</xdr:row>
      <xdr:rowOff>56520</xdr:rowOff>
    </xdr:to>
    <xdr:sp macro="" textlink="">
      <xdr:nvSpPr>
        <xdr:cNvPr id="26" name="CustomShape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SpPr/>
      </xdr:nvSpPr>
      <xdr:spPr>
        <a:xfrm>
          <a:off x="6793200" y="84744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tx1">
                <a:lumMod val="65000"/>
                <a:lumOff val="35000"/>
              </a:schemeClr>
            </a:gs>
            <a:gs pos="50000">
              <a:schemeClr val="bg1">
                <a:lumMod val="50000"/>
              </a:schemeClr>
            </a:gs>
            <a:gs pos="100000">
              <a:schemeClr val="bg1">
                <a:lumMod val="75000"/>
              </a:schemeClr>
            </a:gs>
          </a:gsLst>
          <a:lin ang="2700000"/>
        </a:gradFill>
        <a:ln>
          <a:solidFill>
            <a:schemeClr val="tx1">
              <a:lumMod val="65000"/>
              <a:lumOff val="3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50" b="1" strike="noStrike" spc="-1">
              <a:solidFill>
                <a:srgbClr val="FFFFFF"/>
              </a:solidFill>
              <a:latin typeface="Calibri"/>
            </a:rPr>
            <a:t>DOMOVNÍ</a:t>
          </a:r>
          <a:r>
            <a:rPr lang="cs-CZ" sz="1000" b="1" strike="noStrike" spc="-1">
              <a:solidFill>
                <a:srgbClr val="FFFFFF"/>
              </a:solidFill>
              <a:latin typeface="Calibri"/>
            </a:rPr>
            <a:t> TELEFONY</a:t>
          </a:r>
          <a:endParaRPr lang="cs-CZ" sz="1000" b="0" strike="noStrike" spc="-1">
            <a:latin typeface="Times New Roman"/>
          </a:endParaRPr>
        </a:p>
      </xdr:txBody>
    </xdr:sp>
    <xdr:clientData/>
  </xdr:twoCellAnchor>
  <xdr:twoCellAnchor>
    <xdr:from>
      <xdr:col>7</xdr:col>
      <xdr:colOff>542880</xdr:colOff>
      <xdr:row>2</xdr:row>
      <xdr:rowOff>466560</xdr:rowOff>
    </xdr:from>
    <xdr:to>
      <xdr:col>10</xdr:col>
      <xdr:colOff>18720</xdr:colOff>
      <xdr:row>4</xdr:row>
      <xdr:rowOff>56520</xdr:rowOff>
    </xdr:to>
    <xdr:sp macro="" textlink="">
      <xdr:nvSpPr>
        <xdr:cNvPr id="27" name="CustomShape 1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SpPr/>
      </xdr:nvSpPr>
      <xdr:spPr>
        <a:xfrm>
          <a:off x="8303760" y="847440"/>
          <a:ext cx="1413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tx1">
                <a:lumMod val="65000"/>
                <a:lumOff val="35000"/>
              </a:schemeClr>
            </a:gs>
            <a:gs pos="50000">
              <a:schemeClr val="bg1">
                <a:lumMod val="50000"/>
              </a:schemeClr>
            </a:gs>
            <a:gs pos="100000">
              <a:schemeClr val="bg1">
                <a:lumMod val="75000"/>
              </a:schemeClr>
            </a:gs>
          </a:gsLst>
          <a:lin ang="2700000"/>
        </a:gradFill>
        <a:ln>
          <a:solidFill>
            <a:schemeClr val="tx1">
              <a:lumMod val="65000"/>
              <a:lumOff val="3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000" b="1" strike="noStrike" spc="-1">
              <a:solidFill>
                <a:srgbClr val="FFFFFF"/>
              </a:solidFill>
              <a:latin typeface="Calibri"/>
            </a:rPr>
            <a:t>VHODNÝ </a:t>
          </a:r>
          <a:r>
            <a:rPr lang="cs-CZ" sz="950" b="1" strike="noStrike" spc="-1">
              <a:solidFill>
                <a:srgbClr val="FFFFFF"/>
              </a:solidFill>
              <a:latin typeface="Calibri"/>
            </a:rPr>
            <a:t>NAPÁJEČ</a:t>
          </a:r>
          <a:endParaRPr lang="cs-CZ" sz="950" b="0" strike="noStrike" spc="-1">
            <a:latin typeface="Times New Roman"/>
          </a:endParaRPr>
        </a:p>
      </xdr:txBody>
    </xdr:sp>
    <xdr:clientData/>
  </xdr:twoCellAnchor>
  <xdr:twoCellAnchor>
    <xdr:from>
      <xdr:col>10</xdr:col>
      <xdr:colOff>142920</xdr:colOff>
      <xdr:row>2</xdr:row>
      <xdr:rowOff>466560</xdr:rowOff>
    </xdr:from>
    <xdr:to>
      <xdr:col>12</xdr:col>
      <xdr:colOff>228240</xdr:colOff>
      <xdr:row>4</xdr:row>
      <xdr:rowOff>56520</xdr:rowOff>
    </xdr:to>
    <xdr:sp macro="" textlink="">
      <xdr:nvSpPr>
        <xdr:cNvPr id="28" name="CustomShape 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SpPr/>
      </xdr:nvSpPr>
      <xdr:spPr>
        <a:xfrm>
          <a:off x="9840960" y="84744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tx1">
                <a:lumMod val="65000"/>
                <a:lumOff val="35000"/>
              </a:schemeClr>
            </a:gs>
            <a:gs pos="50000">
              <a:schemeClr val="bg1">
                <a:lumMod val="50000"/>
              </a:schemeClr>
            </a:gs>
            <a:gs pos="100000">
              <a:schemeClr val="bg1">
                <a:lumMod val="75000"/>
              </a:schemeClr>
            </a:gs>
          </a:gsLst>
          <a:lin ang="2700000"/>
        </a:gradFill>
        <a:ln>
          <a:solidFill>
            <a:schemeClr val="tx1">
              <a:lumMod val="65000"/>
              <a:lumOff val="35000"/>
            </a:schemeClr>
          </a:solidFill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950" b="1" strike="noStrike" spc="-1">
              <a:solidFill>
                <a:srgbClr val="FFFFFF"/>
              </a:solidFill>
              <a:latin typeface="Calibri"/>
            </a:rPr>
            <a:t>GENERÁTOR  R. VYZ.</a:t>
          </a:r>
          <a:endParaRPr lang="cs-CZ" sz="950" b="0" strike="noStrike" spc="-1">
            <a:latin typeface="Times New Roman"/>
          </a:endParaRPr>
        </a:p>
      </xdr:txBody>
    </xdr:sp>
    <xdr:clientData/>
  </xdr:twoCellAnchor>
  <xdr:twoCellAnchor editAs="oneCell">
    <xdr:from>
      <xdr:col>5</xdr:col>
      <xdr:colOff>59760</xdr:colOff>
      <xdr:row>21</xdr:row>
      <xdr:rowOff>5400</xdr:rowOff>
    </xdr:from>
    <xdr:to>
      <xdr:col>12</xdr:col>
      <xdr:colOff>603360</xdr:colOff>
      <xdr:row>54</xdr:row>
      <xdr:rowOff>238680</xdr:rowOff>
    </xdr:to>
    <xdr:pic>
      <xdr:nvPicPr>
        <xdr:cNvPr id="29" name="Obrázek 19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PicPr/>
      </xdr:nvPicPr>
      <xdr:blipFill>
        <a:blip xmlns:r="http://schemas.openxmlformats.org/officeDocument/2006/relationships" r:embed="rId5"/>
        <a:stretch/>
      </xdr:blipFill>
      <xdr:spPr>
        <a:xfrm>
          <a:off x="6528960" y="5158080"/>
          <a:ext cx="5064120" cy="73198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5</xdr:col>
      <xdr:colOff>87086</xdr:colOff>
      <xdr:row>107</xdr:row>
      <xdr:rowOff>32655</xdr:rowOff>
    </xdr:from>
    <xdr:to>
      <xdr:col>12</xdr:col>
      <xdr:colOff>538020</xdr:colOff>
      <xdr:row>116</xdr:row>
      <xdr:rowOff>177504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9662F126-C241-6AB3-3C5B-D2569E8D4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74972" y="23812498"/>
          <a:ext cx="4984834" cy="1810363"/>
        </a:xfrm>
        <a:prstGeom prst="rect">
          <a:avLst/>
        </a:prstGeom>
      </xdr:spPr>
    </xdr:pic>
    <xdr:clientData/>
  </xdr:twoCellAnchor>
  <xdr:twoCellAnchor editAs="oneCell">
    <xdr:from>
      <xdr:col>5</xdr:col>
      <xdr:colOff>95571</xdr:colOff>
      <xdr:row>90</xdr:row>
      <xdr:rowOff>160884</xdr:rowOff>
    </xdr:from>
    <xdr:to>
      <xdr:col>12</xdr:col>
      <xdr:colOff>542778</xdr:colOff>
      <xdr:row>105</xdr:row>
      <xdr:rowOff>141513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B602D7BF-7858-FAFF-59CD-CDA4B015C1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83457" y="20179713"/>
          <a:ext cx="4981107" cy="337152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30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0</xdr:row>
      <xdr:rowOff>0</xdr:rowOff>
    </xdr:from>
    <xdr:to>
      <xdr:col>12</xdr:col>
      <xdr:colOff>85320</xdr:colOff>
      <xdr:row>1</xdr:row>
      <xdr:rowOff>85320</xdr:rowOff>
    </xdr:to>
    <xdr:sp macro="" textlink="">
      <xdr:nvSpPr>
        <xdr:cNvPr id="31" name="CustomShap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SpPr/>
      </xdr:nvSpPr>
      <xdr:spPr>
        <a:xfrm>
          <a:off x="9698040" y="0"/>
          <a:ext cx="1377000" cy="275760"/>
        </a:xfrm>
        <a:prstGeom prst="roundRect">
          <a:avLst>
            <a:gd name="adj" fmla="val 16667"/>
          </a:avLst>
        </a:prstGeom>
        <a:gradFill rotWithShape="0">
          <a:gsLst>
            <a:gs pos="0">
              <a:schemeClr val="accent1">
                <a:shade val="30000"/>
                <a:satMod val="115000"/>
              </a:schemeClr>
            </a:gs>
            <a:gs pos="50000">
              <a:schemeClr val="accent1">
                <a:shade val="67500"/>
                <a:satMod val="115000"/>
              </a:schemeClr>
            </a:gs>
            <a:gs pos="100000">
              <a:schemeClr val="accent1">
                <a:shade val="100000"/>
                <a:satMod val="115000"/>
              </a:schemeClr>
            </a:gs>
          </a:gsLst>
          <a:lin ang="2700000"/>
        </a:gradFill>
        <a:ln>
          <a:round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/>
      </xdr:style>
      <xdr:txBody>
        <a:bodyPr lIns="90000" tIns="45000" rIns="90000" bIns="45000">
          <a:noAutofit/>
        </a:bodyPr>
        <a:lstStyle/>
        <a:p>
          <a:pPr algn="ctr">
            <a:lnSpc>
              <a:spcPct val="100000"/>
            </a:lnSpc>
          </a:pPr>
          <a:r>
            <a:rPr lang="cs-CZ" sz="1100" b="1" strike="noStrike" spc="-1">
              <a:solidFill>
                <a:srgbClr val="FFFFFF"/>
              </a:solidFill>
              <a:latin typeface="Calibri"/>
            </a:rPr>
            <a:t>ZPĚT NA OBSAH</a:t>
          </a:r>
          <a:endParaRPr lang="cs-CZ" sz="1100" b="0" strike="noStrike" spc="-1">
            <a:latin typeface="Times New Roman"/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ulka17411426" displayName="Tabulka17411426" ref="A10:E11" headerRowCount="0" totalsRowShown="0" headerRowDxfId="145" dataDxfId="144">
  <tableColumns count="5">
    <tableColumn id="1" xr3:uid="{00000000-0010-0000-0000-000001000000}" name="Sloupec1" dataDxfId="143"/>
    <tableColumn id="2" xr3:uid="{00000000-0010-0000-0000-000002000000}" name="Sloupec2" dataDxfId="142"/>
    <tableColumn id="3" xr3:uid="{00000000-0010-0000-0000-000003000000}" name="Sloupec3" dataDxfId="141" dataCellStyle="Normální 12"/>
    <tableColumn id="4" xr3:uid="{00000000-0010-0000-0000-000004000000}" name="Sloupec4" dataDxfId="140"/>
    <tableColumn id="5" xr3:uid="{00000000-0010-0000-0000-000005000000}" name="Sloupec5" dataDxfId="139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ulka17415" displayName="Tabulka17415" ref="A8:E9" headerRowCount="0" totalsRowShown="0" headerRowDxfId="138" dataDxfId="137">
  <tableColumns count="5">
    <tableColumn id="1" xr3:uid="{00000000-0010-0000-0100-000001000000}" name="Sloupec1" dataDxfId="136"/>
    <tableColumn id="2" xr3:uid="{00000000-0010-0000-0100-000002000000}" name="Sloupec2" dataDxfId="135"/>
    <tableColumn id="3" xr3:uid="{00000000-0010-0000-0100-000003000000}" name="Sloupec3" dataDxfId="134" dataCellStyle="Normální 12"/>
    <tableColumn id="4" xr3:uid="{00000000-0010-0000-0100-000004000000}" name="Sloupec4" dataDxfId="133"/>
    <tableColumn id="5" xr3:uid="{00000000-0010-0000-0100-000005000000}" name="Sloupec5" dataDxfId="132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3" xr:uid="{00000000-000C-0000-FFFF-FFFF02000000}" name="Tabulka4214" displayName="Tabulka4214" ref="A16:E16" headerRowCount="0" totalsRowShown="0" headerRowDxfId="131" dataDxfId="130">
  <tableColumns count="5">
    <tableColumn id="1" xr3:uid="{00000000-0010-0000-0200-000001000000}" name="Sloupec1" dataDxfId="129"/>
    <tableColumn id="2" xr3:uid="{00000000-0010-0000-0200-000002000000}" name="Sloupec2" dataDxfId="128"/>
    <tableColumn id="3" xr3:uid="{00000000-0010-0000-0200-000003000000}" name="Sloupec3" dataDxfId="127" dataCellStyle="Normální 12"/>
    <tableColumn id="4" xr3:uid="{00000000-0010-0000-0200-000004000000}" name="Sloupec4" dataDxfId="126"/>
    <tableColumn id="5" xr3:uid="{00000000-0010-0000-0200-000005000000}" name="Sloupec5" dataDxfId="125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4" xr:uid="{00000000-000C-0000-FFFF-FFFF03000000}" name="Tabulka42523" displayName="Tabulka42523" ref="A17:E17" headerRowCount="0" totalsRowShown="0" headerRowDxfId="124" dataDxfId="123">
  <tableColumns count="5">
    <tableColumn id="1" xr3:uid="{00000000-0010-0000-0300-000001000000}" name="Sloupec1" dataDxfId="122"/>
    <tableColumn id="2" xr3:uid="{00000000-0010-0000-0300-000002000000}" name="Sloupec2" dataDxfId="121"/>
    <tableColumn id="3" xr3:uid="{00000000-0010-0000-0300-000003000000}" name="Sloupec3" dataDxfId="120" dataCellStyle="Normální 12"/>
    <tableColumn id="4" xr3:uid="{00000000-0010-0000-0300-000004000000}" name="Sloupec4" dataDxfId="119"/>
    <tableColumn id="5" xr3:uid="{00000000-0010-0000-0300-000005000000}" name="Sloupec5" dataDxfId="118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5" xr:uid="{00000000-000C-0000-FFFF-FFFF04000000}" name="Tabulka4615" displayName="Tabulka4615" ref="A22:E22" headerRowCount="0" totalsRowShown="0" headerRowDxfId="117" dataDxfId="116">
  <tableColumns count="5">
    <tableColumn id="1" xr3:uid="{00000000-0010-0000-0400-000001000000}" name="Sloupec1" dataDxfId="115"/>
    <tableColumn id="2" xr3:uid="{00000000-0010-0000-0400-000002000000}" name="Sloupec2" dataDxfId="114"/>
    <tableColumn id="3" xr3:uid="{00000000-0010-0000-0400-000003000000}" name="Sloupec3" dataDxfId="113" dataCellStyle="Normální 12"/>
    <tableColumn id="4" xr3:uid="{00000000-0010-0000-0400-000004000000}" name="Sloupec4" dataDxfId="112"/>
    <tableColumn id="5" xr3:uid="{00000000-0010-0000-0400-000005000000}" name="Sloupec5" dataDxfId="111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6" xr:uid="{00000000-000C-0000-FFFF-FFFF05000000}" name="Tabulka462818" displayName="Tabulka462818" ref="A23:E23" headerRowCount="0" totalsRowShown="0" headerRowDxfId="110" dataDxfId="109">
  <tableColumns count="5">
    <tableColumn id="1" xr3:uid="{00000000-0010-0000-0500-000001000000}" name="Sloupec1" dataDxfId="108"/>
    <tableColumn id="2" xr3:uid="{00000000-0010-0000-0500-000002000000}" name="Sloupec2" dataDxfId="107"/>
    <tableColumn id="3" xr3:uid="{00000000-0010-0000-0500-000003000000}" name="Sloupec3" dataDxfId="106" dataCellStyle="Normální 12"/>
    <tableColumn id="4" xr3:uid="{00000000-0010-0000-0500-000004000000}" name="Sloupec4" dataDxfId="105"/>
    <tableColumn id="5" xr3:uid="{00000000-0010-0000-0500-000005000000}" name="Sloupec5" dataDxfId="104"/>
  </tableColumns>
  <tableStyleInfo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6000000}" name="Tabulka201012" displayName="Tabulka201012" ref="A10:E20" headerRowCount="0" totalsRowShown="0" headerRowDxfId="103" tableBorderDxfId="102" totalsRowBorderDxfId="101">
  <tableColumns count="5">
    <tableColumn id="1" xr3:uid="{00000000-0010-0000-0600-000001000000}" name="Sloupec1" dataDxfId="100"/>
    <tableColumn id="2" xr3:uid="{00000000-0010-0000-0600-000002000000}" name="Sloupec2" dataDxfId="99"/>
    <tableColumn id="3" xr3:uid="{00000000-0010-0000-0600-000003000000}" name="Sloupec3" dataDxfId="98"/>
    <tableColumn id="4" xr3:uid="{00000000-0010-0000-0600-000004000000}" name="Sloupec4" dataDxfId="97"/>
    <tableColumn id="5" xr3:uid="{00000000-0010-0000-0600-000005000000}" name="Sloupec5" dataDxfId="96"/>
  </tableColumns>
  <tableStyleInfo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7000000}" name="Tabulka20101416" displayName="Tabulka20101416" ref="A42:E51" headerRowCount="0" totalsRowShown="0" headerRowDxfId="95" tableBorderDxfId="94" totalsRowBorderDxfId="93">
  <tableColumns count="5">
    <tableColumn id="1" xr3:uid="{00000000-0010-0000-0700-000001000000}" name="Sloupec1" dataDxfId="92"/>
    <tableColumn id="2" xr3:uid="{00000000-0010-0000-0700-000002000000}" name="Sloupec2" dataDxfId="91"/>
    <tableColumn id="3" xr3:uid="{00000000-0010-0000-0700-000003000000}" name="Sloupec3" dataDxfId="90"/>
    <tableColumn id="4" xr3:uid="{00000000-0010-0000-0700-000004000000}" name="Sloupec4" dataDxfId="89"/>
    <tableColumn id="5" xr3:uid="{00000000-0010-0000-0700-000005000000}" name="Sloupec5" dataDxfId="88"/>
  </tableColumns>
  <tableStyleInfo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8000000}" name="Tabulka2010141625" displayName="Tabulka2010141625" ref="A92:E102" headerRowCount="0" totalsRowShown="0" headerRowDxfId="87" tableBorderDxfId="86" totalsRowBorderDxfId="85">
  <tableColumns count="5">
    <tableColumn id="1" xr3:uid="{00000000-0010-0000-0800-000001000000}" name="Sloupec1" dataDxfId="84"/>
    <tableColumn id="2" xr3:uid="{00000000-0010-0000-0800-000002000000}" name="Sloupec2" dataDxfId="83"/>
    <tableColumn id="3" xr3:uid="{00000000-0010-0000-0800-000003000000}" name="Sloupec3" dataDxfId="82"/>
    <tableColumn id="4" xr3:uid="{00000000-0010-0000-0800-000004000000}" name="Sloupec4" dataDxfId="81"/>
    <tableColumn id="5" xr3:uid="{00000000-0010-0000-0800-000005000000}" name="Sloupec5" dataDxfId="80"/>
  </tableColumns>
  <tableStyleInfo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9000000}" name="Tabulka201014164" displayName="Tabulka201014164" ref="A72:E76" headerRowCount="0" totalsRowShown="0" tableBorderDxfId="79">
  <tableColumns count="5">
    <tableColumn id="1" xr3:uid="{00000000-0010-0000-0900-000001000000}" name="Sloupec1"/>
    <tableColumn id="2" xr3:uid="{00000000-0010-0000-0900-000002000000}" name="Sloupec2"/>
    <tableColumn id="3" xr3:uid="{00000000-0010-0000-0900-000003000000}" name="Sloupec3"/>
    <tableColumn id="4" xr3:uid="{00000000-0010-0000-0900-000004000000}" name="Sloupec4"/>
    <tableColumn id="5" xr3:uid="{00000000-0010-0000-0900-000005000000}" name="Sloupec5"/>
  </tableColumns>
  <tableStyleInfo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A000000}" name="Tabulka20101416411" displayName="Tabulka20101416411" ref="A124:E128" headerRowCount="0" totalsRowShown="0" tableBorderDxfId="78">
  <tableColumns count="5">
    <tableColumn id="1" xr3:uid="{00000000-0010-0000-0A00-000001000000}" name="Sloupec1"/>
    <tableColumn id="2" xr3:uid="{00000000-0010-0000-0A00-000002000000}" name="Sloupec2"/>
    <tableColumn id="3" xr3:uid="{00000000-0010-0000-0A00-000003000000}" name="Sloupec3"/>
    <tableColumn id="4" xr3:uid="{00000000-0010-0000-0A00-000004000000}" name="Sloupec4"/>
    <tableColumn id="5" xr3:uid="{00000000-0010-0000-0A00-000005000000}" name="Sloupec5"/>
  </tableColumns>
  <tableStyleInfo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B000000}" name="Tabulka20101416418" displayName="Tabulka20101416418" ref="A144:E148" headerRowCount="0" totalsRowShown="0" tableBorderDxfId="77">
  <tableColumns count="5">
    <tableColumn id="1" xr3:uid="{00000000-0010-0000-0B00-000001000000}" name="Sloupec1"/>
    <tableColumn id="2" xr3:uid="{00000000-0010-0000-0B00-000002000000}" name="Sloupec2"/>
    <tableColumn id="3" xr3:uid="{00000000-0010-0000-0B00-000003000000}" name="Sloupec3"/>
    <tableColumn id="4" xr3:uid="{00000000-0010-0000-0B00-000004000000}" name="Sloupec4"/>
    <tableColumn id="5" xr3:uid="{00000000-0010-0000-0B00-000005000000}" name="Sloupec5"/>
  </tableColumns>
  <tableStyleInfo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00000000-000C-0000-FFFF-FFFF0C000000}" name="Tabulka211113" displayName="Tabulka211113" ref="A24:E34" headerRowCount="0" totalsRowShown="0" headerRowDxfId="76" tableBorderDxfId="75" totalsRowBorderDxfId="74">
  <tableColumns count="5">
    <tableColumn id="1" xr3:uid="{00000000-0010-0000-0C00-000001000000}" name="Sloupec1" dataDxfId="73"/>
    <tableColumn id="2" xr3:uid="{00000000-0010-0000-0C00-000002000000}" name="Sloupec2" dataDxfId="72"/>
    <tableColumn id="3" xr3:uid="{00000000-0010-0000-0C00-000003000000}" name="Sloupec3" dataDxfId="71"/>
    <tableColumn id="4" xr3:uid="{00000000-0010-0000-0C00-000004000000}" name="Sloupec4" dataDxfId="70"/>
    <tableColumn id="5" xr3:uid="{00000000-0010-0000-0C00-000005000000}" name="Sloupec5" dataDxfId="69"/>
  </tableColumns>
  <tableStyleInfo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00000000-000C-0000-FFFF-FFFF0D000000}" name="Tabulka21111517" displayName="Tabulka21111517" ref="A55:E64" headerRowCount="0" totalsRowShown="0" headerRowDxfId="68" tableBorderDxfId="67" totalsRowBorderDxfId="66">
  <tableColumns count="5">
    <tableColumn id="1" xr3:uid="{00000000-0010-0000-0D00-000001000000}" name="Sloupec1" dataDxfId="65"/>
    <tableColumn id="2" xr3:uid="{00000000-0010-0000-0D00-000002000000}" name="Sloupec2" dataDxfId="64"/>
    <tableColumn id="3" xr3:uid="{00000000-0010-0000-0D00-000003000000}" name="Sloupec3" dataDxfId="63"/>
    <tableColumn id="4" xr3:uid="{00000000-0010-0000-0D00-000004000000}" name="Sloupec4" dataDxfId="62"/>
    <tableColumn id="5" xr3:uid="{00000000-0010-0000-0D00-000005000000}" name="Sloupec5" dataDxfId="61"/>
  </tableColumns>
  <tableStyleInfo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00000000-000C-0000-FFFF-FFFF0E000000}" name="Tabulka2111151710" displayName="Tabulka2111151710" ref="A80:E84" headerRowCount="0" totalsRowShown="0" tableBorderDxfId="60">
  <tableColumns count="5">
    <tableColumn id="1" xr3:uid="{00000000-0010-0000-0E00-000001000000}" name="Sloupec1"/>
    <tableColumn id="2" xr3:uid="{00000000-0010-0000-0E00-000002000000}" name="Sloupec2"/>
    <tableColumn id="3" xr3:uid="{00000000-0010-0000-0E00-000003000000}" name="Sloupec3"/>
    <tableColumn id="4" xr3:uid="{00000000-0010-0000-0E00-000004000000}" name="Sloupec4"/>
    <tableColumn id="5" xr3:uid="{00000000-0010-0000-0E00-000005000000}" name="Sloupec5"/>
  </tableColumns>
  <tableStyleInfo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00000000-000C-0000-FFFF-FFFF0F000000}" name="Tabulka211115171015" displayName="Tabulka211115171015" ref="A132:E136" headerRowCount="0" totalsRowShown="0" tableBorderDxfId="59">
  <tableColumns count="5">
    <tableColumn id="1" xr3:uid="{00000000-0010-0000-0F00-000001000000}" name="Sloupec1"/>
    <tableColumn id="2" xr3:uid="{00000000-0010-0000-0F00-000002000000}" name="Sloupec2"/>
    <tableColumn id="3" xr3:uid="{00000000-0010-0000-0F00-000003000000}" name="Sloupec3"/>
    <tableColumn id="4" xr3:uid="{00000000-0010-0000-0F00-000004000000}" name="Sloupec4"/>
    <tableColumn id="5" xr3:uid="{00000000-0010-0000-0F00-000005000000}" name="Sloupec5"/>
  </tableColumns>
  <tableStyleInfo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00000000-000C-0000-FFFF-FFFF10000000}" name="Tabulka211115171019" displayName="Tabulka211115171019" ref="A152:E156" headerRowCount="0" totalsRowShown="0" tableBorderDxfId="58">
  <tableColumns count="5">
    <tableColumn id="1" xr3:uid="{00000000-0010-0000-1000-000001000000}" name="Sloupec1"/>
    <tableColumn id="2" xr3:uid="{00000000-0010-0000-1000-000002000000}" name="Sloupec2"/>
    <tableColumn id="3" xr3:uid="{00000000-0010-0000-1000-000003000000}" name="Sloupec3"/>
    <tableColumn id="4" xr3:uid="{00000000-0010-0000-1000-000004000000}" name="Sloupec4"/>
    <tableColumn id="5" xr3:uid="{00000000-0010-0000-1000-000005000000}" name="Sloupec5"/>
  </tableColumns>
  <tableStyleInfo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00000000-000C-0000-FFFF-FFFF11000000}" name="Tabulka2111151768" displayName="Tabulka2111151768" ref="A106:E116" headerRowCount="0" totalsRowShown="0" tableBorderDxfId="57">
  <tableColumns count="5">
    <tableColumn id="1" xr3:uid="{00000000-0010-0000-1100-000001000000}" name="Sloupec1"/>
    <tableColumn id="2" xr3:uid="{00000000-0010-0000-1100-000002000000}" name="Sloupec2"/>
    <tableColumn id="3" xr3:uid="{00000000-0010-0000-1100-000003000000}" name="Sloupec3"/>
    <tableColumn id="4" xr3:uid="{00000000-0010-0000-1100-000004000000}" name="Sloupec4"/>
    <tableColumn id="5" xr3:uid="{00000000-0010-0000-1100-000005000000}" name="Sloupec5"/>
  </tableColumns>
  <tableStyleInfo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12000000}" name="Tabulka20101451" displayName="Tabulka20101451" ref="A42:E52" headerRowCount="0" totalsRowShown="0" headerRowDxfId="56" tableBorderDxfId="55" totalsRowBorderDxfId="54">
  <tableColumns count="5">
    <tableColumn id="1" xr3:uid="{00000000-0010-0000-1200-000001000000}" name="Sloupec1" dataDxfId="53"/>
    <tableColumn id="2" xr3:uid="{00000000-0010-0000-1200-000002000000}" name="Sloupec2" dataDxfId="52"/>
    <tableColumn id="3" xr3:uid="{00000000-0010-0000-1200-000003000000}" name="Sloupec3" dataDxfId="51"/>
    <tableColumn id="4" xr3:uid="{00000000-0010-0000-1200-000004000000}" name="Sloupec4" dataDxfId="50"/>
    <tableColumn id="5" xr3:uid="{00000000-0010-0000-1200-000005000000}" name="Sloupec5" dataDxfId="49"/>
  </tableColumns>
  <tableStyleInfo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13000000}" name="Tabulka201014516" displayName="Tabulka201014516" ref="A74:E78" headerRowCount="0" totalsRowShown="0" tableBorderDxfId="48">
  <tableColumns count="5">
    <tableColumn id="1" xr3:uid="{00000000-0010-0000-1300-000001000000}" name="Sloupec1"/>
    <tableColumn id="2" xr3:uid="{00000000-0010-0000-1300-000002000000}" name="Sloupec2"/>
    <tableColumn id="3" xr3:uid="{00000000-0010-0000-1300-000003000000}" name="Sloupec3"/>
    <tableColumn id="4" xr3:uid="{00000000-0010-0000-1300-000004000000}" name="Sloupec4"/>
    <tableColumn id="5" xr3:uid="{00000000-0010-0000-1300-000005000000}" name="Sloupec5"/>
  </tableColumns>
  <tableStyleInfo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14000000}" name="Tabulka201049" displayName="Tabulka201049" ref="A10:E20" headerRowCount="0" totalsRowShown="0" tableBorderDxfId="47">
  <tableColumns count="5">
    <tableColumn id="1" xr3:uid="{00000000-0010-0000-1400-000001000000}" name="Sloupec1"/>
    <tableColumn id="2" xr3:uid="{00000000-0010-0000-1400-000002000000}" name="Sloupec2"/>
    <tableColumn id="3" xr3:uid="{00000000-0010-0000-1400-000003000000}" name="Sloupec3"/>
    <tableColumn id="4" xr3:uid="{00000000-0010-0000-1400-000004000000}" name="Sloupec4"/>
    <tableColumn id="5" xr3:uid="{00000000-0010-0000-1400-000005000000}" name="Sloupec5"/>
  </tableColumns>
  <tableStyleInfo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00000000-000C-0000-FFFF-FFFF15000000}" name="Tabulka21111552" displayName="Tabulka21111552" ref="A56:E66" headerRowCount="0" totalsRowShown="0" tableBorderDxfId="46">
  <tableColumns count="5">
    <tableColumn id="1" xr3:uid="{00000000-0010-0000-1500-000001000000}" name="Sloupec1"/>
    <tableColumn id="2" xr3:uid="{00000000-0010-0000-1500-000002000000}" name="Sloupec2"/>
    <tableColumn id="3" xr3:uid="{00000000-0010-0000-1500-000003000000}" name="Sloupec3"/>
    <tableColumn id="4" xr3:uid="{00000000-0010-0000-1500-000004000000}" name="Sloupec4"/>
    <tableColumn id="5" xr3:uid="{00000000-0010-0000-1500-000005000000}" name="Sloupec5"/>
  </tableColumns>
  <tableStyleInfo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0" xr:uid="{00000000-000C-0000-FFFF-FFFF16000000}" name="Tabulka211115527" displayName="Tabulka211115527" ref="A82:E86" headerRowCount="0" totalsRowShown="0" tableBorderDxfId="45">
  <tableColumns count="5">
    <tableColumn id="1" xr3:uid="{00000000-0010-0000-1600-000001000000}" name="Sloupec1"/>
    <tableColumn id="2" xr3:uid="{00000000-0010-0000-1600-000002000000}" name="Sloupec2"/>
    <tableColumn id="3" xr3:uid="{00000000-0010-0000-1600-000003000000}" name="Sloupec3"/>
    <tableColumn id="4" xr3:uid="{00000000-0010-0000-1600-000004000000}" name="Sloupec4"/>
    <tableColumn id="5" xr3:uid="{00000000-0010-0000-1600-000005000000}" name="Sloupec5"/>
  </tableColumns>
  <tableStyleInfo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1" xr:uid="{00000000-000C-0000-FFFF-FFFF17000000}" name="Tabulka211150" displayName="Tabulka211150" ref="A24:E34" headerRowCount="0" totalsRowShown="0" tableBorderDxfId="44">
  <tableColumns count="5">
    <tableColumn id="1" xr3:uid="{00000000-0010-0000-1700-000001000000}" name="Sloupec1"/>
    <tableColumn id="2" xr3:uid="{00000000-0010-0000-1700-000002000000}" name="Sloupec2"/>
    <tableColumn id="3" xr3:uid="{00000000-0010-0000-1700-000003000000}" name="Sloupec3"/>
    <tableColumn id="4" xr3:uid="{00000000-0010-0000-1700-000004000000}" name="Sloupec4"/>
    <tableColumn id="5" xr3:uid="{00000000-0010-0000-1700-000005000000}" name="Sloupec5"/>
  </tableColumns>
  <tableStyleInfo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18000000}" name="Tabulka2010145159" displayName="Tabulka2010145159" ref="A42:E52" headerRowCount="0" totalsRowShown="0" headerRowDxfId="43" tableBorderDxfId="42" totalsRowBorderDxfId="41">
  <tableColumns count="5">
    <tableColumn id="1" xr3:uid="{00000000-0010-0000-1800-000001000000}" name="Sloupec1" dataDxfId="40"/>
    <tableColumn id="2" xr3:uid="{00000000-0010-0000-1800-000002000000}" name="Sloupec2" dataDxfId="39"/>
    <tableColumn id="3" xr3:uid="{00000000-0010-0000-1800-000003000000}" name="Sloupec3" dataDxfId="38"/>
    <tableColumn id="4" xr3:uid="{00000000-0010-0000-1800-000004000000}" name="Sloupec4" dataDxfId="37"/>
    <tableColumn id="5" xr3:uid="{00000000-0010-0000-1800-000005000000}" name="Sloupec5" dataDxfId="36"/>
  </tableColumns>
  <tableStyleInfo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19000000}" name="Tabulka20101451598" displayName="Tabulka20101451598" ref="A74:E78" headerRowCount="0" totalsRowShown="0" tableBorderDxfId="35">
  <tableColumns count="5">
    <tableColumn id="1" xr3:uid="{00000000-0010-0000-1900-000001000000}" name="Sloupec1"/>
    <tableColumn id="2" xr3:uid="{00000000-0010-0000-1900-000002000000}" name="Sloupec2"/>
    <tableColumn id="3" xr3:uid="{00000000-0010-0000-1900-000003000000}" name="Sloupec3"/>
    <tableColumn id="4" xr3:uid="{00000000-0010-0000-1900-000004000000}" name="Sloupec4"/>
    <tableColumn id="5" xr3:uid="{00000000-0010-0000-1900-000005000000}" name="Sloupec5"/>
  </tableColumns>
  <tableStyleInfo showFirstColumn="0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1A000000}" name="Tabulka20104957" displayName="Tabulka20104957" ref="A10:E20" headerRowCount="0" totalsRowShown="0" tableBorderDxfId="34">
  <tableColumns count="5">
    <tableColumn id="1" xr3:uid="{00000000-0010-0000-1A00-000001000000}" name="Sloupec1"/>
    <tableColumn id="2" xr3:uid="{00000000-0010-0000-1A00-000002000000}" name="Sloupec2"/>
    <tableColumn id="3" xr3:uid="{00000000-0010-0000-1A00-000003000000}" name="Sloupec3"/>
    <tableColumn id="4" xr3:uid="{00000000-0010-0000-1A00-000004000000}" name="Sloupec4"/>
    <tableColumn id="5" xr3:uid="{00000000-0010-0000-1A00-000005000000}" name="Sloupec5"/>
  </tableColumns>
  <tableStyleInfo showFirstColumn="0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1B000000}" name="Tabulka2111155260" displayName="Tabulka2111155260" ref="A56:E66" headerRowCount="0" totalsRowShown="0" tableBorderDxfId="33">
  <tableColumns count="5">
    <tableColumn id="1" xr3:uid="{00000000-0010-0000-1B00-000001000000}" name="Sloupec1"/>
    <tableColumn id="2" xr3:uid="{00000000-0010-0000-1B00-000002000000}" name="Sloupec2"/>
    <tableColumn id="3" xr3:uid="{00000000-0010-0000-1B00-000003000000}" name="Sloupec3"/>
    <tableColumn id="4" xr3:uid="{00000000-0010-0000-1B00-000004000000}" name="Sloupec4"/>
    <tableColumn id="5" xr3:uid="{00000000-0010-0000-1B00-000005000000}" name="Sloupec5"/>
  </tableColumns>
  <tableStyleInfo showFirstColumn="0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00000000-000C-0000-FFFF-FFFF1C000000}" name="Tabulka21111552609" displayName="Tabulka21111552609" ref="A82:E86" headerRowCount="0" totalsRowShown="0" tableBorderDxfId="32">
  <tableColumns count="5">
    <tableColumn id="1" xr3:uid="{00000000-0010-0000-1C00-000001000000}" name="Sloupec1"/>
    <tableColumn id="2" xr3:uid="{00000000-0010-0000-1C00-000002000000}" name="Sloupec2"/>
    <tableColumn id="3" xr3:uid="{00000000-0010-0000-1C00-000003000000}" name="Sloupec3"/>
    <tableColumn id="4" xr3:uid="{00000000-0010-0000-1C00-000004000000}" name="Sloupec4"/>
    <tableColumn id="5" xr3:uid="{00000000-0010-0000-1C00-000005000000}" name="Sloupec5"/>
  </tableColumns>
  <tableStyleInfo showFirstColumn="0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2" xr:uid="{00000000-000C-0000-FFFF-FFFF1D000000}" name="Tabulka21115058" displayName="Tabulka21115058" ref="A24:E34" headerRowCount="0" totalsRowShown="0" tableBorderDxfId="31">
  <tableColumns count="5">
    <tableColumn id="1" xr3:uid="{00000000-0010-0000-1D00-000001000000}" name="Sloupec1"/>
    <tableColumn id="2" xr3:uid="{00000000-0010-0000-1D00-000002000000}" name="Sloupec2"/>
    <tableColumn id="3" xr3:uid="{00000000-0010-0000-1D00-000003000000}" name="Sloupec3"/>
    <tableColumn id="4" xr3:uid="{00000000-0010-0000-1D00-000004000000}" name="Sloupec4"/>
    <tableColumn id="5" xr3:uid="{00000000-0010-0000-1D00-000005000000}" name="Sloupec5"/>
  </tableColumns>
  <tableStyleInfo showFirstColumn="0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7" xr:uid="{00000000-000C-0000-FFFF-FFFF1E000000}" name="Tabulka201049577" displayName="Tabulka201049577" ref="A98:E117" headerRowCount="0" totalsRowShown="0" headerRowDxfId="30" tableBorderDxfId="29" totalsRowBorderDxfId="28">
  <tableColumns count="5">
    <tableColumn id="1" xr3:uid="{00000000-0010-0000-1E00-000001000000}" name="Sloupec1" dataDxfId="27"/>
    <tableColumn id="2" xr3:uid="{00000000-0010-0000-1E00-000002000000}" name="Sloupec2" dataDxfId="26"/>
    <tableColumn id="3" xr3:uid="{00000000-0010-0000-1E00-000003000000}" name="Sloupec3" dataDxfId="25"/>
    <tableColumn id="4" xr3:uid="{00000000-0010-0000-1E00-000004000000}" name="Sloupec4" dataDxfId="24">
      <calculatedColumnFormula>(OBSAH!$J$6/100)*Tabulka201049577[[#This Row],[Sloupec3]]</calculatedColumnFormula>
    </tableColumn>
    <tableColumn id="5" xr3:uid="{00000000-0010-0000-1E00-000005000000}" name="Sloupec5" dataDxfId="23">
      <calculatedColumnFormula>Tabulka201049577[[#This Row],[Sloupec3]]-Tabulka201049577[[#This Row],[Sloupec4]]</calculatedColumnFormula>
    </tableColumn>
  </tableColumns>
  <tableStyleInfo showFirstColumn="0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1F000000}" name="Tabulka201079410411612713921" displayName="Tabulka201079410411612713921" ref="A8:E14" headerRowCount="0" totalsRowShown="0" headerRowDxfId="22" tableBorderDxfId="21" totalsRowBorderDxfId="20">
  <tableColumns count="5">
    <tableColumn id="1" xr3:uid="{00000000-0010-0000-1F00-000001000000}" name="Sloupec1" dataDxfId="19"/>
    <tableColumn id="2" xr3:uid="{00000000-0010-0000-1F00-000002000000}" name="Sloupec2" dataDxfId="18"/>
    <tableColumn id="3" xr3:uid="{00000000-0010-0000-1F00-000003000000}" name="Sloupec3" dataDxfId="17" dataCellStyle="Normální 75"/>
    <tableColumn id="4" xr3:uid="{00000000-0010-0000-1F00-000004000000}" name="Sloupec4" dataDxfId="16"/>
    <tableColumn id="5" xr3:uid="{00000000-0010-0000-1F00-000005000000}" name="Sloupec5" dataDxfId="15"/>
  </tableColumns>
  <tableStyleInfo showFirstColumn="0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20000000}" name="Tabulka20107941041161271392124" displayName="Tabulka20107941041161271392124" ref="A20:E27" headerRowCount="0" totalsRowShown="0" tableBorderDxfId="14">
  <tableColumns count="5">
    <tableColumn id="1" xr3:uid="{00000000-0010-0000-2000-000001000000}" name="Sloupec1"/>
    <tableColumn id="2" xr3:uid="{00000000-0010-0000-2000-000002000000}" name="Sloupec2"/>
    <tableColumn id="3" xr3:uid="{00000000-0010-0000-2000-000003000000}" name="Sloupec3" dataDxfId="13" dataCellStyle="Normální 10"/>
    <tableColumn id="4" xr3:uid="{00000000-0010-0000-2000-000004000000}" name="Sloupec4"/>
    <tableColumn id="5" xr3:uid="{00000000-0010-0000-2000-000005000000}" name="Sloupec5"/>
  </tableColumns>
  <tableStyleInfo showFirstColumn="0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0000000-000C-0000-FFFF-FFFF21000000}" name="Tabulka20107941041161271392127" displayName="Tabulka20107941041161271392127" ref="A33:E34" headerRowCount="0" totalsRowShown="0" tableBorderDxfId="12">
  <tableColumns count="5">
    <tableColumn id="1" xr3:uid="{00000000-0010-0000-2100-000001000000}" name="Sloupec1"/>
    <tableColumn id="2" xr3:uid="{00000000-0010-0000-2100-000002000000}" name="Sloupec2"/>
    <tableColumn id="3" xr3:uid="{00000000-0010-0000-2100-000003000000}" name="Sloupec3" dataDxfId="11" dataCellStyle="Normální 10"/>
    <tableColumn id="4" xr3:uid="{00000000-0010-0000-2100-000004000000}" name="Sloupec4"/>
    <tableColumn id="5" xr3:uid="{00000000-0010-0000-2100-000005000000}" name="Sloupec5"/>
  </tableColumns>
  <tableStyleInfo showFirstColumn="0" showLastColumn="0" showRowStripes="1" showColumnStripes="0"/>
</table>
</file>

<file path=xl/tables/table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22000000}" name="Tabulka2010794104116127139141233036" displayName="Tabulka2010794104116127139141233036" ref="A27:E27" headerRowCount="0" totalsRowShown="0" headerRowDxfId="10" tableBorderDxfId="9" totalsRowBorderDxfId="8">
  <tableColumns count="5">
    <tableColumn id="1" xr3:uid="{00000000-0010-0000-2200-000001000000}" name="Sloupec1" dataDxfId="7"/>
    <tableColumn id="2" xr3:uid="{00000000-0010-0000-2200-000002000000}" name="Sloupec2" dataDxfId="6"/>
    <tableColumn id="3" xr3:uid="{00000000-0010-0000-2200-000003000000}" name="Sloupec3" dataDxfId="5" dataCellStyle="Normální 2"/>
    <tableColumn id="4" xr3:uid="{00000000-0010-0000-2200-000004000000}" name="Sloupec4" dataDxfId="4"/>
    <tableColumn id="5" xr3:uid="{00000000-0010-0000-2200-000005000000}" name="Sloupec5" dataDxfId="3"/>
  </tableColumns>
  <tableStyleInfo showFirstColumn="0" showLastColumn="0" showRowStripes="1" showColumnStripes="0"/>
</table>
</file>

<file path=xl/tables/table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0000000-000C-0000-FFFF-FFFF23000000}" name="Tabulka20107941041161271392129" displayName="Tabulka20107941041161271392129" ref="A8:E10" headerRowCount="0" totalsRowShown="0" tableBorderDxfId="2">
  <tableColumns count="5">
    <tableColumn id="1" xr3:uid="{00000000-0010-0000-2300-000001000000}" name="Sloupec1"/>
    <tableColumn id="2" xr3:uid="{00000000-0010-0000-2300-000002000000}" name="Sloupec2"/>
    <tableColumn id="3" xr3:uid="{00000000-0010-0000-2300-000003000000}" name="Sloupec3"/>
    <tableColumn id="4" xr3:uid="{00000000-0010-0000-2300-000004000000}" name="Sloupec4"/>
    <tableColumn id="5" xr3:uid="{00000000-0010-0000-2300-000005000000}" name="Sloupec5"/>
  </tableColumns>
  <tableStyleInfo showFirstColumn="0" showLastColumn="0" showRowStripes="1" showColumnStripes="0"/>
</table>
</file>

<file path=xl/tables/table3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00000000-000C-0000-FFFF-FFFF24000000}" name="Tabulka2010794104116127139212935" displayName="Tabulka2010794104116127139212935" ref="A16:E21" headerRowCount="0" totalsRowShown="0" tableBorderDxfId="1">
  <tableColumns count="5">
    <tableColumn id="1" xr3:uid="{00000000-0010-0000-2400-000001000000}" name="Sloupec1"/>
    <tableColumn id="2" xr3:uid="{00000000-0010-0000-2400-000002000000}" name="Sloupec2"/>
    <tableColumn id="3" xr3:uid="{00000000-0010-0000-2400-000003000000}" name="Sloupec3" dataDxfId="0" dataCellStyle="Normální 2"/>
    <tableColumn id="4" xr3:uid="{00000000-0010-0000-2400-000004000000}" name="Sloupec4"/>
    <tableColumn id="5" xr3:uid="{00000000-0010-0000-2400-000005000000}" name="Sloupec5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czechphone.cz/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6.xml"/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2.xml"/><Relationship Id="rId13" Type="http://schemas.openxmlformats.org/officeDocument/2006/relationships/table" Target="../tables/table17.xml"/><Relationship Id="rId3" Type="http://schemas.openxmlformats.org/officeDocument/2006/relationships/table" Target="../tables/table7.xml"/><Relationship Id="rId7" Type="http://schemas.openxmlformats.org/officeDocument/2006/relationships/table" Target="../tables/table11.xml"/><Relationship Id="rId12" Type="http://schemas.openxmlformats.org/officeDocument/2006/relationships/table" Target="../tables/table16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10.xml"/><Relationship Id="rId11" Type="http://schemas.openxmlformats.org/officeDocument/2006/relationships/table" Target="../tables/table15.xml"/><Relationship Id="rId5" Type="http://schemas.openxmlformats.org/officeDocument/2006/relationships/table" Target="../tables/table9.xml"/><Relationship Id="rId10" Type="http://schemas.openxmlformats.org/officeDocument/2006/relationships/table" Target="../tables/table14.xml"/><Relationship Id="rId4" Type="http://schemas.openxmlformats.org/officeDocument/2006/relationships/table" Target="../tables/table8.xml"/><Relationship Id="rId9" Type="http://schemas.openxmlformats.org/officeDocument/2006/relationships/table" Target="../tables/table13.xml"/><Relationship Id="rId14" Type="http://schemas.openxmlformats.org/officeDocument/2006/relationships/table" Target="../tables/table18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0.xml"/><Relationship Id="rId7" Type="http://schemas.openxmlformats.org/officeDocument/2006/relationships/table" Target="../tables/table24.xml"/><Relationship Id="rId2" Type="http://schemas.openxmlformats.org/officeDocument/2006/relationships/table" Target="../tables/table19.xml"/><Relationship Id="rId1" Type="http://schemas.openxmlformats.org/officeDocument/2006/relationships/drawing" Target="../drawings/drawing4.xml"/><Relationship Id="rId6" Type="http://schemas.openxmlformats.org/officeDocument/2006/relationships/table" Target="../tables/table23.xml"/><Relationship Id="rId5" Type="http://schemas.openxmlformats.org/officeDocument/2006/relationships/table" Target="../tables/table22.xml"/><Relationship Id="rId4" Type="http://schemas.openxmlformats.org/officeDocument/2006/relationships/table" Target="../tables/table21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table" Target="../tables/table31.xml"/><Relationship Id="rId3" Type="http://schemas.openxmlformats.org/officeDocument/2006/relationships/table" Target="../tables/table26.xml"/><Relationship Id="rId7" Type="http://schemas.openxmlformats.org/officeDocument/2006/relationships/table" Target="../tables/table30.xml"/><Relationship Id="rId2" Type="http://schemas.openxmlformats.org/officeDocument/2006/relationships/table" Target="../tables/table25.xml"/><Relationship Id="rId1" Type="http://schemas.openxmlformats.org/officeDocument/2006/relationships/drawing" Target="../drawings/drawing5.xml"/><Relationship Id="rId6" Type="http://schemas.openxmlformats.org/officeDocument/2006/relationships/table" Target="../tables/table29.xml"/><Relationship Id="rId5" Type="http://schemas.openxmlformats.org/officeDocument/2006/relationships/table" Target="../tables/table28.xml"/><Relationship Id="rId4" Type="http://schemas.openxmlformats.org/officeDocument/2006/relationships/table" Target="../tables/table27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3.xml"/><Relationship Id="rId2" Type="http://schemas.openxmlformats.org/officeDocument/2006/relationships/table" Target="../tables/table32.xml"/><Relationship Id="rId1" Type="http://schemas.openxmlformats.org/officeDocument/2006/relationships/drawing" Target="../drawings/drawing6.xml"/><Relationship Id="rId4" Type="http://schemas.openxmlformats.org/officeDocument/2006/relationships/table" Target="../tables/table3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5.x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Relationship Id="rId5" Type="http://schemas.openxmlformats.org/officeDocument/2006/relationships/table" Target="../tables/table37.xml"/><Relationship Id="rId4" Type="http://schemas.openxmlformats.org/officeDocument/2006/relationships/table" Target="../tables/table3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K74"/>
  <sheetViews>
    <sheetView tabSelected="1" zoomScaleNormal="100" workbookViewId="0">
      <pane ySplit="7" topLeftCell="A8" activePane="bottomLeft" state="frozen"/>
      <selection pane="bottomLeft" activeCell="J6" sqref="J6"/>
    </sheetView>
  </sheetViews>
  <sheetFormatPr defaultRowHeight="14.6" x14ac:dyDescent="0.4"/>
  <cols>
    <col min="1" max="2" width="9.15234375" style="1" customWidth="1"/>
    <col min="3" max="15" width="9.84375" style="1" customWidth="1"/>
    <col min="16" max="1025" width="9.15234375" style="1" customWidth="1"/>
  </cols>
  <sheetData>
    <row r="1" spans="2:16" ht="25.5" customHeight="1" x14ac:dyDescent="0.4">
      <c r="B1" s="2"/>
    </row>
    <row r="2" spans="2:16" ht="51.75" customHeight="1" x14ac:dyDescent="0.4">
      <c r="C2" s="231" t="s">
        <v>0</v>
      </c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31"/>
    </row>
    <row r="3" spans="2:16" ht="24.75" customHeight="1" x14ac:dyDescent="0.4">
      <c r="C3" s="231"/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</row>
    <row r="4" spans="2:16" ht="25.5" customHeight="1" x14ac:dyDescent="0.4">
      <c r="C4" s="231"/>
      <c r="D4" s="231"/>
      <c r="E4" s="231"/>
      <c r="F4" s="231"/>
      <c r="G4" s="231"/>
      <c r="H4" s="231"/>
      <c r="I4" s="231"/>
      <c r="J4" s="231"/>
      <c r="K4" s="231"/>
      <c r="L4" s="231"/>
      <c r="M4" s="231"/>
      <c r="N4" s="231"/>
      <c r="O4" s="231"/>
    </row>
    <row r="5" spans="2:16" ht="23.25" customHeight="1" x14ac:dyDescent="0.4"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2:16" ht="30" customHeight="1" x14ac:dyDescent="0.4">
      <c r="C6" s="3"/>
      <c r="D6" s="232"/>
      <c r="E6" s="232"/>
      <c r="F6" s="3"/>
      <c r="G6" s="233" t="s">
        <v>1</v>
      </c>
      <c r="H6" s="233"/>
      <c r="I6" s="233"/>
      <c r="J6" s="4">
        <v>0</v>
      </c>
      <c r="K6" s="5" t="s">
        <v>2</v>
      </c>
      <c r="L6" s="3"/>
      <c r="M6" s="3"/>
      <c r="N6" s="3"/>
      <c r="O6" s="3"/>
    </row>
    <row r="7" spans="2:16" ht="30" customHeight="1" x14ac:dyDescent="0.4">
      <c r="C7" s="3"/>
      <c r="D7" s="3"/>
      <c r="E7" s="3"/>
      <c r="F7" s="3"/>
      <c r="G7" s="3"/>
      <c r="H7" s="234" t="s">
        <v>3</v>
      </c>
      <c r="I7" s="234"/>
      <c r="J7" s="234"/>
      <c r="K7" s="3"/>
      <c r="L7" s="3"/>
      <c r="M7" s="3"/>
      <c r="N7" s="3"/>
      <c r="O7" s="3"/>
    </row>
    <row r="8" spans="2:16" ht="12" customHeight="1" x14ac:dyDescent="0.4">
      <c r="C8" s="3"/>
      <c r="D8" s="3"/>
      <c r="E8" s="3"/>
      <c r="F8" s="3"/>
      <c r="G8" s="3"/>
      <c r="H8" s="6"/>
      <c r="I8" s="6"/>
      <c r="J8" s="6"/>
      <c r="K8" s="3"/>
      <c r="L8" s="3"/>
      <c r="M8" s="3"/>
      <c r="N8" s="3"/>
      <c r="O8" s="3"/>
    </row>
    <row r="9" spans="2:16" ht="22.3" x14ac:dyDescent="0.5">
      <c r="C9" s="3"/>
      <c r="D9" s="3"/>
      <c r="E9" s="3"/>
      <c r="F9" s="3"/>
      <c r="G9" s="7"/>
      <c r="H9" s="7"/>
      <c r="I9" s="7"/>
      <c r="J9" s="8"/>
      <c r="K9" s="9"/>
      <c r="L9" s="3"/>
      <c r="M9" s="3"/>
      <c r="N9" s="3"/>
      <c r="O9" s="3"/>
    </row>
    <row r="10" spans="2:16" ht="24.9" x14ac:dyDescent="0.55000000000000004">
      <c r="C10" s="3"/>
      <c r="D10" s="215" t="s">
        <v>4</v>
      </c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3"/>
    </row>
    <row r="11" spans="2:16" s="10" customFormat="1" ht="18" x14ac:dyDescent="0.45">
      <c r="C11" s="11"/>
      <c r="D11" s="12"/>
      <c r="E11" s="227" t="s">
        <v>5</v>
      </c>
      <c r="F11" s="227"/>
      <c r="G11" s="227"/>
      <c r="H11" s="227" t="s">
        <v>6</v>
      </c>
      <c r="I11" s="227"/>
      <c r="J11" s="227"/>
      <c r="K11" s="227" t="s">
        <v>7</v>
      </c>
      <c r="L11" s="227"/>
      <c r="M11" s="227"/>
      <c r="N11" s="13"/>
      <c r="O11" s="11"/>
      <c r="P11" s="14"/>
    </row>
    <row r="12" spans="2:16" ht="19.5" customHeight="1" x14ac:dyDescent="0.4">
      <c r="C12" s="3"/>
      <c r="D12" s="3"/>
      <c r="E12" s="228"/>
      <c r="F12" s="228"/>
      <c r="G12" s="228"/>
      <c r="H12" s="229"/>
      <c r="I12" s="229"/>
      <c r="J12" s="229"/>
      <c r="K12" s="230"/>
      <c r="L12" s="230"/>
      <c r="M12" s="230"/>
      <c r="N12" s="3"/>
      <c r="O12" s="3"/>
      <c r="P12" s="15"/>
    </row>
    <row r="13" spans="2:16" ht="19.5" customHeight="1" x14ac:dyDescent="0.4">
      <c r="C13" s="3"/>
      <c r="D13" s="3"/>
      <c r="E13" s="16"/>
      <c r="F13" s="17"/>
      <c r="G13" s="17"/>
      <c r="H13" s="16"/>
      <c r="I13" s="17"/>
      <c r="J13" s="17"/>
      <c r="K13" s="16"/>
      <c r="L13" s="17"/>
      <c r="M13" s="17"/>
      <c r="N13" s="3"/>
      <c r="O13" s="3"/>
    </row>
    <row r="14" spans="2:16" ht="19.5" customHeight="1" x14ac:dyDescent="0.4">
      <c r="C14" s="3"/>
      <c r="D14" s="3"/>
      <c r="E14" s="18"/>
      <c r="F14" s="3"/>
      <c r="G14" s="3"/>
      <c r="H14" s="18"/>
      <c r="I14" s="3"/>
      <c r="J14" s="3"/>
      <c r="K14" s="18"/>
      <c r="L14" s="3"/>
      <c r="M14" s="3"/>
      <c r="N14" s="3"/>
      <c r="O14" s="3"/>
    </row>
    <row r="15" spans="2:16" ht="15" customHeight="1" x14ac:dyDescent="0.4">
      <c r="C15" s="3"/>
      <c r="D15" s="3"/>
      <c r="E15" s="18"/>
      <c r="F15" s="19"/>
      <c r="G15" s="19"/>
      <c r="H15" s="19"/>
      <c r="I15" s="19"/>
      <c r="J15" s="19"/>
      <c r="K15" s="19"/>
      <c r="L15" s="19"/>
      <c r="M15" s="19"/>
      <c r="N15" s="19"/>
      <c r="O15" s="20"/>
    </row>
    <row r="16" spans="2:16" ht="24.9" x14ac:dyDescent="0.55000000000000004">
      <c r="C16" s="3"/>
      <c r="D16" s="215" t="s">
        <v>8</v>
      </c>
      <c r="E16" s="215"/>
      <c r="F16" s="215"/>
      <c r="G16" s="215"/>
      <c r="H16" s="215"/>
      <c r="I16" s="215"/>
      <c r="J16" s="215"/>
      <c r="K16" s="215"/>
      <c r="L16" s="215"/>
      <c r="M16" s="215"/>
      <c r="N16" s="215"/>
      <c r="O16" s="3"/>
    </row>
    <row r="17" spans="3:15" ht="15" customHeight="1" x14ac:dyDescent="0.9">
      <c r="C17" s="3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3"/>
    </row>
    <row r="18" spans="3:15" x14ac:dyDescent="0.4">
      <c r="C18" s="225"/>
      <c r="D18" s="225"/>
      <c r="E18" s="225"/>
      <c r="F18" s="225"/>
      <c r="G18" s="225"/>
      <c r="H18" s="225"/>
      <c r="I18" s="225"/>
      <c r="J18" s="225"/>
      <c r="K18" s="225"/>
      <c r="L18" s="225"/>
      <c r="M18" s="225"/>
      <c r="N18" s="225"/>
      <c r="O18" s="225"/>
    </row>
    <row r="19" spans="3:15" ht="27" x14ac:dyDescent="0.6">
      <c r="C19" s="226" t="s">
        <v>9</v>
      </c>
      <c r="D19" s="226"/>
      <c r="E19" s="226"/>
      <c r="F19" s="226"/>
      <c r="G19" s="226"/>
      <c r="H19" s="226"/>
      <c r="I19" s="226"/>
      <c r="J19" s="226"/>
      <c r="K19" s="226"/>
      <c r="L19" s="226"/>
      <c r="M19" s="226"/>
      <c r="N19" s="226"/>
      <c r="O19" s="226"/>
    </row>
    <row r="20" spans="3:15" ht="30" customHeight="1" x14ac:dyDescent="0.4">
      <c r="C20" s="225" t="s">
        <v>10</v>
      </c>
      <c r="D20" s="225"/>
      <c r="E20" s="225"/>
      <c r="F20" s="225"/>
      <c r="G20" s="225"/>
      <c r="H20" s="225"/>
      <c r="I20" s="225"/>
      <c r="J20" s="225"/>
      <c r="K20" s="225"/>
      <c r="L20" s="225"/>
      <c r="M20" s="225"/>
      <c r="N20" s="225"/>
      <c r="O20" s="225"/>
    </row>
    <row r="21" spans="3:15" ht="18" x14ac:dyDescent="0.45">
      <c r="C21" s="11"/>
      <c r="D21" s="216" t="s">
        <v>11</v>
      </c>
      <c r="E21" s="216"/>
      <c r="F21" s="216"/>
      <c r="G21" s="216"/>
      <c r="H21" s="216"/>
      <c r="I21" s="216"/>
      <c r="J21" s="216"/>
      <c r="K21" s="216"/>
      <c r="L21" s="216"/>
      <c r="M21" s="216"/>
      <c r="N21" s="216"/>
      <c r="O21" s="11"/>
    </row>
    <row r="22" spans="3:15" ht="18" x14ac:dyDescent="0.45">
      <c r="C22" s="11"/>
      <c r="D22" s="210" t="s">
        <v>12</v>
      </c>
      <c r="E22" s="210"/>
      <c r="F22" s="210"/>
      <c r="G22" s="210"/>
      <c r="H22" s="210"/>
      <c r="I22" s="210"/>
      <c r="J22" s="210"/>
      <c r="K22" s="210"/>
      <c r="L22" s="210"/>
      <c r="M22" s="210"/>
      <c r="N22" s="210"/>
      <c r="O22" s="11"/>
    </row>
    <row r="23" spans="3:15" ht="18" x14ac:dyDescent="0.45">
      <c r="C23" s="11"/>
      <c r="D23" s="210" t="s">
        <v>13</v>
      </c>
      <c r="E23" s="210"/>
      <c r="F23" s="210"/>
      <c r="G23" s="210"/>
      <c r="H23" s="210"/>
      <c r="I23" s="210"/>
      <c r="J23" s="210"/>
      <c r="K23" s="210"/>
      <c r="L23" s="210"/>
      <c r="M23" s="210"/>
      <c r="N23" s="210"/>
      <c r="O23" s="11"/>
    </row>
    <row r="24" spans="3:15" ht="17.600000000000001" x14ac:dyDescent="0.4">
      <c r="C24" s="11"/>
      <c r="D24" s="224"/>
      <c r="E24" s="224"/>
      <c r="F24" s="224"/>
      <c r="G24" s="224"/>
      <c r="H24" s="224"/>
      <c r="I24" s="224"/>
      <c r="J24" s="224"/>
      <c r="K24" s="224"/>
      <c r="L24" s="224"/>
      <c r="M24" s="224"/>
      <c r="N24" s="224"/>
      <c r="O24" s="11"/>
    </row>
    <row r="25" spans="3:15" ht="18" x14ac:dyDescent="0.45">
      <c r="C25" s="11"/>
      <c r="D25" s="210" t="s">
        <v>14</v>
      </c>
      <c r="E25" s="210"/>
      <c r="F25" s="210"/>
      <c r="G25" s="210"/>
      <c r="H25" s="210"/>
      <c r="I25" s="210"/>
      <c r="J25" s="210"/>
      <c r="K25" s="210"/>
      <c r="L25" s="210"/>
      <c r="M25" s="210"/>
      <c r="N25" s="210"/>
      <c r="O25" s="11"/>
    </row>
    <row r="26" spans="3:15" ht="18" x14ac:dyDescent="0.45">
      <c r="C26" s="11"/>
      <c r="D26" s="210" t="s">
        <v>15</v>
      </c>
      <c r="E26" s="210"/>
      <c r="F26" s="210"/>
      <c r="G26" s="210"/>
      <c r="H26" s="210"/>
      <c r="I26" s="210"/>
      <c r="J26" s="210"/>
      <c r="K26" s="210"/>
      <c r="L26" s="210"/>
      <c r="M26" s="210"/>
      <c r="N26" s="210"/>
      <c r="O26" s="11"/>
    </row>
    <row r="27" spans="3:15" ht="18" x14ac:dyDescent="0.45">
      <c r="C27" s="11"/>
      <c r="D27" s="211" t="s">
        <v>16</v>
      </c>
      <c r="E27" s="211"/>
      <c r="F27" s="211"/>
      <c r="G27" s="211"/>
      <c r="H27" s="211"/>
      <c r="I27" s="211"/>
      <c r="J27" s="211"/>
      <c r="K27" s="211"/>
      <c r="L27" s="211"/>
      <c r="M27" s="211"/>
      <c r="N27" s="211"/>
      <c r="O27" s="11"/>
    </row>
    <row r="28" spans="3:15" ht="24" customHeight="1" x14ac:dyDescent="0.4">
      <c r="C28" s="221"/>
      <c r="D28" s="221"/>
      <c r="E28" s="221"/>
      <c r="F28" s="221"/>
      <c r="G28" s="221"/>
      <c r="H28" s="221"/>
      <c r="I28" s="221"/>
      <c r="J28" s="221"/>
      <c r="K28" s="221"/>
      <c r="L28" s="221"/>
      <c r="M28" s="221"/>
      <c r="N28" s="221"/>
      <c r="O28" s="221"/>
    </row>
    <row r="29" spans="3:15" ht="15" customHeight="1" x14ac:dyDescent="0.4">
      <c r="C29" s="22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</row>
    <row r="30" spans="3:15" ht="15" customHeight="1" x14ac:dyDescent="0.4">
      <c r="C30" s="22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</row>
    <row r="31" spans="3:15" ht="15" customHeight="1" x14ac:dyDescent="0.4">
      <c r="C31" s="3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3"/>
    </row>
    <row r="32" spans="3:15" x14ac:dyDescent="0.4">
      <c r="C32" s="222"/>
      <c r="D32" s="222"/>
      <c r="E32" s="222"/>
      <c r="F32" s="222"/>
      <c r="G32" s="222"/>
      <c r="H32" s="222"/>
      <c r="I32" s="222"/>
      <c r="J32" s="222"/>
      <c r="K32" s="222"/>
      <c r="L32" s="222"/>
      <c r="M32" s="222"/>
      <c r="N32" s="222"/>
      <c r="O32" s="222"/>
    </row>
    <row r="33" spans="3:15" ht="30.45" x14ac:dyDescent="0.6">
      <c r="C33" s="223" t="s">
        <v>17</v>
      </c>
      <c r="D33" s="223"/>
      <c r="E33" s="223"/>
      <c r="F33" s="223"/>
      <c r="G33" s="223"/>
      <c r="H33" s="223"/>
      <c r="I33" s="223"/>
      <c r="J33" s="223"/>
      <c r="K33" s="223"/>
      <c r="L33" s="223"/>
      <c r="M33" s="223"/>
      <c r="N33" s="223"/>
      <c r="O33" s="223"/>
    </row>
    <row r="34" spans="3:15" ht="30" customHeight="1" x14ac:dyDescent="0.4">
      <c r="C34" s="222" t="s">
        <v>18</v>
      </c>
      <c r="D34" s="222"/>
      <c r="E34" s="222"/>
      <c r="F34" s="222"/>
      <c r="G34" s="222"/>
      <c r="H34" s="222"/>
      <c r="I34" s="222"/>
      <c r="J34" s="222"/>
      <c r="K34" s="222"/>
      <c r="L34" s="222"/>
      <c r="M34" s="222"/>
      <c r="N34" s="222"/>
      <c r="O34" s="222"/>
    </row>
    <row r="35" spans="3:15" ht="18" x14ac:dyDescent="0.45">
      <c r="C35" s="11"/>
      <c r="D35" s="216" t="s">
        <v>11</v>
      </c>
      <c r="E35" s="216"/>
      <c r="F35" s="216"/>
      <c r="G35" s="216"/>
      <c r="H35" s="216"/>
      <c r="I35" s="216"/>
      <c r="J35" s="216"/>
      <c r="K35" s="216"/>
      <c r="L35" s="216"/>
      <c r="M35" s="216"/>
      <c r="N35" s="216"/>
      <c r="O35" s="11"/>
    </row>
    <row r="36" spans="3:15" ht="18" x14ac:dyDescent="0.45">
      <c r="C36" s="11"/>
      <c r="D36" s="210" t="s">
        <v>12</v>
      </c>
      <c r="E36" s="210"/>
      <c r="F36" s="210"/>
      <c r="G36" s="210"/>
      <c r="H36" s="210"/>
      <c r="I36" s="210"/>
      <c r="J36" s="210"/>
      <c r="K36" s="210"/>
      <c r="L36" s="210"/>
      <c r="M36" s="210"/>
      <c r="N36" s="210"/>
      <c r="O36" s="11"/>
    </row>
    <row r="37" spans="3:15" ht="18" x14ac:dyDescent="0.45">
      <c r="C37" s="11"/>
      <c r="D37" s="211" t="s">
        <v>13</v>
      </c>
      <c r="E37" s="211"/>
      <c r="F37" s="211"/>
      <c r="G37" s="211"/>
      <c r="H37" s="211"/>
      <c r="I37" s="211"/>
      <c r="J37" s="211"/>
      <c r="K37" s="211"/>
      <c r="L37" s="211"/>
      <c r="M37" s="211"/>
      <c r="N37" s="211"/>
      <c r="O37" s="11"/>
    </row>
    <row r="38" spans="3:15" ht="24" customHeight="1" x14ac:dyDescent="0.4">
      <c r="C38" s="220"/>
      <c r="D38" s="220"/>
      <c r="E38" s="220"/>
      <c r="F38" s="220"/>
      <c r="G38" s="220"/>
      <c r="H38" s="220"/>
      <c r="I38" s="220"/>
      <c r="J38" s="220"/>
      <c r="K38" s="220"/>
      <c r="L38" s="220"/>
      <c r="M38" s="220"/>
      <c r="N38" s="220"/>
      <c r="O38" s="220"/>
    </row>
    <row r="39" spans="3:15" ht="15" customHeight="1" x14ac:dyDescent="0.9">
      <c r="C39" s="3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"/>
    </row>
    <row r="40" spans="3:15" ht="15" customHeight="1" x14ac:dyDescent="0.9">
      <c r="C40" s="3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"/>
    </row>
    <row r="41" spans="3:15" ht="15" customHeight="1" x14ac:dyDescent="0.9">
      <c r="C41" s="3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3"/>
    </row>
    <row r="42" spans="3:15" x14ac:dyDescent="0.4">
      <c r="C42" s="219"/>
      <c r="D42" s="219"/>
      <c r="E42" s="219"/>
      <c r="F42" s="219"/>
      <c r="G42" s="219"/>
      <c r="H42" s="219"/>
      <c r="I42" s="219"/>
      <c r="J42" s="219"/>
      <c r="K42" s="219"/>
      <c r="L42" s="219"/>
      <c r="M42" s="219"/>
      <c r="N42" s="219"/>
      <c r="O42" s="219"/>
    </row>
    <row r="43" spans="3:15" ht="27" x14ac:dyDescent="0.6">
      <c r="C43" s="218" t="s">
        <v>19</v>
      </c>
      <c r="D43" s="218"/>
      <c r="E43" s="218"/>
      <c r="F43" s="218"/>
      <c r="G43" s="218"/>
      <c r="H43" s="218"/>
      <c r="I43" s="218"/>
      <c r="J43" s="218"/>
      <c r="K43" s="218"/>
      <c r="L43" s="218"/>
      <c r="M43" s="218"/>
      <c r="N43" s="218"/>
      <c r="O43" s="218"/>
    </row>
    <row r="44" spans="3:15" ht="30" customHeight="1" x14ac:dyDescent="0.4">
      <c r="C44" s="219" t="s">
        <v>20</v>
      </c>
      <c r="D44" s="219"/>
      <c r="E44" s="219"/>
      <c r="F44" s="219"/>
      <c r="G44" s="219"/>
      <c r="H44" s="219"/>
      <c r="I44" s="219"/>
      <c r="J44" s="219"/>
      <c r="K44" s="219"/>
      <c r="L44" s="219"/>
      <c r="M44" s="219"/>
      <c r="N44" s="219"/>
      <c r="O44" s="219"/>
    </row>
    <row r="45" spans="3:15" ht="18" x14ac:dyDescent="0.45">
      <c r="C45" s="11"/>
      <c r="D45" s="216" t="s">
        <v>11</v>
      </c>
      <c r="E45" s="216"/>
      <c r="F45" s="216"/>
      <c r="G45" s="216"/>
      <c r="H45" s="216"/>
      <c r="I45" s="216"/>
      <c r="J45" s="216"/>
      <c r="K45" s="216"/>
      <c r="L45" s="216"/>
      <c r="M45" s="216"/>
      <c r="N45" s="216"/>
      <c r="O45" s="11"/>
    </row>
    <row r="46" spans="3:15" ht="18" x14ac:dyDescent="0.45">
      <c r="C46" s="11"/>
      <c r="D46" s="210" t="s">
        <v>12</v>
      </c>
      <c r="E46" s="210"/>
      <c r="F46" s="210"/>
      <c r="G46" s="210"/>
      <c r="H46" s="210"/>
      <c r="I46" s="210"/>
      <c r="J46" s="210"/>
      <c r="K46" s="210"/>
      <c r="L46" s="210"/>
      <c r="M46" s="210"/>
      <c r="N46" s="210"/>
      <c r="O46" s="11"/>
    </row>
    <row r="47" spans="3:15" ht="18" x14ac:dyDescent="0.45">
      <c r="C47" s="11"/>
      <c r="D47" s="211" t="s">
        <v>13</v>
      </c>
      <c r="E47" s="211"/>
      <c r="F47" s="211"/>
      <c r="G47" s="211"/>
      <c r="H47" s="211"/>
      <c r="I47" s="211"/>
      <c r="J47" s="211"/>
      <c r="K47" s="211"/>
      <c r="L47" s="211"/>
      <c r="M47" s="211"/>
      <c r="N47" s="211"/>
      <c r="O47" s="11"/>
    </row>
    <row r="48" spans="3:15" ht="18" x14ac:dyDescent="0.45">
      <c r="C48" s="11"/>
      <c r="D48" s="211" t="s">
        <v>300</v>
      </c>
      <c r="E48" s="211"/>
      <c r="F48" s="211"/>
      <c r="G48" s="211"/>
      <c r="H48" s="211"/>
      <c r="I48" s="211"/>
      <c r="J48" s="211"/>
      <c r="K48" s="211"/>
      <c r="L48" s="211"/>
      <c r="M48" s="211"/>
      <c r="N48" s="211"/>
      <c r="O48" s="11"/>
    </row>
    <row r="49" spans="3:15" ht="24" customHeight="1" x14ac:dyDescent="0.4">
      <c r="C49" s="217"/>
      <c r="D49" s="217"/>
      <c r="E49" s="217"/>
      <c r="F49" s="217"/>
      <c r="G49" s="217"/>
      <c r="H49" s="217"/>
      <c r="I49" s="217"/>
      <c r="J49" s="217"/>
      <c r="K49" s="217"/>
      <c r="L49" s="217"/>
      <c r="M49" s="217"/>
      <c r="N49" s="217"/>
      <c r="O49" s="217"/>
    </row>
    <row r="50" spans="3:15" ht="15" customHeight="1" x14ac:dyDescent="0.4">
      <c r="C50" s="22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</row>
    <row r="51" spans="3:15" ht="15" customHeight="1" x14ac:dyDescent="0.4">
      <c r="C51" s="22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</row>
    <row r="52" spans="3:15" ht="15" customHeight="1" x14ac:dyDescent="0.4">
      <c r="C52" s="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3"/>
    </row>
    <row r="53" spans="3:15" ht="24.9" x14ac:dyDescent="0.55000000000000004">
      <c r="C53" s="3"/>
      <c r="D53" s="215" t="s">
        <v>21</v>
      </c>
      <c r="E53" s="215"/>
      <c r="F53" s="215"/>
      <c r="G53" s="215"/>
      <c r="H53" s="215"/>
      <c r="I53" s="215"/>
      <c r="J53" s="215"/>
      <c r="K53" s="215"/>
      <c r="L53" s="215"/>
      <c r="M53" s="215"/>
      <c r="N53" s="215"/>
      <c r="O53" s="3"/>
    </row>
    <row r="54" spans="3:15" ht="17.600000000000001" x14ac:dyDescent="0.4">
      <c r="C54" s="212"/>
      <c r="D54" s="212"/>
      <c r="E54" s="212"/>
      <c r="F54" s="212"/>
      <c r="G54" s="212"/>
      <c r="H54" s="212"/>
      <c r="I54" s="212"/>
      <c r="J54" s="212"/>
      <c r="K54" s="212"/>
      <c r="L54" s="212"/>
      <c r="M54" s="212"/>
      <c r="N54" s="212"/>
      <c r="O54" s="212"/>
    </row>
    <row r="55" spans="3:15" ht="18" x14ac:dyDescent="0.45">
      <c r="C55" s="11"/>
      <c r="D55" s="216" t="s">
        <v>22</v>
      </c>
      <c r="E55" s="216"/>
      <c r="F55" s="216"/>
      <c r="G55" s="216"/>
      <c r="H55" s="216"/>
      <c r="I55" s="216"/>
      <c r="J55" s="216"/>
      <c r="K55" s="216"/>
      <c r="L55" s="216"/>
      <c r="M55" s="216"/>
      <c r="N55" s="216"/>
      <c r="O55" s="11"/>
    </row>
    <row r="56" spans="3:15" ht="18" x14ac:dyDescent="0.45">
      <c r="C56" s="11"/>
      <c r="D56" s="210" t="s">
        <v>23</v>
      </c>
      <c r="E56" s="210"/>
      <c r="F56" s="210"/>
      <c r="G56" s="210"/>
      <c r="H56" s="210"/>
      <c r="I56" s="210"/>
      <c r="J56" s="210"/>
      <c r="K56" s="210"/>
      <c r="L56" s="210"/>
      <c r="M56" s="210"/>
      <c r="N56" s="210"/>
      <c r="O56" s="11"/>
    </row>
    <row r="57" spans="3:15" ht="18" x14ac:dyDescent="0.45">
      <c r="C57" s="11"/>
      <c r="D57" s="211" t="s">
        <v>24</v>
      </c>
      <c r="E57" s="211"/>
      <c r="F57" s="211"/>
      <c r="G57" s="211"/>
      <c r="H57" s="211"/>
      <c r="I57" s="211"/>
      <c r="J57" s="211"/>
      <c r="K57" s="211"/>
      <c r="L57" s="211"/>
      <c r="M57" s="211"/>
      <c r="N57" s="211"/>
      <c r="O57" s="11"/>
    </row>
    <row r="58" spans="3:15" ht="17.600000000000001" x14ac:dyDescent="0.4"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</row>
    <row r="59" spans="3:15" ht="17.600000000000001" x14ac:dyDescent="0.4">
      <c r="C59" s="212"/>
      <c r="D59" s="212"/>
      <c r="E59" s="212"/>
      <c r="F59" s="212"/>
      <c r="G59" s="212"/>
      <c r="H59" s="212"/>
      <c r="I59" s="212"/>
      <c r="J59" s="212"/>
      <c r="K59" s="212"/>
      <c r="L59" s="212"/>
      <c r="M59" s="212"/>
      <c r="N59" s="212"/>
      <c r="O59" s="212"/>
    </row>
    <row r="60" spans="3:15" x14ac:dyDescent="0.4">
      <c r="C60" s="3"/>
      <c r="D60" s="3"/>
      <c r="E60" s="18"/>
      <c r="F60" s="3"/>
      <c r="G60" s="3"/>
      <c r="H60" s="18"/>
      <c r="I60" s="3"/>
      <c r="J60" s="3"/>
      <c r="K60" s="18"/>
      <c r="L60" s="3"/>
      <c r="M60" s="3"/>
      <c r="N60" s="3"/>
      <c r="O60" s="3"/>
    </row>
    <row r="61" spans="3:15" x14ac:dyDescent="0.4">
      <c r="C61" s="3"/>
      <c r="D61" s="3"/>
      <c r="E61" s="18"/>
      <c r="F61" s="19"/>
      <c r="G61" s="19"/>
      <c r="H61" s="19"/>
      <c r="I61" s="19"/>
      <c r="J61" s="19"/>
      <c r="K61" s="19"/>
      <c r="L61" s="19"/>
      <c r="M61" s="19"/>
      <c r="N61" s="19"/>
      <c r="O61" s="20"/>
    </row>
    <row r="62" spans="3:15" ht="24.9" x14ac:dyDescent="0.55000000000000004">
      <c r="C62" s="3"/>
      <c r="D62" s="215" t="s">
        <v>25</v>
      </c>
      <c r="E62" s="215"/>
      <c r="F62" s="215"/>
      <c r="G62" s="215"/>
      <c r="H62" s="215"/>
      <c r="I62" s="215"/>
      <c r="J62" s="215"/>
      <c r="K62" s="215"/>
      <c r="L62" s="215"/>
      <c r="M62" s="215"/>
      <c r="N62" s="215"/>
      <c r="O62" s="3"/>
    </row>
    <row r="63" spans="3:15" ht="17.600000000000001" x14ac:dyDescent="0.4">
      <c r="C63" s="212"/>
      <c r="D63" s="212"/>
      <c r="E63" s="212"/>
      <c r="F63" s="212"/>
      <c r="G63" s="212"/>
      <c r="H63" s="212"/>
      <c r="I63" s="212"/>
      <c r="J63" s="212"/>
      <c r="K63" s="212"/>
      <c r="L63" s="212"/>
      <c r="M63" s="212"/>
      <c r="N63" s="212"/>
      <c r="O63" s="212"/>
    </row>
    <row r="64" spans="3:15" ht="18" x14ac:dyDescent="0.45">
      <c r="C64" s="11"/>
      <c r="D64" s="216" t="s">
        <v>26</v>
      </c>
      <c r="E64" s="216"/>
      <c r="F64" s="216"/>
      <c r="G64" s="216"/>
      <c r="H64" s="216"/>
      <c r="I64" s="216"/>
      <c r="J64" s="216"/>
      <c r="K64" s="216"/>
      <c r="L64" s="216"/>
      <c r="M64" s="216"/>
      <c r="N64" s="216"/>
      <c r="O64" s="11"/>
    </row>
    <row r="65" spans="2:16" ht="18" x14ac:dyDescent="0.45">
      <c r="C65" s="11"/>
      <c r="D65" s="210" t="s">
        <v>27</v>
      </c>
      <c r="E65" s="210"/>
      <c r="F65" s="210"/>
      <c r="G65" s="210"/>
      <c r="H65" s="210"/>
      <c r="I65" s="210"/>
      <c r="J65" s="210"/>
      <c r="K65" s="210"/>
      <c r="L65" s="210"/>
      <c r="M65" s="210"/>
      <c r="N65" s="210"/>
      <c r="O65" s="11"/>
    </row>
    <row r="66" spans="2:16" ht="18" x14ac:dyDescent="0.45">
      <c r="C66" s="11"/>
      <c r="D66" s="211" t="s">
        <v>28</v>
      </c>
      <c r="E66" s="211"/>
      <c r="F66" s="211"/>
      <c r="G66" s="211"/>
      <c r="H66" s="211"/>
      <c r="I66" s="211"/>
      <c r="J66" s="211"/>
      <c r="K66" s="211"/>
      <c r="L66" s="211"/>
      <c r="M66" s="211"/>
      <c r="N66" s="211"/>
      <c r="O66" s="11"/>
    </row>
    <row r="67" spans="2:16" ht="17.600000000000001" x14ac:dyDescent="0.4"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</row>
    <row r="68" spans="2:16" ht="17.600000000000001" x14ac:dyDescent="0.4">
      <c r="C68" s="212"/>
      <c r="D68" s="212"/>
      <c r="E68" s="212"/>
      <c r="F68" s="212"/>
      <c r="G68" s="212"/>
      <c r="H68" s="212"/>
      <c r="I68" s="212"/>
      <c r="J68" s="212"/>
      <c r="K68" s="212"/>
      <c r="L68" s="212"/>
      <c r="M68" s="212"/>
      <c r="N68" s="212"/>
      <c r="O68" s="212"/>
    </row>
    <row r="69" spans="2:16" ht="17.600000000000001" x14ac:dyDescent="0.4">
      <c r="C69" s="11"/>
      <c r="D69" s="213"/>
      <c r="E69" s="213"/>
      <c r="F69" s="213"/>
      <c r="G69" s="213"/>
      <c r="H69" s="213"/>
      <c r="I69" s="213"/>
      <c r="J69" s="213"/>
      <c r="K69" s="213"/>
      <c r="L69" s="213"/>
      <c r="M69" s="213"/>
      <c r="N69" s="213"/>
      <c r="O69" s="11"/>
    </row>
    <row r="70" spans="2:16" x14ac:dyDescent="0.4">
      <c r="B70" s="24"/>
      <c r="C70" s="25" t="s">
        <v>29</v>
      </c>
      <c r="D70" s="26"/>
      <c r="E70" s="26"/>
      <c r="F70" s="26"/>
      <c r="G70" s="26"/>
      <c r="H70" s="26"/>
      <c r="I70" s="27" t="s">
        <v>30</v>
      </c>
      <c r="J70" s="26"/>
      <c r="K70" s="26"/>
      <c r="L70" s="26"/>
      <c r="M70" s="26"/>
      <c r="N70" s="26"/>
      <c r="O70" s="28" t="s">
        <v>31</v>
      </c>
      <c r="P70" s="24"/>
    </row>
    <row r="71" spans="2:16" ht="13.75" customHeight="1" x14ac:dyDescent="0.4">
      <c r="C71" s="214" t="s">
        <v>32</v>
      </c>
      <c r="D71" s="214"/>
      <c r="E71" s="214"/>
      <c r="F71" s="214"/>
      <c r="G71" s="214"/>
      <c r="H71" s="214"/>
      <c r="I71" s="214"/>
      <c r="J71" s="214"/>
      <c r="K71" s="214"/>
      <c r="L71" s="214"/>
      <c r="M71" s="214"/>
      <c r="N71" s="214"/>
      <c r="O71" s="214"/>
    </row>
    <row r="72" spans="2:16" ht="14.25" customHeight="1" x14ac:dyDescent="0.4">
      <c r="C72" s="208" t="s">
        <v>33</v>
      </c>
      <c r="D72" s="208"/>
      <c r="E72" s="208"/>
      <c r="F72" s="208"/>
      <c r="G72" s="208"/>
      <c r="H72" s="208"/>
      <c r="I72" s="208"/>
      <c r="J72" s="208"/>
      <c r="K72" s="208"/>
      <c r="L72" s="208"/>
      <c r="M72" s="208"/>
      <c r="N72" s="208"/>
      <c r="O72" s="208"/>
    </row>
    <row r="73" spans="2:16" x14ac:dyDescent="0.4">
      <c r="C73" s="29"/>
      <c r="D73" s="29"/>
      <c r="E73" s="209" t="s">
        <v>34</v>
      </c>
      <c r="F73" s="209"/>
      <c r="G73" s="209"/>
      <c r="H73" s="209"/>
      <c r="I73" s="209"/>
      <c r="J73" s="209"/>
      <c r="K73" s="209"/>
      <c r="L73" s="209"/>
      <c r="M73" s="209"/>
      <c r="N73" s="29"/>
      <c r="O73" s="29"/>
    </row>
    <row r="74" spans="2:16" x14ac:dyDescent="0.4">
      <c r="C74" s="30"/>
      <c r="D74" s="30"/>
      <c r="E74" s="30"/>
      <c r="F74" s="30"/>
      <c r="G74" s="30"/>
      <c r="H74" s="30"/>
      <c r="I74" s="27" t="s">
        <v>30</v>
      </c>
      <c r="J74" s="30"/>
      <c r="K74" s="30"/>
      <c r="L74" s="30"/>
      <c r="M74" s="30"/>
      <c r="N74" s="30"/>
      <c r="O74" s="30"/>
    </row>
  </sheetData>
  <sheetProtection formatCells="0" formatColumns="0" formatRows="0" insertColumns="0" insertRows="0" insertHyperlinks="0" deleteColumns="0" deleteRows="0" sort="0" autoFilter="0" pivotTables="0"/>
  <protectedRanges>
    <protectedRange sqref="J6" name="Sleva_1"/>
  </protectedRanges>
  <mergeCells count="54">
    <mergeCell ref="C2:O4"/>
    <mergeCell ref="D6:E6"/>
    <mergeCell ref="G6:I6"/>
    <mergeCell ref="H7:J7"/>
    <mergeCell ref="D10:N10"/>
    <mergeCell ref="E11:G11"/>
    <mergeCell ref="H11:J11"/>
    <mergeCell ref="K11:M11"/>
    <mergeCell ref="E12:G12"/>
    <mergeCell ref="H12:J12"/>
    <mergeCell ref="K12:M12"/>
    <mergeCell ref="D16:N16"/>
    <mergeCell ref="C18:O18"/>
    <mergeCell ref="C19:O19"/>
    <mergeCell ref="C20:O20"/>
    <mergeCell ref="D21:N21"/>
    <mergeCell ref="D22:N22"/>
    <mergeCell ref="D23:N23"/>
    <mergeCell ref="D24:N24"/>
    <mergeCell ref="D25:N25"/>
    <mergeCell ref="D26:N26"/>
    <mergeCell ref="D27:N27"/>
    <mergeCell ref="C28:O28"/>
    <mergeCell ref="C32:O32"/>
    <mergeCell ref="C33:O33"/>
    <mergeCell ref="C34:O34"/>
    <mergeCell ref="D35:N35"/>
    <mergeCell ref="D36:N36"/>
    <mergeCell ref="D37:N37"/>
    <mergeCell ref="C38:O38"/>
    <mergeCell ref="C42:O42"/>
    <mergeCell ref="C43:O43"/>
    <mergeCell ref="C44:O44"/>
    <mergeCell ref="D45:N45"/>
    <mergeCell ref="D46:N46"/>
    <mergeCell ref="D48:N48"/>
    <mergeCell ref="D47:N47"/>
    <mergeCell ref="C49:O49"/>
    <mergeCell ref="D53:N53"/>
    <mergeCell ref="C54:O54"/>
    <mergeCell ref="D55:N55"/>
    <mergeCell ref="D56:N56"/>
    <mergeCell ref="D57:N57"/>
    <mergeCell ref="C59:O59"/>
    <mergeCell ref="D62:N62"/>
    <mergeCell ref="C63:O63"/>
    <mergeCell ref="D64:N64"/>
    <mergeCell ref="C72:O72"/>
    <mergeCell ref="E73:M73"/>
    <mergeCell ref="D65:N65"/>
    <mergeCell ref="D66:N66"/>
    <mergeCell ref="C68:O68"/>
    <mergeCell ref="D69:N69"/>
    <mergeCell ref="C71:O71"/>
  </mergeCells>
  <hyperlinks>
    <hyperlink ref="C2" r:id="rId1" xr:uid="{00000000-0004-0000-0000-000000000000}"/>
    <hyperlink ref="H7" location="OBSAH!I70" display="PŘEJÍT NA UPOZORNĚNÍ" xr:uid="{00000000-0004-0000-0000-000001000000}"/>
    <hyperlink ref="E11" location="'DOMOVNÍ TELEFONY'!A6" display="PRO SYS. MELODY" xr:uid="{00000000-0004-0000-0000-000002000000}"/>
    <hyperlink ref="H11" location="'DOMOVNÍ TELEFONY'!A15" display="PRO SYS. DUO plus+" xr:uid="{00000000-0004-0000-0000-000003000000}"/>
    <hyperlink ref="K11" location="'DOMOVNÍ TELEFONY'!A21" display="PRO SYS. DUO Standard" xr:uid="{00000000-0004-0000-0000-000004000000}"/>
    <hyperlink ref="D21" location="'MELODY E-INK S KLÁVESNICÍ'!A7" display="TABLA S KLÁVESNICÍ A ELEKTRONICKÝM PAPÍREM" xr:uid="{00000000-0004-0000-0000-000005000000}"/>
    <hyperlink ref="D22" location="'MELODY E-INK S KLÁVESNICÍ'!A39" display="TABLA S KLÁVESNICÍ, ELEKTRONICKÝM PAPÍREMA S PŘÍSTUPOVÝM SYSTÉMEM: RFID 125kHz (BIS)" xr:uid="{00000000-0004-0000-0000-000006000000}"/>
    <hyperlink ref="D23" location="'MELODY E-INK S KLÁVESNICÍ'!A69" display="TABLA S KLÁVESNICÍ, ELEKTRONICKÝM PAPÍREM A S PŘÍSTUPOVÝM SYSTÉMEM: RFID MIFARE" xr:uid="{00000000-0004-0000-0000-000007000000}"/>
    <hyperlink ref="D25" location="'MELODY E-INK S KLÁVESNICÍ'!A89" display="TABLA S KLÁVESNICÍ, ELEKTRONICKÝM PAPÍREM A KAMEROU" xr:uid="{00000000-0004-0000-0000-000008000000}"/>
    <hyperlink ref="D26" location="'MELODY E-INK S KLÁVESNICÍ'!A121" display="TABLA S KLÁVESNICÍ, ELEKTRONICKÝM PAPÍREM, KAMEROU A S PŘÍSTUPOVÝM SYSTÉMEM: RFID 125kHz (BIS)" xr:uid="{00000000-0004-0000-0000-000009000000}"/>
    <hyperlink ref="D27" location="'MELODY E-INK S KLÁVESNICÍ'!A141" display="TABLA S KLÁVESNICÍ, ELEKTRONICKÝM PAPÍREM, KAMEROU A S PŘÍSTUPOVÝM SYSTÉMEM: RFID MIFARE" xr:uid="{00000000-0004-0000-0000-00000A000000}"/>
    <hyperlink ref="D35" location="'DUO plus+ E-INK S KLÁVESNICÍ'!A7" display="TABLA S KLÁVESNICÍ A ELEKTRONICKÝM PAPÍREM" xr:uid="{00000000-0004-0000-0000-00000B000000}"/>
    <hyperlink ref="D36" location="'DUO plus+ E-INK S KLÁVESNICÍ'!A39" display="TABLA S KLÁVESNICÍ, ELEKTRONICKÝM PAPÍREMA S PŘÍSTUPOVÝM SYSTÉMEM: RFID 125kHz (BIS)" xr:uid="{00000000-0004-0000-0000-00000C000000}"/>
    <hyperlink ref="D37" location="'DUO plus+ E-INK S KLÁVESNICÍ'!A71" display="TABLA S KLÁVESNICÍ, ELEKTRONICKÝM PAPÍREM A S PŘÍSTUPOVÝM SYSTÉMEM: RFID MIFARE" xr:uid="{00000000-0004-0000-0000-00000D000000}"/>
    <hyperlink ref="D45" location="'DUO Standard E-INK S KLÁVESNICÍ'!A7" display="TABLA S KLÁVESNICÍ A ELEKTRONICKÝM PAPÍREM" xr:uid="{00000000-0004-0000-0000-00000E000000}"/>
    <hyperlink ref="D46" location="'DUO Standard E-INK S KLÁVESNICÍ'!A39" display="TABLA S KLÁVESNICÍ, ELEKTRONICKÝM PAPÍREMA S PŘÍSTUPOVÝM SYSTÉMEM: RFID 125kHz (BIS)" xr:uid="{00000000-0004-0000-0000-00000F000000}"/>
    <hyperlink ref="D48" location="'DUO Standard E-INK S KLÁVESNICÍ'!A71" display="TABLA S KLÁVESNICÍ, ELEKTRONICKÝM PAPÍREM A S PŘÍSTUPOVÝM SYSTÉMEM: RFID MIFARE" xr:uid="{00000000-0004-0000-0000-000010000000}"/>
    <hyperlink ref="D55" location="'DOPLŇKY K TABLŮM A TELEFONŮM'!A6" display="MONTÁŽNÍ KRABICE (MK) PRO TABLA GENOVA V RÁMKU (DO ZDI)" xr:uid="{00000000-0004-0000-0000-000011000000}"/>
    <hyperlink ref="D56" location="'DOPLŇKY K TABLŮM A TELEFONŮM'!A18" display="LÍMCE PROTI DEŠTI PRO TABLA DO ZDI (V RÁMKU)" xr:uid="{00000000-0004-0000-0000-000012000000}"/>
    <hyperlink ref="D57" location="'DOPLŇKY K TABLŮM A TELEFONŮM'!A31" display="KONFIGURÁTORY SYSTÉMŮ" xr:uid="{00000000-0004-0000-0000-000013000000}"/>
    <hyperlink ref="D64" location="'VŠE DO ROZVADĚČŮ A STOUPAČEK'!A6" display="NAPÁJECÍ MODULY" xr:uid="{00000000-0004-0000-0000-000014000000}"/>
    <hyperlink ref="D65" location="'VŠE DO ROZVADĚČŮ A STOUPAČEK'!A13" display="DISTRIBUTORY A ELEKTRONIKA PRO SYSTÉM MELODY" xr:uid="{00000000-0004-0000-0000-000015000000}"/>
    <hyperlink ref="D66" location="'VŠE DO ROZVADĚČŮ A STOUPAČEK'!A23" display="OSTATNÍ ELEKTRONIKA" xr:uid="{00000000-0004-0000-0000-000016000000}"/>
    <hyperlink ref="C70" location="OBSAH!I8" display="NAHORU ˄" xr:uid="{00000000-0004-0000-0000-000017000000}"/>
    <hyperlink ref="O70" location="OBSAH!I8" display="˄ NAHORU " xr:uid="{00000000-0004-0000-0000-000018000000}"/>
    <hyperlink ref="H11:J11" location="'DOMOVNÍ TELEFONY'!A14" display="PRO SYS. DUO plus+" xr:uid="{00000000-0004-0000-0000-000019000000}"/>
    <hyperlink ref="K11:M11" location="'DOMOVNÍ TELEFONY'!A20" display="PRO SYS. DUO Standard" xr:uid="{00000000-0004-0000-0000-00001A000000}"/>
    <hyperlink ref="D47" location="'DUO Standard E-INK S KLÁVESNICÍ'!A71" display="TABLA S KLÁVESNICÍ, ELEKTRONICKÝM PAPÍREM A S PŘÍSTUPOVÝM SYSTÉMEM: RFID MIFARE" xr:uid="{00000000-0004-0000-0000-00001B000000}"/>
  </hyperlinks>
  <pageMargins left="0.23611111111111099" right="0.23611111111111099" top="0.74791666666666701" bottom="0.74791666666666701" header="0.51180555555555496" footer="0.51180555555555496"/>
  <pageSetup paperSize="9" firstPageNumber="0" fitToHeight="0" orientation="portrait" horizontalDpi="300" verticalDpi="30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E6B9B8"/>
    <pageSetUpPr fitToPage="1"/>
  </sheetPr>
  <dimension ref="A1:AMK37"/>
  <sheetViews>
    <sheetView zoomScaleNormal="100" workbookViewId="0">
      <selection activeCell="A3" sqref="A3:E3"/>
    </sheetView>
  </sheetViews>
  <sheetFormatPr defaultRowHeight="14.6" x14ac:dyDescent="0.4"/>
  <cols>
    <col min="1" max="1" width="11" style="31" customWidth="1"/>
    <col min="2" max="2" width="44.69140625" style="32" customWidth="1"/>
    <col min="3" max="3" width="10.3046875" style="32" customWidth="1"/>
    <col min="4" max="4" width="10.3046875" style="1" customWidth="1"/>
    <col min="5" max="5" width="15.69140625" style="1" customWidth="1"/>
    <col min="6" max="1025" width="9.15234375" style="1" customWidth="1"/>
  </cols>
  <sheetData>
    <row r="1" spans="1:18" ht="15" customHeight="1" x14ac:dyDescent="0.4">
      <c r="A1" s="239" t="s">
        <v>35</v>
      </c>
      <c r="B1" s="239"/>
      <c r="C1" s="239"/>
      <c r="D1" s="239"/>
      <c r="E1" s="239"/>
      <c r="F1" s="240" t="s">
        <v>36</v>
      </c>
      <c r="G1" s="240"/>
      <c r="H1" s="240"/>
      <c r="I1" s="33">
        <f>OBSAH!J6</f>
        <v>0</v>
      </c>
      <c r="J1" s="34" t="s">
        <v>2</v>
      </c>
      <c r="K1" s="3"/>
      <c r="L1" s="3"/>
      <c r="M1" s="3"/>
    </row>
    <row r="2" spans="1:18" ht="15" customHeight="1" x14ac:dyDescent="0.4">
      <c r="A2" s="239" t="s">
        <v>37</v>
      </c>
      <c r="B2" s="239"/>
      <c r="C2" s="239"/>
      <c r="D2" s="239"/>
      <c r="E2" s="239"/>
      <c r="F2" s="241" t="s">
        <v>3</v>
      </c>
      <c r="G2" s="241"/>
      <c r="H2" s="241"/>
      <c r="I2" s="3"/>
      <c r="J2" s="3"/>
      <c r="K2" s="3"/>
      <c r="L2" s="3"/>
      <c r="M2" s="3"/>
    </row>
    <row r="3" spans="1:18" ht="33.9" x14ac:dyDescent="0.7">
      <c r="A3" s="242" t="s">
        <v>4</v>
      </c>
      <c r="B3" s="242"/>
      <c r="C3" s="242"/>
      <c r="D3" s="242"/>
      <c r="E3" s="242"/>
      <c r="F3" s="35"/>
      <c r="G3" s="3"/>
      <c r="H3" s="3"/>
      <c r="I3" s="3"/>
      <c r="J3" s="3"/>
      <c r="K3" s="3"/>
      <c r="L3" s="3"/>
      <c r="M3" s="3"/>
    </row>
    <row r="4" spans="1:18" ht="15" customHeight="1" x14ac:dyDescent="0.4">
      <c r="A4" s="36"/>
      <c r="B4" s="37"/>
      <c r="C4" s="37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8" ht="15" customHeight="1" x14ac:dyDescent="0.4">
      <c r="A5" s="36"/>
      <c r="B5" s="37"/>
      <c r="C5" s="37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8" ht="54" customHeight="1" x14ac:dyDescent="0.4">
      <c r="A6" s="235" t="s">
        <v>38</v>
      </c>
      <c r="B6" s="235"/>
      <c r="C6" s="235"/>
      <c r="D6" s="235"/>
      <c r="E6" s="235"/>
      <c r="F6" s="3"/>
      <c r="G6" s="3"/>
      <c r="H6" s="3"/>
      <c r="I6" s="3"/>
      <c r="J6" s="3"/>
      <c r="K6" s="3"/>
      <c r="L6" s="3"/>
      <c r="M6" s="3"/>
      <c r="N6" s="15"/>
    </row>
    <row r="7" spans="1:18" s="44" customFormat="1" ht="22.5" customHeight="1" x14ac:dyDescent="0.25">
      <c r="A7" s="38" t="s">
        <v>39</v>
      </c>
      <c r="B7" s="38" t="s">
        <v>40</v>
      </c>
      <c r="C7" s="39" t="s">
        <v>41</v>
      </c>
      <c r="D7" s="39" t="s">
        <v>42</v>
      </c>
      <c r="E7" s="40" t="s">
        <v>43</v>
      </c>
      <c r="F7" s="41"/>
      <c r="G7" s="236"/>
      <c r="H7" s="236"/>
      <c r="I7" s="236"/>
      <c r="J7" s="236"/>
      <c r="K7" s="236"/>
      <c r="L7" s="236"/>
      <c r="M7" s="41"/>
      <c r="N7" s="43"/>
    </row>
    <row r="8" spans="1:18" ht="14.25" customHeight="1" x14ac:dyDescent="0.4">
      <c r="A8" s="131">
        <v>4004004933</v>
      </c>
      <c r="B8" s="131" t="s">
        <v>44</v>
      </c>
      <c r="C8" s="146">
        <v>1978</v>
      </c>
      <c r="D8" s="132">
        <f>(OBSAH!$J$6/100)*Tabulka17415[[#This Row],[Sloupec3]]</f>
        <v>0</v>
      </c>
      <c r="E8" s="133">
        <f>Tabulka17415[[#This Row],[Sloupec3]]-Tabulka17415[[#This Row],[Sloupec4]]</f>
        <v>1978</v>
      </c>
      <c r="F8" s="3"/>
      <c r="G8" s="45"/>
      <c r="H8" s="46"/>
      <c r="I8" s="46"/>
      <c r="J8" s="46"/>
      <c r="K8" s="46"/>
      <c r="L8" s="46"/>
      <c r="M8" s="3"/>
    </row>
    <row r="9" spans="1:18" ht="14.25" customHeight="1" x14ac:dyDescent="0.4">
      <c r="A9" s="131">
        <v>4004005734</v>
      </c>
      <c r="B9" s="131" t="s">
        <v>45</v>
      </c>
      <c r="C9" s="146">
        <v>6276</v>
      </c>
      <c r="D9" s="132">
        <f>(OBSAH!$J$6/100)*Tabulka17415[[#This Row],[Sloupec3]]</f>
        <v>0</v>
      </c>
      <c r="E9" s="133">
        <f>Tabulka17415[[#This Row],[Sloupec3]]-Tabulka17415[[#This Row],[Sloupec4]]</f>
        <v>6276</v>
      </c>
      <c r="F9" s="3"/>
      <c r="G9" s="3"/>
      <c r="H9" s="3"/>
      <c r="I9" s="3"/>
      <c r="J9" s="3"/>
      <c r="K9" s="3"/>
      <c r="L9" s="3"/>
      <c r="M9" s="3"/>
      <c r="P9" s="47"/>
      <c r="Q9" s="47"/>
      <c r="R9" s="47"/>
    </row>
    <row r="10" spans="1:18" ht="14.25" customHeight="1" x14ac:dyDescent="0.4">
      <c r="A10" s="131">
        <v>4004005721</v>
      </c>
      <c r="B10" s="131" t="s">
        <v>46</v>
      </c>
      <c r="C10" s="146">
        <v>1619</v>
      </c>
      <c r="D10" s="132">
        <f>(OBSAH!$J$6/100)*Tabulka17411426[[#This Row],[Sloupec3]]</f>
        <v>0</v>
      </c>
      <c r="E10" s="133">
        <f>Tabulka17411426[[#This Row],[Sloupec3]]-Tabulka17411426[[#This Row],[Sloupec4]]</f>
        <v>1619</v>
      </c>
      <c r="F10" s="3"/>
      <c r="G10" s="3"/>
      <c r="H10" s="3"/>
      <c r="I10" s="3"/>
      <c r="J10" s="3"/>
      <c r="K10" s="3"/>
      <c r="L10" s="3"/>
      <c r="M10" s="3"/>
      <c r="P10" s="47"/>
      <c r="Q10" s="47"/>
      <c r="R10" s="47"/>
    </row>
    <row r="11" spans="1:18" ht="14.25" customHeight="1" x14ac:dyDescent="0.4">
      <c r="A11" s="134">
        <v>4004005664</v>
      </c>
      <c r="B11" s="134" t="s">
        <v>47</v>
      </c>
      <c r="C11" s="146">
        <v>7354</v>
      </c>
      <c r="D11" s="132">
        <f>(OBSAH!$J$6/100)*Tabulka17411426[[#This Row],[Sloupec3]]</f>
        <v>0</v>
      </c>
      <c r="E11" s="133">
        <f>Tabulka17411426[[#This Row],[Sloupec3]]-Tabulka17411426[[#This Row],[Sloupec4]]</f>
        <v>7354</v>
      </c>
      <c r="F11" s="3"/>
      <c r="G11" s="3"/>
      <c r="H11" s="3"/>
      <c r="I11" s="3"/>
      <c r="J11" s="3"/>
      <c r="K11" s="3"/>
      <c r="L11" s="3"/>
      <c r="M11" s="3"/>
      <c r="P11" s="47"/>
      <c r="Q11" s="47"/>
      <c r="R11" s="47"/>
    </row>
    <row r="12" spans="1:18" ht="14.25" customHeight="1" x14ac:dyDescent="0.4">
      <c r="A12" s="36"/>
      <c r="B12" s="37"/>
      <c r="C12" s="37"/>
      <c r="D12" s="3"/>
      <c r="E12" s="3"/>
      <c r="F12" s="3"/>
      <c r="G12" s="3"/>
      <c r="H12" s="3"/>
      <c r="I12" s="3"/>
      <c r="J12" s="3"/>
      <c r="K12" s="3"/>
      <c r="L12" s="3"/>
      <c r="M12" s="3"/>
      <c r="P12" s="47"/>
      <c r="Q12" s="47"/>
      <c r="R12" s="47"/>
    </row>
    <row r="13" spans="1:18" ht="14.25" customHeight="1" x14ac:dyDescent="0.4">
      <c r="A13" s="36"/>
      <c r="B13" s="37"/>
      <c r="C13" s="37"/>
      <c r="D13" s="3"/>
      <c r="E13" s="3"/>
      <c r="F13" s="3"/>
      <c r="G13" s="3"/>
      <c r="H13" s="3"/>
      <c r="I13" s="3"/>
      <c r="J13" s="3"/>
      <c r="K13" s="3"/>
      <c r="L13" s="3"/>
      <c r="M13" s="3"/>
      <c r="P13" s="47"/>
      <c r="Q13" s="47"/>
      <c r="R13" s="47"/>
    </row>
    <row r="14" spans="1:18" ht="54" customHeight="1" x14ac:dyDescent="0.4">
      <c r="A14" s="237" t="s">
        <v>48</v>
      </c>
      <c r="B14" s="237"/>
      <c r="C14" s="237"/>
      <c r="D14" s="237"/>
      <c r="E14" s="237"/>
      <c r="F14" s="3"/>
      <c r="G14" s="3"/>
      <c r="H14" s="3"/>
      <c r="I14" s="3"/>
      <c r="J14" s="3"/>
      <c r="K14" s="3"/>
      <c r="L14" s="3"/>
      <c r="M14" s="3"/>
      <c r="P14" s="47"/>
      <c r="Q14" s="47"/>
      <c r="R14" s="47"/>
    </row>
    <row r="15" spans="1:18" ht="22.5" customHeight="1" x14ac:dyDescent="0.4">
      <c r="A15" s="48" t="s">
        <v>39</v>
      </c>
      <c r="B15" s="48" t="s">
        <v>40</v>
      </c>
      <c r="C15" s="49" t="s">
        <v>41</v>
      </c>
      <c r="D15" s="49" t="s">
        <v>42</v>
      </c>
      <c r="E15" s="50" t="s">
        <v>43</v>
      </c>
      <c r="F15" s="3"/>
      <c r="G15" s="3"/>
      <c r="H15" s="3"/>
      <c r="I15" s="3"/>
      <c r="J15" s="3"/>
      <c r="K15" s="3"/>
      <c r="L15" s="3"/>
      <c r="M15" s="3"/>
    </row>
    <row r="16" spans="1:18" ht="14.25" customHeight="1" x14ac:dyDescent="0.4">
      <c r="A16" s="125">
        <v>4004004944</v>
      </c>
      <c r="B16" s="125" t="s">
        <v>49</v>
      </c>
      <c r="C16" s="147">
        <v>1422</v>
      </c>
      <c r="D16" s="126">
        <f>(OBSAH!$J$6/100)*Tabulka4214[[#This Row],[Sloupec3]]</f>
        <v>0</v>
      </c>
      <c r="E16" s="127">
        <f>Tabulka4214[[#This Row],[Sloupec3]]-Tabulka4214[[#This Row],[Sloupec4]]</f>
        <v>1422</v>
      </c>
      <c r="F16" s="3"/>
      <c r="G16" s="3"/>
      <c r="H16" s="3"/>
      <c r="I16" s="3"/>
      <c r="J16" s="3"/>
      <c r="K16" s="3"/>
      <c r="L16" s="3"/>
      <c r="M16" s="3"/>
      <c r="P16" s="47"/>
      <c r="Q16" s="47"/>
      <c r="R16" s="47"/>
    </row>
    <row r="17" spans="1:18" ht="14.25" customHeight="1" x14ac:dyDescent="0.4">
      <c r="A17" s="128">
        <v>4004005727</v>
      </c>
      <c r="B17" s="128" t="s">
        <v>50</v>
      </c>
      <c r="C17" s="148">
        <v>1283</v>
      </c>
      <c r="D17" s="129">
        <f>(OBSAH!$J$6/100)*Tabulka42523[[#This Row],[Sloupec3]]</f>
        <v>0</v>
      </c>
      <c r="E17" s="130">
        <f>Tabulka42523[[#This Row],[Sloupec3]]-Tabulka42523[[#This Row],[Sloupec4]]</f>
        <v>1283</v>
      </c>
      <c r="F17" s="3"/>
      <c r="G17" s="3"/>
      <c r="H17" s="3"/>
      <c r="I17" s="3"/>
      <c r="J17" s="3"/>
      <c r="K17" s="3"/>
      <c r="L17" s="3"/>
      <c r="M17" s="3"/>
      <c r="P17" s="47"/>
      <c r="Q17" s="47"/>
      <c r="R17" s="47"/>
    </row>
    <row r="18" spans="1:18" ht="14.25" customHeight="1" x14ac:dyDescent="0.4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P18" s="47"/>
      <c r="Q18" s="47"/>
      <c r="R18" s="47"/>
    </row>
    <row r="19" spans="1:18" ht="14.25" customHeight="1" x14ac:dyDescent="0.4">
      <c r="A19" s="36"/>
      <c r="B19" s="37"/>
      <c r="C19" s="37"/>
      <c r="D19" s="3"/>
      <c r="E19" s="3"/>
      <c r="F19" s="3"/>
      <c r="G19" s="3"/>
      <c r="H19" s="3"/>
      <c r="I19" s="3"/>
      <c r="J19" s="3"/>
      <c r="K19" s="3"/>
      <c r="L19" s="3"/>
      <c r="M19" s="3"/>
      <c r="P19" s="47"/>
      <c r="Q19" s="47"/>
      <c r="R19" s="47"/>
    </row>
    <row r="20" spans="1:18" ht="54" customHeight="1" x14ac:dyDescent="0.4">
      <c r="A20" s="238" t="s">
        <v>51</v>
      </c>
      <c r="B20" s="238"/>
      <c r="C20" s="238"/>
      <c r="D20" s="238"/>
      <c r="E20" s="238"/>
      <c r="F20" s="3"/>
      <c r="G20" s="3"/>
      <c r="H20" s="3"/>
      <c r="I20" s="3"/>
      <c r="J20" s="3"/>
      <c r="K20" s="3"/>
      <c r="L20" s="3"/>
      <c r="M20" s="3"/>
      <c r="P20" s="47"/>
      <c r="Q20" s="47"/>
      <c r="R20" s="47"/>
    </row>
    <row r="21" spans="1:18" ht="22.5" customHeight="1" x14ac:dyDescent="0.4">
      <c r="A21" s="51" t="s">
        <v>39</v>
      </c>
      <c r="B21" s="51" t="s">
        <v>40</v>
      </c>
      <c r="C21" s="52" t="s">
        <v>41</v>
      </c>
      <c r="D21" s="52" t="s">
        <v>42</v>
      </c>
      <c r="E21" s="53" t="s">
        <v>43</v>
      </c>
      <c r="F21" s="3"/>
      <c r="G21" s="3"/>
      <c r="H21" s="3"/>
      <c r="I21" s="3"/>
      <c r="J21" s="3"/>
      <c r="K21" s="3"/>
      <c r="L21" s="3"/>
      <c r="M21" s="3"/>
    </row>
    <row r="22" spans="1:18" ht="14.25" customHeight="1" x14ac:dyDescent="0.4">
      <c r="A22" s="135">
        <v>4004005139</v>
      </c>
      <c r="B22" s="135" t="s">
        <v>52</v>
      </c>
      <c r="C22" s="146">
        <v>917</v>
      </c>
      <c r="D22" s="132">
        <f>(OBSAH!$J$6/100)*Tabulka4615[[#This Row],[Sloupec3]]</f>
        <v>0</v>
      </c>
      <c r="E22" s="133">
        <f>Tabulka4615[[#This Row],[Sloupec3]]-Tabulka4615[[#This Row],[Sloupec4]]</f>
        <v>917</v>
      </c>
      <c r="F22" s="3"/>
      <c r="G22" s="3"/>
      <c r="H22" s="3"/>
      <c r="I22" s="3"/>
      <c r="J22" s="3"/>
      <c r="K22" s="3"/>
      <c r="L22" s="3"/>
      <c r="M22" s="3"/>
      <c r="P22" s="47"/>
      <c r="Q22" s="47"/>
      <c r="R22" s="47"/>
    </row>
    <row r="23" spans="1:18" ht="14.25" customHeight="1" x14ac:dyDescent="0.4">
      <c r="A23" s="136">
        <v>4004005405</v>
      </c>
      <c r="B23" s="136" t="s">
        <v>53</v>
      </c>
      <c r="C23" s="148">
        <v>963</v>
      </c>
      <c r="D23" s="129">
        <f>(OBSAH!$J$6/100)*Tabulka462818[[#This Row],[Sloupec3]]</f>
        <v>0</v>
      </c>
      <c r="E23" s="130">
        <f>Tabulka462818[[#This Row],[Sloupec3]]-Tabulka462818[[#This Row],[Sloupec4]]</f>
        <v>963</v>
      </c>
      <c r="F23" s="3"/>
      <c r="G23" s="3"/>
      <c r="H23" s="3"/>
      <c r="I23" s="3"/>
      <c r="J23" s="3"/>
      <c r="K23" s="3"/>
      <c r="L23" s="3"/>
      <c r="M23" s="3"/>
      <c r="P23" s="47"/>
      <c r="Q23" s="47"/>
      <c r="R23" s="47"/>
    </row>
    <row r="24" spans="1:18" ht="14.25" customHeight="1" x14ac:dyDescent="0.4">
      <c r="A24" s="36"/>
      <c r="B24" s="37"/>
      <c r="C24" s="37"/>
      <c r="D24" s="3"/>
      <c r="E24" s="3"/>
      <c r="F24" s="3"/>
      <c r="G24" s="3"/>
      <c r="H24" s="3"/>
      <c r="I24" s="3"/>
      <c r="J24" s="3"/>
      <c r="K24" s="3"/>
      <c r="L24" s="3"/>
      <c r="M24" s="3"/>
      <c r="P24" s="47"/>
      <c r="Q24" s="47"/>
      <c r="R24" s="47"/>
    </row>
    <row r="25" spans="1:18" ht="14.25" customHeight="1" x14ac:dyDescent="0.4">
      <c r="A25" s="36"/>
      <c r="B25" s="37"/>
      <c r="C25" s="37"/>
      <c r="D25" s="3"/>
      <c r="E25" s="3"/>
      <c r="F25" s="3"/>
      <c r="G25" s="3"/>
      <c r="H25" s="3"/>
      <c r="I25" s="3"/>
      <c r="J25" s="3"/>
      <c r="K25" s="3"/>
      <c r="L25" s="3"/>
      <c r="M25" s="3"/>
      <c r="P25" s="47"/>
      <c r="Q25" s="47"/>
      <c r="R25" s="47"/>
    </row>
    <row r="26" spans="1:18" ht="14.25" customHeight="1" x14ac:dyDescent="0.4">
      <c r="A26" s="36"/>
      <c r="B26" s="37"/>
      <c r="C26" s="37"/>
      <c r="D26" s="3"/>
      <c r="E26" s="3"/>
      <c r="F26" s="3"/>
      <c r="G26" s="3"/>
      <c r="H26" s="3"/>
      <c r="I26" s="3"/>
      <c r="J26" s="3"/>
      <c r="K26" s="3"/>
      <c r="L26" s="3"/>
      <c r="M26" s="3"/>
      <c r="P26" s="47"/>
      <c r="Q26" s="47"/>
      <c r="R26" s="47"/>
    </row>
    <row r="27" spans="1:18" ht="14.25" customHeight="1" x14ac:dyDescent="0.4">
      <c r="A27" s="36"/>
      <c r="B27" s="37"/>
      <c r="C27" s="37"/>
      <c r="D27" s="3"/>
      <c r="E27" s="3"/>
      <c r="F27" s="3"/>
      <c r="G27" s="3"/>
      <c r="H27" s="3"/>
      <c r="I27" s="3"/>
      <c r="J27" s="3"/>
      <c r="K27" s="3"/>
      <c r="L27" s="3"/>
      <c r="M27" s="3"/>
      <c r="P27" s="47"/>
      <c r="Q27" s="47"/>
      <c r="R27" s="47"/>
    </row>
    <row r="28" spans="1:18" ht="14.25" customHeight="1" x14ac:dyDescent="0.4">
      <c r="A28" s="36"/>
      <c r="B28" s="37"/>
      <c r="C28" s="37"/>
      <c r="D28" s="3"/>
      <c r="E28" s="3"/>
      <c r="F28" s="3"/>
      <c r="G28" s="3"/>
      <c r="H28" s="3"/>
      <c r="I28" s="3"/>
      <c r="J28" s="3"/>
      <c r="K28" s="3"/>
      <c r="L28" s="3"/>
      <c r="M28" s="3"/>
      <c r="P28" s="47"/>
      <c r="Q28" s="47"/>
      <c r="R28" s="47"/>
    </row>
    <row r="29" spans="1:18" ht="14.25" customHeight="1" x14ac:dyDescent="0.4">
      <c r="A29" s="37"/>
      <c r="B29" s="37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</row>
    <row r="30" spans="1:18" x14ac:dyDescent="0.4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8" s="1" customFormat="1" ht="13.75" x14ac:dyDescent="0.3"/>
    <row r="32" spans="1:18" s="1" customFormat="1" ht="13.75" x14ac:dyDescent="0.3"/>
    <row r="33" spans="1:3" x14ac:dyDescent="0.4">
      <c r="A33" s="32"/>
      <c r="C33" s="1"/>
    </row>
    <row r="34" spans="1:3" x14ac:dyDescent="0.4">
      <c r="A34" s="32"/>
      <c r="C34" s="1"/>
    </row>
    <row r="35" spans="1:3" x14ac:dyDescent="0.4">
      <c r="A35" s="32"/>
      <c r="C35" s="1"/>
    </row>
    <row r="36" spans="1:3" x14ac:dyDescent="0.4">
      <c r="A36" s="32"/>
      <c r="C36" s="1"/>
    </row>
    <row r="37" spans="1:3" x14ac:dyDescent="0.4">
      <c r="A37" s="32"/>
      <c r="C37" s="1"/>
    </row>
  </sheetData>
  <mergeCells count="9">
    <mergeCell ref="A6:E6"/>
    <mergeCell ref="G7:L7"/>
    <mergeCell ref="A14:E14"/>
    <mergeCell ref="A20:E20"/>
    <mergeCell ref="A1:E1"/>
    <mergeCell ref="F1:H1"/>
    <mergeCell ref="A2:E2"/>
    <mergeCell ref="F2:H2"/>
    <mergeCell ref="A3:E3"/>
  </mergeCells>
  <hyperlinks>
    <hyperlink ref="F2" location="OBSAH!I128" display="PŘEJÍT NA UPOZORNĚNÍ" xr:uid="{00000000-0004-0000-0100-000000000000}"/>
  </hyperlinks>
  <pageMargins left="0.7" right="0.7" top="0.78749999999999998" bottom="0.78749999999999998" header="0.51180555555555496" footer="0.51180555555555496"/>
  <pageSetup paperSize="9" scale="68" firstPageNumber="0" fitToWidth="0" orientation="landscape" horizontalDpi="300" verticalDpi="300" r:id="rId1"/>
  <drawing r:id="rId2"/>
  <tableParts count="6">
    <tablePart r:id="rId3"/>
    <tablePart r:id="rId4"/>
    <tablePart r:id="rId5"/>
    <tablePart r:id="rId6"/>
    <tablePart r:id="rId7"/>
    <tablePart r:id="rId8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9BBB59"/>
  </sheetPr>
  <dimension ref="A1:AMK159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2" customWidth="1"/>
    <col min="2" max="2" width="47.15234375" style="32" customWidth="1"/>
    <col min="3" max="3" width="10.15234375" style="56" customWidth="1"/>
    <col min="4" max="4" width="10.15234375" style="1" customWidth="1"/>
    <col min="5" max="5" width="15.69140625" style="1" customWidth="1"/>
    <col min="6" max="1025" width="9.15234375" style="1" customWidth="1"/>
  </cols>
  <sheetData>
    <row r="1" spans="1:14" ht="15" customHeight="1" x14ac:dyDescent="0.4">
      <c r="A1" s="239" t="s">
        <v>35</v>
      </c>
      <c r="B1" s="239"/>
      <c r="C1" s="239"/>
      <c r="D1" s="239"/>
      <c r="E1" s="239"/>
      <c r="F1" s="240" t="s">
        <v>36</v>
      </c>
      <c r="G1" s="240"/>
      <c r="H1" s="240"/>
      <c r="I1" s="33">
        <f>OBSAH!J6</f>
        <v>0</v>
      </c>
      <c r="J1" s="34" t="s">
        <v>2</v>
      </c>
      <c r="K1" s="3"/>
      <c r="L1" s="3"/>
      <c r="M1" s="3"/>
    </row>
    <row r="2" spans="1:14" ht="15" customHeight="1" x14ac:dyDescent="0.4">
      <c r="A2" s="239" t="s">
        <v>37</v>
      </c>
      <c r="B2" s="239"/>
      <c r="C2" s="239"/>
      <c r="D2" s="239"/>
      <c r="E2" s="239"/>
      <c r="F2" s="241" t="s">
        <v>3</v>
      </c>
      <c r="G2" s="241"/>
      <c r="H2" s="241"/>
      <c r="I2" s="3"/>
      <c r="J2" s="3"/>
      <c r="K2" s="3"/>
      <c r="L2" s="3"/>
      <c r="M2" s="3"/>
    </row>
    <row r="3" spans="1:14" ht="39" customHeight="1" x14ac:dyDescent="0.7">
      <c r="A3" s="242" t="s">
        <v>54</v>
      </c>
      <c r="B3" s="242"/>
      <c r="C3" s="242"/>
      <c r="D3" s="242"/>
      <c r="E3" s="242"/>
      <c r="F3" s="256" t="s">
        <v>55</v>
      </c>
      <c r="G3" s="256"/>
      <c r="H3" s="256"/>
      <c r="I3" s="256"/>
      <c r="J3" s="256"/>
      <c r="K3" s="256"/>
      <c r="L3" s="256"/>
      <c r="M3" s="256"/>
    </row>
    <row r="4" spans="1:14" ht="15" customHeight="1" x14ac:dyDescent="0.4">
      <c r="A4" s="251" t="s">
        <v>56</v>
      </c>
      <c r="B4" s="251"/>
      <c r="C4" s="251"/>
      <c r="D4" s="251"/>
      <c r="E4" s="251"/>
      <c r="F4" s="252"/>
      <c r="G4" s="252"/>
      <c r="H4" s="252"/>
      <c r="I4" s="252"/>
      <c r="J4" s="253"/>
      <c r="K4" s="253"/>
      <c r="L4" s="253"/>
      <c r="M4" s="253"/>
    </row>
    <row r="5" spans="1:14" ht="15" customHeight="1" x14ac:dyDescent="0.7">
      <c r="A5" s="254"/>
      <c r="B5" s="254"/>
      <c r="C5" s="254"/>
      <c r="D5" s="254"/>
      <c r="E5" s="254"/>
      <c r="F5" s="57"/>
      <c r="G5" s="57"/>
      <c r="H5" s="57"/>
      <c r="I5" s="57"/>
      <c r="J5" s="57"/>
      <c r="K5" s="57"/>
      <c r="L5" s="57"/>
      <c r="M5" s="57"/>
    </row>
    <row r="6" spans="1:14" ht="54" customHeight="1" x14ac:dyDescent="0.4">
      <c r="A6" s="255" t="s">
        <v>9</v>
      </c>
      <c r="B6" s="255"/>
      <c r="C6" s="255"/>
      <c r="D6" s="255"/>
      <c r="E6" s="255"/>
      <c r="F6" s="3"/>
      <c r="G6" s="3"/>
      <c r="H6" s="3"/>
      <c r="I6" s="3"/>
      <c r="J6" s="3"/>
      <c r="K6" s="3"/>
      <c r="L6" s="3"/>
      <c r="M6" s="3"/>
      <c r="N6" s="43"/>
    </row>
    <row r="7" spans="1:14" ht="36" customHeight="1" x14ac:dyDescent="0.4">
      <c r="A7" s="250" t="s">
        <v>11</v>
      </c>
      <c r="B7" s="250"/>
      <c r="C7" s="250"/>
      <c r="D7" s="250"/>
      <c r="E7" s="250"/>
      <c r="F7" s="3"/>
      <c r="G7" s="3"/>
      <c r="H7" s="3"/>
      <c r="I7" s="3"/>
      <c r="J7" s="3"/>
      <c r="K7" s="3"/>
      <c r="L7" s="3"/>
      <c r="M7" s="3"/>
    </row>
    <row r="8" spans="1:14" ht="22.5" customHeight="1" x14ac:dyDescent="0.4">
      <c r="A8" s="244" t="s">
        <v>57</v>
      </c>
      <c r="B8" s="244"/>
      <c r="C8" s="244"/>
      <c r="D8" s="244"/>
      <c r="E8" s="244"/>
      <c r="F8" s="3"/>
      <c r="G8" s="247"/>
      <c r="H8" s="247"/>
      <c r="I8" s="247"/>
      <c r="J8" s="247"/>
      <c r="K8" s="247"/>
      <c r="L8" s="247"/>
      <c r="M8" s="3"/>
    </row>
    <row r="9" spans="1:14" s="44" customFormat="1" ht="22.5" customHeight="1" x14ac:dyDescent="0.25">
      <c r="A9" s="38" t="s">
        <v>39</v>
      </c>
      <c r="B9" s="38" t="s">
        <v>40</v>
      </c>
      <c r="C9" s="39" t="s">
        <v>41</v>
      </c>
      <c r="D9" s="39" t="s">
        <v>42</v>
      </c>
      <c r="E9" s="40" t="s">
        <v>43</v>
      </c>
      <c r="F9" s="58"/>
      <c r="G9" s="236"/>
      <c r="H9" s="236"/>
      <c r="I9" s="236"/>
      <c r="J9" s="236"/>
      <c r="K9" s="236"/>
      <c r="L9" s="236"/>
      <c r="M9" s="41"/>
    </row>
    <row r="10" spans="1:14" ht="14.25" customHeight="1" x14ac:dyDescent="0.4">
      <c r="A10" s="59">
        <v>4004005785</v>
      </c>
      <c r="B10" s="60" t="s">
        <v>58</v>
      </c>
      <c r="C10" s="149">
        <v>24376</v>
      </c>
      <c r="D10" s="61">
        <f>(OBSAH!$J$6/100)*Tabulka201012[[#This Row],[Sloupec3]]</f>
        <v>0</v>
      </c>
      <c r="E10" s="62">
        <f>Tabulka201012[[#This Row],[Sloupec3]]-Tabulka201012[[#This Row],[Sloupec4]]</f>
        <v>24376</v>
      </c>
      <c r="F10" s="3"/>
      <c r="G10" s="3"/>
      <c r="H10" s="3"/>
      <c r="I10" s="3"/>
      <c r="J10" s="3"/>
      <c r="K10" s="3"/>
      <c r="L10" s="3"/>
      <c r="M10" s="3"/>
    </row>
    <row r="11" spans="1:14" ht="14.25" customHeight="1" x14ac:dyDescent="0.4">
      <c r="A11" s="63">
        <v>4004005786</v>
      </c>
      <c r="B11" s="64" t="s">
        <v>59</v>
      </c>
      <c r="C11" s="149">
        <v>35735</v>
      </c>
      <c r="D11" s="65">
        <f>(OBSAH!$J$6/100)*Tabulka201012[[#This Row],[Sloupec3]]</f>
        <v>0</v>
      </c>
      <c r="E11" s="66">
        <f>Tabulka201012[[#This Row],[Sloupec3]]-Tabulka201012[[#This Row],[Sloupec4]]</f>
        <v>35735</v>
      </c>
      <c r="F11" s="3"/>
      <c r="G11" s="3"/>
      <c r="H11" s="3"/>
      <c r="I11" s="3"/>
      <c r="J11" s="3"/>
      <c r="K11" s="3"/>
      <c r="L11" s="3"/>
      <c r="M11" s="3"/>
    </row>
    <row r="12" spans="1:14" ht="14.25" customHeight="1" x14ac:dyDescent="0.4">
      <c r="A12" s="63">
        <v>4004005787</v>
      </c>
      <c r="B12" s="64" t="s">
        <v>60</v>
      </c>
      <c r="C12" s="149">
        <v>39275</v>
      </c>
      <c r="D12" s="65">
        <f>(OBSAH!$J$6/100)*Tabulka201012[[#This Row],[Sloupec3]]</f>
        <v>0</v>
      </c>
      <c r="E12" s="66">
        <f>Tabulka201012[[#This Row],[Sloupec3]]-Tabulka201012[[#This Row],[Sloupec4]]</f>
        <v>39275</v>
      </c>
      <c r="F12" s="3"/>
      <c r="G12" s="3"/>
      <c r="H12" s="3"/>
      <c r="I12" s="3"/>
      <c r="J12" s="3"/>
      <c r="K12" s="3"/>
      <c r="L12" s="3"/>
      <c r="M12" s="3"/>
    </row>
    <row r="13" spans="1:14" ht="14.25" customHeight="1" x14ac:dyDescent="0.4">
      <c r="A13" s="63">
        <v>4004005788</v>
      </c>
      <c r="B13" s="64" t="s">
        <v>61</v>
      </c>
      <c r="C13" s="149">
        <v>50893</v>
      </c>
      <c r="D13" s="65">
        <f>(OBSAH!$J$6/100)*Tabulka201012[[#This Row],[Sloupec3]]</f>
        <v>0</v>
      </c>
      <c r="E13" s="66">
        <f>Tabulka201012[[#This Row],[Sloupec3]]-Tabulka201012[[#This Row],[Sloupec4]]</f>
        <v>50893</v>
      </c>
      <c r="F13" s="3"/>
      <c r="G13" s="3"/>
      <c r="H13" s="3"/>
      <c r="I13" s="3"/>
      <c r="J13" s="3"/>
      <c r="K13" s="3"/>
      <c r="L13" s="3"/>
      <c r="M13" s="3"/>
    </row>
    <row r="14" spans="1:14" ht="14.25" customHeight="1" x14ac:dyDescent="0.4">
      <c r="A14" s="63">
        <v>4004005789</v>
      </c>
      <c r="B14" s="64" t="s">
        <v>62</v>
      </c>
      <c r="C14" s="149">
        <v>54430</v>
      </c>
      <c r="D14" s="65">
        <f>(OBSAH!$J$6/100)*Tabulka201012[[#This Row],[Sloupec3]]</f>
        <v>0</v>
      </c>
      <c r="E14" s="66">
        <f>Tabulka201012[[#This Row],[Sloupec3]]-Tabulka201012[[#This Row],[Sloupec4]]</f>
        <v>54430</v>
      </c>
      <c r="F14" s="3"/>
      <c r="G14" s="3"/>
      <c r="H14" s="3"/>
      <c r="I14" s="3"/>
      <c r="J14" s="3"/>
      <c r="K14" s="3"/>
      <c r="L14" s="3"/>
      <c r="M14" s="3"/>
    </row>
    <row r="15" spans="1:14" ht="14.25" customHeight="1" x14ac:dyDescent="0.4">
      <c r="A15" s="63">
        <v>4004005790</v>
      </c>
      <c r="B15" s="64" t="s">
        <v>63</v>
      </c>
      <c r="C15" s="149">
        <v>64859</v>
      </c>
      <c r="D15" s="65">
        <f>(OBSAH!$J$6/100)*Tabulka201012[[#This Row],[Sloupec3]]</f>
        <v>0</v>
      </c>
      <c r="E15" s="66">
        <f>Tabulka201012[[#This Row],[Sloupec3]]-Tabulka201012[[#This Row],[Sloupec4]]</f>
        <v>64859</v>
      </c>
      <c r="F15" s="3"/>
      <c r="G15" s="3"/>
      <c r="H15" s="3"/>
      <c r="I15" s="3"/>
      <c r="J15" s="3"/>
      <c r="K15" s="3"/>
      <c r="L15" s="3"/>
      <c r="M15" s="3"/>
    </row>
    <row r="16" spans="1:14" ht="14.25" customHeight="1" x14ac:dyDescent="0.4">
      <c r="A16" s="67">
        <v>4004005791</v>
      </c>
      <c r="B16" s="116" t="s">
        <v>64</v>
      </c>
      <c r="C16" s="149">
        <v>68399</v>
      </c>
      <c r="D16" s="65">
        <f>(OBSAH!$J$6/100)*Tabulka201012[[#This Row],[Sloupec3]]</f>
        <v>0</v>
      </c>
      <c r="E16" s="66">
        <f>Tabulka201012[[#This Row],[Sloupec3]]-Tabulka201012[[#This Row],[Sloupec4]]</f>
        <v>68399</v>
      </c>
      <c r="F16" s="3"/>
      <c r="G16" s="3"/>
      <c r="H16" s="3"/>
      <c r="I16" s="3"/>
      <c r="J16" s="3"/>
      <c r="K16" s="3"/>
      <c r="L16" s="3"/>
      <c r="M16" s="3"/>
    </row>
    <row r="17" spans="1:13" ht="14.25" customHeight="1" x14ac:dyDescent="0.4">
      <c r="A17" s="67">
        <v>4004005792</v>
      </c>
      <c r="B17" s="116" t="s">
        <v>65</v>
      </c>
      <c r="C17" s="149">
        <v>80015</v>
      </c>
      <c r="D17" s="65">
        <f>(OBSAH!$J$6/100)*Tabulka201012[[#This Row],[Sloupec3]]</f>
        <v>0</v>
      </c>
      <c r="E17" s="66">
        <f>Tabulka201012[[#This Row],[Sloupec3]]-Tabulka201012[[#This Row],[Sloupec4]]</f>
        <v>80015</v>
      </c>
      <c r="F17" s="3"/>
      <c r="G17" s="3"/>
      <c r="H17" s="3"/>
      <c r="I17" s="3"/>
      <c r="J17" s="3"/>
      <c r="K17" s="3"/>
      <c r="L17" s="3"/>
      <c r="M17" s="3"/>
    </row>
    <row r="18" spans="1:13" ht="14.25" customHeight="1" x14ac:dyDescent="0.4">
      <c r="A18" s="67">
        <v>4004005793</v>
      </c>
      <c r="B18" s="116" t="s">
        <v>66</v>
      </c>
      <c r="C18" s="149">
        <v>83552</v>
      </c>
      <c r="D18" s="65">
        <f>(OBSAH!$J$6/100)*Tabulka201012[[#This Row],[Sloupec3]]</f>
        <v>0</v>
      </c>
      <c r="E18" s="66">
        <f>Tabulka201012[[#This Row],[Sloupec3]]-Tabulka201012[[#This Row],[Sloupec4]]</f>
        <v>83552</v>
      </c>
      <c r="F18" s="3"/>
      <c r="G18" s="3"/>
      <c r="H18" s="3"/>
      <c r="I18" s="3"/>
      <c r="J18" s="3"/>
      <c r="K18" s="3"/>
      <c r="L18" s="3"/>
      <c r="M18" s="3"/>
    </row>
    <row r="19" spans="1:13" ht="14.25" customHeight="1" x14ac:dyDescent="0.4">
      <c r="A19" s="67">
        <v>4004005794</v>
      </c>
      <c r="B19" s="116" t="s">
        <v>67</v>
      </c>
      <c r="C19" s="149">
        <v>93650</v>
      </c>
      <c r="D19" s="65">
        <f>(OBSAH!$J$6/100)*Tabulka201012[[#This Row],[Sloupec3]]</f>
        <v>0</v>
      </c>
      <c r="E19" s="66">
        <f>Tabulka201012[[#This Row],[Sloupec3]]-Tabulka201012[[#This Row],[Sloupec4]]</f>
        <v>93650</v>
      </c>
      <c r="F19" s="3"/>
      <c r="G19" s="3"/>
      <c r="H19" s="3"/>
      <c r="I19" s="3"/>
      <c r="J19" s="3"/>
      <c r="K19" s="3"/>
      <c r="L19" s="3"/>
      <c r="M19" s="3"/>
    </row>
    <row r="20" spans="1:13" ht="14.25" customHeight="1" x14ac:dyDescent="0.4">
      <c r="A20" s="68">
        <v>4004005795</v>
      </c>
      <c r="B20" s="69" t="s">
        <v>68</v>
      </c>
      <c r="C20" s="149">
        <v>97186</v>
      </c>
      <c r="D20" s="76">
        <f>(OBSAH!$J$6/100)*Tabulka201012[[#This Row],[Sloupec3]]</f>
        <v>0</v>
      </c>
      <c r="E20" s="77">
        <f>Tabulka201012[[#This Row],[Sloupec3]]-Tabulka201012[[#This Row],[Sloupec4]]</f>
        <v>97186</v>
      </c>
      <c r="F20" s="3"/>
      <c r="G20" s="3"/>
      <c r="H20" s="3"/>
      <c r="I20" s="3"/>
      <c r="J20" s="3"/>
      <c r="K20" s="3"/>
      <c r="L20" s="3"/>
      <c r="M20" s="3"/>
    </row>
    <row r="21" spans="1:13" s="44" customFormat="1" ht="15" customHeight="1" x14ac:dyDescent="0.3">
      <c r="A21" s="70"/>
      <c r="B21" s="71"/>
      <c r="C21" s="72"/>
      <c r="D21" s="73"/>
      <c r="E21" s="74"/>
      <c r="F21" s="41"/>
      <c r="G21" s="41"/>
      <c r="H21" s="41"/>
      <c r="I21" s="41"/>
      <c r="J21" s="41"/>
      <c r="K21" s="41"/>
      <c r="L21" s="41"/>
      <c r="M21" s="41"/>
    </row>
    <row r="22" spans="1:13" ht="22.5" customHeight="1" x14ac:dyDescent="0.4">
      <c r="A22" s="245" t="s">
        <v>69</v>
      </c>
      <c r="B22" s="245"/>
      <c r="C22" s="245"/>
      <c r="D22" s="245"/>
      <c r="E22" s="245"/>
      <c r="F22" s="3"/>
      <c r="G22" s="3"/>
      <c r="H22" s="3"/>
      <c r="I22" s="3"/>
      <c r="J22" s="3"/>
      <c r="K22" s="3"/>
      <c r="L22" s="3"/>
      <c r="M22" s="3"/>
    </row>
    <row r="23" spans="1:13" s="44" customFormat="1" ht="22.5" customHeight="1" x14ac:dyDescent="0.25">
      <c r="A23" s="38" t="s">
        <v>39</v>
      </c>
      <c r="B23" s="38" t="s">
        <v>40</v>
      </c>
      <c r="C23" s="39" t="s">
        <v>41</v>
      </c>
      <c r="D23" s="39" t="s">
        <v>42</v>
      </c>
      <c r="E23" s="40" t="s">
        <v>43</v>
      </c>
      <c r="F23" s="41"/>
      <c r="G23" s="41"/>
      <c r="H23" s="41"/>
      <c r="I23" s="41"/>
      <c r="J23" s="41"/>
      <c r="K23" s="41"/>
      <c r="L23" s="41"/>
      <c r="M23" s="41"/>
    </row>
    <row r="24" spans="1:13" ht="14.25" customHeight="1" x14ac:dyDescent="0.4">
      <c r="A24" s="59">
        <v>4004005796</v>
      </c>
      <c r="B24" s="60" t="s">
        <v>70</v>
      </c>
      <c r="C24" s="150">
        <v>24829</v>
      </c>
      <c r="D24" s="61">
        <f>(OBSAH!$J$6/100)*Tabulka211113[[#This Row],[Sloupec3]]</f>
        <v>0</v>
      </c>
      <c r="E24" s="62">
        <f>Tabulka211113[[#This Row],[Sloupec3]]-Tabulka211113[[#This Row],[Sloupec4]]</f>
        <v>24829</v>
      </c>
      <c r="F24" s="3"/>
      <c r="G24" s="248"/>
      <c r="H24" s="248"/>
      <c r="I24" s="248"/>
      <c r="J24" s="248"/>
      <c r="K24" s="248"/>
      <c r="L24" s="248"/>
      <c r="M24" s="3"/>
    </row>
    <row r="25" spans="1:13" ht="14.25" customHeight="1" x14ac:dyDescent="0.4">
      <c r="A25" s="63">
        <v>4004005797</v>
      </c>
      <c r="B25" s="64" t="s">
        <v>71</v>
      </c>
      <c r="C25" s="150">
        <v>36191</v>
      </c>
      <c r="D25" s="65">
        <f>(OBSAH!$J$6/100)*Tabulka211113[[#This Row],[Sloupec3]]</f>
        <v>0</v>
      </c>
      <c r="E25" s="66">
        <f>Tabulka211113[[#This Row],[Sloupec3]]-Tabulka211113[[#This Row],[Sloupec4]]</f>
        <v>36191</v>
      </c>
      <c r="F25" s="3"/>
      <c r="G25" s="249"/>
      <c r="H25" s="249"/>
      <c r="I25" s="249"/>
      <c r="J25" s="249"/>
      <c r="K25" s="249"/>
      <c r="L25" s="249"/>
      <c r="M25" s="3"/>
    </row>
    <row r="26" spans="1:13" ht="14.25" customHeight="1" x14ac:dyDescent="0.4">
      <c r="A26" s="63">
        <v>4004005798</v>
      </c>
      <c r="B26" s="64" t="s">
        <v>72</v>
      </c>
      <c r="C26" s="150">
        <v>39729</v>
      </c>
      <c r="D26" s="65">
        <f>(OBSAH!$J$6/100)*Tabulka211113[[#This Row],[Sloupec3]]</f>
        <v>0</v>
      </c>
      <c r="E26" s="66">
        <f>Tabulka211113[[#This Row],[Sloupec3]]-Tabulka211113[[#This Row],[Sloupec4]]</f>
        <v>39729</v>
      </c>
      <c r="F26" s="3"/>
      <c r="G26" s="248"/>
      <c r="H26" s="248"/>
      <c r="I26" s="248"/>
      <c r="J26" s="248"/>
      <c r="K26" s="248"/>
      <c r="L26" s="248"/>
      <c r="M26" s="3"/>
    </row>
    <row r="27" spans="1:13" ht="14.25" customHeight="1" x14ac:dyDescent="0.4">
      <c r="A27" s="63">
        <v>4004005799</v>
      </c>
      <c r="B27" s="64" t="s">
        <v>73</v>
      </c>
      <c r="C27" s="150">
        <v>51344</v>
      </c>
      <c r="D27" s="65">
        <f>(OBSAH!$J$6/100)*Tabulka211113[[#This Row],[Sloupec3]]</f>
        <v>0</v>
      </c>
      <c r="E27" s="66">
        <f>Tabulka211113[[#This Row],[Sloupec3]]-Tabulka211113[[#This Row],[Sloupec4]]</f>
        <v>51344</v>
      </c>
      <c r="F27" s="3"/>
      <c r="G27" s="249"/>
      <c r="H27" s="249"/>
      <c r="I27" s="249"/>
      <c r="J27" s="249"/>
      <c r="K27" s="249"/>
      <c r="L27" s="249"/>
      <c r="M27" s="3"/>
    </row>
    <row r="28" spans="1:13" ht="14.25" customHeight="1" x14ac:dyDescent="0.4">
      <c r="A28" s="63">
        <v>4004005800</v>
      </c>
      <c r="B28" s="64" t="s">
        <v>74</v>
      </c>
      <c r="C28" s="150">
        <v>54884</v>
      </c>
      <c r="D28" s="65">
        <f>(OBSAH!$J$6/100)*Tabulka211113[[#This Row],[Sloupec3]]</f>
        <v>0</v>
      </c>
      <c r="E28" s="66">
        <f>Tabulka211113[[#This Row],[Sloupec3]]-Tabulka211113[[#This Row],[Sloupec4]]</f>
        <v>54884</v>
      </c>
      <c r="F28" s="3"/>
      <c r="G28" s="3"/>
      <c r="H28" s="3"/>
      <c r="I28" s="3"/>
      <c r="J28" s="3"/>
      <c r="K28" s="3"/>
      <c r="L28" s="3"/>
      <c r="M28" s="3"/>
    </row>
    <row r="29" spans="1:13" ht="14.25" customHeight="1" x14ac:dyDescent="0.4">
      <c r="A29" s="67">
        <v>4004005801</v>
      </c>
      <c r="B29" s="116" t="s">
        <v>75</v>
      </c>
      <c r="C29" s="150">
        <v>65768</v>
      </c>
      <c r="D29" s="65">
        <f>(OBSAH!$J$6/100)*Tabulka211113[[#This Row],[Sloupec3]]</f>
        <v>0</v>
      </c>
      <c r="E29" s="66">
        <f>Tabulka211113[[#This Row],[Sloupec3]]-Tabulka211113[[#This Row],[Sloupec4]]</f>
        <v>65768</v>
      </c>
      <c r="F29" s="3"/>
      <c r="G29" s="3"/>
      <c r="H29" s="3"/>
      <c r="I29" s="3"/>
      <c r="J29" s="3"/>
      <c r="K29" s="3"/>
      <c r="L29" s="3"/>
      <c r="M29" s="3"/>
    </row>
    <row r="30" spans="1:13" ht="14.25" customHeight="1" x14ac:dyDescent="0.4">
      <c r="A30" s="67">
        <v>4004005802</v>
      </c>
      <c r="B30" s="116" t="s">
        <v>76</v>
      </c>
      <c r="C30" s="150">
        <v>69306</v>
      </c>
      <c r="D30" s="65">
        <f>(OBSAH!$J$6/100)*Tabulka211113[[#This Row],[Sloupec3]]</f>
        <v>0</v>
      </c>
      <c r="E30" s="66">
        <f>Tabulka211113[[#This Row],[Sloupec3]]-Tabulka211113[[#This Row],[Sloupec4]]</f>
        <v>69306</v>
      </c>
      <c r="F30" s="3"/>
      <c r="G30" s="3"/>
      <c r="H30" s="3"/>
      <c r="I30" s="3"/>
      <c r="J30" s="3"/>
      <c r="K30" s="3"/>
      <c r="L30" s="3"/>
      <c r="M30" s="3"/>
    </row>
    <row r="31" spans="1:13" ht="14.25" customHeight="1" x14ac:dyDescent="0.4">
      <c r="A31" s="67">
        <v>4004005803</v>
      </c>
      <c r="B31" s="116" t="s">
        <v>77</v>
      </c>
      <c r="C31" s="150">
        <v>80924</v>
      </c>
      <c r="D31" s="65">
        <f>(OBSAH!$J$6/100)*Tabulka211113[[#This Row],[Sloupec3]]</f>
        <v>0</v>
      </c>
      <c r="E31" s="66">
        <f>Tabulka211113[[#This Row],[Sloupec3]]-Tabulka211113[[#This Row],[Sloupec4]]</f>
        <v>80924</v>
      </c>
      <c r="F31" s="3"/>
      <c r="G31" s="3"/>
      <c r="H31" s="3"/>
      <c r="I31" s="3"/>
      <c r="J31" s="3"/>
      <c r="K31" s="3"/>
      <c r="L31" s="3"/>
      <c r="M31" s="3"/>
    </row>
    <row r="32" spans="1:13" ht="14.25" customHeight="1" x14ac:dyDescent="0.4">
      <c r="A32" s="67">
        <v>4004005804</v>
      </c>
      <c r="B32" s="116" t="s">
        <v>78</v>
      </c>
      <c r="C32" s="150">
        <v>84460</v>
      </c>
      <c r="D32" s="65">
        <f>(OBSAH!$J$6/100)*Tabulka211113[[#This Row],[Sloupec3]]</f>
        <v>0</v>
      </c>
      <c r="E32" s="66">
        <f>Tabulka211113[[#This Row],[Sloupec3]]-Tabulka211113[[#This Row],[Sloupec4]]</f>
        <v>84460</v>
      </c>
      <c r="F32" s="3"/>
      <c r="G32" s="3"/>
      <c r="H32" s="3"/>
      <c r="I32" s="3"/>
      <c r="J32" s="3"/>
      <c r="K32" s="3"/>
      <c r="L32" s="3"/>
      <c r="M32" s="3"/>
    </row>
    <row r="33" spans="1:13" ht="14.25" customHeight="1" x14ac:dyDescent="0.4">
      <c r="A33" s="63">
        <v>4004005805</v>
      </c>
      <c r="B33" s="64" t="s">
        <v>79</v>
      </c>
      <c r="C33" s="150">
        <v>94558</v>
      </c>
      <c r="D33" s="65">
        <f>(OBSAH!$J$6/100)*Tabulka211113[[#This Row],[Sloupec3]]</f>
        <v>0</v>
      </c>
      <c r="E33" s="66">
        <f>Tabulka211113[[#This Row],[Sloupec3]]-Tabulka211113[[#This Row],[Sloupec4]]</f>
        <v>94558</v>
      </c>
      <c r="F33" s="3"/>
      <c r="G33" s="3"/>
      <c r="H33" s="3"/>
      <c r="I33" s="3"/>
      <c r="J33" s="3"/>
      <c r="K33" s="3"/>
      <c r="L33" s="3"/>
      <c r="M33" s="3"/>
    </row>
    <row r="34" spans="1:13" ht="14.25" customHeight="1" x14ac:dyDescent="0.4">
      <c r="A34" s="68">
        <v>4004005806</v>
      </c>
      <c r="B34" s="69" t="s">
        <v>80</v>
      </c>
      <c r="C34" s="150">
        <v>98096</v>
      </c>
      <c r="D34" s="76">
        <f>(OBSAH!$J$6/100)*Tabulka211113[[#This Row],[Sloupec3]]</f>
        <v>0</v>
      </c>
      <c r="E34" s="77">
        <f>Tabulka211113[[#This Row],[Sloupec3]]-Tabulka211113[[#This Row],[Sloupec4]]</f>
        <v>98096</v>
      </c>
      <c r="F34" s="3"/>
      <c r="G34" s="3"/>
      <c r="H34" s="3"/>
      <c r="I34" s="3"/>
      <c r="J34" s="3"/>
      <c r="K34" s="3"/>
      <c r="L34" s="3"/>
      <c r="M34" s="3"/>
    </row>
    <row r="35" spans="1:13" ht="14.25" customHeight="1" x14ac:dyDescent="0.4">
      <c r="A35" s="78"/>
      <c r="B35" s="78"/>
      <c r="C35" s="79"/>
      <c r="D35" s="73"/>
      <c r="E35" s="74"/>
      <c r="F35" s="3"/>
      <c r="G35" s="3"/>
      <c r="H35" s="3"/>
      <c r="I35" s="3"/>
      <c r="J35" s="3"/>
      <c r="K35" s="3"/>
      <c r="L35" s="3"/>
      <c r="M35" s="3"/>
    </row>
    <row r="36" spans="1:13" s="44" customFormat="1" ht="15" customHeight="1" x14ac:dyDescent="0.25">
      <c r="A36" s="41"/>
      <c r="B36" s="41"/>
      <c r="C36" s="80"/>
      <c r="D36" s="41"/>
      <c r="E36" s="41"/>
      <c r="F36" s="41"/>
      <c r="G36" s="41"/>
      <c r="H36" s="41"/>
      <c r="I36" s="41"/>
      <c r="J36" s="41"/>
      <c r="K36" s="41"/>
      <c r="L36" s="41"/>
      <c r="M36" s="41"/>
    </row>
    <row r="37" spans="1:13" ht="15" customHeight="1" x14ac:dyDescent="0.4">
      <c r="A37" s="37"/>
      <c r="B37" s="37"/>
      <c r="C37" s="81"/>
      <c r="D37" s="73"/>
      <c r="E37" s="74"/>
      <c r="F37" s="3"/>
      <c r="G37" s="3"/>
      <c r="H37" s="3"/>
      <c r="I37" s="3"/>
      <c r="J37" s="3"/>
      <c r="K37" s="3"/>
      <c r="L37" s="3"/>
      <c r="M37" s="3"/>
    </row>
    <row r="38" spans="1:13" ht="36" customHeight="1" x14ac:dyDescent="0.4">
      <c r="A38" s="246" t="s">
        <v>81</v>
      </c>
      <c r="B38" s="246"/>
      <c r="C38" s="246"/>
      <c r="D38" s="246"/>
      <c r="E38" s="246"/>
      <c r="F38" s="3"/>
      <c r="G38" s="3"/>
      <c r="H38" s="3"/>
      <c r="I38" s="3"/>
      <c r="J38" s="3"/>
      <c r="K38" s="3"/>
      <c r="L38" s="3"/>
      <c r="M38" s="3"/>
    </row>
    <row r="39" spans="1:13" ht="36" customHeight="1" x14ac:dyDescent="0.4">
      <c r="A39" s="243" t="s">
        <v>82</v>
      </c>
      <c r="B39" s="243"/>
      <c r="C39" s="243"/>
      <c r="D39" s="243"/>
      <c r="E39" s="243"/>
      <c r="F39" s="3"/>
      <c r="G39" s="3"/>
      <c r="H39" s="3"/>
      <c r="I39" s="3"/>
      <c r="J39" s="3"/>
      <c r="K39" s="3"/>
      <c r="L39" s="3"/>
      <c r="M39" s="3"/>
    </row>
    <row r="40" spans="1:13" ht="22.5" customHeight="1" x14ac:dyDescent="0.4">
      <c r="A40" s="244" t="s">
        <v>57</v>
      </c>
      <c r="B40" s="244"/>
      <c r="C40" s="244"/>
      <c r="D40" s="244"/>
      <c r="E40" s="244"/>
      <c r="F40" s="3"/>
      <c r="G40" s="3"/>
      <c r="H40" s="3"/>
      <c r="I40" s="3"/>
      <c r="J40" s="3"/>
      <c r="K40" s="3"/>
      <c r="L40" s="3"/>
      <c r="M40" s="3"/>
    </row>
    <row r="41" spans="1:13" s="44" customFormat="1" ht="22.5" customHeight="1" x14ac:dyDescent="0.25">
      <c r="A41" s="38" t="s">
        <v>39</v>
      </c>
      <c r="B41" s="38" t="s">
        <v>40</v>
      </c>
      <c r="C41" s="39" t="s">
        <v>41</v>
      </c>
      <c r="D41" s="39" t="s">
        <v>42</v>
      </c>
      <c r="E41" s="40" t="s">
        <v>43</v>
      </c>
      <c r="F41" s="41"/>
      <c r="G41" s="41"/>
      <c r="H41" s="41"/>
      <c r="I41" s="41"/>
      <c r="J41" s="41"/>
      <c r="K41" s="41"/>
      <c r="L41" s="41"/>
      <c r="M41" s="41"/>
    </row>
    <row r="42" spans="1:13" ht="14.25" customHeight="1" x14ac:dyDescent="0.4">
      <c r="A42" s="59">
        <v>4004005852</v>
      </c>
      <c r="B42" s="60" t="s">
        <v>83</v>
      </c>
      <c r="C42" s="172">
        <v>41998</v>
      </c>
      <c r="D42" s="61">
        <f>(OBSAH!$J$6/100)*Tabulka20101416[[#This Row],[Sloupec3]]</f>
        <v>0</v>
      </c>
      <c r="E42" s="62">
        <f>Tabulka20101416[[#This Row],[Sloupec3]]-Tabulka20101416[[#This Row],[Sloupec4]]</f>
        <v>41998</v>
      </c>
      <c r="F42" s="3"/>
      <c r="G42" s="3"/>
      <c r="H42" s="3"/>
      <c r="I42" s="3"/>
      <c r="J42" s="3"/>
      <c r="K42" s="3"/>
      <c r="L42" s="3"/>
      <c r="M42" s="3"/>
    </row>
    <row r="43" spans="1:13" ht="14.25" customHeight="1" x14ac:dyDescent="0.4">
      <c r="A43" s="63">
        <v>4004005853</v>
      </c>
      <c r="B43" s="64" t="s">
        <v>84</v>
      </c>
      <c r="C43" s="172">
        <v>45537</v>
      </c>
      <c r="D43" s="65">
        <f>(OBSAH!$J$6/100)*Tabulka20101416[[#This Row],[Sloupec3]]</f>
        <v>0</v>
      </c>
      <c r="E43" s="66">
        <f>Tabulka20101416[[#This Row],[Sloupec3]]-Tabulka20101416[[#This Row],[Sloupec4]]</f>
        <v>45537</v>
      </c>
      <c r="F43" s="3"/>
      <c r="G43" s="3"/>
      <c r="H43" s="3"/>
      <c r="I43" s="3"/>
      <c r="J43" s="3"/>
      <c r="K43" s="3"/>
      <c r="L43" s="3"/>
      <c r="M43" s="3"/>
    </row>
    <row r="44" spans="1:13" ht="14.25" customHeight="1" x14ac:dyDescent="0.4">
      <c r="A44" s="63">
        <v>4004005854</v>
      </c>
      <c r="B44" s="64" t="s">
        <v>85</v>
      </c>
      <c r="C44" s="172">
        <v>57154</v>
      </c>
      <c r="D44" s="65">
        <f>(OBSAH!$J$6/100)*Tabulka20101416[[#This Row],[Sloupec3]]</f>
        <v>0</v>
      </c>
      <c r="E44" s="66">
        <f>Tabulka20101416[[#This Row],[Sloupec3]]-Tabulka20101416[[#This Row],[Sloupec4]]</f>
        <v>57154</v>
      </c>
      <c r="F44" s="3"/>
      <c r="G44" s="3"/>
      <c r="H44" s="3"/>
      <c r="I44" s="3"/>
      <c r="J44" s="3"/>
      <c r="K44" s="3"/>
      <c r="L44" s="3"/>
      <c r="M44" s="3"/>
    </row>
    <row r="45" spans="1:13" s="44" customFormat="1" ht="14.25" customHeight="1" x14ac:dyDescent="0.3">
      <c r="A45" s="63">
        <v>4004005855</v>
      </c>
      <c r="B45" s="64" t="s">
        <v>86</v>
      </c>
      <c r="C45" s="172">
        <v>60692</v>
      </c>
      <c r="D45" s="65">
        <f>(OBSAH!$J$6/100)*Tabulka20101416[[#This Row],[Sloupec3]]</f>
        <v>0</v>
      </c>
      <c r="E45" s="66">
        <f>Tabulka20101416[[#This Row],[Sloupec3]]-Tabulka20101416[[#This Row],[Sloupec4]]</f>
        <v>60692</v>
      </c>
      <c r="F45" s="41"/>
      <c r="G45" s="41"/>
      <c r="H45" s="41"/>
      <c r="I45" s="41"/>
      <c r="J45" s="41"/>
      <c r="K45" s="41"/>
      <c r="L45" s="41"/>
      <c r="M45" s="41"/>
    </row>
    <row r="46" spans="1:13" ht="14.25" customHeight="1" x14ac:dyDescent="0.4">
      <c r="A46" s="63">
        <v>4004005856</v>
      </c>
      <c r="B46" s="64" t="s">
        <v>87</v>
      </c>
      <c r="C46" s="172">
        <v>71123</v>
      </c>
      <c r="D46" s="65">
        <f>(OBSAH!$J$6/100)*Tabulka20101416[[#This Row],[Sloupec3]]</f>
        <v>0</v>
      </c>
      <c r="E46" s="66">
        <f>Tabulka20101416[[#This Row],[Sloupec3]]-Tabulka20101416[[#This Row],[Sloupec4]]</f>
        <v>71123</v>
      </c>
      <c r="F46" s="3"/>
      <c r="G46" s="3"/>
      <c r="H46" s="3"/>
      <c r="I46" s="3"/>
      <c r="J46" s="3"/>
      <c r="K46" s="3"/>
      <c r="L46" s="3"/>
      <c r="M46" s="3"/>
    </row>
    <row r="47" spans="1:13" ht="14.25" customHeight="1" x14ac:dyDescent="0.4">
      <c r="A47" s="63">
        <v>4004005857</v>
      </c>
      <c r="B47" s="64" t="s">
        <v>88</v>
      </c>
      <c r="C47" s="172">
        <v>74662</v>
      </c>
      <c r="D47" s="65">
        <f>(OBSAH!$J$6/100)*Tabulka20101416[[#This Row],[Sloupec3]]</f>
        <v>0</v>
      </c>
      <c r="E47" s="66">
        <f>Tabulka20101416[[#This Row],[Sloupec3]]-Tabulka20101416[[#This Row],[Sloupec4]]</f>
        <v>74662</v>
      </c>
      <c r="F47" s="3"/>
      <c r="G47" s="3"/>
      <c r="H47" s="3"/>
      <c r="I47" s="3"/>
      <c r="J47" s="3"/>
      <c r="K47" s="3"/>
      <c r="L47" s="3"/>
      <c r="M47" s="3"/>
    </row>
    <row r="48" spans="1:13" ht="14.25" customHeight="1" x14ac:dyDescent="0.4">
      <c r="A48" s="67">
        <v>4004005858</v>
      </c>
      <c r="B48" s="116" t="s">
        <v>89</v>
      </c>
      <c r="C48" s="172">
        <v>86278</v>
      </c>
      <c r="D48" s="65">
        <f>(OBSAH!$J$6/100)*Tabulka20101416[[#This Row],[Sloupec3]]</f>
        <v>0</v>
      </c>
      <c r="E48" s="66">
        <f>Tabulka20101416[[#This Row],[Sloupec3]]-Tabulka20101416[[#This Row],[Sloupec4]]</f>
        <v>86278</v>
      </c>
      <c r="F48" s="3"/>
      <c r="G48" s="3"/>
      <c r="H48" s="3"/>
      <c r="I48" s="3"/>
      <c r="J48" s="3"/>
      <c r="K48" s="3"/>
      <c r="L48" s="3"/>
      <c r="M48" s="3"/>
    </row>
    <row r="49" spans="1:13" ht="14.25" customHeight="1" x14ac:dyDescent="0.4">
      <c r="A49" s="67">
        <v>4004005859</v>
      </c>
      <c r="B49" s="116" t="s">
        <v>90</v>
      </c>
      <c r="C49" s="172">
        <v>89815</v>
      </c>
      <c r="D49" s="65">
        <f>(OBSAH!$J$6/100)*Tabulka20101416[[#This Row],[Sloupec3]]</f>
        <v>0</v>
      </c>
      <c r="E49" s="66">
        <f>Tabulka20101416[[#This Row],[Sloupec3]]-Tabulka20101416[[#This Row],[Sloupec4]]</f>
        <v>89815</v>
      </c>
      <c r="F49" s="3"/>
      <c r="G49" s="3"/>
      <c r="H49" s="3"/>
      <c r="I49" s="3"/>
      <c r="J49" s="3"/>
      <c r="K49" s="3"/>
      <c r="L49" s="3"/>
      <c r="M49" s="3"/>
    </row>
    <row r="50" spans="1:13" ht="14.25" customHeight="1" x14ac:dyDescent="0.4">
      <c r="A50" s="67">
        <v>4004005860</v>
      </c>
      <c r="B50" s="116" t="s">
        <v>91</v>
      </c>
      <c r="C50" s="172">
        <v>99912</v>
      </c>
      <c r="D50" s="65">
        <f>(OBSAH!$J$6/100)*Tabulka20101416[[#This Row],[Sloupec3]]</f>
        <v>0</v>
      </c>
      <c r="E50" s="66">
        <f>Tabulka20101416[[#This Row],[Sloupec3]]-Tabulka20101416[[#This Row],[Sloupec4]]</f>
        <v>99912</v>
      </c>
      <c r="F50" s="3"/>
      <c r="G50" s="3"/>
      <c r="H50" s="3"/>
      <c r="I50" s="3"/>
      <c r="J50" s="3"/>
      <c r="K50" s="3"/>
      <c r="L50" s="3"/>
      <c r="M50" s="3"/>
    </row>
    <row r="51" spans="1:13" ht="14.25" customHeight="1" x14ac:dyDescent="0.4">
      <c r="A51" s="68">
        <v>4004005861</v>
      </c>
      <c r="B51" s="69" t="s">
        <v>92</v>
      </c>
      <c r="C51" s="172">
        <v>103452</v>
      </c>
      <c r="D51" s="76">
        <f>(OBSAH!$J$6/100)*Tabulka20101416[[#This Row],[Sloupec3]]</f>
        <v>0</v>
      </c>
      <c r="E51" s="77">
        <f>Tabulka20101416[[#This Row],[Sloupec3]]-Tabulka20101416[[#This Row],[Sloupec4]]</f>
        <v>103452</v>
      </c>
      <c r="F51" s="3"/>
      <c r="G51" s="3"/>
      <c r="H51" s="3"/>
      <c r="I51" s="3"/>
      <c r="J51" s="3"/>
      <c r="K51" s="3"/>
      <c r="L51" s="3"/>
      <c r="M51" s="3"/>
    </row>
    <row r="52" spans="1:13" ht="15" customHeight="1" x14ac:dyDescent="0.4">
      <c r="A52" s="70"/>
      <c r="B52" s="71"/>
      <c r="C52" s="72"/>
      <c r="D52" s="73"/>
      <c r="E52" s="74"/>
      <c r="F52" s="3"/>
      <c r="G52" s="3"/>
      <c r="H52" s="3"/>
      <c r="I52" s="3"/>
      <c r="J52" s="3"/>
      <c r="K52" s="3"/>
      <c r="L52" s="3"/>
      <c r="M52" s="3"/>
    </row>
    <row r="53" spans="1:13" ht="22.4" customHeight="1" x14ac:dyDescent="0.4">
      <c r="A53" s="245" t="s">
        <v>69</v>
      </c>
      <c r="B53" s="245"/>
      <c r="C53" s="245"/>
      <c r="D53" s="245"/>
      <c r="E53" s="245"/>
      <c r="F53" s="3"/>
      <c r="G53" s="247"/>
      <c r="H53" s="247"/>
      <c r="I53" s="247"/>
      <c r="J53" s="247"/>
      <c r="K53" s="247"/>
      <c r="L53" s="247"/>
      <c r="M53" s="3"/>
    </row>
    <row r="54" spans="1:13" s="44" customFormat="1" ht="22.5" customHeight="1" x14ac:dyDescent="0.25">
      <c r="A54" s="38" t="s">
        <v>39</v>
      </c>
      <c r="B54" s="38" t="s">
        <v>40</v>
      </c>
      <c r="C54" s="39" t="s">
        <v>41</v>
      </c>
      <c r="D54" s="39" t="s">
        <v>42</v>
      </c>
      <c r="E54" s="40" t="s">
        <v>43</v>
      </c>
      <c r="F54" s="58"/>
      <c r="G54" s="236"/>
      <c r="H54" s="236"/>
      <c r="I54" s="236"/>
      <c r="J54" s="236"/>
      <c r="K54" s="236"/>
      <c r="L54" s="236"/>
      <c r="M54" s="41"/>
    </row>
    <row r="55" spans="1:13" ht="14.25" customHeight="1" x14ac:dyDescent="0.4">
      <c r="A55" s="59">
        <v>4004005863</v>
      </c>
      <c r="B55" s="60" t="s">
        <v>93</v>
      </c>
      <c r="C55" s="151">
        <v>42455</v>
      </c>
      <c r="D55" s="61">
        <f>(OBSAH!$J$6/100)*Tabulka21111517[[#This Row],[Sloupec3]]</f>
        <v>0</v>
      </c>
      <c r="E55" s="62">
        <f>Tabulka21111517[[#This Row],[Sloupec3]]-Tabulka21111517[[#This Row],[Sloupec4]]</f>
        <v>42455</v>
      </c>
      <c r="F55" s="3"/>
      <c r="G55" s="3"/>
      <c r="H55" s="3"/>
      <c r="I55" s="3"/>
      <c r="J55" s="3"/>
      <c r="K55" s="3"/>
      <c r="L55" s="3"/>
      <c r="M55" s="3"/>
    </row>
    <row r="56" spans="1:13" ht="14.25" customHeight="1" x14ac:dyDescent="0.4">
      <c r="A56" s="67">
        <v>4004005864</v>
      </c>
      <c r="B56" s="116" t="s">
        <v>94</v>
      </c>
      <c r="C56" s="151">
        <v>45993</v>
      </c>
      <c r="D56" s="65">
        <f>(OBSAH!$J$6/100)*Tabulka21111517[[#This Row],[Sloupec3]]</f>
        <v>0</v>
      </c>
      <c r="E56" s="66">
        <f>Tabulka21111517[[#This Row],[Sloupec3]]-Tabulka21111517[[#This Row],[Sloupec4]]</f>
        <v>45993</v>
      </c>
      <c r="F56" s="3"/>
      <c r="G56" s="3"/>
      <c r="H56" s="3"/>
      <c r="I56" s="3"/>
      <c r="J56" s="3"/>
      <c r="K56" s="3"/>
      <c r="L56" s="3"/>
      <c r="M56" s="3"/>
    </row>
    <row r="57" spans="1:13" ht="14.25" customHeight="1" x14ac:dyDescent="0.4">
      <c r="A57" s="67">
        <v>4004005865</v>
      </c>
      <c r="B57" s="116" t="s">
        <v>95</v>
      </c>
      <c r="C57" s="151">
        <v>57609</v>
      </c>
      <c r="D57" s="65">
        <f>(OBSAH!$J$6/100)*Tabulka21111517[[#This Row],[Sloupec3]]</f>
        <v>0</v>
      </c>
      <c r="E57" s="66">
        <f>Tabulka21111517[[#This Row],[Sloupec3]]-Tabulka21111517[[#This Row],[Sloupec4]]</f>
        <v>57609</v>
      </c>
      <c r="F57" s="3"/>
      <c r="G57" s="3"/>
      <c r="H57" s="3"/>
      <c r="I57" s="3"/>
      <c r="J57" s="3"/>
      <c r="K57" s="3"/>
      <c r="L57" s="3"/>
      <c r="M57" s="3"/>
    </row>
    <row r="58" spans="1:13" ht="14.25" customHeight="1" x14ac:dyDescent="0.4">
      <c r="A58" s="67">
        <v>4004005866</v>
      </c>
      <c r="B58" s="116" t="s">
        <v>96</v>
      </c>
      <c r="C58" s="151">
        <v>61147</v>
      </c>
      <c r="D58" s="65">
        <f>(OBSAH!$J$6/100)*Tabulka21111517[[#This Row],[Sloupec3]]</f>
        <v>0</v>
      </c>
      <c r="E58" s="66">
        <f>Tabulka21111517[[#This Row],[Sloupec3]]-Tabulka21111517[[#This Row],[Sloupec4]]</f>
        <v>61147</v>
      </c>
      <c r="F58" s="3"/>
      <c r="G58" s="3"/>
      <c r="H58" s="3"/>
      <c r="I58" s="3"/>
      <c r="J58" s="3"/>
      <c r="K58" s="3"/>
      <c r="L58" s="3"/>
      <c r="M58" s="3"/>
    </row>
    <row r="59" spans="1:13" ht="14.25" customHeight="1" x14ac:dyDescent="0.4">
      <c r="A59" s="63">
        <v>4004005867</v>
      </c>
      <c r="B59" s="64" t="s">
        <v>97</v>
      </c>
      <c r="C59" s="151">
        <v>72032</v>
      </c>
      <c r="D59" s="65">
        <f>(OBSAH!$J$6/100)*Tabulka21111517[[#This Row],[Sloupec3]]</f>
        <v>0</v>
      </c>
      <c r="E59" s="66">
        <f>Tabulka21111517[[#This Row],[Sloupec3]]-Tabulka21111517[[#This Row],[Sloupec4]]</f>
        <v>72032</v>
      </c>
      <c r="F59" s="3"/>
      <c r="G59" s="3"/>
      <c r="H59" s="3"/>
      <c r="I59" s="3"/>
      <c r="J59" s="3"/>
      <c r="K59" s="3"/>
      <c r="L59" s="3"/>
      <c r="M59" s="3"/>
    </row>
    <row r="60" spans="1:13" ht="14.25" customHeight="1" x14ac:dyDescent="0.4">
      <c r="A60" s="63">
        <v>4004005868</v>
      </c>
      <c r="B60" s="64" t="s">
        <v>98</v>
      </c>
      <c r="C60" s="151">
        <v>75570</v>
      </c>
      <c r="D60" s="65">
        <f>(OBSAH!$J$6/100)*Tabulka21111517[[#This Row],[Sloupec3]]</f>
        <v>0</v>
      </c>
      <c r="E60" s="66">
        <f>Tabulka21111517[[#This Row],[Sloupec3]]-Tabulka21111517[[#This Row],[Sloupec4]]</f>
        <v>75570</v>
      </c>
      <c r="F60" s="3"/>
      <c r="G60" s="3"/>
      <c r="H60" s="3"/>
      <c r="I60" s="3"/>
      <c r="J60" s="3"/>
      <c r="K60" s="3"/>
      <c r="L60" s="3"/>
      <c r="M60" s="3"/>
    </row>
    <row r="61" spans="1:13" ht="14.25" customHeight="1" x14ac:dyDescent="0.4">
      <c r="A61" s="63">
        <v>4004005869</v>
      </c>
      <c r="B61" s="64" t="s">
        <v>99</v>
      </c>
      <c r="C61" s="151">
        <v>87185</v>
      </c>
      <c r="D61" s="65">
        <f>(OBSAH!$J$6/100)*Tabulka21111517[[#This Row],[Sloupec3]]</f>
        <v>0</v>
      </c>
      <c r="E61" s="66">
        <f>Tabulka21111517[[#This Row],[Sloupec3]]-Tabulka21111517[[#This Row],[Sloupec4]]</f>
        <v>87185</v>
      </c>
      <c r="F61" s="3"/>
      <c r="G61" s="3"/>
      <c r="H61" s="3"/>
      <c r="I61" s="3"/>
      <c r="J61" s="3"/>
      <c r="K61" s="3"/>
      <c r="L61" s="3"/>
      <c r="M61" s="3"/>
    </row>
    <row r="62" spans="1:13" ht="14.25" customHeight="1" x14ac:dyDescent="0.4">
      <c r="A62" s="63">
        <v>4004005870</v>
      </c>
      <c r="B62" s="64" t="s">
        <v>100</v>
      </c>
      <c r="C62" s="151">
        <v>90725</v>
      </c>
      <c r="D62" s="65">
        <f>(OBSAH!$J$6/100)*Tabulka21111517[[#This Row],[Sloupec3]]</f>
        <v>0</v>
      </c>
      <c r="E62" s="66">
        <f>Tabulka21111517[[#This Row],[Sloupec3]]-Tabulka21111517[[#This Row],[Sloupec4]]</f>
        <v>90725</v>
      </c>
      <c r="F62" s="3"/>
      <c r="G62" s="3"/>
      <c r="H62" s="3"/>
      <c r="I62" s="3"/>
      <c r="J62" s="3"/>
      <c r="K62" s="3"/>
      <c r="L62" s="3"/>
      <c r="M62" s="3"/>
    </row>
    <row r="63" spans="1:13" ht="14.25" customHeight="1" x14ac:dyDescent="0.4">
      <c r="A63" s="63">
        <v>4004005871</v>
      </c>
      <c r="B63" s="64" t="s">
        <v>101</v>
      </c>
      <c r="C63" s="151">
        <v>100823</v>
      </c>
      <c r="D63" s="65">
        <f>(OBSAH!$J$6/100)*Tabulka21111517[[#This Row],[Sloupec3]]</f>
        <v>0</v>
      </c>
      <c r="E63" s="66">
        <f>Tabulka21111517[[#This Row],[Sloupec3]]-Tabulka21111517[[#This Row],[Sloupec4]]</f>
        <v>100823</v>
      </c>
      <c r="F63" s="3"/>
      <c r="G63" s="3"/>
      <c r="H63" s="3"/>
      <c r="I63" s="3"/>
      <c r="J63" s="3"/>
      <c r="K63" s="3"/>
      <c r="L63" s="3"/>
      <c r="M63" s="3"/>
    </row>
    <row r="64" spans="1:13" ht="14.25" customHeight="1" x14ac:dyDescent="0.4">
      <c r="A64" s="68">
        <v>4004005872</v>
      </c>
      <c r="B64" s="69" t="s">
        <v>102</v>
      </c>
      <c r="C64" s="151">
        <v>104359</v>
      </c>
      <c r="D64" s="76">
        <f>(OBSAH!$J$6/100)*Tabulka21111517[[#This Row],[Sloupec3]]</f>
        <v>0</v>
      </c>
      <c r="E64" s="77">
        <f>Tabulka21111517[[#This Row],[Sloupec3]]-Tabulka21111517[[#This Row],[Sloupec4]]</f>
        <v>104359</v>
      </c>
      <c r="F64" s="3"/>
      <c r="G64" s="3"/>
      <c r="H64" s="3"/>
      <c r="I64" s="3"/>
      <c r="J64" s="3"/>
      <c r="K64" s="3"/>
      <c r="L64" s="3"/>
      <c r="M64" s="3"/>
    </row>
    <row r="65" spans="1:13" ht="14.25" customHeight="1" x14ac:dyDescent="0.4">
      <c r="A65" s="78"/>
      <c r="B65" s="78"/>
      <c r="C65" s="82"/>
      <c r="D65" s="73"/>
      <c r="E65" s="74"/>
      <c r="F65" s="3"/>
      <c r="G65" s="3"/>
      <c r="H65" s="3"/>
      <c r="I65" s="3"/>
      <c r="J65" s="3"/>
      <c r="K65" s="3"/>
      <c r="L65" s="3"/>
      <c r="M65" s="3"/>
    </row>
    <row r="66" spans="1:13" ht="14.25" customHeight="1" x14ac:dyDescent="0.4">
      <c r="A66" s="78"/>
      <c r="B66" s="78"/>
      <c r="C66" s="82"/>
      <c r="D66" s="73"/>
      <c r="E66" s="74"/>
      <c r="F66" s="3"/>
      <c r="G66" s="3"/>
      <c r="H66" s="3"/>
      <c r="I66" s="3"/>
      <c r="J66" s="3"/>
      <c r="K66" s="3"/>
      <c r="L66" s="3"/>
      <c r="M66" s="3"/>
    </row>
    <row r="67" spans="1:13" ht="14.25" customHeight="1" x14ac:dyDescent="0.4">
      <c r="A67" s="78"/>
      <c r="B67" s="78"/>
      <c r="C67" s="82"/>
      <c r="D67" s="73"/>
      <c r="E67" s="74"/>
      <c r="F67" s="3"/>
      <c r="G67" s="3"/>
      <c r="H67" s="3"/>
      <c r="I67" s="3"/>
      <c r="J67" s="3"/>
      <c r="K67" s="3"/>
      <c r="L67" s="3"/>
      <c r="M67" s="3"/>
    </row>
    <row r="68" spans="1:13" ht="36" customHeight="1" x14ac:dyDescent="0.4">
      <c r="A68" s="246" t="s">
        <v>81</v>
      </c>
      <c r="B68" s="246"/>
      <c r="C68" s="246"/>
      <c r="D68" s="246"/>
      <c r="E68" s="246"/>
      <c r="F68" s="3"/>
      <c r="G68" s="3"/>
      <c r="H68" s="3"/>
      <c r="I68" s="3"/>
      <c r="J68" s="3"/>
      <c r="K68" s="3"/>
      <c r="L68" s="3"/>
      <c r="M68" s="3"/>
    </row>
    <row r="69" spans="1:13" ht="36" customHeight="1" x14ac:dyDescent="0.4">
      <c r="A69" s="243" t="s">
        <v>103</v>
      </c>
      <c r="B69" s="243"/>
      <c r="C69" s="243"/>
      <c r="D69" s="243"/>
      <c r="E69" s="243"/>
      <c r="F69" s="3"/>
      <c r="G69" s="3"/>
      <c r="H69" s="3"/>
      <c r="I69" s="3"/>
      <c r="J69" s="3"/>
      <c r="K69" s="3"/>
      <c r="L69" s="3"/>
      <c r="M69" s="3"/>
    </row>
    <row r="70" spans="1:13" ht="22.4" customHeight="1" x14ac:dyDescent="0.4">
      <c r="A70" s="244" t="s">
        <v>57</v>
      </c>
      <c r="B70" s="244"/>
      <c r="C70" s="244"/>
      <c r="D70" s="244"/>
      <c r="E70" s="244"/>
      <c r="F70" s="3"/>
      <c r="G70" s="3"/>
      <c r="H70" s="3"/>
      <c r="I70" s="3"/>
      <c r="J70" s="3"/>
      <c r="K70" s="3"/>
      <c r="L70" s="3"/>
      <c r="M70" s="3"/>
    </row>
    <row r="71" spans="1:13" ht="22.4" customHeight="1" x14ac:dyDescent="0.4">
      <c r="A71" s="38" t="s">
        <v>39</v>
      </c>
      <c r="B71" s="38" t="s">
        <v>40</v>
      </c>
      <c r="C71" s="39" t="s">
        <v>41</v>
      </c>
      <c r="D71" s="39" t="s">
        <v>42</v>
      </c>
      <c r="E71" s="40" t="s">
        <v>43</v>
      </c>
      <c r="F71" s="3"/>
      <c r="G71" s="3"/>
      <c r="H71" s="3"/>
      <c r="I71" s="3"/>
      <c r="J71" s="3"/>
      <c r="K71" s="3"/>
      <c r="L71" s="3"/>
      <c r="M71" s="3"/>
    </row>
    <row r="72" spans="1:13" ht="14.25" customHeight="1" x14ac:dyDescent="0.4">
      <c r="A72" s="59">
        <v>4004005915</v>
      </c>
      <c r="B72" s="60" t="s">
        <v>104</v>
      </c>
      <c r="C72" s="152">
        <v>42559</v>
      </c>
      <c r="D72" s="61">
        <f>(OBSAH!$J$6/100)*Tabulka201014164[[#This Row],[Sloupec3]]</f>
        <v>0</v>
      </c>
      <c r="E72" s="62">
        <f>Tabulka201014164[[#This Row],[Sloupec3]]-Tabulka201014164[[#This Row],[Sloupec4]]</f>
        <v>42559</v>
      </c>
      <c r="F72" s="3"/>
      <c r="G72" s="3"/>
      <c r="H72" s="3"/>
      <c r="I72" s="3"/>
      <c r="J72" s="3"/>
      <c r="K72" s="3"/>
      <c r="L72" s="3"/>
      <c r="M72" s="3"/>
    </row>
    <row r="73" spans="1:13" ht="14.25" customHeight="1" x14ac:dyDescent="0.4">
      <c r="A73" s="63">
        <v>4004005916</v>
      </c>
      <c r="B73" s="64" t="s">
        <v>105</v>
      </c>
      <c r="C73" s="152">
        <v>57715</v>
      </c>
      <c r="D73" s="65">
        <f>(OBSAH!$J$6/100)*Tabulka201014164[[#This Row],[Sloupec3]]</f>
        <v>0</v>
      </c>
      <c r="E73" s="66">
        <f>Tabulka201014164[[#This Row],[Sloupec3]]-Tabulka201014164[[#This Row],[Sloupec4]]</f>
        <v>57715</v>
      </c>
      <c r="F73" s="3"/>
      <c r="G73" s="3"/>
      <c r="H73" s="3"/>
      <c r="I73" s="3"/>
      <c r="J73" s="3"/>
      <c r="K73" s="3"/>
      <c r="L73" s="3"/>
      <c r="M73" s="3"/>
    </row>
    <row r="74" spans="1:13" ht="14.25" customHeight="1" x14ac:dyDescent="0.4">
      <c r="A74" s="63">
        <v>4004005917</v>
      </c>
      <c r="B74" s="64" t="s">
        <v>106</v>
      </c>
      <c r="C74" s="152">
        <v>71681</v>
      </c>
      <c r="D74" s="65">
        <f>(OBSAH!$J$6/100)*Tabulka201014164[[#This Row],[Sloupec3]]</f>
        <v>0</v>
      </c>
      <c r="E74" s="66">
        <f>Tabulka201014164[[#This Row],[Sloupec3]]-Tabulka201014164[[#This Row],[Sloupec4]]</f>
        <v>71681</v>
      </c>
      <c r="F74" s="3"/>
      <c r="G74" s="3"/>
      <c r="H74" s="3"/>
      <c r="I74" s="3"/>
      <c r="J74" s="3"/>
      <c r="K74" s="3"/>
      <c r="L74" s="3"/>
      <c r="M74" s="3"/>
    </row>
    <row r="75" spans="1:13" ht="14.25" customHeight="1" x14ac:dyDescent="0.4">
      <c r="A75" s="63">
        <v>4004005918</v>
      </c>
      <c r="B75" s="64" t="s">
        <v>107</v>
      </c>
      <c r="C75" s="152">
        <v>86839</v>
      </c>
      <c r="D75" s="65">
        <f>(OBSAH!$J$6/100)*Tabulka201014164[[#This Row],[Sloupec3]]</f>
        <v>0</v>
      </c>
      <c r="E75" s="66">
        <f>Tabulka201014164[[#This Row],[Sloupec3]]-Tabulka201014164[[#This Row],[Sloupec4]]</f>
        <v>86839</v>
      </c>
      <c r="F75" s="3"/>
      <c r="G75" s="3"/>
      <c r="H75" s="3"/>
      <c r="I75" s="3"/>
      <c r="J75" s="3"/>
      <c r="K75" s="3"/>
      <c r="L75" s="3"/>
      <c r="M75" s="3"/>
    </row>
    <row r="76" spans="1:13" ht="14.25" customHeight="1" x14ac:dyDescent="0.4">
      <c r="A76" s="68">
        <v>4004005919</v>
      </c>
      <c r="B76" s="69" t="s">
        <v>108</v>
      </c>
      <c r="C76" s="152">
        <v>100473</v>
      </c>
      <c r="D76" s="76">
        <f>(OBSAH!$J$6/100)*Tabulka201014164[[#This Row],[Sloupec3]]</f>
        <v>0</v>
      </c>
      <c r="E76" s="77">
        <f>Tabulka201014164[[#This Row],[Sloupec3]]-Tabulka201014164[[#This Row],[Sloupec4]]</f>
        <v>100473</v>
      </c>
      <c r="F76" s="3"/>
      <c r="G76" s="3"/>
      <c r="H76" s="3"/>
      <c r="I76" s="3"/>
      <c r="J76" s="3"/>
      <c r="K76" s="3"/>
      <c r="L76" s="3"/>
      <c r="M76" s="3"/>
    </row>
    <row r="77" spans="1:13" ht="14.25" customHeight="1" x14ac:dyDescent="0.4">
      <c r="A77" s="70"/>
      <c r="B77" s="71"/>
      <c r="C77" s="72"/>
      <c r="D77" s="73"/>
      <c r="E77" s="74"/>
      <c r="F77" s="3"/>
      <c r="G77" s="3"/>
      <c r="H77" s="3"/>
      <c r="I77" s="3"/>
      <c r="J77" s="3"/>
      <c r="K77" s="3"/>
      <c r="L77" s="3"/>
      <c r="M77" s="3"/>
    </row>
    <row r="78" spans="1:13" ht="22.4" customHeight="1" x14ac:dyDescent="0.4">
      <c r="A78" s="245" t="s">
        <v>69</v>
      </c>
      <c r="B78" s="245"/>
      <c r="C78" s="245"/>
      <c r="D78" s="245"/>
      <c r="E78" s="245"/>
      <c r="F78" s="3"/>
      <c r="G78" s="3"/>
      <c r="H78" s="3"/>
      <c r="I78" s="3"/>
      <c r="J78" s="3"/>
      <c r="K78" s="3"/>
      <c r="L78" s="3"/>
      <c r="M78" s="3"/>
    </row>
    <row r="79" spans="1:13" ht="22.4" customHeight="1" x14ac:dyDescent="0.4">
      <c r="A79" s="38" t="s">
        <v>39</v>
      </c>
      <c r="B79" s="38" t="s">
        <v>40</v>
      </c>
      <c r="C79" s="39" t="s">
        <v>41</v>
      </c>
      <c r="D79" s="39" t="s">
        <v>42</v>
      </c>
      <c r="E79" s="40" t="s">
        <v>43</v>
      </c>
      <c r="F79" s="3"/>
      <c r="G79" s="3"/>
      <c r="H79" s="3"/>
      <c r="I79" s="3"/>
      <c r="J79" s="3"/>
      <c r="K79" s="3"/>
      <c r="L79" s="3"/>
      <c r="M79" s="3"/>
    </row>
    <row r="80" spans="1:13" x14ac:dyDescent="0.4">
      <c r="A80" s="59">
        <v>4004005920</v>
      </c>
      <c r="B80" s="60" t="s">
        <v>109</v>
      </c>
      <c r="C80" s="153">
        <v>43015</v>
      </c>
      <c r="D80" s="61">
        <f>(OBSAH!$J$6/100)*Tabulka2111151710[[#This Row],[Sloupec3]]</f>
        <v>0</v>
      </c>
      <c r="E80" s="62">
        <f>Tabulka2111151710[[#This Row],[Sloupec3]]-Tabulka2111151710[[#This Row],[Sloupec4]]</f>
        <v>43015</v>
      </c>
      <c r="F80" s="3"/>
      <c r="G80" s="3"/>
      <c r="H80" s="3"/>
      <c r="I80" s="3"/>
      <c r="J80" s="3"/>
      <c r="K80" s="3"/>
      <c r="L80" s="3"/>
      <c r="M80" s="3"/>
    </row>
    <row r="81" spans="1:13" x14ac:dyDescent="0.4">
      <c r="A81" s="67">
        <v>4004005921</v>
      </c>
      <c r="B81" s="116" t="s">
        <v>110</v>
      </c>
      <c r="C81" s="153">
        <v>58169</v>
      </c>
      <c r="D81" s="65">
        <f>(OBSAH!$J$6/100)*Tabulka2111151710[[#This Row],[Sloupec3]]</f>
        <v>0</v>
      </c>
      <c r="E81" s="66">
        <f>Tabulka2111151710[[#This Row],[Sloupec3]]-Tabulka2111151710[[#This Row],[Sloupec4]]</f>
        <v>58169</v>
      </c>
      <c r="F81" s="3"/>
      <c r="G81" s="3"/>
      <c r="H81" s="3"/>
      <c r="I81" s="3"/>
      <c r="J81" s="3"/>
      <c r="K81" s="3"/>
      <c r="L81" s="3"/>
      <c r="M81" s="3"/>
    </row>
    <row r="82" spans="1:13" x14ac:dyDescent="0.4">
      <c r="A82" s="67">
        <v>4004005922</v>
      </c>
      <c r="B82" s="116" t="s">
        <v>111</v>
      </c>
      <c r="C82" s="153">
        <v>72591</v>
      </c>
      <c r="D82" s="65">
        <f>(OBSAH!$J$6/100)*Tabulka2111151710[[#This Row],[Sloupec3]]</f>
        <v>0</v>
      </c>
      <c r="E82" s="66">
        <f>Tabulka2111151710[[#This Row],[Sloupec3]]-Tabulka2111151710[[#This Row],[Sloupec4]]</f>
        <v>72591</v>
      </c>
      <c r="F82" s="3"/>
      <c r="G82" s="3"/>
      <c r="H82" s="3"/>
      <c r="I82" s="3"/>
      <c r="J82" s="3"/>
      <c r="K82" s="3"/>
      <c r="L82" s="3"/>
      <c r="M82" s="3"/>
    </row>
    <row r="83" spans="1:13" x14ac:dyDescent="0.4">
      <c r="A83" s="67">
        <v>4004005923</v>
      </c>
      <c r="B83" s="116" t="s">
        <v>112</v>
      </c>
      <c r="C83" s="153">
        <v>87748</v>
      </c>
      <c r="D83" s="65">
        <f>(OBSAH!$J$6/100)*Tabulka2111151710[[#This Row],[Sloupec3]]</f>
        <v>0</v>
      </c>
      <c r="E83" s="66">
        <f>Tabulka2111151710[[#This Row],[Sloupec3]]-Tabulka2111151710[[#This Row],[Sloupec4]]</f>
        <v>87748</v>
      </c>
      <c r="F83" s="3"/>
      <c r="G83" s="3"/>
      <c r="H83" s="3"/>
      <c r="I83" s="3"/>
      <c r="J83" s="3"/>
      <c r="K83" s="3"/>
      <c r="L83" s="3"/>
      <c r="M83" s="3"/>
    </row>
    <row r="84" spans="1:13" x14ac:dyDescent="0.4">
      <c r="A84" s="68">
        <v>4004005924</v>
      </c>
      <c r="B84" s="69" t="s">
        <v>113</v>
      </c>
      <c r="C84" s="153">
        <v>101382</v>
      </c>
      <c r="D84" s="76">
        <f>(OBSAH!$J$6/100)*Tabulka2111151710[[#This Row],[Sloupec3]]</f>
        <v>0</v>
      </c>
      <c r="E84" s="77">
        <f>Tabulka2111151710[[#This Row],[Sloupec3]]-Tabulka2111151710[[#This Row],[Sloupec4]]</f>
        <v>101382</v>
      </c>
      <c r="F84" s="3"/>
      <c r="G84" s="3"/>
      <c r="H84" s="3"/>
      <c r="I84" s="3"/>
      <c r="J84" s="3"/>
      <c r="K84" s="3"/>
      <c r="L84" s="3"/>
      <c r="M84" s="3"/>
    </row>
    <row r="85" spans="1:13" ht="15" customHeight="1" x14ac:dyDescent="0.4">
      <c r="A85" s="78"/>
      <c r="B85" s="78"/>
      <c r="C85" s="82"/>
      <c r="D85" s="73"/>
      <c r="E85" s="74"/>
      <c r="F85" s="3"/>
      <c r="G85" s="3"/>
      <c r="H85" s="3"/>
      <c r="I85" s="3"/>
      <c r="J85" s="3"/>
      <c r="K85" s="3"/>
      <c r="L85" s="3"/>
      <c r="M85" s="3"/>
    </row>
    <row r="86" spans="1:13" ht="15" customHeight="1" x14ac:dyDescent="0.4">
      <c r="A86" s="78"/>
      <c r="B86" s="78"/>
      <c r="C86" s="82"/>
      <c r="D86" s="73"/>
      <c r="E86" s="74"/>
      <c r="F86" s="3"/>
      <c r="G86" s="3"/>
      <c r="H86" s="3"/>
      <c r="I86" s="3"/>
      <c r="J86" s="3"/>
      <c r="K86" s="3"/>
      <c r="L86" s="3"/>
      <c r="M86" s="3"/>
    </row>
    <row r="87" spans="1:13" ht="15" customHeight="1" x14ac:dyDescent="0.4">
      <c r="A87" s="83"/>
      <c r="B87" s="83"/>
      <c r="C87" s="84"/>
      <c r="D87" s="85"/>
      <c r="E87" s="86"/>
      <c r="F87" s="3"/>
      <c r="G87" s="3"/>
      <c r="H87" s="3"/>
      <c r="I87" s="3"/>
      <c r="J87" s="3"/>
      <c r="K87" s="3"/>
      <c r="L87" s="3"/>
      <c r="M87" s="3"/>
    </row>
    <row r="88" spans="1:13" ht="36" customHeight="1" x14ac:dyDescent="0.4">
      <c r="A88" s="246" t="s">
        <v>81</v>
      </c>
      <c r="B88" s="246"/>
      <c r="C88" s="246"/>
      <c r="D88" s="246"/>
      <c r="E88" s="246"/>
      <c r="F88" s="3"/>
      <c r="G88" s="3"/>
      <c r="H88" s="3"/>
      <c r="I88" s="3"/>
      <c r="J88" s="3"/>
      <c r="K88" s="3"/>
      <c r="L88" s="3"/>
      <c r="M88" s="3"/>
    </row>
    <row r="89" spans="1:13" ht="36" customHeight="1" x14ac:dyDescent="0.4">
      <c r="A89" s="243" t="s">
        <v>114</v>
      </c>
      <c r="B89" s="243"/>
      <c r="C89" s="243"/>
      <c r="D89" s="243"/>
      <c r="E89" s="243"/>
      <c r="F89" s="3"/>
      <c r="G89" s="3"/>
      <c r="H89" s="3"/>
      <c r="I89" s="3"/>
      <c r="J89" s="3"/>
      <c r="K89" s="3"/>
      <c r="L89" s="3"/>
      <c r="M89" s="3"/>
    </row>
    <row r="90" spans="1:13" ht="22.5" customHeight="1" x14ac:dyDescent="0.4">
      <c r="A90" s="244" t="s">
        <v>57</v>
      </c>
      <c r="B90" s="244"/>
      <c r="C90" s="244"/>
      <c r="D90" s="244"/>
      <c r="E90" s="244"/>
      <c r="F90" s="3"/>
      <c r="G90" s="3"/>
      <c r="H90" s="3"/>
      <c r="I90" s="3"/>
      <c r="J90" s="3"/>
      <c r="K90" s="3"/>
      <c r="L90" s="3"/>
      <c r="M90" s="3"/>
    </row>
    <row r="91" spans="1:13" s="44" customFormat="1" ht="22.5" customHeight="1" x14ac:dyDescent="0.3">
      <c r="A91" s="38" t="s">
        <v>39</v>
      </c>
      <c r="B91" s="38" t="s">
        <v>40</v>
      </c>
      <c r="C91" s="39" t="s">
        <v>41</v>
      </c>
      <c r="D91" s="39" t="s">
        <v>42</v>
      </c>
      <c r="E91" s="40" t="s">
        <v>43</v>
      </c>
      <c r="F91" s="3"/>
      <c r="G91" s="3"/>
      <c r="H91" s="3"/>
      <c r="I91" s="3"/>
      <c r="J91" s="3"/>
      <c r="K91" s="3"/>
      <c r="L91" s="3"/>
      <c r="M91" s="3"/>
    </row>
    <row r="92" spans="1:13" ht="14.25" customHeight="1" x14ac:dyDescent="0.4">
      <c r="A92" s="59">
        <v>4004005873</v>
      </c>
      <c r="B92" s="60" t="s">
        <v>115</v>
      </c>
      <c r="C92" s="154">
        <v>27014</v>
      </c>
      <c r="D92" s="61">
        <f>(OBSAH!$J$6/100)*Tabulka2010141625[[#This Row],[Sloupec3]]</f>
        <v>0</v>
      </c>
      <c r="E92" s="62">
        <f>Tabulka2010141625[[#This Row],[Sloupec3]]-Tabulka2010141625[[#This Row],[Sloupec4]]</f>
        <v>27014</v>
      </c>
      <c r="F92" s="3"/>
      <c r="G92" s="3"/>
      <c r="H92" s="3"/>
      <c r="I92" s="3"/>
      <c r="J92" s="3"/>
      <c r="K92" s="3"/>
      <c r="L92" s="3"/>
      <c r="M92" s="3"/>
    </row>
    <row r="93" spans="1:13" ht="14.25" customHeight="1" x14ac:dyDescent="0.4">
      <c r="A93" s="63">
        <v>4004005874</v>
      </c>
      <c r="B93" s="64" t="s">
        <v>116</v>
      </c>
      <c r="C93" s="154">
        <v>38345</v>
      </c>
      <c r="D93" s="65">
        <f>(OBSAH!$J$6/100)*Tabulka2010141625[[#This Row],[Sloupec3]]</f>
        <v>0</v>
      </c>
      <c r="E93" s="66">
        <f>Tabulka2010141625[[#This Row],[Sloupec3]]-Tabulka2010141625[[#This Row],[Sloupec4]]</f>
        <v>38345</v>
      </c>
      <c r="F93" s="3"/>
      <c r="G93" s="247"/>
      <c r="H93" s="247"/>
      <c r="I93" s="247"/>
      <c r="J93" s="247"/>
      <c r="K93" s="247"/>
      <c r="L93" s="247"/>
      <c r="M93" s="3"/>
    </row>
    <row r="94" spans="1:13" ht="14.25" customHeight="1" x14ac:dyDescent="0.4">
      <c r="A94" s="63">
        <v>4004005875</v>
      </c>
      <c r="B94" s="64" t="s">
        <v>117</v>
      </c>
      <c r="C94" s="154">
        <v>41884</v>
      </c>
      <c r="D94" s="65">
        <f>(OBSAH!$J$6/100)*Tabulka2010141625[[#This Row],[Sloupec3]]</f>
        <v>0</v>
      </c>
      <c r="E94" s="66">
        <f>Tabulka2010141625[[#This Row],[Sloupec3]]-Tabulka2010141625[[#This Row],[Sloupec4]]</f>
        <v>41884</v>
      </c>
      <c r="F94" s="41"/>
      <c r="G94" s="236"/>
      <c r="H94" s="236"/>
      <c r="I94" s="236"/>
      <c r="J94" s="236"/>
      <c r="K94" s="236"/>
      <c r="L94" s="236"/>
      <c r="M94" s="41"/>
    </row>
    <row r="95" spans="1:13" ht="14.25" customHeight="1" x14ac:dyDescent="0.4">
      <c r="A95" s="67">
        <v>4004005876</v>
      </c>
      <c r="B95" s="116" t="s">
        <v>118</v>
      </c>
      <c r="C95" s="154">
        <v>53470</v>
      </c>
      <c r="D95" s="65">
        <f>(OBSAH!$J$6/100)*Tabulka2010141625[[#This Row],[Sloupec3]]</f>
        <v>0</v>
      </c>
      <c r="E95" s="66">
        <f>Tabulka2010141625[[#This Row],[Sloupec3]]-Tabulka2010141625[[#This Row],[Sloupec4]]</f>
        <v>53470</v>
      </c>
      <c r="F95" s="41"/>
      <c r="G95" s="42"/>
      <c r="H95" s="42"/>
      <c r="I95" s="42"/>
      <c r="J95" s="42"/>
      <c r="K95" s="42"/>
      <c r="L95" s="42"/>
      <c r="M95" s="41"/>
    </row>
    <row r="96" spans="1:13" ht="14.25" customHeight="1" x14ac:dyDescent="0.4">
      <c r="A96" s="67">
        <v>4004005877</v>
      </c>
      <c r="B96" s="116" t="s">
        <v>119</v>
      </c>
      <c r="C96" s="154">
        <v>57007</v>
      </c>
      <c r="D96" s="65">
        <f>(OBSAH!$J$6/100)*Tabulka2010141625[[#This Row],[Sloupec3]]</f>
        <v>0</v>
      </c>
      <c r="E96" s="66">
        <f>Tabulka2010141625[[#This Row],[Sloupec3]]-Tabulka2010141625[[#This Row],[Sloupec4]]</f>
        <v>57007</v>
      </c>
      <c r="F96" s="41"/>
      <c r="G96" s="42"/>
      <c r="H96" s="42"/>
      <c r="I96" s="42"/>
      <c r="J96" s="42"/>
      <c r="K96" s="42"/>
      <c r="L96" s="42"/>
      <c r="M96" s="41"/>
    </row>
    <row r="97" spans="1:13" ht="14.25" customHeight="1" x14ac:dyDescent="0.4">
      <c r="A97" s="67">
        <v>4004005878</v>
      </c>
      <c r="B97" s="116" t="s">
        <v>120</v>
      </c>
      <c r="C97" s="154">
        <v>67468</v>
      </c>
      <c r="D97" s="65">
        <f>(OBSAH!$J$6/100)*Tabulka2010141625[[#This Row],[Sloupec3]]</f>
        <v>0</v>
      </c>
      <c r="E97" s="66">
        <f>Tabulka2010141625[[#This Row],[Sloupec3]]-Tabulka2010141625[[#This Row],[Sloupec4]]</f>
        <v>67468</v>
      </c>
      <c r="F97" s="41"/>
      <c r="G97" s="42"/>
      <c r="H97" s="42"/>
      <c r="I97" s="42"/>
      <c r="J97" s="42"/>
      <c r="K97" s="42"/>
      <c r="L97" s="42"/>
      <c r="M97" s="41"/>
    </row>
    <row r="98" spans="1:13" ht="14.25" customHeight="1" x14ac:dyDescent="0.4">
      <c r="A98" s="67">
        <v>4004005879</v>
      </c>
      <c r="B98" s="116" t="s">
        <v>121</v>
      </c>
      <c r="C98" s="154">
        <v>71006</v>
      </c>
      <c r="D98" s="65">
        <f>(OBSAH!$J$6/100)*Tabulka2010141625[[#This Row],[Sloupec3]]</f>
        <v>0</v>
      </c>
      <c r="E98" s="66">
        <f>Tabulka2010141625[[#This Row],[Sloupec3]]-Tabulka2010141625[[#This Row],[Sloupec4]]</f>
        <v>71006</v>
      </c>
      <c r="F98" s="41"/>
      <c r="G98" s="42"/>
      <c r="H98" s="42"/>
      <c r="I98" s="42"/>
      <c r="J98" s="42"/>
      <c r="K98" s="42"/>
      <c r="L98" s="42"/>
      <c r="M98" s="41"/>
    </row>
    <row r="99" spans="1:13" ht="14.25" customHeight="1" x14ac:dyDescent="0.4">
      <c r="A99" s="63">
        <v>4004005880</v>
      </c>
      <c r="B99" s="64" t="s">
        <v>122</v>
      </c>
      <c r="C99" s="154">
        <v>82592</v>
      </c>
      <c r="D99" s="65">
        <f>(OBSAH!$J$6/100)*Tabulka2010141625[[#This Row],[Sloupec3]]</f>
        <v>0</v>
      </c>
      <c r="E99" s="66">
        <f>Tabulka2010141625[[#This Row],[Sloupec3]]-Tabulka2010141625[[#This Row],[Sloupec4]]</f>
        <v>82592</v>
      </c>
      <c r="F99" s="3"/>
      <c r="G99" s="3"/>
      <c r="H99" s="3"/>
      <c r="I99" s="3"/>
      <c r="J99" s="3"/>
      <c r="K99" s="3"/>
      <c r="L99" s="3"/>
      <c r="M99" s="3"/>
    </row>
    <row r="100" spans="1:13" ht="14.25" customHeight="1" x14ac:dyDescent="0.4">
      <c r="A100" s="63">
        <v>4004005881</v>
      </c>
      <c r="B100" s="64" t="s">
        <v>123</v>
      </c>
      <c r="C100" s="154">
        <v>86130</v>
      </c>
      <c r="D100" s="65">
        <f>(OBSAH!$J$6/100)*Tabulka2010141625[[#This Row],[Sloupec3]]</f>
        <v>0</v>
      </c>
      <c r="E100" s="66">
        <f>Tabulka2010141625[[#This Row],[Sloupec3]]-Tabulka2010141625[[#This Row],[Sloupec4]]</f>
        <v>86130</v>
      </c>
      <c r="F100" s="3"/>
      <c r="G100" s="3"/>
      <c r="H100" s="3"/>
      <c r="I100" s="3"/>
      <c r="J100" s="3"/>
      <c r="K100" s="3"/>
      <c r="L100" s="3"/>
      <c r="M100" s="3"/>
    </row>
    <row r="101" spans="1:13" ht="14.25" customHeight="1" x14ac:dyDescent="0.4">
      <c r="A101" s="63">
        <v>4004005882</v>
      </c>
      <c r="B101" s="64" t="s">
        <v>124</v>
      </c>
      <c r="C101" s="154">
        <v>96227</v>
      </c>
      <c r="D101" s="65">
        <f>(OBSAH!$J$6/100)*Tabulka2010141625[[#This Row],[Sloupec3]]</f>
        <v>0</v>
      </c>
      <c r="E101" s="66">
        <f>Tabulka2010141625[[#This Row],[Sloupec3]]-Tabulka2010141625[[#This Row],[Sloupec4]]</f>
        <v>96227</v>
      </c>
      <c r="F101" s="3"/>
      <c r="G101" s="3"/>
      <c r="H101" s="3"/>
      <c r="I101" s="3"/>
      <c r="J101" s="3"/>
      <c r="K101" s="3"/>
      <c r="L101" s="3"/>
      <c r="M101" s="3"/>
    </row>
    <row r="102" spans="1:13" ht="14.25" customHeight="1" x14ac:dyDescent="0.4">
      <c r="A102" s="68">
        <v>4004005883</v>
      </c>
      <c r="B102" s="69" t="s">
        <v>125</v>
      </c>
      <c r="C102" s="154">
        <v>99765</v>
      </c>
      <c r="D102" s="76">
        <f>(OBSAH!$J$6/100)*Tabulka2010141625[[#This Row],[Sloupec3]]</f>
        <v>0</v>
      </c>
      <c r="E102" s="77">
        <f>Tabulka2010141625[[#This Row],[Sloupec3]]-Tabulka2010141625[[#This Row],[Sloupec4]]</f>
        <v>99765</v>
      </c>
      <c r="F102" s="3"/>
      <c r="G102" s="3"/>
      <c r="H102" s="3"/>
      <c r="I102" s="3"/>
      <c r="J102" s="3"/>
      <c r="K102" s="3"/>
      <c r="L102" s="3"/>
      <c r="M102" s="3"/>
    </row>
    <row r="103" spans="1:13" ht="15" customHeight="1" x14ac:dyDescent="0.4">
      <c r="A103" s="70"/>
      <c r="B103" s="71"/>
      <c r="C103" s="72"/>
      <c r="D103" s="73"/>
      <c r="E103" s="74"/>
      <c r="F103" s="3"/>
      <c r="G103" s="3"/>
      <c r="H103" s="3"/>
      <c r="I103" s="3"/>
      <c r="J103" s="3"/>
      <c r="K103" s="3"/>
      <c r="L103" s="3"/>
      <c r="M103" s="3"/>
    </row>
    <row r="104" spans="1:13" ht="22.5" customHeight="1" x14ac:dyDescent="0.4">
      <c r="A104" s="245" t="s">
        <v>69</v>
      </c>
      <c r="B104" s="245"/>
      <c r="C104" s="245"/>
      <c r="D104" s="245"/>
      <c r="E104" s="245"/>
      <c r="F104" s="3"/>
      <c r="G104" s="3"/>
      <c r="H104" s="3"/>
      <c r="I104" s="3"/>
      <c r="J104" s="3"/>
      <c r="K104" s="3"/>
      <c r="L104" s="3"/>
      <c r="M104" s="3"/>
    </row>
    <row r="105" spans="1:13" s="44" customFormat="1" ht="22.5" customHeight="1" x14ac:dyDescent="0.3">
      <c r="A105" s="38" t="s">
        <v>39</v>
      </c>
      <c r="B105" s="38" t="s">
        <v>40</v>
      </c>
      <c r="C105" s="39" t="s">
        <v>41</v>
      </c>
      <c r="D105" s="39" t="s">
        <v>42</v>
      </c>
      <c r="E105" s="40" t="s">
        <v>43</v>
      </c>
      <c r="F105" s="3"/>
      <c r="G105" s="3"/>
      <c r="H105" s="3"/>
      <c r="I105" s="3"/>
      <c r="J105" s="3"/>
      <c r="K105" s="3"/>
      <c r="L105" s="3"/>
      <c r="M105" s="3"/>
    </row>
    <row r="106" spans="1:13" ht="14.25" customHeight="1" x14ac:dyDescent="0.4">
      <c r="A106" s="59">
        <v>4004005884</v>
      </c>
      <c r="B106" s="60" t="s">
        <v>126</v>
      </c>
      <c r="C106" s="155">
        <v>27466</v>
      </c>
      <c r="D106" s="61">
        <f>(OBSAH!$J$6/100)*Tabulka2111151768[[#This Row],[Sloupec3]]</f>
        <v>0</v>
      </c>
      <c r="E106" s="62">
        <f>Tabulka2111151768[[#This Row],[Sloupec3]]-Tabulka2111151768[[#This Row],[Sloupec4]]</f>
        <v>27466</v>
      </c>
      <c r="F106" s="3"/>
      <c r="G106" s="3"/>
      <c r="H106" s="3"/>
      <c r="I106" s="3"/>
      <c r="J106" s="3"/>
      <c r="K106" s="3"/>
      <c r="L106" s="3"/>
      <c r="M106" s="3"/>
    </row>
    <row r="107" spans="1:13" ht="14.25" customHeight="1" x14ac:dyDescent="0.4">
      <c r="A107" s="63">
        <v>4004005885</v>
      </c>
      <c r="B107" s="64" t="s">
        <v>127</v>
      </c>
      <c r="C107" s="155">
        <v>38799</v>
      </c>
      <c r="D107" s="65">
        <f>(OBSAH!$J$6/100)*Tabulka2111151768[[#This Row],[Sloupec3]]</f>
        <v>0</v>
      </c>
      <c r="E107" s="66">
        <f>Tabulka2111151768[[#This Row],[Sloupec3]]-Tabulka2111151768[[#This Row],[Sloupec4]]</f>
        <v>38799</v>
      </c>
      <c r="F107" s="3"/>
      <c r="G107" s="3"/>
      <c r="H107" s="3"/>
      <c r="I107" s="3"/>
      <c r="J107" s="3"/>
      <c r="K107" s="3"/>
      <c r="L107" s="3"/>
      <c r="M107" s="3"/>
    </row>
    <row r="108" spans="1:13" ht="14.25" customHeight="1" x14ac:dyDescent="0.4">
      <c r="A108" s="67">
        <v>4004005886</v>
      </c>
      <c r="B108" s="116" t="s">
        <v>128</v>
      </c>
      <c r="C108" s="155">
        <v>42338</v>
      </c>
      <c r="D108" s="65">
        <f>(OBSAH!$J$6/100)*Tabulka2111151768[[#This Row],[Sloupec3]]</f>
        <v>0</v>
      </c>
      <c r="E108" s="66">
        <f>Tabulka2111151768[[#This Row],[Sloupec3]]-Tabulka2111151768[[#This Row],[Sloupec4]]</f>
        <v>42338</v>
      </c>
      <c r="F108" s="3"/>
      <c r="G108" s="3"/>
      <c r="H108" s="3"/>
      <c r="I108" s="3"/>
      <c r="J108" s="3"/>
      <c r="K108" s="3"/>
      <c r="L108" s="3"/>
      <c r="M108" s="3"/>
    </row>
    <row r="109" spans="1:13" ht="14.25" customHeight="1" x14ac:dyDescent="0.4">
      <c r="A109" s="67">
        <v>4004005887</v>
      </c>
      <c r="B109" s="116" t="s">
        <v>129</v>
      </c>
      <c r="C109" s="155">
        <v>53923</v>
      </c>
      <c r="D109" s="65">
        <f>(OBSAH!$J$6/100)*Tabulka2111151768[[#This Row],[Sloupec3]]</f>
        <v>0</v>
      </c>
      <c r="E109" s="66">
        <f>Tabulka2111151768[[#This Row],[Sloupec3]]-Tabulka2111151768[[#This Row],[Sloupec4]]</f>
        <v>53923</v>
      </c>
      <c r="F109" s="3"/>
      <c r="G109" s="3"/>
      <c r="H109" s="3"/>
      <c r="I109" s="3"/>
      <c r="J109" s="3"/>
      <c r="K109" s="3"/>
      <c r="L109" s="3"/>
      <c r="M109" s="3"/>
    </row>
    <row r="110" spans="1:13" ht="14.25" customHeight="1" x14ac:dyDescent="0.4">
      <c r="A110" s="67">
        <v>4004005888</v>
      </c>
      <c r="B110" s="116" t="s">
        <v>130</v>
      </c>
      <c r="C110" s="155">
        <v>57462</v>
      </c>
      <c r="D110" s="65">
        <f>(OBSAH!$J$6/100)*Tabulka2111151768[[#This Row],[Sloupec3]]</f>
        <v>0</v>
      </c>
      <c r="E110" s="66">
        <f>Tabulka2111151768[[#This Row],[Sloupec3]]-Tabulka2111151768[[#This Row],[Sloupec4]]</f>
        <v>57462</v>
      </c>
      <c r="F110" s="3"/>
      <c r="G110" s="3"/>
      <c r="H110" s="3"/>
      <c r="I110" s="3"/>
      <c r="J110" s="3"/>
      <c r="K110" s="3"/>
      <c r="L110" s="3"/>
      <c r="M110" s="3"/>
    </row>
    <row r="111" spans="1:13" ht="14.25" customHeight="1" x14ac:dyDescent="0.4">
      <c r="A111" s="67">
        <v>4004005889</v>
      </c>
      <c r="B111" s="116" t="s">
        <v>131</v>
      </c>
      <c r="C111" s="155">
        <v>68375</v>
      </c>
      <c r="D111" s="65">
        <f>(OBSAH!$J$6/100)*Tabulka2111151768[[#This Row],[Sloupec3]]</f>
        <v>0</v>
      </c>
      <c r="E111" s="66">
        <f>Tabulka2111151768[[#This Row],[Sloupec3]]-Tabulka2111151768[[#This Row],[Sloupec4]]</f>
        <v>68375</v>
      </c>
      <c r="F111" s="3"/>
      <c r="G111" s="3"/>
      <c r="H111" s="3"/>
      <c r="I111" s="3"/>
      <c r="J111" s="3"/>
      <c r="K111" s="3"/>
      <c r="L111" s="3"/>
      <c r="M111" s="3"/>
    </row>
    <row r="112" spans="1:13" ht="14.25" customHeight="1" x14ac:dyDescent="0.4">
      <c r="A112" s="63">
        <v>4004005890</v>
      </c>
      <c r="B112" s="64" t="s">
        <v>132</v>
      </c>
      <c r="C112" s="155">
        <v>71915</v>
      </c>
      <c r="D112" s="65">
        <f>(OBSAH!$J$6/100)*Tabulka2111151768[[#This Row],[Sloupec3]]</f>
        <v>0</v>
      </c>
      <c r="E112" s="66">
        <f>Tabulka2111151768[[#This Row],[Sloupec3]]-Tabulka2111151768[[#This Row],[Sloupec4]]</f>
        <v>71915</v>
      </c>
      <c r="F112" s="3"/>
      <c r="G112" s="3"/>
      <c r="H112" s="3"/>
      <c r="I112" s="3"/>
      <c r="J112" s="3"/>
      <c r="K112" s="3"/>
      <c r="L112" s="3"/>
      <c r="M112" s="3"/>
    </row>
    <row r="113" spans="1:13" ht="14.25" customHeight="1" x14ac:dyDescent="0.4">
      <c r="A113" s="63">
        <v>4004005891</v>
      </c>
      <c r="B113" s="64" t="s">
        <v>133</v>
      </c>
      <c r="C113" s="155">
        <v>83500</v>
      </c>
      <c r="D113" s="65">
        <f>(OBSAH!$J$6/100)*Tabulka2111151768[[#This Row],[Sloupec3]]</f>
        <v>0</v>
      </c>
      <c r="E113" s="66">
        <f>Tabulka2111151768[[#This Row],[Sloupec3]]-Tabulka2111151768[[#This Row],[Sloupec4]]</f>
        <v>83500</v>
      </c>
      <c r="F113" s="3"/>
      <c r="G113" s="3"/>
      <c r="H113" s="3"/>
      <c r="I113" s="3"/>
      <c r="J113" s="3"/>
      <c r="K113" s="3"/>
      <c r="L113" s="3"/>
      <c r="M113" s="3"/>
    </row>
    <row r="114" spans="1:13" ht="14.25" customHeight="1" x14ac:dyDescent="0.4">
      <c r="A114" s="63">
        <v>4004005892</v>
      </c>
      <c r="B114" s="64" t="s">
        <v>134</v>
      </c>
      <c r="C114" s="155">
        <v>87039</v>
      </c>
      <c r="D114" s="65">
        <f>(OBSAH!$J$6/100)*Tabulka2111151768[[#This Row],[Sloupec3]]</f>
        <v>0</v>
      </c>
      <c r="E114" s="66">
        <f>Tabulka2111151768[[#This Row],[Sloupec3]]-Tabulka2111151768[[#This Row],[Sloupec4]]</f>
        <v>87039</v>
      </c>
      <c r="F114" s="3"/>
      <c r="G114" s="3"/>
      <c r="H114" s="3"/>
      <c r="I114" s="3"/>
      <c r="J114" s="3"/>
      <c r="K114" s="3"/>
      <c r="L114" s="3"/>
      <c r="M114" s="3"/>
    </row>
    <row r="115" spans="1:13" ht="14.25" customHeight="1" x14ac:dyDescent="0.4">
      <c r="A115" s="63">
        <v>4004005893</v>
      </c>
      <c r="B115" s="64" t="s">
        <v>135</v>
      </c>
      <c r="C115" s="155">
        <v>97137</v>
      </c>
      <c r="D115" s="65">
        <f>(OBSAH!$J$6/100)*Tabulka2111151768[[#This Row],[Sloupec3]]</f>
        <v>0</v>
      </c>
      <c r="E115" s="66">
        <f>Tabulka2111151768[[#This Row],[Sloupec3]]-Tabulka2111151768[[#This Row],[Sloupec4]]</f>
        <v>97137</v>
      </c>
      <c r="F115" s="3"/>
      <c r="G115" s="3"/>
      <c r="H115" s="3"/>
      <c r="I115" s="3"/>
      <c r="J115" s="3"/>
      <c r="K115" s="3"/>
      <c r="L115" s="3"/>
      <c r="M115" s="3"/>
    </row>
    <row r="116" spans="1:13" ht="14.25" customHeight="1" x14ac:dyDescent="0.4">
      <c r="A116" s="68">
        <v>4004005894</v>
      </c>
      <c r="B116" s="69" t="s">
        <v>136</v>
      </c>
      <c r="C116" s="155">
        <v>100673</v>
      </c>
      <c r="D116" s="76">
        <f>(OBSAH!$J$6/100)*Tabulka2111151768[[#This Row],[Sloupec3]]</f>
        <v>0</v>
      </c>
      <c r="E116" s="77">
        <f>Tabulka2111151768[[#This Row],[Sloupec3]]-Tabulka2111151768[[#This Row],[Sloupec4]]</f>
        <v>100673</v>
      </c>
      <c r="F116" s="3"/>
      <c r="G116" s="3"/>
      <c r="H116" s="3"/>
      <c r="I116" s="3"/>
      <c r="J116" s="3"/>
      <c r="K116" s="3"/>
      <c r="L116" s="3"/>
      <c r="M116" s="3"/>
    </row>
    <row r="117" spans="1:13" ht="15" customHeight="1" x14ac:dyDescent="0.4">
      <c r="A117" s="78"/>
      <c r="B117" s="78"/>
      <c r="C117" s="79"/>
      <c r="D117" s="73"/>
      <c r="E117" s="74"/>
      <c r="F117" s="3"/>
      <c r="G117" s="3"/>
      <c r="H117" s="3"/>
      <c r="I117" s="3"/>
      <c r="J117" s="3"/>
      <c r="K117" s="3"/>
      <c r="L117" s="3"/>
      <c r="M117" s="3"/>
    </row>
    <row r="118" spans="1:13" ht="15" customHeight="1" x14ac:dyDescent="0.4">
      <c r="A118" s="78"/>
      <c r="B118" s="78"/>
      <c r="C118" s="79"/>
      <c r="D118" s="73"/>
      <c r="E118" s="74"/>
      <c r="F118" s="3"/>
      <c r="G118" s="3"/>
      <c r="H118" s="3"/>
      <c r="I118" s="3"/>
      <c r="J118" s="3"/>
      <c r="K118" s="3"/>
      <c r="L118" s="3"/>
      <c r="M118" s="3"/>
    </row>
    <row r="119" spans="1:13" ht="15" customHeight="1" x14ac:dyDescent="0.4">
      <c r="A119" s="78"/>
      <c r="B119" s="78"/>
      <c r="C119" s="79"/>
      <c r="D119" s="73"/>
      <c r="E119" s="74"/>
      <c r="F119" s="3"/>
      <c r="G119" s="3"/>
      <c r="H119" s="3"/>
      <c r="I119" s="3"/>
      <c r="J119" s="3"/>
      <c r="K119" s="3"/>
      <c r="L119" s="3"/>
      <c r="M119" s="3"/>
    </row>
    <row r="120" spans="1:13" ht="36" customHeight="1" x14ac:dyDescent="0.4">
      <c r="A120" s="246" t="s">
        <v>137</v>
      </c>
      <c r="B120" s="246"/>
      <c r="C120" s="246"/>
      <c r="D120" s="246"/>
      <c r="E120" s="246"/>
      <c r="F120" s="3"/>
      <c r="G120" s="3"/>
      <c r="H120" s="3"/>
      <c r="I120" s="3"/>
      <c r="J120" s="3"/>
      <c r="K120" s="3"/>
      <c r="L120" s="3"/>
      <c r="M120" s="3"/>
    </row>
    <row r="121" spans="1:13" ht="36" customHeight="1" x14ac:dyDescent="0.4">
      <c r="A121" s="243" t="s">
        <v>138</v>
      </c>
      <c r="B121" s="243"/>
      <c r="C121" s="243"/>
      <c r="D121" s="243"/>
      <c r="E121" s="243"/>
      <c r="F121" s="3"/>
      <c r="G121" s="3"/>
      <c r="H121" s="3"/>
      <c r="I121" s="3"/>
      <c r="J121" s="3"/>
      <c r="K121" s="3"/>
      <c r="L121" s="3"/>
      <c r="M121" s="3"/>
    </row>
    <row r="122" spans="1:13" ht="22.4" customHeight="1" x14ac:dyDescent="0.4">
      <c r="A122" s="244" t="s">
        <v>57</v>
      </c>
      <c r="B122" s="244"/>
      <c r="C122" s="244"/>
      <c r="D122" s="244"/>
      <c r="E122" s="244"/>
      <c r="F122" s="3"/>
      <c r="G122" s="3"/>
      <c r="H122" s="3"/>
      <c r="I122" s="3"/>
      <c r="J122" s="3"/>
      <c r="K122" s="3"/>
      <c r="L122" s="3"/>
      <c r="M122" s="3"/>
    </row>
    <row r="123" spans="1:13" ht="22.4" customHeight="1" x14ac:dyDescent="0.4">
      <c r="A123" s="38" t="s">
        <v>39</v>
      </c>
      <c r="B123" s="38" t="s">
        <v>40</v>
      </c>
      <c r="C123" s="39" t="s">
        <v>41</v>
      </c>
      <c r="D123" s="39" t="s">
        <v>42</v>
      </c>
      <c r="E123" s="40" t="s">
        <v>43</v>
      </c>
      <c r="F123" s="3"/>
      <c r="G123" s="3"/>
      <c r="H123" s="3"/>
      <c r="I123" s="3"/>
      <c r="J123" s="3"/>
      <c r="K123" s="3"/>
      <c r="L123" s="3"/>
      <c r="M123" s="3"/>
    </row>
    <row r="124" spans="1:13" ht="15" customHeight="1" x14ac:dyDescent="0.4">
      <c r="A124" s="59">
        <v>4004005925</v>
      </c>
      <c r="B124" s="60" t="s">
        <v>139</v>
      </c>
      <c r="C124" s="156">
        <v>44608</v>
      </c>
      <c r="D124" s="61">
        <f>(OBSAH!$J$6/100)*Tabulka20101416411[[#This Row],[Sloupec3]]</f>
        <v>0</v>
      </c>
      <c r="E124" s="62">
        <f>Tabulka20101416411[[#This Row],[Sloupec3]]-Tabulka20101416411[[#This Row],[Sloupec4]]</f>
        <v>44608</v>
      </c>
      <c r="F124" s="3"/>
      <c r="G124" s="3"/>
      <c r="H124" s="3"/>
      <c r="I124" s="3"/>
      <c r="J124" s="3"/>
      <c r="K124" s="3"/>
      <c r="L124" s="3"/>
      <c r="M124" s="3"/>
    </row>
    <row r="125" spans="1:13" ht="15" customHeight="1" x14ac:dyDescent="0.4">
      <c r="A125" s="63">
        <v>4004005926</v>
      </c>
      <c r="B125" s="64" t="s">
        <v>140</v>
      </c>
      <c r="C125" s="156">
        <v>59731</v>
      </c>
      <c r="D125" s="65">
        <f>(OBSAH!$J$6/100)*Tabulka20101416411[[#This Row],[Sloupec3]]</f>
        <v>0</v>
      </c>
      <c r="E125" s="66">
        <f>Tabulka20101416411[[#This Row],[Sloupec3]]-Tabulka20101416411[[#This Row],[Sloupec4]]</f>
        <v>59731</v>
      </c>
      <c r="F125" s="3"/>
      <c r="G125" s="3"/>
      <c r="H125" s="3"/>
      <c r="I125" s="3"/>
      <c r="J125" s="3"/>
      <c r="K125" s="3"/>
      <c r="L125" s="3"/>
      <c r="M125" s="3"/>
    </row>
    <row r="126" spans="1:13" ht="15" customHeight="1" x14ac:dyDescent="0.4">
      <c r="A126" s="63">
        <v>4004005927</v>
      </c>
      <c r="B126" s="64" t="s">
        <v>141</v>
      </c>
      <c r="C126" s="156">
        <v>73731</v>
      </c>
      <c r="D126" s="65">
        <f>(OBSAH!$J$6/100)*Tabulka20101416411[[#This Row],[Sloupec3]]</f>
        <v>0</v>
      </c>
      <c r="E126" s="66">
        <f>Tabulka20101416411[[#This Row],[Sloupec3]]-Tabulka20101416411[[#This Row],[Sloupec4]]</f>
        <v>73731</v>
      </c>
      <c r="F126" s="3"/>
      <c r="G126" s="3"/>
      <c r="H126" s="3"/>
      <c r="I126" s="3"/>
      <c r="J126" s="3"/>
      <c r="K126" s="3"/>
      <c r="L126" s="3"/>
      <c r="M126" s="3"/>
    </row>
    <row r="127" spans="1:13" ht="15" customHeight="1" x14ac:dyDescent="0.4">
      <c r="A127" s="63">
        <v>4004005928</v>
      </c>
      <c r="B127" s="64" t="s">
        <v>142</v>
      </c>
      <c r="C127" s="156">
        <v>88854</v>
      </c>
      <c r="D127" s="65">
        <f>(OBSAH!$J$6/100)*Tabulka20101416411[[#This Row],[Sloupec3]]</f>
        <v>0</v>
      </c>
      <c r="E127" s="66">
        <f>Tabulka20101416411[[#This Row],[Sloupec3]]-Tabulka20101416411[[#This Row],[Sloupec4]]</f>
        <v>88854</v>
      </c>
      <c r="F127" s="3"/>
      <c r="G127" s="3"/>
      <c r="H127" s="3"/>
      <c r="I127" s="3"/>
      <c r="J127" s="3"/>
      <c r="K127" s="3"/>
      <c r="L127" s="3"/>
      <c r="M127" s="3"/>
    </row>
    <row r="128" spans="1:13" ht="15" customHeight="1" x14ac:dyDescent="0.4">
      <c r="A128" s="68">
        <v>4004005929</v>
      </c>
      <c r="B128" s="69" t="s">
        <v>143</v>
      </c>
      <c r="C128" s="156">
        <v>102489</v>
      </c>
      <c r="D128" s="76">
        <f>(OBSAH!$J$6/100)*Tabulka20101416411[[#This Row],[Sloupec3]]</f>
        <v>0</v>
      </c>
      <c r="E128" s="77">
        <f>Tabulka20101416411[[#This Row],[Sloupec3]]-Tabulka20101416411[[#This Row],[Sloupec4]]</f>
        <v>102489</v>
      </c>
      <c r="F128" s="3"/>
      <c r="G128" s="3"/>
      <c r="H128" s="3"/>
      <c r="I128" s="3"/>
      <c r="J128" s="3"/>
      <c r="K128" s="3"/>
      <c r="L128" s="3"/>
      <c r="M128" s="3"/>
    </row>
    <row r="129" spans="1:13" ht="15" customHeight="1" x14ac:dyDescent="0.4">
      <c r="A129" s="70"/>
      <c r="B129" s="71"/>
      <c r="C129" s="72"/>
      <c r="D129" s="73"/>
      <c r="E129" s="74"/>
      <c r="F129" s="3"/>
      <c r="G129" s="3"/>
      <c r="H129" s="3"/>
      <c r="I129" s="3"/>
      <c r="J129" s="3"/>
      <c r="K129" s="3"/>
      <c r="L129" s="3"/>
      <c r="M129" s="3"/>
    </row>
    <row r="130" spans="1:13" ht="22.4" customHeight="1" x14ac:dyDescent="0.4">
      <c r="A130" s="245" t="s">
        <v>69</v>
      </c>
      <c r="B130" s="245"/>
      <c r="C130" s="245"/>
      <c r="D130" s="245"/>
      <c r="E130" s="245"/>
      <c r="F130" s="3"/>
      <c r="G130" s="3"/>
      <c r="H130" s="3"/>
      <c r="I130" s="3"/>
      <c r="J130" s="3"/>
      <c r="K130" s="3"/>
      <c r="L130" s="3"/>
      <c r="M130" s="3"/>
    </row>
    <row r="131" spans="1:13" ht="22.4" customHeight="1" x14ac:dyDescent="0.4">
      <c r="A131" s="38" t="s">
        <v>39</v>
      </c>
      <c r="B131" s="38" t="s">
        <v>40</v>
      </c>
      <c r="C131" s="39" t="s">
        <v>41</v>
      </c>
      <c r="D131" s="39" t="s">
        <v>42</v>
      </c>
      <c r="E131" s="40" t="s">
        <v>43</v>
      </c>
      <c r="F131" s="3"/>
      <c r="G131" s="3"/>
      <c r="H131" s="3"/>
      <c r="I131" s="3"/>
      <c r="J131" s="3"/>
      <c r="K131" s="3"/>
      <c r="L131" s="3"/>
      <c r="M131" s="3"/>
    </row>
    <row r="132" spans="1:13" ht="15" customHeight="1" x14ac:dyDescent="0.4">
      <c r="A132" s="59">
        <v>4004005930</v>
      </c>
      <c r="B132" s="60" t="s">
        <v>144</v>
      </c>
      <c r="C132" s="157">
        <v>45062</v>
      </c>
      <c r="D132" s="61">
        <f>(OBSAH!$J$6/100)*Tabulka211115171015[[#This Row],[Sloupec3]]</f>
        <v>0</v>
      </c>
      <c r="E132" s="62">
        <f>Tabulka211115171015[[#This Row],[Sloupec3]]-Tabulka211115171015[[#This Row],[Sloupec4]]</f>
        <v>45062</v>
      </c>
      <c r="F132" s="3"/>
      <c r="G132" s="3"/>
      <c r="H132" s="3"/>
      <c r="I132" s="3"/>
      <c r="J132" s="3"/>
      <c r="K132" s="3"/>
      <c r="L132" s="3"/>
      <c r="M132" s="3"/>
    </row>
    <row r="133" spans="1:13" ht="15" customHeight="1" x14ac:dyDescent="0.4">
      <c r="A133" s="67">
        <v>4004005931</v>
      </c>
      <c r="B133" s="116" t="s">
        <v>145</v>
      </c>
      <c r="C133" s="157">
        <v>60186</v>
      </c>
      <c r="D133" s="65">
        <f>(OBSAH!$J$6/100)*Tabulka211115171015[[#This Row],[Sloupec3]]</f>
        <v>0</v>
      </c>
      <c r="E133" s="66">
        <f>Tabulka211115171015[[#This Row],[Sloupec3]]-Tabulka211115171015[[#This Row],[Sloupec4]]</f>
        <v>60186</v>
      </c>
      <c r="F133" s="3"/>
      <c r="G133" s="3"/>
      <c r="H133" s="3"/>
      <c r="I133" s="3"/>
      <c r="J133" s="3"/>
      <c r="K133" s="3"/>
      <c r="L133" s="3"/>
      <c r="M133" s="3"/>
    </row>
    <row r="134" spans="1:13" ht="15" customHeight="1" x14ac:dyDescent="0.4">
      <c r="A134" s="67">
        <v>4004005932</v>
      </c>
      <c r="B134" s="116" t="s">
        <v>146</v>
      </c>
      <c r="C134" s="157">
        <v>74639</v>
      </c>
      <c r="D134" s="65">
        <f>(OBSAH!$J$6/100)*Tabulka211115171015[[#This Row],[Sloupec3]]</f>
        <v>0</v>
      </c>
      <c r="E134" s="66">
        <f>Tabulka211115171015[[#This Row],[Sloupec3]]-Tabulka211115171015[[#This Row],[Sloupec4]]</f>
        <v>74639</v>
      </c>
      <c r="F134" s="3"/>
      <c r="G134" s="3"/>
      <c r="H134" s="3"/>
      <c r="I134" s="3"/>
      <c r="J134" s="3"/>
      <c r="K134" s="3"/>
      <c r="L134" s="3"/>
      <c r="M134" s="3"/>
    </row>
    <row r="135" spans="1:13" ht="15" customHeight="1" x14ac:dyDescent="0.4">
      <c r="A135" s="67">
        <v>4004005933</v>
      </c>
      <c r="B135" s="116" t="s">
        <v>147</v>
      </c>
      <c r="C135" s="157">
        <v>89763</v>
      </c>
      <c r="D135" s="65">
        <f>(OBSAH!$J$6/100)*Tabulka211115171015[[#This Row],[Sloupec3]]</f>
        <v>0</v>
      </c>
      <c r="E135" s="66">
        <f>Tabulka211115171015[[#This Row],[Sloupec3]]-Tabulka211115171015[[#This Row],[Sloupec4]]</f>
        <v>89763</v>
      </c>
      <c r="F135" s="3"/>
      <c r="G135" s="3"/>
      <c r="H135" s="3"/>
      <c r="I135" s="3"/>
      <c r="J135" s="3"/>
      <c r="K135" s="3"/>
      <c r="L135" s="3"/>
      <c r="M135" s="3"/>
    </row>
    <row r="136" spans="1:13" ht="15" customHeight="1" x14ac:dyDescent="0.4">
      <c r="A136" s="68">
        <v>4004005934</v>
      </c>
      <c r="B136" s="69" t="s">
        <v>148</v>
      </c>
      <c r="C136" s="157">
        <v>103398</v>
      </c>
      <c r="D136" s="76">
        <f>(OBSAH!$J$6/100)*Tabulka211115171015[[#This Row],[Sloupec3]]</f>
        <v>0</v>
      </c>
      <c r="E136" s="77">
        <f>Tabulka211115171015[[#This Row],[Sloupec3]]-Tabulka211115171015[[#This Row],[Sloupec4]]</f>
        <v>103398</v>
      </c>
      <c r="F136" s="3"/>
      <c r="G136" s="3"/>
      <c r="H136" s="3"/>
      <c r="I136" s="3"/>
      <c r="J136" s="3"/>
      <c r="K136" s="3"/>
      <c r="L136" s="3"/>
      <c r="M136" s="3"/>
    </row>
    <row r="137" spans="1:13" ht="15" customHeight="1" x14ac:dyDescent="0.4">
      <c r="A137" s="78"/>
      <c r="B137" s="78"/>
      <c r="C137" s="79"/>
      <c r="D137" s="73"/>
      <c r="E137" s="74"/>
      <c r="F137" s="3"/>
      <c r="G137" s="3"/>
      <c r="H137" s="3"/>
      <c r="I137" s="3"/>
      <c r="J137" s="3"/>
      <c r="K137" s="3"/>
      <c r="L137" s="3"/>
      <c r="M137" s="3"/>
    </row>
    <row r="138" spans="1:13" ht="15" customHeight="1" x14ac:dyDescent="0.4">
      <c r="A138" s="78"/>
      <c r="B138" s="78"/>
      <c r="C138" s="79"/>
      <c r="D138" s="73"/>
      <c r="E138" s="74"/>
      <c r="F138" s="3"/>
      <c r="G138" s="3"/>
      <c r="H138" s="3"/>
      <c r="I138" s="3"/>
      <c r="J138" s="3"/>
      <c r="K138" s="3"/>
      <c r="L138" s="3"/>
      <c r="M138" s="3"/>
    </row>
    <row r="139" spans="1:13" ht="15" customHeight="1" x14ac:dyDescent="0.4">
      <c r="A139" s="78"/>
      <c r="B139" s="78"/>
      <c r="C139" s="79"/>
      <c r="D139" s="73"/>
      <c r="E139" s="74"/>
      <c r="F139" s="3"/>
      <c r="G139" s="3"/>
      <c r="H139" s="3"/>
      <c r="I139" s="3"/>
      <c r="J139" s="3"/>
      <c r="K139" s="3"/>
      <c r="L139" s="3"/>
      <c r="M139" s="3"/>
    </row>
    <row r="140" spans="1:13" ht="36" customHeight="1" x14ac:dyDescent="0.4">
      <c r="A140" s="246" t="s">
        <v>137</v>
      </c>
      <c r="B140" s="246"/>
      <c r="C140" s="246"/>
      <c r="D140" s="246"/>
      <c r="E140" s="246"/>
      <c r="F140" s="3"/>
      <c r="G140" s="3"/>
      <c r="H140" s="3"/>
      <c r="I140" s="3"/>
      <c r="J140" s="3"/>
      <c r="K140" s="3"/>
      <c r="L140" s="3"/>
      <c r="M140" s="3"/>
    </row>
    <row r="141" spans="1:13" ht="36" customHeight="1" x14ac:dyDescent="0.4">
      <c r="A141" s="243" t="s">
        <v>149</v>
      </c>
      <c r="B141" s="243"/>
      <c r="C141" s="243"/>
      <c r="D141" s="243"/>
      <c r="E141" s="243"/>
      <c r="F141" s="3"/>
      <c r="G141" s="3"/>
      <c r="H141" s="3"/>
      <c r="I141" s="3"/>
      <c r="J141" s="3"/>
      <c r="K141" s="3"/>
      <c r="L141" s="3"/>
      <c r="M141" s="3"/>
    </row>
    <row r="142" spans="1:13" ht="22.4" customHeight="1" x14ac:dyDescent="0.4">
      <c r="A142" s="244" t="s">
        <v>57</v>
      </c>
      <c r="B142" s="244"/>
      <c r="C142" s="244"/>
      <c r="D142" s="244"/>
      <c r="E142" s="244"/>
      <c r="F142" s="3"/>
      <c r="G142" s="3"/>
      <c r="H142" s="3"/>
      <c r="I142" s="3"/>
      <c r="J142" s="3"/>
      <c r="K142" s="3"/>
      <c r="L142" s="3"/>
      <c r="M142" s="3"/>
    </row>
    <row r="143" spans="1:13" ht="22.4" customHeight="1" x14ac:dyDescent="0.4">
      <c r="A143" s="38" t="s">
        <v>39</v>
      </c>
      <c r="B143" s="38" t="s">
        <v>40</v>
      </c>
      <c r="C143" s="39" t="s">
        <v>41</v>
      </c>
      <c r="D143" s="39" t="s">
        <v>42</v>
      </c>
      <c r="E143" s="40" t="s">
        <v>43</v>
      </c>
      <c r="F143" s="3"/>
      <c r="G143" s="3"/>
      <c r="H143" s="3"/>
      <c r="I143" s="3"/>
      <c r="J143" s="3"/>
      <c r="K143" s="3"/>
      <c r="L143" s="3"/>
      <c r="M143" s="3"/>
    </row>
    <row r="144" spans="1:13" ht="15" customHeight="1" x14ac:dyDescent="0.4">
      <c r="A144" s="59">
        <v>4004005935</v>
      </c>
      <c r="B144" s="60" t="s">
        <v>150</v>
      </c>
      <c r="C144" s="158">
        <v>45168</v>
      </c>
      <c r="D144" s="61">
        <f>(OBSAH!$J$6/100)*Tabulka20101416418[[#This Row],[Sloupec3]]</f>
        <v>0</v>
      </c>
      <c r="E144" s="62">
        <f>Tabulka20101416418[[#This Row],[Sloupec3]]-Tabulka20101416418[[#This Row],[Sloupec4]]</f>
        <v>45168</v>
      </c>
      <c r="F144" s="3"/>
      <c r="G144" s="3"/>
      <c r="H144" s="3"/>
      <c r="I144" s="3"/>
      <c r="J144" s="3"/>
      <c r="K144" s="3"/>
      <c r="L144" s="3"/>
      <c r="M144" s="3"/>
    </row>
    <row r="145" spans="1:13" ht="15" customHeight="1" x14ac:dyDescent="0.4">
      <c r="A145" s="63">
        <v>4004005936</v>
      </c>
      <c r="B145" s="64" t="s">
        <v>151</v>
      </c>
      <c r="C145" s="158">
        <v>60293</v>
      </c>
      <c r="D145" s="65">
        <f>(OBSAH!$J$6/100)*Tabulka20101416418[[#This Row],[Sloupec3]]</f>
        <v>0</v>
      </c>
      <c r="E145" s="66">
        <f>Tabulka20101416418[[#This Row],[Sloupec3]]-Tabulka20101416418[[#This Row],[Sloupec4]]</f>
        <v>60293</v>
      </c>
      <c r="F145" s="3"/>
      <c r="G145" s="3"/>
      <c r="H145" s="3"/>
      <c r="I145" s="3"/>
      <c r="J145" s="3"/>
      <c r="K145" s="3"/>
      <c r="L145" s="3"/>
      <c r="M145" s="3"/>
    </row>
    <row r="146" spans="1:13" ht="15" customHeight="1" x14ac:dyDescent="0.4">
      <c r="A146" s="63">
        <v>4004005937</v>
      </c>
      <c r="B146" s="64" t="s">
        <v>152</v>
      </c>
      <c r="C146" s="158">
        <v>74292</v>
      </c>
      <c r="D146" s="65">
        <f>(OBSAH!$J$6/100)*Tabulka20101416418[[#This Row],[Sloupec3]]</f>
        <v>0</v>
      </c>
      <c r="E146" s="66">
        <f>Tabulka20101416418[[#This Row],[Sloupec3]]-Tabulka20101416418[[#This Row],[Sloupec4]]</f>
        <v>74292</v>
      </c>
      <c r="F146" s="3"/>
      <c r="G146" s="3"/>
      <c r="H146" s="3"/>
      <c r="I146" s="3"/>
      <c r="J146" s="3"/>
      <c r="K146" s="3"/>
      <c r="L146" s="3"/>
      <c r="M146" s="3"/>
    </row>
    <row r="147" spans="1:13" ht="15" customHeight="1" x14ac:dyDescent="0.4">
      <c r="A147" s="63">
        <v>4004005938</v>
      </c>
      <c r="B147" s="64" t="s">
        <v>153</v>
      </c>
      <c r="C147" s="158">
        <v>89415</v>
      </c>
      <c r="D147" s="65">
        <f>(OBSAH!$J$6/100)*Tabulka20101416418[[#This Row],[Sloupec3]]</f>
        <v>0</v>
      </c>
      <c r="E147" s="66">
        <f>Tabulka20101416418[[#This Row],[Sloupec3]]-Tabulka20101416418[[#This Row],[Sloupec4]]</f>
        <v>89415</v>
      </c>
      <c r="F147" s="3"/>
      <c r="G147" s="3"/>
      <c r="H147" s="3"/>
      <c r="I147" s="3"/>
      <c r="J147" s="3"/>
      <c r="K147" s="3"/>
      <c r="L147" s="3"/>
      <c r="M147" s="3"/>
    </row>
    <row r="148" spans="1:13" ht="15" customHeight="1" x14ac:dyDescent="0.4">
      <c r="A148" s="68">
        <v>4004005939</v>
      </c>
      <c r="B148" s="69" t="s">
        <v>154</v>
      </c>
      <c r="C148" s="158">
        <v>103050</v>
      </c>
      <c r="D148" s="76">
        <f>(OBSAH!$J$6/100)*Tabulka20101416418[[#This Row],[Sloupec3]]</f>
        <v>0</v>
      </c>
      <c r="E148" s="77">
        <f>Tabulka20101416418[[#This Row],[Sloupec3]]-Tabulka20101416418[[#This Row],[Sloupec4]]</f>
        <v>103050</v>
      </c>
      <c r="F148" s="3"/>
      <c r="G148" s="3"/>
      <c r="H148" s="3"/>
      <c r="I148" s="3"/>
      <c r="J148" s="3"/>
      <c r="K148" s="3"/>
      <c r="L148" s="3"/>
      <c r="M148" s="3"/>
    </row>
    <row r="149" spans="1:13" ht="15" customHeight="1" x14ac:dyDescent="0.4">
      <c r="A149" s="70"/>
      <c r="B149" s="71"/>
      <c r="C149" s="72"/>
      <c r="D149" s="73"/>
      <c r="E149" s="74"/>
      <c r="F149" s="3"/>
      <c r="G149" s="3"/>
      <c r="H149" s="3"/>
      <c r="I149" s="3"/>
      <c r="J149" s="3"/>
      <c r="K149" s="3"/>
      <c r="L149" s="3"/>
      <c r="M149" s="3"/>
    </row>
    <row r="150" spans="1:13" ht="22.4" customHeight="1" x14ac:dyDescent="0.4">
      <c r="A150" s="245" t="s">
        <v>69</v>
      </c>
      <c r="B150" s="245"/>
      <c r="C150" s="245"/>
      <c r="D150" s="245"/>
      <c r="E150" s="245"/>
      <c r="F150" s="3"/>
      <c r="G150" s="3"/>
      <c r="H150" s="3"/>
      <c r="I150" s="3"/>
      <c r="J150" s="3"/>
      <c r="K150" s="3"/>
      <c r="L150" s="3"/>
      <c r="M150" s="3"/>
    </row>
    <row r="151" spans="1:13" ht="22.4" customHeight="1" x14ac:dyDescent="0.4">
      <c r="A151" s="38" t="s">
        <v>39</v>
      </c>
      <c r="B151" s="38" t="s">
        <v>40</v>
      </c>
      <c r="C151" s="39" t="s">
        <v>41</v>
      </c>
      <c r="D151" s="39" t="s">
        <v>42</v>
      </c>
      <c r="E151" s="40" t="s">
        <v>43</v>
      </c>
      <c r="F151" s="3"/>
      <c r="G151" s="3"/>
      <c r="H151" s="3"/>
      <c r="I151" s="3"/>
      <c r="J151" s="3"/>
      <c r="K151" s="3"/>
      <c r="L151" s="3"/>
      <c r="M151" s="3"/>
    </row>
    <row r="152" spans="1:13" ht="15" customHeight="1" x14ac:dyDescent="0.4">
      <c r="A152" s="59">
        <v>4004005940</v>
      </c>
      <c r="B152" s="60" t="s">
        <v>155</v>
      </c>
      <c r="C152" s="159">
        <v>45623</v>
      </c>
      <c r="D152" s="61">
        <f>(OBSAH!$J$6/100)*Tabulka211115171019[[#This Row],[Sloupec3]]</f>
        <v>0</v>
      </c>
      <c r="E152" s="62">
        <f>Tabulka211115171019[[#This Row],[Sloupec3]]-Tabulka211115171019[[#This Row],[Sloupec4]]</f>
        <v>45623</v>
      </c>
      <c r="F152" s="3"/>
      <c r="G152" s="3"/>
      <c r="H152" s="3"/>
      <c r="I152" s="3"/>
      <c r="J152" s="3"/>
      <c r="K152" s="3"/>
      <c r="L152" s="3"/>
      <c r="M152" s="3"/>
    </row>
    <row r="153" spans="1:13" ht="15" customHeight="1" x14ac:dyDescent="0.4">
      <c r="A153" s="67">
        <v>4004005941</v>
      </c>
      <c r="B153" s="116" t="s">
        <v>156</v>
      </c>
      <c r="C153" s="159">
        <v>60747</v>
      </c>
      <c r="D153" s="65">
        <f>(OBSAH!$J$6/100)*Tabulka211115171019[[#This Row],[Sloupec3]]</f>
        <v>0</v>
      </c>
      <c r="E153" s="66">
        <f>Tabulka211115171019[[#This Row],[Sloupec3]]-Tabulka211115171019[[#This Row],[Sloupec4]]</f>
        <v>60747</v>
      </c>
      <c r="F153" s="3"/>
      <c r="G153" s="3"/>
      <c r="H153" s="3"/>
      <c r="I153" s="3"/>
      <c r="J153" s="3"/>
      <c r="K153" s="3"/>
      <c r="L153" s="3"/>
      <c r="M153" s="3"/>
    </row>
    <row r="154" spans="1:13" ht="15" customHeight="1" x14ac:dyDescent="0.4">
      <c r="A154" s="67">
        <v>4004005942</v>
      </c>
      <c r="B154" s="116" t="s">
        <v>157</v>
      </c>
      <c r="C154" s="159">
        <v>75199</v>
      </c>
      <c r="D154" s="65">
        <f>(OBSAH!$J$6/100)*Tabulka211115171019[[#This Row],[Sloupec3]]</f>
        <v>0</v>
      </c>
      <c r="E154" s="66">
        <f>Tabulka211115171019[[#This Row],[Sloupec3]]-Tabulka211115171019[[#This Row],[Sloupec4]]</f>
        <v>75199</v>
      </c>
      <c r="F154" s="3"/>
      <c r="G154" s="3"/>
      <c r="H154" s="3"/>
      <c r="I154" s="3"/>
      <c r="J154" s="3"/>
      <c r="K154" s="3"/>
      <c r="L154" s="3"/>
      <c r="M154" s="3"/>
    </row>
    <row r="155" spans="1:13" ht="15" customHeight="1" x14ac:dyDescent="0.4">
      <c r="A155" s="67">
        <v>4004005943</v>
      </c>
      <c r="B155" s="116" t="s">
        <v>158</v>
      </c>
      <c r="C155" s="159">
        <v>90325</v>
      </c>
      <c r="D155" s="65">
        <f>(OBSAH!$J$6/100)*Tabulka211115171019[[#This Row],[Sloupec3]]</f>
        <v>0</v>
      </c>
      <c r="E155" s="66">
        <f>Tabulka211115171019[[#This Row],[Sloupec3]]-Tabulka211115171019[[#This Row],[Sloupec4]]</f>
        <v>90325</v>
      </c>
      <c r="F155" s="3"/>
      <c r="G155" s="3"/>
      <c r="H155" s="3"/>
      <c r="I155" s="3"/>
      <c r="J155" s="3"/>
      <c r="K155" s="3"/>
      <c r="L155" s="3"/>
      <c r="M155" s="3"/>
    </row>
    <row r="156" spans="1:13" ht="15" customHeight="1" x14ac:dyDescent="0.4">
      <c r="A156" s="68">
        <v>4004005944</v>
      </c>
      <c r="B156" s="69" t="s">
        <v>159</v>
      </c>
      <c r="C156" s="159">
        <v>103959</v>
      </c>
      <c r="D156" s="76">
        <f>(OBSAH!$J$6/100)*Tabulka211115171019[[#This Row],[Sloupec3]]</f>
        <v>0</v>
      </c>
      <c r="E156" s="77">
        <f>Tabulka211115171019[[#This Row],[Sloupec3]]-Tabulka211115171019[[#This Row],[Sloupec4]]</f>
        <v>103959</v>
      </c>
      <c r="F156" s="3"/>
      <c r="G156" s="3"/>
      <c r="H156" s="3"/>
      <c r="I156" s="3"/>
      <c r="J156" s="3"/>
      <c r="K156" s="3"/>
      <c r="L156" s="3"/>
      <c r="M156" s="3"/>
    </row>
    <row r="157" spans="1:13" ht="15" customHeight="1" x14ac:dyDescent="0.4">
      <c r="A157" s="78"/>
      <c r="B157" s="78"/>
      <c r="C157" s="79"/>
      <c r="D157" s="73"/>
      <c r="E157" s="74"/>
      <c r="F157" s="3"/>
      <c r="G157" s="3"/>
      <c r="H157" s="3"/>
      <c r="I157" s="3"/>
      <c r="J157" s="3"/>
      <c r="K157" s="3"/>
      <c r="L157" s="3"/>
      <c r="M157" s="3"/>
    </row>
    <row r="158" spans="1:13" ht="15" customHeight="1" x14ac:dyDescent="0.4">
      <c r="A158" s="78"/>
      <c r="B158" s="78"/>
      <c r="C158" s="79"/>
      <c r="D158" s="73"/>
      <c r="E158" s="74"/>
      <c r="F158" s="3"/>
      <c r="G158" s="3"/>
      <c r="H158" s="3"/>
      <c r="I158" s="3"/>
      <c r="J158" s="3"/>
      <c r="K158" s="3"/>
      <c r="L158" s="3"/>
      <c r="M158" s="3"/>
    </row>
    <row r="159" spans="1:13" ht="15" customHeight="1" x14ac:dyDescent="0.4">
      <c r="A159" s="78"/>
      <c r="B159" s="78"/>
      <c r="C159" s="79"/>
      <c r="D159" s="73"/>
      <c r="E159" s="74"/>
      <c r="F159" s="3"/>
      <c r="G159" s="3"/>
      <c r="H159" s="3"/>
      <c r="I159" s="3"/>
      <c r="J159" s="3"/>
      <c r="K159" s="3"/>
      <c r="L159" s="3"/>
      <c r="M159" s="3"/>
    </row>
  </sheetData>
  <mergeCells count="44">
    <mergeCell ref="A1:E1"/>
    <mergeCell ref="F1:H1"/>
    <mergeCell ref="A2:E2"/>
    <mergeCell ref="F2:H2"/>
    <mergeCell ref="A3:E3"/>
    <mergeCell ref="F3:M3"/>
    <mergeCell ref="A4:E4"/>
    <mergeCell ref="F4:I4"/>
    <mergeCell ref="J4:M4"/>
    <mergeCell ref="A5:E5"/>
    <mergeCell ref="A6:E6"/>
    <mergeCell ref="A7:E7"/>
    <mergeCell ref="A8:E8"/>
    <mergeCell ref="G8:L8"/>
    <mergeCell ref="G9:L9"/>
    <mergeCell ref="A22:E22"/>
    <mergeCell ref="G24:L24"/>
    <mergeCell ref="G25:L25"/>
    <mergeCell ref="G26:L26"/>
    <mergeCell ref="G27:L27"/>
    <mergeCell ref="A38:E38"/>
    <mergeCell ref="A39:E39"/>
    <mergeCell ref="A40:E40"/>
    <mergeCell ref="A53:E53"/>
    <mergeCell ref="G53:L53"/>
    <mergeCell ref="G54:L54"/>
    <mergeCell ref="A68:E68"/>
    <mergeCell ref="A69:E69"/>
    <mergeCell ref="A70:E70"/>
    <mergeCell ref="A78:E78"/>
    <mergeCell ref="A88:E88"/>
    <mergeCell ref="A89:E89"/>
    <mergeCell ref="A90:E90"/>
    <mergeCell ref="G93:L93"/>
    <mergeCell ref="G94:L94"/>
    <mergeCell ref="A104:E104"/>
    <mergeCell ref="A141:E141"/>
    <mergeCell ref="A142:E142"/>
    <mergeCell ref="A150:E150"/>
    <mergeCell ref="A120:E120"/>
    <mergeCell ref="A121:E121"/>
    <mergeCell ref="A122:E122"/>
    <mergeCell ref="A130:E130"/>
    <mergeCell ref="A140:E140"/>
  </mergeCells>
  <hyperlinks>
    <hyperlink ref="F2" location="OBSAH!I128" display="PŘEJÍT NA UPOZORNĚNÍ" xr:uid="{00000000-0004-0000-0200-000000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 r:id="rId1"/>
  <drawing r:id="rId2"/>
  <tableParts count="12"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58ED5"/>
    <pageSetUpPr fitToPage="1"/>
  </sheetPr>
  <dimension ref="A1:AMK88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2" customWidth="1"/>
    <col min="2" max="2" width="44.69140625" style="32" customWidth="1"/>
    <col min="3" max="3" width="10.15234375" style="32" customWidth="1"/>
    <col min="4" max="4" width="10.15234375" style="1" customWidth="1"/>
    <col min="5" max="5" width="15.69140625" style="1" customWidth="1"/>
    <col min="6" max="13" width="9.15234375" style="1" customWidth="1"/>
    <col min="14" max="14" width="11" style="1" customWidth="1"/>
    <col min="15" max="15" width="46.69140625" style="1" customWidth="1"/>
    <col min="16" max="1025" width="9.15234375" style="1" customWidth="1"/>
  </cols>
  <sheetData>
    <row r="1" spans="1:16" ht="15" customHeight="1" x14ac:dyDescent="0.4">
      <c r="A1" s="239" t="s">
        <v>35</v>
      </c>
      <c r="B1" s="239"/>
      <c r="C1" s="239"/>
      <c r="D1" s="239"/>
      <c r="E1" s="239"/>
      <c r="F1" s="240" t="s">
        <v>36</v>
      </c>
      <c r="G1" s="240"/>
      <c r="H1" s="240"/>
      <c r="I1" s="33">
        <f>OBSAH!J6</f>
        <v>0</v>
      </c>
      <c r="J1" s="34" t="s">
        <v>2</v>
      </c>
      <c r="K1" s="3"/>
      <c r="L1" s="3"/>
      <c r="M1" s="3"/>
    </row>
    <row r="2" spans="1:16" ht="15" customHeight="1" x14ac:dyDescent="0.4">
      <c r="A2" s="239" t="s">
        <v>37</v>
      </c>
      <c r="B2" s="239"/>
      <c r="C2" s="239"/>
      <c r="D2" s="239"/>
      <c r="E2" s="239"/>
      <c r="F2" s="241" t="s">
        <v>3</v>
      </c>
      <c r="G2" s="241"/>
      <c r="H2" s="241"/>
      <c r="I2" s="3"/>
      <c r="J2" s="3"/>
      <c r="K2" s="3"/>
      <c r="L2" s="3"/>
      <c r="M2" s="3"/>
    </row>
    <row r="3" spans="1:16" ht="39" customHeight="1" x14ac:dyDescent="0.7">
      <c r="A3" s="242" t="s">
        <v>54</v>
      </c>
      <c r="B3" s="242"/>
      <c r="C3" s="242"/>
      <c r="D3" s="242"/>
      <c r="E3" s="242"/>
      <c r="F3" s="256" t="s">
        <v>160</v>
      </c>
      <c r="G3" s="256"/>
      <c r="H3" s="256"/>
      <c r="I3" s="256"/>
      <c r="J3" s="256"/>
      <c r="K3" s="256"/>
      <c r="L3" s="256"/>
      <c r="M3" s="256"/>
    </row>
    <row r="4" spans="1:16" ht="15" customHeight="1" x14ac:dyDescent="0.4">
      <c r="A4" s="251" t="s">
        <v>56</v>
      </c>
      <c r="B4" s="251"/>
      <c r="C4" s="251"/>
      <c r="D4" s="251"/>
      <c r="E4" s="251"/>
      <c r="F4" s="252"/>
      <c r="G4" s="252"/>
      <c r="H4" s="252"/>
      <c r="I4" s="252"/>
      <c r="J4" s="253"/>
      <c r="K4" s="253"/>
      <c r="L4" s="253"/>
      <c r="M4" s="253"/>
    </row>
    <row r="5" spans="1:16" ht="15" customHeight="1" x14ac:dyDescent="0.7">
      <c r="A5" s="254"/>
      <c r="B5" s="254"/>
      <c r="C5" s="254"/>
      <c r="D5" s="254"/>
      <c r="E5" s="254"/>
      <c r="F5" s="57"/>
      <c r="G5" s="57"/>
      <c r="H5" s="57"/>
      <c r="I5" s="57"/>
      <c r="J5" s="57"/>
      <c r="K5" s="57"/>
      <c r="L5" s="57"/>
      <c r="M5" s="57"/>
    </row>
    <row r="6" spans="1:16" ht="54" customHeight="1" x14ac:dyDescent="0.4">
      <c r="A6" s="263" t="s">
        <v>161</v>
      </c>
      <c r="B6" s="263"/>
      <c r="C6" s="263"/>
      <c r="D6" s="263"/>
      <c r="E6" s="263"/>
      <c r="F6" s="3"/>
      <c r="G6" s="3"/>
      <c r="H6" s="3"/>
      <c r="I6" s="3"/>
      <c r="J6" s="3"/>
      <c r="K6" s="3"/>
      <c r="L6" s="3"/>
      <c r="M6" s="3"/>
      <c r="N6" s="43"/>
    </row>
    <row r="7" spans="1:16" ht="36" customHeight="1" x14ac:dyDescent="0.4">
      <c r="A7" s="262" t="s">
        <v>11</v>
      </c>
      <c r="B7" s="262"/>
      <c r="C7" s="262"/>
      <c r="D7" s="262"/>
      <c r="E7" s="262"/>
      <c r="F7" s="3"/>
      <c r="G7" s="3"/>
      <c r="H7" s="3"/>
      <c r="I7" s="3"/>
      <c r="J7" s="3"/>
      <c r="K7" s="3"/>
      <c r="L7" s="3"/>
      <c r="M7" s="3"/>
    </row>
    <row r="8" spans="1:16" ht="22.5" customHeight="1" x14ac:dyDescent="0.4">
      <c r="A8" s="258" t="s">
        <v>57</v>
      </c>
      <c r="B8" s="258"/>
      <c r="C8" s="258"/>
      <c r="D8" s="258"/>
      <c r="E8" s="258"/>
      <c r="F8" s="3"/>
      <c r="G8" s="247"/>
      <c r="H8" s="247"/>
      <c r="I8" s="247"/>
      <c r="J8" s="247"/>
      <c r="K8" s="247"/>
      <c r="L8" s="247"/>
      <c r="M8" s="3"/>
      <c r="N8" s="47"/>
      <c r="O8" s="47"/>
      <c r="P8" s="47"/>
    </row>
    <row r="9" spans="1:16" s="44" customFormat="1" ht="22.5" customHeight="1" x14ac:dyDescent="0.3">
      <c r="A9" s="87" t="s">
        <v>39</v>
      </c>
      <c r="B9" s="87" t="s">
        <v>40</v>
      </c>
      <c r="C9" s="88" t="s">
        <v>41</v>
      </c>
      <c r="D9" s="88" t="s">
        <v>42</v>
      </c>
      <c r="E9" s="89" t="s">
        <v>43</v>
      </c>
      <c r="F9" s="58"/>
      <c r="G9" s="236"/>
      <c r="H9" s="236"/>
      <c r="I9" s="236"/>
      <c r="J9" s="236"/>
      <c r="K9" s="236"/>
      <c r="L9" s="236"/>
      <c r="M9" s="41"/>
      <c r="N9" s="47"/>
      <c r="O9" s="47"/>
      <c r="P9" s="47"/>
    </row>
    <row r="10" spans="1:16" ht="14.25" customHeight="1" x14ac:dyDescent="0.4">
      <c r="A10" s="90">
        <v>4004005763</v>
      </c>
      <c r="B10" s="91" t="s">
        <v>162</v>
      </c>
      <c r="C10" s="160">
        <v>22683</v>
      </c>
      <c r="D10" s="61">
        <f>(OBSAH!$J$6/100)*Tabulka201049[[#This Row],[Sloupec3]]</f>
        <v>0</v>
      </c>
      <c r="E10" s="62">
        <f>Tabulka201049[[#This Row],[Sloupec3]]-Tabulka201049[[#This Row],[Sloupec4]]</f>
        <v>22683</v>
      </c>
      <c r="F10" s="3"/>
      <c r="G10" s="3"/>
      <c r="H10" s="3"/>
      <c r="I10" s="3"/>
      <c r="J10" s="3"/>
      <c r="K10" s="3"/>
      <c r="L10" s="3"/>
      <c r="M10" s="3"/>
      <c r="N10" s="47"/>
      <c r="O10" s="47"/>
      <c r="P10" s="47"/>
    </row>
    <row r="11" spans="1:16" ht="14.25" customHeight="1" x14ac:dyDescent="0.4">
      <c r="A11" s="67">
        <v>4004005764</v>
      </c>
      <c r="B11" s="116" t="s">
        <v>163</v>
      </c>
      <c r="C11" s="160">
        <v>33888</v>
      </c>
      <c r="D11" s="65">
        <f>(OBSAH!$J$6/100)*Tabulka201049[[#This Row],[Sloupec3]]</f>
        <v>0</v>
      </c>
      <c r="E11" s="66">
        <f>Tabulka201049[[#This Row],[Sloupec3]]-Tabulka201049[[#This Row],[Sloupec4]]</f>
        <v>33888</v>
      </c>
      <c r="F11" s="3"/>
      <c r="G11" s="3"/>
      <c r="H11" s="3"/>
      <c r="I11" s="3"/>
      <c r="J11" s="3"/>
      <c r="K11" s="3"/>
      <c r="L11" s="3"/>
      <c r="M11" s="3"/>
    </row>
    <row r="12" spans="1:16" ht="14.25" customHeight="1" x14ac:dyDescent="0.4">
      <c r="A12" s="67">
        <v>4004005765</v>
      </c>
      <c r="B12" s="116" t="s">
        <v>164</v>
      </c>
      <c r="C12" s="160">
        <v>37426</v>
      </c>
      <c r="D12" s="65">
        <f>(OBSAH!$J$6/100)*Tabulka201049[[#This Row],[Sloupec3]]</f>
        <v>0</v>
      </c>
      <c r="E12" s="66">
        <f>Tabulka201049[[#This Row],[Sloupec3]]-Tabulka201049[[#This Row],[Sloupec4]]</f>
        <v>37426</v>
      </c>
      <c r="F12" s="3"/>
      <c r="G12" s="3"/>
      <c r="H12" s="3"/>
      <c r="I12" s="3"/>
      <c r="J12" s="3"/>
      <c r="K12" s="3"/>
      <c r="L12" s="3"/>
      <c r="M12" s="3"/>
      <c r="N12" s="47"/>
      <c r="O12" s="47"/>
      <c r="P12" s="47"/>
    </row>
    <row r="13" spans="1:16" ht="14.25" customHeight="1" x14ac:dyDescent="0.4">
      <c r="A13" s="67">
        <v>4004005766</v>
      </c>
      <c r="B13" s="116" t="s">
        <v>165</v>
      </c>
      <c r="C13" s="160">
        <v>48672</v>
      </c>
      <c r="D13" s="65">
        <f>(OBSAH!$J$6/100)*Tabulka201049[[#This Row],[Sloupec3]]</f>
        <v>0</v>
      </c>
      <c r="E13" s="66">
        <f>Tabulka201049[[#This Row],[Sloupec3]]-Tabulka201049[[#This Row],[Sloupec4]]</f>
        <v>48672</v>
      </c>
      <c r="F13" s="3"/>
      <c r="G13" s="3"/>
      <c r="H13" s="3"/>
      <c r="I13" s="3"/>
      <c r="J13" s="3"/>
      <c r="K13" s="3"/>
      <c r="L13" s="3"/>
      <c r="M13" s="3"/>
      <c r="N13" s="47"/>
      <c r="O13" s="47"/>
      <c r="P13" s="47"/>
    </row>
    <row r="14" spans="1:16" ht="14.25" customHeight="1" x14ac:dyDescent="0.4">
      <c r="A14" s="67">
        <v>4004005767</v>
      </c>
      <c r="B14" s="116" t="s">
        <v>166</v>
      </c>
      <c r="C14" s="160">
        <v>52212</v>
      </c>
      <c r="D14" s="65">
        <f>(OBSAH!$J$6/100)*Tabulka201049[[#This Row],[Sloupec3]]</f>
        <v>0</v>
      </c>
      <c r="E14" s="66">
        <f>Tabulka201049[[#This Row],[Sloupec3]]-Tabulka201049[[#This Row],[Sloupec4]]</f>
        <v>52212</v>
      </c>
      <c r="F14" s="3"/>
      <c r="G14" s="3"/>
      <c r="H14" s="3"/>
      <c r="I14" s="3"/>
      <c r="J14" s="3"/>
      <c r="K14" s="3"/>
      <c r="L14" s="3"/>
      <c r="M14" s="3"/>
      <c r="N14" s="47"/>
      <c r="O14" s="47"/>
      <c r="P14" s="47"/>
    </row>
    <row r="15" spans="1:16" ht="14.25" customHeight="1" x14ac:dyDescent="0.4">
      <c r="A15" s="67">
        <v>4004005768</v>
      </c>
      <c r="B15" s="116" t="s">
        <v>167</v>
      </c>
      <c r="C15" s="160">
        <v>63012</v>
      </c>
      <c r="D15" s="65">
        <f>(OBSAH!$J$6/100)*Tabulka201049[[#This Row],[Sloupec3]]</f>
        <v>0</v>
      </c>
      <c r="E15" s="66">
        <f>Tabulka201049[[#This Row],[Sloupec3]]-Tabulka201049[[#This Row],[Sloupec4]]</f>
        <v>63012</v>
      </c>
      <c r="F15" s="3"/>
      <c r="G15" s="3"/>
      <c r="H15" s="3"/>
      <c r="I15" s="3"/>
      <c r="J15" s="3"/>
      <c r="K15" s="3"/>
      <c r="L15" s="3"/>
      <c r="M15" s="3"/>
      <c r="N15" s="47"/>
      <c r="O15" s="47"/>
      <c r="P15" s="47"/>
    </row>
    <row r="16" spans="1:16" ht="14.25" customHeight="1" x14ac:dyDescent="0.4">
      <c r="A16" s="67">
        <v>4004005769</v>
      </c>
      <c r="B16" s="116" t="s">
        <v>168</v>
      </c>
      <c r="C16" s="160">
        <v>66551</v>
      </c>
      <c r="D16" s="65">
        <f>(OBSAH!$J$6/100)*Tabulka201049[[#This Row],[Sloupec3]]</f>
        <v>0</v>
      </c>
      <c r="E16" s="66">
        <f>Tabulka201049[[#This Row],[Sloupec3]]-Tabulka201049[[#This Row],[Sloupec4]]</f>
        <v>66551</v>
      </c>
      <c r="F16" s="3"/>
      <c r="G16" s="3"/>
      <c r="H16" s="3"/>
      <c r="I16" s="3"/>
      <c r="J16" s="3"/>
      <c r="K16" s="3"/>
      <c r="L16" s="3"/>
      <c r="M16" s="3"/>
      <c r="N16" s="47"/>
      <c r="O16" s="47"/>
      <c r="P16" s="47"/>
    </row>
    <row r="17" spans="1:16" ht="14.25" customHeight="1" x14ac:dyDescent="0.4">
      <c r="A17" s="67">
        <v>4004005770</v>
      </c>
      <c r="B17" s="116" t="s">
        <v>169</v>
      </c>
      <c r="C17" s="160">
        <v>77795</v>
      </c>
      <c r="D17" s="65">
        <f>(OBSAH!$J$6/100)*Tabulka201049[[#This Row],[Sloupec3]]</f>
        <v>0</v>
      </c>
      <c r="E17" s="66">
        <f>Tabulka201049[[#This Row],[Sloupec3]]-Tabulka201049[[#This Row],[Sloupec4]]</f>
        <v>77795</v>
      </c>
      <c r="F17" s="3"/>
      <c r="G17" s="3"/>
      <c r="H17" s="3"/>
      <c r="I17" s="3"/>
      <c r="J17" s="3"/>
      <c r="K17" s="3"/>
      <c r="L17" s="3"/>
      <c r="M17" s="3"/>
      <c r="N17" s="47"/>
      <c r="O17" s="47"/>
      <c r="P17" s="47"/>
    </row>
    <row r="18" spans="1:16" ht="14.25" customHeight="1" x14ac:dyDescent="0.4">
      <c r="A18" s="67">
        <v>4004005771</v>
      </c>
      <c r="B18" s="116" t="s">
        <v>170</v>
      </c>
      <c r="C18" s="160">
        <v>81336</v>
      </c>
      <c r="D18" s="65">
        <f>(OBSAH!$J$6/100)*Tabulka201049[[#This Row],[Sloupec3]]</f>
        <v>0</v>
      </c>
      <c r="E18" s="66">
        <f>Tabulka201049[[#This Row],[Sloupec3]]-Tabulka201049[[#This Row],[Sloupec4]]</f>
        <v>81336</v>
      </c>
      <c r="F18" s="3"/>
      <c r="G18" s="3"/>
      <c r="H18" s="3"/>
      <c r="I18" s="3"/>
      <c r="J18" s="3"/>
      <c r="K18" s="3"/>
      <c r="L18" s="3"/>
      <c r="M18" s="3"/>
      <c r="N18" s="47"/>
      <c r="O18" s="47"/>
      <c r="P18" s="47"/>
    </row>
    <row r="19" spans="1:16" ht="14.25" customHeight="1" x14ac:dyDescent="0.4">
      <c r="A19" s="92">
        <v>4004005772</v>
      </c>
      <c r="B19" s="93" t="s">
        <v>171</v>
      </c>
      <c r="C19" s="160">
        <v>91431</v>
      </c>
      <c r="D19" s="65">
        <f>(OBSAH!$J$6/100)*Tabulka201049[[#This Row],[Sloupec3]]</f>
        <v>0</v>
      </c>
      <c r="E19" s="66">
        <f>Tabulka201049[[#This Row],[Sloupec3]]-Tabulka201049[[#This Row],[Sloupec4]]</f>
        <v>91431</v>
      </c>
      <c r="F19" s="3"/>
      <c r="G19" s="3"/>
      <c r="H19" s="3"/>
      <c r="I19" s="3"/>
      <c r="J19" s="3"/>
      <c r="K19" s="3"/>
      <c r="L19" s="3"/>
      <c r="M19" s="3"/>
      <c r="N19" s="47"/>
      <c r="O19" s="47"/>
      <c r="P19" s="47"/>
    </row>
    <row r="20" spans="1:16" ht="14.25" customHeight="1" x14ac:dyDescent="0.4">
      <c r="A20" s="94">
        <v>4004005773</v>
      </c>
      <c r="B20" s="95" t="s">
        <v>172</v>
      </c>
      <c r="C20" s="160">
        <v>94969</v>
      </c>
      <c r="D20" s="76">
        <f>(OBSAH!$J$6/100)*Tabulka201049[[#This Row],[Sloupec3]]</f>
        <v>0</v>
      </c>
      <c r="E20" s="77">
        <f>Tabulka201049[[#This Row],[Sloupec3]]-Tabulka201049[[#This Row],[Sloupec4]]</f>
        <v>94969</v>
      </c>
      <c r="F20" s="3"/>
      <c r="G20" s="3"/>
      <c r="H20" s="3"/>
      <c r="I20" s="3"/>
      <c r="J20" s="3"/>
      <c r="K20" s="3"/>
      <c r="L20" s="3"/>
      <c r="M20" s="3"/>
      <c r="N20" s="47"/>
      <c r="O20" s="47"/>
      <c r="P20" s="47"/>
    </row>
    <row r="21" spans="1:16" ht="15" customHeight="1" x14ac:dyDescent="0.4">
      <c r="A21" s="70"/>
      <c r="B21" s="71"/>
      <c r="C21" s="72"/>
      <c r="D21" s="73"/>
      <c r="E21" s="74"/>
      <c r="F21" s="3"/>
      <c r="G21" s="3"/>
      <c r="H21" s="3"/>
      <c r="I21" s="3"/>
      <c r="J21" s="3"/>
      <c r="K21" s="3"/>
      <c r="L21" s="3"/>
      <c r="M21" s="3"/>
    </row>
    <row r="22" spans="1:16" ht="22.5" customHeight="1" x14ac:dyDescent="0.4">
      <c r="A22" s="259" t="s">
        <v>69</v>
      </c>
      <c r="B22" s="259"/>
      <c r="C22" s="259"/>
      <c r="D22" s="259"/>
      <c r="E22" s="259"/>
      <c r="F22" s="3"/>
      <c r="G22" s="3"/>
      <c r="H22" s="3"/>
      <c r="I22" s="3"/>
      <c r="J22" s="3"/>
      <c r="K22" s="3"/>
      <c r="L22" s="3"/>
      <c r="M22" s="3"/>
      <c r="N22" s="47"/>
      <c r="O22" s="47"/>
      <c r="P22" s="47"/>
    </row>
    <row r="23" spans="1:16" s="44" customFormat="1" ht="22.5" customHeight="1" x14ac:dyDescent="0.3">
      <c r="A23" s="87" t="s">
        <v>39</v>
      </c>
      <c r="B23" s="87" t="s">
        <v>40</v>
      </c>
      <c r="C23" s="88" t="s">
        <v>41</v>
      </c>
      <c r="D23" s="88" t="s">
        <v>42</v>
      </c>
      <c r="E23" s="89" t="s">
        <v>43</v>
      </c>
      <c r="F23" s="41"/>
      <c r="G23" s="41"/>
      <c r="H23" s="41"/>
      <c r="I23" s="41"/>
      <c r="J23" s="41"/>
      <c r="K23" s="41"/>
      <c r="L23" s="41"/>
      <c r="M23" s="41"/>
      <c r="N23" s="47"/>
      <c r="O23" s="47"/>
      <c r="P23" s="47"/>
    </row>
    <row r="24" spans="1:16" ht="14.25" customHeight="1" x14ac:dyDescent="0.4">
      <c r="A24" s="90">
        <v>4004005774</v>
      </c>
      <c r="B24" s="91" t="s">
        <v>173</v>
      </c>
      <c r="C24" s="161">
        <v>23138</v>
      </c>
      <c r="D24" s="61">
        <f>(OBSAH!$J$6/100)*Tabulka211150[[#This Row],[Sloupec3]]</f>
        <v>0</v>
      </c>
      <c r="E24" s="62">
        <f>Tabulka211150[[#This Row],[Sloupec3]]-Tabulka211150[[#This Row],[Sloupec4]]</f>
        <v>23138</v>
      </c>
      <c r="F24" s="3"/>
      <c r="G24" s="3"/>
      <c r="H24" s="3"/>
      <c r="I24" s="3"/>
      <c r="J24" s="3"/>
      <c r="K24" s="3"/>
      <c r="L24" s="3"/>
      <c r="M24" s="3"/>
      <c r="N24" s="47"/>
      <c r="O24" s="47"/>
      <c r="P24" s="47"/>
    </row>
    <row r="25" spans="1:16" ht="14.25" customHeight="1" x14ac:dyDescent="0.4">
      <c r="A25" s="92">
        <v>4004005775</v>
      </c>
      <c r="B25" s="93" t="s">
        <v>174</v>
      </c>
      <c r="C25" s="161">
        <v>34343</v>
      </c>
      <c r="D25" s="65">
        <f>(OBSAH!$J$6/100)*Tabulka211150[[#This Row],[Sloupec3]]</f>
        <v>0</v>
      </c>
      <c r="E25" s="66">
        <f>Tabulka211150[[#This Row],[Sloupec3]]-Tabulka211150[[#This Row],[Sloupec4]]</f>
        <v>34343</v>
      </c>
      <c r="F25" s="3"/>
      <c r="G25" s="3"/>
      <c r="H25" s="3"/>
      <c r="I25" s="3"/>
      <c r="J25" s="3"/>
      <c r="K25" s="3"/>
      <c r="L25" s="3"/>
      <c r="M25" s="3"/>
    </row>
    <row r="26" spans="1:16" ht="14.25" customHeight="1" x14ac:dyDescent="0.4">
      <c r="A26" s="67">
        <v>4004005776</v>
      </c>
      <c r="B26" s="116" t="s">
        <v>175</v>
      </c>
      <c r="C26" s="161">
        <v>37880</v>
      </c>
      <c r="D26" s="65">
        <f>(OBSAH!$J$6/100)*Tabulka211150[[#This Row],[Sloupec3]]</f>
        <v>0</v>
      </c>
      <c r="E26" s="66">
        <f>Tabulka211150[[#This Row],[Sloupec3]]-Tabulka211150[[#This Row],[Sloupec4]]</f>
        <v>37880</v>
      </c>
      <c r="F26" s="3"/>
      <c r="G26" s="3"/>
      <c r="H26" s="3"/>
      <c r="I26" s="3"/>
      <c r="J26" s="3"/>
      <c r="K26" s="3"/>
      <c r="L26" s="3"/>
      <c r="M26" s="3"/>
    </row>
    <row r="27" spans="1:16" ht="14.25" customHeight="1" x14ac:dyDescent="0.4">
      <c r="A27" s="67">
        <v>4004005777</v>
      </c>
      <c r="B27" s="116" t="s">
        <v>176</v>
      </c>
      <c r="C27" s="161">
        <v>49128</v>
      </c>
      <c r="D27" s="65">
        <f>(OBSAH!$J$6/100)*Tabulka211150[[#This Row],[Sloupec3]]</f>
        <v>0</v>
      </c>
      <c r="E27" s="66">
        <f>Tabulka211150[[#This Row],[Sloupec3]]-Tabulka211150[[#This Row],[Sloupec4]]</f>
        <v>49128</v>
      </c>
      <c r="F27" s="3"/>
      <c r="G27" s="3"/>
      <c r="H27" s="3"/>
      <c r="I27" s="3"/>
      <c r="J27" s="3"/>
      <c r="K27" s="3"/>
      <c r="L27" s="3"/>
      <c r="M27" s="3"/>
    </row>
    <row r="28" spans="1:16" ht="14.25" customHeight="1" x14ac:dyDescent="0.4">
      <c r="A28" s="67">
        <v>4004005778</v>
      </c>
      <c r="B28" s="116" t="s">
        <v>177</v>
      </c>
      <c r="C28" s="161">
        <v>52665</v>
      </c>
      <c r="D28" s="65">
        <f>(OBSAH!$J$6/100)*Tabulka211150[[#This Row],[Sloupec3]]</f>
        <v>0</v>
      </c>
      <c r="E28" s="66">
        <f>Tabulka211150[[#This Row],[Sloupec3]]-Tabulka211150[[#This Row],[Sloupec4]]</f>
        <v>52665</v>
      </c>
      <c r="F28" s="3"/>
      <c r="G28" s="3"/>
      <c r="H28" s="3"/>
      <c r="I28" s="3"/>
      <c r="J28" s="3"/>
      <c r="K28" s="3"/>
      <c r="L28" s="3"/>
      <c r="M28" s="3"/>
    </row>
    <row r="29" spans="1:16" ht="14.25" customHeight="1" x14ac:dyDescent="0.4">
      <c r="A29" s="67">
        <v>4004005779</v>
      </c>
      <c r="B29" s="116" t="s">
        <v>178</v>
      </c>
      <c r="C29" s="161">
        <v>63920</v>
      </c>
      <c r="D29" s="65">
        <f>(OBSAH!$J$6/100)*Tabulka211150[[#This Row],[Sloupec3]]</f>
        <v>0</v>
      </c>
      <c r="E29" s="66">
        <f>Tabulka211150[[#This Row],[Sloupec3]]-Tabulka211150[[#This Row],[Sloupec4]]</f>
        <v>63920</v>
      </c>
      <c r="F29" s="3"/>
      <c r="G29" s="3"/>
      <c r="H29" s="3"/>
      <c r="I29" s="3"/>
      <c r="J29" s="3"/>
      <c r="K29" s="3"/>
      <c r="L29" s="3"/>
      <c r="M29" s="3"/>
    </row>
    <row r="30" spans="1:16" ht="14.25" customHeight="1" x14ac:dyDescent="0.4">
      <c r="A30" s="92">
        <v>4004005780</v>
      </c>
      <c r="B30" s="93" t="s">
        <v>179</v>
      </c>
      <c r="C30" s="161">
        <v>67458</v>
      </c>
      <c r="D30" s="65">
        <f>(OBSAH!$J$6/100)*Tabulka211150[[#This Row],[Sloupec3]]</f>
        <v>0</v>
      </c>
      <c r="E30" s="66">
        <f>Tabulka211150[[#This Row],[Sloupec3]]-Tabulka211150[[#This Row],[Sloupec4]]</f>
        <v>67458</v>
      </c>
      <c r="F30" s="3"/>
      <c r="G30" s="3"/>
      <c r="H30" s="3"/>
      <c r="I30" s="3"/>
      <c r="J30" s="3"/>
      <c r="K30" s="3"/>
      <c r="L30" s="3"/>
      <c r="M30" s="3"/>
      <c r="N30" s="47"/>
      <c r="O30" s="47"/>
      <c r="P30" s="47"/>
    </row>
    <row r="31" spans="1:16" ht="14.25" customHeight="1" x14ac:dyDescent="0.4">
      <c r="A31" s="92">
        <v>4004005781</v>
      </c>
      <c r="B31" s="93" t="s">
        <v>180</v>
      </c>
      <c r="C31" s="161">
        <v>78703</v>
      </c>
      <c r="D31" s="65">
        <f>(OBSAH!$J$6/100)*Tabulka211150[[#This Row],[Sloupec3]]</f>
        <v>0</v>
      </c>
      <c r="E31" s="66">
        <f>Tabulka211150[[#This Row],[Sloupec3]]-Tabulka211150[[#This Row],[Sloupec4]]</f>
        <v>78703</v>
      </c>
      <c r="F31" s="3"/>
      <c r="G31" s="3"/>
      <c r="H31" s="3"/>
      <c r="I31" s="3"/>
      <c r="J31" s="3"/>
      <c r="K31" s="3"/>
      <c r="L31" s="3"/>
      <c r="M31" s="3"/>
      <c r="N31" s="47"/>
      <c r="O31" s="47"/>
      <c r="P31" s="47"/>
    </row>
    <row r="32" spans="1:16" ht="14.25" customHeight="1" x14ac:dyDescent="0.4">
      <c r="A32" s="92">
        <v>4004005782</v>
      </c>
      <c r="B32" s="93" t="s">
        <v>181</v>
      </c>
      <c r="C32" s="161">
        <v>82243</v>
      </c>
      <c r="D32" s="65">
        <f>(OBSAH!$J$6/100)*Tabulka211150[[#This Row],[Sloupec3]]</f>
        <v>0</v>
      </c>
      <c r="E32" s="66">
        <f>Tabulka211150[[#This Row],[Sloupec3]]-Tabulka211150[[#This Row],[Sloupec4]]</f>
        <v>82243</v>
      </c>
      <c r="F32" s="3"/>
      <c r="G32" s="248"/>
      <c r="H32" s="248"/>
      <c r="I32" s="248"/>
      <c r="J32" s="248"/>
      <c r="K32" s="248"/>
      <c r="L32" s="248"/>
      <c r="M32" s="3"/>
      <c r="N32" s="47"/>
      <c r="O32" s="47"/>
      <c r="P32" s="47"/>
    </row>
    <row r="33" spans="1:16" ht="14.25" customHeight="1" x14ac:dyDescent="0.4">
      <c r="A33" s="92">
        <v>4004005783</v>
      </c>
      <c r="B33" s="93" t="s">
        <v>182</v>
      </c>
      <c r="C33" s="161">
        <v>92339</v>
      </c>
      <c r="D33" s="65">
        <f>(OBSAH!$J$6/100)*Tabulka211150[[#This Row],[Sloupec3]]</f>
        <v>0</v>
      </c>
      <c r="E33" s="66">
        <f>Tabulka211150[[#This Row],[Sloupec3]]-Tabulka211150[[#This Row],[Sloupec4]]</f>
        <v>92339</v>
      </c>
      <c r="F33" s="3"/>
      <c r="G33" s="249"/>
      <c r="H33" s="249"/>
      <c r="I33" s="249"/>
      <c r="J33" s="249"/>
      <c r="K33" s="249"/>
      <c r="L33" s="249"/>
      <c r="M33" s="3"/>
      <c r="N33" s="47"/>
      <c r="O33" s="47"/>
      <c r="P33" s="47"/>
    </row>
    <row r="34" spans="1:16" ht="14.25" customHeight="1" x14ac:dyDescent="0.4">
      <c r="A34" s="94">
        <v>4004005784</v>
      </c>
      <c r="B34" s="95" t="s">
        <v>183</v>
      </c>
      <c r="C34" s="161">
        <v>95876</v>
      </c>
      <c r="D34" s="76">
        <f>(OBSAH!$J$6/100)*Tabulka211150[[#This Row],[Sloupec3]]</f>
        <v>0</v>
      </c>
      <c r="E34" s="77">
        <f>Tabulka211150[[#This Row],[Sloupec3]]-Tabulka211150[[#This Row],[Sloupec4]]</f>
        <v>95876</v>
      </c>
      <c r="F34" s="3"/>
      <c r="G34" s="248"/>
      <c r="H34" s="248"/>
      <c r="I34" s="248"/>
      <c r="J34" s="248"/>
      <c r="K34" s="248"/>
      <c r="L34" s="248"/>
      <c r="M34" s="3"/>
      <c r="N34" s="47"/>
      <c r="O34" s="47"/>
      <c r="P34" s="47"/>
    </row>
    <row r="35" spans="1:16" ht="15" customHeight="1" x14ac:dyDescent="0.4">
      <c r="A35" s="37"/>
      <c r="B35" s="37"/>
      <c r="C35" s="96"/>
      <c r="D35" s="73"/>
      <c r="E35" s="74"/>
      <c r="F35" s="3"/>
      <c r="G35" s="249"/>
      <c r="H35" s="249"/>
      <c r="I35" s="249"/>
      <c r="J35" s="249"/>
      <c r="K35" s="249"/>
      <c r="L35" s="249"/>
      <c r="M35" s="3"/>
    </row>
    <row r="36" spans="1:16" ht="15" customHeight="1" x14ac:dyDescent="0.4">
      <c r="A36" s="37"/>
      <c r="B36" s="37"/>
      <c r="C36" s="96"/>
      <c r="D36" s="73"/>
      <c r="E36" s="74"/>
      <c r="F36" s="3"/>
      <c r="G36" s="75"/>
      <c r="H36" s="75"/>
      <c r="I36" s="37"/>
      <c r="J36" s="37"/>
      <c r="K36" s="37"/>
      <c r="L36" s="37"/>
      <c r="M36" s="3"/>
      <c r="N36" s="47"/>
      <c r="O36" s="47"/>
      <c r="P36" s="47"/>
    </row>
    <row r="37" spans="1:16" ht="15" customHeight="1" x14ac:dyDescent="0.4">
      <c r="A37" s="37"/>
      <c r="B37" s="37"/>
      <c r="C37" s="96"/>
      <c r="D37" s="73"/>
      <c r="E37" s="74"/>
      <c r="F37" s="3"/>
      <c r="G37" s="3"/>
      <c r="H37" s="3"/>
      <c r="I37" s="3"/>
      <c r="J37" s="3"/>
      <c r="K37" s="3"/>
      <c r="L37" s="3"/>
      <c r="M37" s="3"/>
      <c r="N37" s="47"/>
      <c r="O37" s="47"/>
      <c r="P37" s="47"/>
    </row>
    <row r="38" spans="1:16" ht="36" customHeight="1" x14ac:dyDescent="0.4">
      <c r="A38" s="261" t="s">
        <v>81</v>
      </c>
      <c r="B38" s="261"/>
      <c r="C38" s="261"/>
      <c r="D38" s="261"/>
      <c r="E38" s="261"/>
      <c r="F38" s="3"/>
      <c r="G38" s="3"/>
      <c r="H38" s="3"/>
      <c r="I38" s="3"/>
      <c r="J38" s="3"/>
      <c r="K38" s="3"/>
      <c r="L38" s="3"/>
      <c r="M38" s="3"/>
      <c r="N38" s="47"/>
      <c r="O38" s="47"/>
      <c r="P38" s="47"/>
    </row>
    <row r="39" spans="1:16" ht="36" customHeight="1" x14ac:dyDescent="0.4">
      <c r="A39" s="257" t="s">
        <v>82</v>
      </c>
      <c r="B39" s="257"/>
      <c r="C39" s="257"/>
      <c r="D39" s="257"/>
      <c r="E39" s="257"/>
      <c r="F39" s="3"/>
      <c r="G39" s="3"/>
      <c r="H39" s="3"/>
      <c r="I39" s="3"/>
      <c r="J39" s="3"/>
      <c r="K39" s="3"/>
      <c r="L39" s="3"/>
      <c r="M39" s="3"/>
    </row>
    <row r="40" spans="1:16" ht="22.5" customHeight="1" x14ac:dyDescent="0.4">
      <c r="A40" s="258" t="s">
        <v>57</v>
      </c>
      <c r="B40" s="258"/>
      <c r="C40" s="258"/>
      <c r="D40" s="258"/>
      <c r="E40" s="258"/>
      <c r="F40" s="3"/>
      <c r="G40" s="3"/>
      <c r="H40" s="3"/>
      <c r="I40" s="3"/>
      <c r="J40" s="3"/>
      <c r="K40" s="3"/>
      <c r="L40" s="3"/>
      <c r="M40" s="3"/>
      <c r="N40" s="47"/>
      <c r="O40" s="47"/>
      <c r="P40" s="47"/>
    </row>
    <row r="41" spans="1:16" s="44" customFormat="1" ht="22.5" customHeight="1" x14ac:dyDescent="0.3">
      <c r="A41" s="87" t="s">
        <v>39</v>
      </c>
      <c r="B41" s="87" t="s">
        <v>40</v>
      </c>
      <c r="C41" s="88" t="s">
        <v>41</v>
      </c>
      <c r="D41" s="88" t="s">
        <v>42</v>
      </c>
      <c r="E41" s="89" t="s">
        <v>43</v>
      </c>
      <c r="F41" s="41"/>
      <c r="G41" s="41"/>
      <c r="H41" s="41"/>
      <c r="I41" s="41"/>
      <c r="J41" s="41"/>
      <c r="K41" s="41"/>
      <c r="L41" s="41"/>
      <c r="M41" s="41"/>
      <c r="N41" s="47"/>
      <c r="O41" s="47"/>
      <c r="P41" s="47"/>
    </row>
    <row r="42" spans="1:16" ht="14.25" customHeight="1" x14ac:dyDescent="0.4">
      <c r="A42" s="90">
        <v>4004005829</v>
      </c>
      <c r="B42" s="91" t="s">
        <v>184</v>
      </c>
      <c r="C42" s="162">
        <v>28941</v>
      </c>
      <c r="D42" s="61">
        <f>(OBSAH!$J$6/100)*Tabulka20101451[[#This Row],[Sloupec3]]</f>
        <v>0</v>
      </c>
      <c r="E42" s="62">
        <f>Tabulka20101451[[#This Row],[Sloupec3]]-Tabulka20101451[[#This Row],[Sloupec4]]</f>
        <v>28941</v>
      </c>
      <c r="F42" s="3"/>
      <c r="G42" s="3"/>
      <c r="H42" s="3"/>
      <c r="I42" s="3"/>
      <c r="J42" s="3"/>
      <c r="K42" s="3"/>
      <c r="L42" s="3"/>
      <c r="M42" s="3"/>
      <c r="N42" s="47"/>
      <c r="O42" s="47"/>
      <c r="P42" s="47"/>
    </row>
    <row r="43" spans="1:16" ht="14.25" customHeight="1" x14ac:dyDescent="0.4">
      <c r="A43" s="67">
        <v>4004005830</v>
      </c>
      <c r="B43" s="116" t="s">
        <v>185</v>
      </c>
      <c r="C43" s="162">
        <v>40115</v>
      </c>
      <c r="D43" s="65">
        <f>(OBSAH!$J$6/100)*Tabulka20101451[[#This Row],[Sloupec3]]</f>
        <v>0</v>
      </c>
      <c r="E43" s="66">
        <f>Tabulka20101451[[#This Row],[Sloupec3]]-Tabulka20101451[[#This Row],[Sloupec4]]</f>
        <v>40115</v>
      </c>
      <c r="F43" s="3"/>
      <c r="G43" s="3"/>
      <c r="H43" s="3"/>
      <c r="I43" s="3"/>
      <c r="J43" s="3"/>
      <c r="K43" s="3"/>
      <c r="L43" s="3"/>
      <c r="M43" s="3"/>
      <c r="N43" s="47"/>
      <c r="O43" s="47"/>
      <c r="P43" s="47"/>
    </row>
    <row r="44" spans="1:16" ht="14.25" customHeight="1" x14ac:dyDescent="0.4">
      <c r="A44" s="67">
        <v>4004005831</v>
      </c>
      <c r="B44" s="116" t="s">
        <v>186</v>
      </c>
      <c r="C44" s="162">
        <v>43651</v>
      </c>
      <c r="D44" s="65">
        <f>(OBSAH!$J$6/100)*Tabulka20101451[[#This Row],[Sloupec3]]</f>
        <v>0</v>
      </c>
      <c r="E44" s="66">
        <f>Tabulka20101451[[#This Row],[Sloupec3]]-Tabulka20101451[[#This Row],[Sloupec4]]</f>
        <v>43651</v>
      </c>
      <c r="F44" s="3"/>
      <c r="G44" s="3"/>
      <c r="H44" s="3"/>
      <c r="I44" s="3"/>
      <c r="J44" s="3"/>
      <c r="K44" s="3"/>
      <c r="L44" s="3"/>
      <c r="M44" s="3"/>
      <c r="N44" s="47"/>
      <c r="O44" s="47"/>
      <c r="P44" s="47"/>
    </row>
    <row r="45" spans="1:16" ht="14.25" customHeight="1" x14ac:dyDescent="0.4">
      <c r="A45" s="67">
        <v>4004005832</v>
      </c>
      <c r="B45" s="116" t="s">
        <v>187</v>
      </c>
      <c r="C45" s="162">
        <v>54931</v>
      </c>
      <c r="D45" s="65">
        <f>(OBSAH!$J$6/100)*Tabulka20101451[[#This Row],[Sloupec3]]</f>
        <v>0</v>
      </c>
      <c r="E45" s="66">
        <f>Tabulka20101451[[#This Row],[Sloupec3]]-Tabulka20101451[[#This Row],[Sloupec4]]</f>
        <v>54931</v>
      </c>
      <c r="F45" s="3"/>
      <c r="G45" s="3"/>
      <c r="H45" s="3"/>
      <c r="I45" s="3"/>
      <c r="J45" s="3"/>
      <c r="K45" s="3"/>
      <c r="L45" s="3"/>
      <c r="M45" s="3"/>
      <c r="N45" s="47"/>
      <c r="O45" s="47"/>
      <c r="P45" s="47"/>
    </row>
    <row r="46" spans="1:16" ht="14.25" customHeight="1" x14ac:dyDescent="0.4">
      <c r="A46" s="67">
        <v>4004005833</v>
      </c>
      <c r="B46" s="116" t="s">
        <v>188</v>
      </c>
      <c r="C46" s="162">
        <v>58469</v>
      </c>
      <c r="D46" s="65">
        <f>(OBSAH!$J$6/100)*Tabulka20101451[[#This Row],[Sloupec3]]</f>
        <v>0</v>
      </c>
      <c r="E46" s="66">
        <f>Tabulka20101451[[#This Row],[Sloupec3]]-Tabulka20101451[[#This Row],[Sloupec4]]</f>
        <v>58469</v>
      </c>
      <c r="F46" s="3"/>
      <c r="G46" s="3"/>
      <c r="H46" s="3"/>
      <c r="I46" s="3"/>
      <c r="J46" s="3"/>
      <c r="K46" s="3"/>
      <c r="L46" s="3"/>
      <c r="M46" s="3"/>
      <c r="N46" s="47"/>
      <c r="O46" s="47"/>
      <c r="P46" s="47"/>
    </row>
    <row r="47" spans="1:16" ht="14.25" customHeight="1" x14ac:dyDescent="0.4">
      <c r="A47" s="92">
        <v>4004005834</v>
      </c>
      <c r="B47" s="93" t="s">
        <v>189</v>
      </c>
      <c r="C47" s="162">
        <v>69237</v>
      </c>
      <c r="D47" s="65">
        <f>(OBSAH!$J$6/100)*Tabulka20101451[[#This Row],[Sloupec3]]</f>
        <v>0</v>
      </c>
      <c r="E47" s="66">
        <f>Tabulka20101451[[#This Row],[Sloupec3]]-Tabulka20101451[[#This Row],[Sloupec4]]</f>
        <v>69237</v>
      </c>
      <c r="F47" s="3"/>
      <c r="G47" s="3"/>
      <c r="H47" s="3"/>
      <c r="I47" s="3"/>
      <c r="J47" s="3"/>
      <c r="K47" s="3"/>
      <c r="L47" s="3"/>
      <c r="M47" s="3"/>
    </row>
    <row r="48" spans="1:16" ht="14.25" customHeight="1" x14ac:dyDescent="0.4">
      <c r="A48" s="92">
        <v>4004005835</v>
      </c>
      <c r="B48" s="93" t="s">
        <v>190</v>
      </c>
      <c r="C48" s="162">
        <v>72776</v>
      </c>
      <c r="D48" s="65">
        <f>(OBSAH!$J$6/100)*Tabulka20101451[[#This Row],[Sloupec3]]</f>
        <v>0</v>
      </c>
      <c r="E48" s="66">
        <f>Tabulka20101451[[#This Row],[Sloupec3]]-Tabulka20101451[[#This Row],[Sloupec4]]</f>
        <v>72776</v>
      </c>
      <c r="F48" s="3"/>
      <c r="G48" s="3"/>
      <c r="H48" s="3"/>
      <c r="I48" s="3"/>
      <c r="J48" s="3"/>
      <c r="K48" s="3"/>
      <c r="L48" s="3"/>
      <c r="M48" s="3"/>
      <c r="N48" s="47"/>
      <c r="O48" s="47"/>
      <c r="P48" s="47"/>
    </row>
    <row r="49" spans="1:16" ht="14.25" customHeight="1" x14ac:dyDescent="0.4">
      <c r="A49" s="92">
        <v>4004005836</v>
      </c>
      <c r="B49" s="93" t="s">
        <v>191</v>
      </c>
      <c r="C49" s="162">
        <v>84054</v>
      </c>
      <c r="D49" s="65">
        <f>(OBSAH!$J$6/100)*Tabulka20101451[[#This Row],[Sloupec3]]</f>
        <v>0</v>
      </c>
      <c r="E49" s="66">
        <f>Tabulka20101451[[#This Row],[Sloupec3]]-Tabulka20101451[[#This Row],[Sloupec4]]</f>
        <v>84054</v>
      </c>
      <c r="F49" s="3"/>
      <c r="G49" s="3"/>
      <c r="H49" s="3"/>
      <c r="I49" s="3"/>
      <c r="J49" s="3"/>
      <c r="K49" s="3"/>
      <c r="L49" s="3"/>
      <c r="M49" s="3"/>
      <c r="N49" s="47"/>
      <c r="O49" s="47"/>
      <c r="P49" s="47"/>
    </row>
    <row r="50" spans="1:16" ht="14.25" customHeight="1" x14ac:dyDescent="0.4">
      <c r="A50" s="92">
        <v>4004005837</v>
      </c>
      <c r="B50" s="93" t="s">
        <v>192</v>
      </c>
      <c r="C50" s="162">
        <v>87593</v>
      </c>
      <c r="D50" s="65">
        <f>(OBSAH!$J$6/100)*Tabulka20101451[[#This Row],[Sloupec3]]</f>
        <v>0</v>
      </c>
      <c r="E50" s="66">
        <f>Tabulka20101451[[#This Row],[Sloupec3]]-Tabulka20101451[[#This Row],[Sloupec4]]</f>
        <v>87593</v>
      </c>
      <c r="F50" s="3"/>
      <c r="G50" s="3"/>
      <c r="H50" s="3"/>
      <c r="I50" s="3"/>
      <c r="J50" s="3"/>
      <c r="K50" s="3"/>
      <c r="L50" s="3"/>
      <c r="M50" s="3"/>
      <c r="N50" s="47"/>
      <c r="O50" s="47"/>
      <c r="P50" s="47"/>
    </row>
    <row r="51" spans="1:16" ht="14.25" customHeight="1" x14ac:dyDescent="0.4">
      <c r="A51" s="92">
        <v>4004005838</v>
      </c>
      <c r="B51" s="93" t="s">
        <v>193</v>
      </c>
      <c r="C51" s="162">
        <v>97689</v>
      </c>
      <c r="D51" s="65">
        <f>(OBSAH!$J$6/100)*Tabulka20101451[[#This Row],[Sloupec3]]</f>
        <v>0</v>
      </c>
      <c r="E51" s="66">
        <f>Tabulka20101451[[#This Row],[Sloupec3]]-Tabulka20101451[[#This Row],[Sloupec4]]</f>
        <v>97689</v>
      </c>
      <c r="F51" s="3"/>
      <c r="G51" s="3"/>
      <c r="H51" s="3"/>
      <c r="I51" s="3"/>
      <c r="J51" s="3"/>
      <c r="K51" s="3"/>
      <c r="L51" s="3"/>
      <c r="M51" s="3"/>
      <c r="N51" s="47"/>
      <c r="O51" s="47"/>
      <c r="P51" s="47"/>
    </row>
    <row r="52" spans="1:16" ht="14.25" customHeight="1" x14ac:dyDescent="0.4">
      <c r="A52" s="94">
        <v>4004005839</v>
      </c>
      <c r="B52" s="95" t="s">
        <v>194</v>
      </c>
      <c r="C52" s="162">
        <v>101227</v>
      </c>
      <c r="D52" s="76">
        <f>(OBSAH!$J$6/100)*Tabulka20101451[[#This Row],[Sloupec3]]</f>
        <v>0</v>
      </c>
      <c r="E52" s="77">
        <f>Tabulka20101451[[#This Row],[Sloupec3]]-Tabulka20101451[[#This Row],[Sloupec4]]</f>
        <v>101227</v>
      </c>
      <c r="F52" s="3"/>
      <c r="G52" s="3"/>
      <c r="H52" s="3"/>
      <c r="I52" s="3"/>
      <c r="J52" s="3"/>
      <c r="K52" s="3"/>
      <c r="L52" s="3"/>
      <c r="M52" s="3"/>
      <c r="N52" s="47"/>
      <c r="O52" s="47"/>
      <c r="P52" s="47"/>
    </row>
    <row r="53" spans="1:16" ht="15" customHeight="1" x14ac:dyDescent="0.4">
      <c r="A53" s="70"/>
      <c r="B53" s="71"/>
      <c r="C53" s="72"/>
      <c r="D53" s="73"/>
      <c r="E53" s="74"/>
      <c r="F53" s="3"/>
      <c r="G53" s="3"/>
      <c r="H53" s="3"/>
      <c r="I53" s="3"/>
      <c r="J53" s="3"/>
      <c r="K53" s="3"/>
      <c r="L53" s="3"/>
      <c r="M53" s="3"/>
    </row>
    <row r="54" spans="1:16" ht="22.5" customHeight="1" x14ac:dyDescent="0.4">
      <c r="A54" s="259" t="s">
        <v>69</v>
      </c>
      <c r="B54" s="259"/>
      <c r="C54" s="259"/>
      <c r="D54" s="259"/>
      <c r="E54" s="259"/>
      <c r="F54" s="3"/>
      <c r="G54" s="3"/>
      <c r="H54" s="3"/>
      <c r="I54" s="3"/>
      <c r="J54" s="3"/>
      <c r="K54" s="3"/>
      <c r="L54" s="3"/>
      <c r="M54" s="3"/>
    </row>
    <row r="55" spans="1:16" s="44" customFormat="1" ht="22.5" customHeight="1" x14ac:dyDescent="0.25">
      <c r="A55" s="87" t="s">
        <v>39</v>
      </c>
      <c r="B55" s="87" t="s">
        <v>40</v>
      </c>
      <c r="C55" s="88" t="s">
        <v>41</v>
      </c>
      <c r="D55" s="88" t="s">
        <v>42</v>
      </c>
      <c r="E55" s="89" t="s">
        <v>43</v>
      </c>
      <c r="F55" s="41"/>
      <c r="G55" s="41"/>
      <c r="H55" s="41"/>
      <c r="I55" s="41"/>
      <c r="J55" s="41"/>
      <c r="K55" s="41"/>
      <c r="L55" s="41"/>
      <c r="M55" s="41"/>
    </row>
    <row r="56" spans="1:16" ht="14.25" customHeight="1" x14ac:dyDescent="0.4">
      <c r="A56" s="90">
        <v>4004005840</v>
      </c>
      <c r="B56" s="91" t="s">
        <v>195</v>
      </c>
      <c r="C56" s="163">
        <v>29394</v>
      </c>
      <c r="D56" s="61">
        <f>(OBSAH!$J$6/100)*Tabulka21111552[[#This Row],[Sloupec3]]</f>
        <v>0</v>
      </c>
      <c r="E56" s="62">
        <f>Tabulka21111552[[#This Row],[Sloupec3]]-Tabulka21111552[[#This Row],[Sloupec4]]</f>
        <v>29394</v>
      </c>
      <c r="F56" s="3"/>
      <c r="G56" s="3"/>
      <c r="H56" s="3"/>
      <c r="I56" s="3"/>
      <c r="J56" s="3"/>
      <c r="K56" s="3"/>
      <c r="L56" s="3"/>
      <c r="M56" s="3"/>
    </row>
    <row r="57" spans="1:16" ht="14.25" customHeight="1" x14ac:dyDescent="0.4">
      <c r="A57" s="67">
        <v>4004005841</v>
      </c>
      <c r="B57" s="116" t="s">
        <v>196</v>
      </c>
      <c r="C57" s="163">
        <v>40568</v>
      </c>
      <c r="D57" s="65">
        <f>(OBSAH!$J$6/100)*Tabulka21111552[[#This Row],[Sloupec3]]</f>
        <v>0</v>
      </c>
      <c r="E57" s="66">
        <f>Tabulka21111552[[#This Row],[Sloupec3]]-Tabulka21111552[[#This Row],[Sloupec4]]</f>
        <v>40568</v>
      </c>
      <c r="F57" s="3"/>
      <c r="G57" s="3"/>
      <c r="H57" s="3"/>
      <c r="I57" s="3"/>
      <c r="J57" s="3"/>
      <c r="K57" s="3"/>
      <c r="L57" s="3"/>
      <c r="M57" s="3"/>
    </row>
    <row r="58" spans="1:16" ht="14.25" customHeight="1" x14ac:dyDescent="0.4">
      <c r="A58" s="67">
        <v>4004005842</v>
      </c>
      <c r="B58" s="116" t="s">
        <v>197</v>
      </c>
      <c r="C58" s="163">
        <v>44107</v>
      </c>
      <c r="D58" s="65">
        <f>(OBSAH!$J$6/100)*Tabulka21111552[[#This Row],[Sloupec3]]</f>
        <v>0</v>
      </c>
      <c r="E58" s="66">
        <f>Tabulka21111552[[#This Row],[Sloupec3]]-Tabulka21111552[[#This Row],[Sloupec4]]</f>
        <v>44107</v>
      </c>
      <c r="F58" s="3"/>
      <c r="G58" s="3"/>
      <c r="H58" s="3"/>
      <c r="I58" s="3"/>
      <c r="J58" s="3"/>
      <c r="K58" s="3"/>
      <c r="L58" s="3"/>
      <c r="M58" s="3"/>
    </row>
    <row r="59" spans="1:16" ht="14.25" customHeight="1" x14ac:dyDescent="0.4">
      <c r="A59" s="67">
        <v>4004005843</v>
      </c>
      <c r="B59" s="116" t="s">
        <v>198</v>
      </c>
      <c r="C59" s="163">
        <v>55384</v>
      </c>
      <c r="D59" s="65">
        <f>(OBSAH!$J$6/100)*Tabulka21111552[[#This Row],[Sloupec3]]</f>
        <v>0</v>
      </c>
      <c r="E59" s="66">
        <f>Tabulka21111552[[#This Row],[Sloupec3]]-Tabulka21111552[[#This Row],[Sloupec4]]</f>
        <v>55384</v>
      </c>
      <c r="F59" s="3"/>
      <c r="G59" s="3"/>
      <c r="H59" s="3"/>
      <c r="I59" s="3"/>
      <c r="J59" s="3"/>
      <c r="K59" s="3"/>
      <c r="L59" s="3"/>
      <c r="M59" s="3"/>
    </row>
    <row r="60" spans="1:16" ht="14.25" customHeight="1" x14ac:dyDescent="0.4">
      <c r="A60" s="67">
        <v>4004005844</v>
      </c>
      <c r="B60" s="116" t="s">
        <v>199</v>
      </c>
      <c r="C60" s="163">
        <v>58924</v>
      </c>
      <c r="D60" s="65">
        <f>(OBSAH!$J$6/100)*Tabulka21111552[[#This Row],[Sloupec3]]</f>
        <v>0</v>
      </c>
      <c r="E60" s="66">
        <f>Tabulka21111552[[#This Row],[Sloupec3]]-Tabulka21111552[[#This Row],[Sloupec4]]</f>
        <v>58924</v>
      </c>
      <c r="F60" s="3"/>
      <c r="G60" s="3"/>
      <c r="H60" s="3"/>
      <c r="I60" s="3"/>
      <c r="J60" s="3"/>
      <c r="K60" s="3"/>
      <c r="L60" s="3"/>
      <c r="M60" s="3"/>
    </row>
    <row r="61" spans="1:16" ht="14.25" customHeight="1" x14ac:dyDescent="0.4">
      <c r="A61" s="92">
        <v>4004005845</v>
      </c>
      <c r="B61" s="93" t="s">
        <v>200</v>
      </c>
      <c r="C61" s="163">
        <v>70146</v>
      </c>
      <c r="D61" s="65">
        <f>(OBSAH!$J$6/100)*Tabulka21111552[[#This Row],[Sloupec3]]</f>
        <v>0</v>
      </c>
      <c r="E61" s="66">
        <f>Tabulka21111552[[#This Row],[Sloupec3]]-Tabulka21111552[[#This Row],[Sloupec4]]</f>
        <v>70146</v>
      </c>
      <c r="F61" s="3"/>
      <c r="G61" s="3"/>
      <c r="H61" s="3"/>
      <c r="I61" s="3"/>
      <c r="J61" s="3"/>
      <c r="K61" s="3"/>
      <c r="L61" s="3"/>
      <c r="M61" s="3"/>
    </row>
    <row r="62" spans="1:16" ht="14.25" customHeight="1" x14ac:dyDescent="0.4">
      <c r="A62" s="92">
        <v>4004005846</v>
      </c>
      <c r="B62" s="93" t="s">
        <v>201</v>
      </c>
      <c r="C62" s="163">
        <v>73683</v>
      </c>
      <c r="D62" s="65">
        <f>(OBSAH!$J$6/100)*Tabulka21111552[[#This Row],[Sloupec3]]</f>
        <v>0</v>
      </c>
      <c r="E62" s="66">
        <f>Tabulka21111552[[#This Row],[Sloupec3]]-Tabulka21111552[[#This Row],[Sloupec4]]</f>
        <v>73683</v>
      </c>
      <c r="F62" s="3"/>
      <c r="G62" s="3"/>
      <c r="H62" s="3"/>
      <c r="I62" s="3"/>
      <c r="J62" s="3"/>
      <c r="K62" s="3"/>
      <c r="L62" s="3"/>
      <c r="M62" s="3"/>
    </row>
    <row r="63" spans="1:16" ht="14.25" customHeight="1" x14ac:dyDescent="0.4">
      <c r="A63" s="92">
        <v>4004005847</v>
      </c>
      <c r="B63" s="93" t="s">
        <v>202</v>
      </c>
      <c r="C63" s="163">
        <v>84964</v>
      </c>
      <c r="D63" s="65">
        <f>(OBSAH!$J$6/100)*Tabulka21111552[[#This Row],[Sloupec3]]</f>
        <v>0</v>
      </c>
      <c r="E63" s="66">
        <f>Tabulka21111552[[#This Row],[Sloupec3]]-Tabulka21111552[[#This Row],[Sloupec4]]</f>
        <v>84964</v>
      </c>
      <c r="F63" s="3"/>
      <c r="G63" s="3"/>
      <c r="H63" s="3"/>
      <c r="I63" s="3"/>
      <c r="J63" s="3"/>
      <c r="K63" s="3"/>
      <c r="L63" s="3"/>
      <c r="M63" s="3"/>
    </row>
    <row r="64" spans="1:16" ht="14.25" customHeight="1" x14ac:dyDescent="0.4">
      <c r="A64" s="92">
        <v>4004005848</v>
      </c>
      <c r="B64" s="93" t="s">
        <v>203</v>
      </c>
      <c r="C64" s="163">
        <v>88501</v>
      </c>
      <c r="D64" s="65">
        <f>(OBSAH!$J$6/100)*Tabulka21111552[[#This Row],[Sloupec3]]</f>
        <v>0</v>
      </c>
      <c r="E64" s="66">
        <f>Tabulka21111552[[#This Row],[Sloupec3]]-Tabulka21111552[[#This Row],[Sloupec4]]</f>
        <v>88501</v>
      </c>
      <c r="F64" s="3"/>
      <c r="G64" s="3"/>
      <c r="H64" s="3"/>
      <c r="I64" s="3"/>
      <c r="J64" s="3"/>
      <c r="K64" s="3"/>
      <c r="L64" s="3"/>
      <c r="M64" s="3"/>
    </row>
    <row r="65" spans="1:13" ht="14.25" customHeight="1" x14ac:dyDescent="0.4">
      <c r="A65" s="92">
        <v>4004005849</v>
      </c>
      <c r="B65" s="93" t="s">
        <v>204</v>
      </c>
      <c r="C65" s="163">
        <v>98598</v>
      </c>
      <c r="D65" s="65">
        <f>(OBSAH!$J$6/100)*Tabulka21111552[[#This Row],[Sloupec3]]</f>
        <v>0</v>
      </c>
      <c r="E65" s="66">
        <f>Tabulka21111552[[#This Row],[Sloupec3]]-Tabulka21111552[[#This Row],[Sloupec4]]</f>
        <v>98598</v>
      </c>
      <c r="F65" s="3"/>
      <c r="G65" s="3"/>
      <c r="H65" s="3"/>
      <c r="I65" s="3"/>
      <c r="J65" s="3"/>
      <c r="K65" s="3"/>
      <c r="L65" s="3"/>
      <c r="M65" s="3"/>
    </row>
    <row r="66" spans="1:13" ht="14.25" customHeight="1" x14ac:dyDescent="0.4">
      <c r="A66" s="94">
        <v>4004005850</v>
      </c>
      <c r="B66" s="95" t="s">
        <v>205</v>
      </c>
      <c r="C66" s="163">
        <v>102135</v>
      </c>
      <c r="D66" s="76">
        <f>(OBSAH!$J$6/100)*Tabulka21111552[[#This Row],[Sloupec3]]</f>
        <v>0</v>
      </c>
      <c r="E66" s="77">
        <f>Tabulka21111552[[#This Row],[Sloupec3]]-Tabulka21111552[[#This Row],[Sloupec4]]</f>
        <v>102135</v>
      </c>
      <c r="F66" s="3"/>
      <c r="G66" s="3"/>
      <c r="H66" s="3"/>
      <c r="I66" s="3"/>
      <c r="J66" s="3"/>
      <c r="K66" s="3"/>
      <c r="L66" s="3"/>
      <c r="M66" s="3"/>
    </row>
    <row r="67" spans="1:13" ht="15" customHeight="1" x14ac:dyDescent="0.4">
      <c r="A67" s="260"/>
      <c r="B67" s="260"/>
      <c r="C67" s="260"/>
      <c r="D67" s="260"/>
      <c r="E67" s="260"/>
      <c r="F67" s="3"/>
      <c r="G67" s="3"/>
      <c r="H67" s="3"/>
      <c r="I67" s="3"/>
      <c r="J67" s="3"/>
      <c r="K67" s="3"/>
      <c r="L67" s="3"/>
      <c r="M67" s="3"/>
    </row>
    <row r="68" spans="1:13" ht="15" customHeight="1" x14ac:dyDescent="0.4">
      <c r="A68" s="37"/>
      <c r="B68" s="37"/>
      <c r="C68" s="37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spans="1:13" ht="15" customHeight="1" x14ac:dyDescent="0.4">
      <c r="A69" s="37"/>
      <c r="B69" s="37"/>
      <c r="C69" s="37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1:13" ht="36" customHeight="1" x14ac:dyDescent="0.4">
      <c r="A70" s="261" t="s">
        <v>81</v>
      </c>
      <c r="B70" s="261"/>
      <c r="C70" s="261"/>
      <c r="D70" s="261"/>
      <c r="E70" s="261"/>
      <c r="F70" s="3"/>
      <c r="G70" s="3"/>
      <c r="H70" s="3"/>
      <c r="I70" s="3"/>
      <c r="J70" s="3"/>
      <c r="K70" s="3"/>
      <c r="L70" s="3"/>
      <c r="M70" s="3"/>
    </row>
    <row r="71" spans="1:13" ht="36" customHeight="1" x14ac:dyDescent="0.4">
      <c r="A71" s="257" t="s">
        <v>206</v>
      </c>
      <c r="B71" s="257"/>
      <c r="C71" s="257"/>
      <c r="D71" s="257"/>
      <c r="E71" s="257"/>
      <c r="F71" s="3"/>
      <c r="G71" s="3"/>
      <c r="H71" s="3"/>
      <c r="I71" s="3"/>
      <c r="J71" s="3"/>
      <c r="K71" s="3"/>
      <c r="L71" s="3"/>
      <c r="M71" s="3"/>
    </row>
    <row r="72" spans="1:13" ht="22.5" customHeight="1" x14ac:dyDescent="0.4">
      <c r="A72" s="258" t="s">
        <v>57</v>
      </c>
      <c r="B72" s="258"/>
      <c r="C72" s="258"/>
      <c r="D72" s="258"/>
      <c r="E72" s="258"/>
      <c r="F72" s="3"/>
      <c r="G72" s="3"/>
      <c r="H72" s="3"/>
      <c r="I72" s="3"/>
      <c r="J72" s="3"/>
      <c r="K72" s="3"/>
      <c r="L72" s="3"/>
      <c r="M72" s="3"/>
    </row>
    <row r="73" spans="1:13" ht="22.5" customHeight="1" x14ac:dyDescent="0.4">
      <c r="A73" s="87" t="s">
        <v>39</v>
      </c>
      <c r="B73" s="87" t="s">
        <v>40</v>
      </c>
      <c r="C73" s="88" t="s">
        <v>41</v>
      </c>
      <c r="D73" s="88" t="s">
        <v>42</v>
      </c>
      <c r="E73" s="89" t="s">
        <v>43</v>
      </c>
      <c r="F73" s="3"/>
      <c r="G73" s="3"/>
      <c r="H73" s="3"/>
      <c r="I73" s="3"/>
      <c r="J73" s="3"/>
      <c r="K73" s="3"/>
      <c r="L73" s="3"/>
      <c r="M73" s="3"/>
    </row>
    <row r="74" spans="1:13" ht="14.25" customHeight="1" x14ac:dyDescent="0.4">
      <c r="A74" s="90">
        <v>4004005905</v>
      </c>
      <c r="B74" s="91" t="s">
        <v>207</v>
      </c>
      <c r="C74" s="164">
        <v>40674</v>
      </c>
      <c r="D74" s="61">
        <f>(OBSAH!$J$6/100)*Tabulka201014516[[#This Row],[Sloupec3]]</f>
        <v>0</v>
      </c>
      <c r="E74" s="62">
        <f>Tabulka201014516[[#This Row],[Sloupec3]]-Tabulka201014516[[#This Row],[Sloupec4]]</f>
        <v>40674</v>
      </c>
      <c r="F74" s="3"/>
      <c r="G74" s="3"/>
      <c r="H74" s="3"/>
      <c r="I74" s="3"/>
      <c r="J74" s="3"/>
      <c r="K74" s="3"/>
      <c r="L74" s="3"/>
      <c r="M74" s="3"/>
    </row>
    <row r="75" spans="1:13" ht="14.25" customHeight="1" x14ac:dyDescent="0.4">
      <c r="A75" s="92">
        <v>4004005906</v>
      </c>
      <c r="B75" s="93" t="s">
        <v>208</v>
      </c>
      <c r="C75" s="164">
        <v>55490</v>
      </c>
      <c r="D75" s="65">
        <f>(OBSAH!$J$6/100)*Tabulka201014516[[#This Row],[Sloupec3]]</f>
        <v>0</v>
      </c>
      <c r="E75" s="66">
        <f>Tabulka201014516[[#This Row],[Sloupec3]]-Tabulka201014516[[#This Row],[Sloupec4]]</f>
        <v>55490</v>
      </c>
      <c r="F75" s="3"/>
      <c r="G75" s="3"/>
      <c r="H75" s="3"/>
      <c r="I75" s="3"/>
      <c r="J75" s="3"/>
      <c r="K75" s="3"/>
      <c r="L75" s="3"/>
      <c r="M75" s="3"/>
    </row>
    <row r="76" spans="1:13" ht="14.25" customHeight="1" x14ac:dyDescent="0.4">
      <c r="A76" s="92">
        <v>4004005907</v>
      </c>
      <c r="B76" s="93" t="s">
        <v>209</v>
      </c>
      <c r="C76" s="164">
        <v>69797</v>
      </c>
      <c r="D76" s="65">
        <f>(OBSAH!$J$6/100)*Tabulka201014516[[#This Row],[Sloupec3]]</f>
        <v>0</v>
      </c>
      <c r="E76" s="66">
        <f>Tabulka201014516[[#This Row],[Sloupec3]]-Tabulka201014516[[#This Row],[Sloupec4]]</f>
        <v>69797</v>
      </c>
      <c r="F76" s="3"/>
      <c r="G76" s="3"/>
      <c r="H76" s="3"/>
      <c r="I76" s="3"/>
      <c r="J76" s="3"/>
      <c r="K76" s="3"/>
      <c r="L76" s="3"/>
      <c r="M76" s="3"/>
    </row>
    <row r="77" spans="1:13" ht="14.25" customHeight="1" x14ac:dyDescent="0.4">
      <c r="A77" s="92">
        <v>4004005908</v>
      </c>
      <c r="B77" s="93" t="s">
        <v>210</v>
      </c>
      <c r="C77" s="164">
        <v>84613</v>
      </c>
      <c r="D77" s="65">
        <f>(OBSAH!$J$6/100)*Tabulka201014516[[#This Row],[Sloupec3]]</f>
        <v>0</v>
      </c>
      <c r="E77" s="66">
        <f>Tabulka201014516[[#This Row],[Sloupec3]]-Tabulka201014516[[#This Row],[Sloupec4]]</f>
        <v>84613</v>
      </c>
      <c r="F77" s="3"/>
      <c r="G77" s="3"/>
      <c r="H77" s="3"/>
      <c r="I77" s="3"/>
      <c r="J77" s="3"/>
      <c r="K77" s="3"/>
      <c r="L77" s="3"/>
      <c r="M77" s="3"/>
    </row>
    <row r="78" spans="1:13" ht="14.25" customHeight="1" x14ac:dyDescent="0.4">
      <c r="A78" s="94">
        <v>4004005909</v>
      </c>
      <c r="B78" s="95" t="s">
        <v>211</v>
      </c>
      <c r="C78" s="164">
        <v>98248</v>
      </c>
      <c r="D78" s="76">
        <f>(OBSAH!$J$6/100)*Tabulka201014516[[#This Row],[Sloupec3]]</f>
        <v>0</v>
      </c>
      <c r="E78" s="77">
        <f>Tabulka201014516[[#This Row],[Sloupec3]]-Tabulka201014516[[#This Row],[Sloupec4]]</f>
        <v>98248</v>
      </c>
      <c r="F78" s="3"/>
      <c r="G78" s="3"/>
      <c r="H78" s="3"/>
      <c r="I78" s="3"/>
      <c r="J78" s="3"/>
      <c r="K78" s="3"/>
      <c r="L78" s="3"/>
      <c r="M78" s="3"/>
    </row>
    <row r="79" spans="1:13" ht="15" customHeight="1" x14ac:dyDescent="0.4">
      <c r="A79" s="70"/>
      <c r="B79" s="71"/>
      <c r="C79" s="72"/>
      <c r="D79" s="73"/>
      <c r="E79" s="74"/>
      <c r="F79" s="3"/>
      <c r="G79" s="3"/>
      <c r="H79" s="3"/>
      <c r="I79" s="3"/>
      <c r="J79" s="3"/>
      <c r="K79" s="3"/>
      <c r="L79" s="3"/>
      <c r="M79" s="3"/>
    </row>
    <row r="80" spans="1:13" ht="22.5" customHeight="1" x14ac:dyDescent="0.4">
      <c r="A80" s="259" t="s">
        <v>69</v>
      </c>
      <c r="B80" s="259"/>
      <c r="C80" s="259"/>
      <c r="D80" s="259"/>
      <c r="E80" s="259"/>
      <c r="F80" s="3"/>
      <c r="G80" s="3"/>
      <c r="H80" s="3"/>
      <c r="I80" s="3"/>
      <c r="J80" s="3"/>
      <c r="K80" s="3"/>
      <c r="L80" s="3"/>
      <c r="M80" s="3"/>
    </row>
    <row r="81" spans="1:13" ht="22.3" x14ac:dyDescent="0.4">
      <c r="A81" s="87" t="s">
        <v>39</v>
      </c>
      <c r="B81" s="87" t="s">
        <v>40</v>
      </c>
      <c r="C81" s="88" t="s">
        <v>41</v>
      </c>
      <c r="D81" s="88" t="s">
        <v>42</v>
      </c>
      <c r="E81" s="89" t="s">
        <v>43</v>
      </c>
      <c r="F81" s="3"/>
      <c r="G81" s="3"/>
      <c r="H81" s="3"/>
      <c r="I81" s="3"/>
      <c r="J81" s="3"/>
      <c r="K81" s="3"/>
      <c r="L81" s="3"/>
      <c r="M81" s="3"/>
    </row>
    <row r="82" spans="1:13" ht="14.25" customHeight="1" x14ac:dyDescent="0.4">
      <c r="A82" s="90">
        <v>4004005910</v>
      </c>
      <c r="B82" s="91" t="s">
        <v>212</v>
      </c>
      <c r="C82" s="165">
        <v>41130</v>
      </c>
      <c r="D82" s="61">
        <f>(OBSAH!$J$6/100)*Tabulka211115527[[#This Row],[Sloupec3]]</f>
        <v>0</v>
      </c>
      <c r="E82" s="62">
        <f>Tabulka211115527[[#This Row],[Sloupec3]]-Tabulka211115527[[#This Row],[Sloupec4]]</f>
        <v>41130</v>
      </c>
      <c r="F82" s="3"/>
      <c r="G82" s="3"/>
      <c r="H82" s="3"/>
      <c r="I82" s="3"/>
      <c r="J82" s="3"/>
      <c r="K82" s="3"/>
      <c r="L82" s="3"/>
      <c r="M82" s="3"/>
    </row>
    <row r="83" spans="1:13" ht="14.25" customHeight="1" x14ac:dyDescent="0.4">
      <c r="A83" s="92">
        <v>4004005911</v>
      </c>
      <c r="B83" s="93" t="s">
        <v>213</v>
      </c>
      <c r="C83" s="165">
        <v>55944</v>
      </c>
      <c r="D83" s="65">
        <f>(OBSAH!$J$6/100)*Tabulka211115527[[#This Row],[Sloupec3]]</f>
        <v>0</v>
      </c>
      <c r="E83" s="66">
        <f>Tabulka211115527[[#This Row],[Sloupec3]]-Tabulka211115527[[#This Row],[Sloupec4]]</f>
        <v>55944</v>
      </c>
      <c r="F83" s="3"/>
      <c r="G83" s="3"/>
      <c r="H83" s="3"/>
      <c r="I83" s="3"/>
      <c r="J83" s="3"/>
      <c r="K83" s="3"/>
      <c r="L83" s="3"/>
      <c r="M83" s="3"/>
    </row>
    <row r="84" spans="1:13" ht="14.25" customHeight="1" x14ac:dyDescent="0.4">
      <c r="A84" s="92">
        <v>4004005912</v>
      </c>
      <c r="B84" s="93" t="s">
        <v>214</v>
      </c>
      <c r="C84" s="165">
        <v>70706</v>
      </c>
      <c r="D84" s="65">
        <f>(OBSAH!$J$6/100)*Tabulka211115527[[#This Row],[Sloupec3]]</f>
        <v>0</v>
      </c>
      <c r="E84" s="66">
        <f>Tabulka211115527[[#This Row],[Sloupec3]]-Tabulka211115527[[#This Row],[Sloupec4]]</f>
        <v>70706</v>
      </c>
      <c r="F84" s="3"/>
      <c r="G84" s="3"/>
      <c r="H84" s="3"/>
      <c r="I84" s="3"/>
      <c r="J84" s="3"/>
      <c r="K84" s="3"/>
      <c r="L84" s="3"/>
      <c r="M84" s="3"/>
    </row>
    <row r="85" spans="1:13" ht="14.25" customHeight="1" x14ac:dyDescent="0.4">
      <c r="A85" s="92">
        <v>4004005913</v>
      </c>
      <c r="B85" s="93" t="s">
        <v>215</v>
      </c>
      <c r="C85" s="165">
        <v>85522</v>
      </c>
      <c r="D85" s="65">
        <f>(OBSAH!$J$6/100)*Tabulka211115527[[#This Row],[Sloupec3]]</f>
        <v>0</v>
      </c>
      <c r="E85" s="66">
        <f>Tabulka211115527[[#This Row],[Sloupec3]]-Tabulka211115527[[#This Row],[Sloupec4]]</f>
        <v>85522</v>
      </c>
      <c r="F85" s="3"/>
      <c r="G85" s="3"/>
      <c r="H85" s="3"/>
      <c r="I85" s="3"/>
      <c r="J85" s="3"/>
      <c r="K85" s="3"/>
      <c r="L85" s="3"/>
      <c r="M85" s="3"/>
    </row>
    <row r="86" spans="1:13" ht="14.25" customHeight="1" x14ac:dyDescent="0.4">
      <c r="A86" s="94">
        <v>4004005914</v>
      </c>
      <c r="B86" s="95" t="s">
        <v>216</v>
      </c>
      <c r="C86" s="165">
        <v>99157</v>
      </c>
      <c r="D86" s="76">
        <f>(OBSAH!$J$6/100)*Tabulka211115527[[#This Row],[Sloupec3]]</f>
        <v>0</v>
      </c>
      <c r="E86" s="77">
        <f>Tabulka211115527[[#This Row],[Sloupec3]]-Tabulka211115527[[#This Row],[Sloupec4]]</f>
        <v>99157</v>
      </c>
      <c r="F86" s="3"/>
      <c r="G86" s="3"/>
      <c r="H86" s="3"/>
      <c r="I86" s="3"/>
      <c r="J86" s="3"/>
      <c r="K86" s="3"/>
      <c r="L86" s="3"/>
      <c r="M86" s="3"/>
    </row>
    <row r="87" spans="1:13" ht="15" customHeight="1" x14ac:dyDescent="0.4">
      <c r="A87" s="260"/>
      <c r="B87" s="260"/>
      <c r="C87" s="260"/>
      <c r="D87" s="260"/>
      <c r="E87" s="260"/>
      <c r="F87" s="3"/>
      <c r="G87" s="3"/>
      <c r="H87" s="3"/>
      <c r="I87" s="3"/>
      <c r="J87" s="3"/>
      <c r="K87" s="3"/>
      <c r="L87" s="3"/>
      <c r="M87" s="3"/>
    </row>
    <row r="88" spans="1:13" ht="15" customHeight="1" x14ac:dyDescent="0.4">
      <c r="A88" s="37"/>
      <c r="B88" s="37"/>
      <c r="C88" s="37"/>
      <c r="D88" s="3"/>
      <c r="E88" s="3"/>
      <c r="F88" s="3"/>
      <c r="G88" s="3"/>
      <c r="H88" s="3"/>
      <c r="I88" s="3"/>
      <c r="J88" s="3"/>
      <c r="K88" s="3"/>
      <c r="L88" s="3"/>
      <c r="M88" s="3"/>
    </row>
  </sheetData>
  <mergeCells count="30">
    <mergeCell ref="A1:E1"/>
    <mergeCell ref="F1:H1"/>
    <mergeCell ref="A2:E2"/>
    <mergeCell ref="F2:H2"/>
    <mergeCell ref="A3:E3"/>
    <mergeCell ref="F3:M3"/>
    <mergeCell ref="A4:E4"/>
    <mergeCell ref="F4:I4"/>
    <mergeCell ref="J4:M4"/>
    <mergeCell ref="A5:E5"/>
    <mergeCell ref="A6:E6"/>
    <mergeCell ref="A7:E7"/>
    <mergeCell ref="A8:E8"/>
    <mergeCell ref="G8:L8"/>
    <mergeCell ref="G9:L9"/>
    <mergeCell ref="A22:E22"/>
    <mergeCell ref="G32:L32"/>
    <mergeCell ref="G33:L33"/>
    <mergeCell ref="G34:L34"/>
    <mergeCell ref="G35:L35"/>
    <mergeCell ref="A38:E38"/>
    <mergeCell ref="A71:E71"/>
    <mergeCell ref="A72:E72"/>
    <mergeCell ref="A80:E80"/>
    <mergeCell ref="A87:E87"/>
    <mergeCell ref="A39:E39"/>
    <mergeCell ref="A40:E40"/>
    <mergeCell ref="A54:E54"/>
    <mergeCell ref="A67:E67"/>
    <mergeCell ref="A70:E70"/>
  </mergeCells>
  <hyperlinks>
    <hyperlink ref="F2" location="OBSAH!I128" display="PŘEJÍT NA UPOZORNĚNÍ" xr:uid="{00000000-0004-0000-0300-000000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/>
  <drawing r:id="rId1"/>
  <tableParts count="6">
    <tablePart r:id="rId2"/>
    <tablePart r:id="rId3"/>
    <tablePart r:id="rId4"/>
    <tablePart r:id="rId5"/>
    <tablePart r:id="rId6"/>
    <tablePart r:id="rId7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79646"/>
    <pageSetUpPr fitToPage="1"/>
  </sheetPr>
  <dimension ref="A1:AMK121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32" customWidth="1"/>
    <col min="2" max="2" width="44.69140625" style="32" customWidth="1"/>
    <col min="3" max="3" width="10.15234375" style="32" customWidth="1"/>
    <col min="4" max="4" width="10.15234375" style="1" customWidth="1"/>
    <col min="5" max="5" width="15.69140625" style="1" customWidth="1"/>
    <col min="6" max="1025" width="9.15234375" style="1" customWidth="1"/>
  </cols>
  <sheetData>
    <row r="1" spans="1:14" ht="15" customHeight="1" x14ac:dyDescent="0.4">
      <c r="A1" s="239" t="s">
        <v>35</v>
      </c>
      <c r="B1" s="239"/>
      <c r="C1" s="239"/>
      <c r="D1" s="239"/>
      <c r="E1" s="239"/>
      <c r="F1" s="240" t="s">
        <v>36</v>
      </c>
      <c r="G1" s="240"/>
      <c r="H1" s="240"/>
      <c r="I1" s="33">
        <f>OBSAH!J6</f>
        <v>0</v>
      </c>
      <c r="J1" s="34" t="s">
        <v>2</v>
      </c>
      <c r="K1" s="3"/>
      <c r="L1" s="3"/>
      <c r="M1" s="3"/>
    </row>
    <row r="2" spans="1:14" ht="15" customHeight="1" x14ac:dyDescent="0.4">
      <c r="A2" s="239" t="s">
        <v>37</v>
      </c>
      <c r="B2" s="239"/>
      <c r="C2" s="239"/>
      <c r="D2" s="239"/>
      <c r="E2" s="239"/>
      <c r="F2" s="241" t="s">
        <v>3</v>
      </c>
      <c r="G2" s="241"/>
      <c r="H2" s="241"/>
      <c r="I2" s="3"/>
      <c r="J2" s="3"/>
      <c r="K2" s="3"/>
      <c r="L2" s="3"/>
      <c r="M2" s="3"/>
    </row>
    <row r="3" spans="1:14" ht="39" customHeight="1" x14ac:dyDescent="0.7">
      <c r="A3" s="242" t="s">
        <v>54</v>
      </c>
      <c r="B3" s="242"/>
      <c r="C3" s="242"/>
      <c r="D3" s="242"/>
      <c r="E3" s="242"/>
      <c r="F3" s="256" t="s">
        <v>217</v>
      </c>
      <c r="G3" s="256"/>
      <c r="H3" s="256"/>
      <c r="I3" s="256"/>
      <c r="J3" s="256"/>
      <c r="K3" s="256"/>
      <c r="L3" s="256"/>
      <c r="M3" s="256"/>
    </row>
    <row r="4" spans="1:14" ht="15" customHeight="1" x14ac:dyDescent="0.4">
      <c r="A4" s="251" t="s">
        <v>56</v>
      </c>
      <c r="B4" s="251"/>
      <c r="C4" s="251"/>
      <c r="D4" s="251"/>
      <c r="E4" s="251"/>
      <c r="F4" s="252"/>
      <c r="G4" s="252"/>
      <c r="H4" s="252"/>
      <c r="I4" s="252"/>
      <c r="J4" s="253"/>
      <c r="K4" s="253"/>
      <c r="L4" s="253"/>
      <c r="M4" s="253"/>
    </row>
    <row r="5" spans="1:14" ht="15" customHeight="1" x14ac:dyDescent="0.7">
      <c r="A5" s="254"/>
      <c r="B5" s="254"/>
      <c r="C5" s="254"/>
      <c r="D5" s="254"/>
      <c r="E5" s="254"/>
      <c r="F5" s="57"/>
      <c r="G5" s="57"/>
      <c r="H5" s="57"/>
      <c r="I5" s="57"/>
      <c r="J5" s="57"/>
      <c r="K5" s="57"/>
      <c r="L5" s="57"/>
      <c r="M5" s="57"/>
    </row>
    <row r="6" spans="1:14" ht="54" customHeight="1" x14ac:dyDescent="0.4">
      <c r="A6" s="269" t="s">
        <v>19</v>
      </c>
      <c r="B6" s="269"/>
      <c r="C6" s="269"/>
      <c r="D6" s="269"/>
      <c r="E6" s="269"/>
      <c r="F6" s="3"/>
      <c r="G6" s="3"/>
      <c r="H6" s="3"/>
      <c r="I6" s="3"/>
      <c r="J6" s="3"/>
      <c r="K6" s="3"/>
      <c r="L6" s="3"/>
      <c r="M6" s="3"/>
      <c r="N6" s="43"/>
    </row>
    <row r="7" spans="1:14" ht="36" customHeight="1" x14ac:dyDescent="0.4">
      <c r="A7" s="268" t="s">
        <v>11</v>
      </c>
      <c r="B7" s="268"/>
      <c r="C7" s="268"/>
      <c r="D7" s="268"/>
      <c r="E7" s="268"/>
      <c r="F7" s="3"/>
      <c r="G7" s="3"/>
      <c r="H7" s="3"/>
      <c r="I7" s="3"/>
      <c r="J7" s="3"/>
      <c r="K7" s="3"/>
      <c r="L7" s="3"/>
      <c r="M7" s="3"/>
    </row>
    <row r="8" spans="1:14" ht="22.5" customHeight="1" x14ac:dyDescent="0.4">
      <c r="A8" s="265" t="s">
        <v>57</v>
      </c>
      <c r="B8" s="265"/>
      <c r="C8" s="265"/>
      <c r="D8" s="265"/>
      <c r="E8" s="265"/>
      <c r="F8" s="3"/>
      <c r="G8" s="247"/>
      <c r="H8" s="247"/>
      <c r="I8" s="247"/>
      <c r="J8" s="247"/>
      <c r="K8" s="247"/>
      <c r="L8" s="247"/>
      <c r="M8" s="3"/>
    </row>
    <row r="9" spans="1:14" s="44" customFormat="1" ht="22.5" customHeight="1" x14ac:dyDescent="0.25">
      <c r="A9" s="51" t="s">
        <v>39</v>
      </c>
      <c r="B9" s="51" t="s">
        <v>40</v>
      </c>
      <c r="C9" s="52" t="s">
        <v>41</v>
      </c>
      <c r="D9" s="52" t="s">
        <v>42</v>
      </c>
      <c r="E9" s="53" t="s">
        <v>43</v>
      </c>
      <c r="F9" s="58"/>
      <c r="G9" s="236"/>
      <c r="H9" s="236"/>
      <c r="I9" s="236"/>
      <c r="J9" s="236"/>
      <c r="K9" s="236"/>
      <c r="L9" s="236"/>
      <c r="M9" s="41"/>
    </row>
    <row r="10" spans="1:14" ht="14.25" customHeight="1" x14ac:dyDescent="0.4">
      <c r="A10" s="100">
        <v>4004005741</v>
      </c>
      <c r="B10" s="97" t="s">
        <v>218</v>
      </c>
      <c r="C10" s="166">
        <v>21282</v>
      </c>
      <c r="D10" s="61">
        <f>(OBSAH!$J$6/100)*Tabulka20104957[[#This Row],[Sloupec3]]</f>
        <v>0</v>
      </c>
      <c r="E10" s="62">
        <f>Tabulka20104957[[#This Row],[Sloupec3]]-Tabulka20104957[[#This Row],[Sloupec4]]</f>
        <v>21282</v>
      </c>
      <c r="F10" s="3"/>
      <c r="G10" s="3"/>
      <c r="H10" s="3"/>
      <c r="I10" s="3"/>
      <c r="J10" s="3"/>
      <c r="K10" s="3"/>
      <c r="L10" s="3"/>
      <c r="M10" s="3"/>
    </row>
    <row r="11" spans="1:14" ht="14.25" customHeight="1" x14ac:dyDescent="0.4">
      <c r="A11" s="101">
        <v>4004005742</v>
      </c>
      <c r="B11" s="98" t="s">
        <v>219</v>
      </c>
      <c r="C11" s="166">
        <v>32490</v>
      </c>
      <c r="D11" s="65">
        <f>(OBSAH!$J$6/100)*Tabulka20104957[[#This Row],[Sloupec3]]</f>
        <v>0</v>
      </c>
      <c r="E11" s="66">
        <f>Tabulka20104957[[#This Row],[Sloupec3]]-Tabulka20104957[[#This Row],[Sloupec4]]</f>
        <v>32490</v>
      </c>
      <c r="F11" s="3"/>
      <c r="G11" s="3"/>
      <c r="H11" s="3"/>
      <c r="I11" s="3"/>
      <c r="J11" s="3"/>
      <c r="K11" s="3"/>
      <c r="L11" s="3"/>
      <c r="M11" s="3"/>
    </row>
    <row r="12" spans="1:14" ht="14.25" customHeight="1" x14ac:dyDescent="0.4">
      <c r="A12" s="67">
        <v>4004005743</v>
      </c>
      <c r="B12" s="116" t="s">
        <v>220</v>
      </c>
      <c r="C12" s="166">
        <v>36027</v>
      </c>
      <c r="D12" s="65">
        <f>(OBSAH!$J$6/100)*Tabulka20104957[[#This Row],[Sloupec3]]</f>
        <v>0</v>
      </c>
      <c r="E12" s="66">
        <f>Tabulka20104957[[#This Row],[Sloupec3]]-Tabulka20104957[[#This Row],[Sloupec4]]</f>
        <v>36027</v>
      </c>
      <c r="F12" s="3"/>
      <c r="G12" s="3"/>
      <c r="H12" s="3"/>
      <c r="I12" s="3"/>
      <c r="J12" s="3"/>
      <c r="K12" s="3"/>
      <c r="L12" s="3"/>
      <c r="M12" s="3"/>
    </row>
    <row r="13" spans="1:14" ht="14.25" customHeight="1" x14ac:dyDescent="0.4">
      <c r="A13" s="67">
        <v>4004005744</v>
      </c>
      <c r="B13" s="116" t="s">
        <v>221</v>
      </c>
      <c r="C13" s="166">
        <v>47275</v>
      </c>
      <c r="D13" s="65">
        <f>(OBSAH!$J$6/100)*Tabulka20104957[[#This Row],[Sloupec3]]</f>
        <v>0</v>
      </c>
      <c r="E13" s="66">
        <f>Tabulka20104957[[#This Row],[Sloupec3]]-Tabulka20104957[[#This Row],[Sloupec4]]</f>
        <v>47275</v>
      </c>
      <c r="F13" s="3"/>
      <c r="G13" s="3"/>
      <c r="H13" s="3"/>
      <c r="I13" s="3"/>
      <c r="J13" s="3"/>
      <c r="K13" s="3"/>
      <c r="L13" s="3"/>
      <c r="M13" s="3"/>
    </row>
    <row r="14" spans="1:14" ht="14.25" customHeight="1" x14ac:dyDescent="0.4">
      <c r="A14" s="67">
        <v>4004005745</v>
      </c>
      <c r="B14" s="116" t="s">
        <v>222</v>
      </c>
      <c r="C14" s="166">
        <v>50813</v>
      </c>
      <c r="D14" s="65">
        <f>(OBSAH!$J$6/100)*Tabulka20104957[[#This Row],[Sloupec3]]</f>
        <v>0</v>
      </c>
      <c r="E14" s="66">
        <f>Tabulka20104957[[#This Row],[Sloupec3]]-Tabulka20104957[[#This Row],[Sloupec4]]</f>
        <v>50813</v>
      </c>
      <c r="F14" s="3"/>
      <c r="G14" s="3"/>
      <c r="H14" s="3"/>
      <c r="I14" s="3"/>
      <c r="J14" s="3"/>
      <c r="K14" s="3"/>
      <c r="L14" s="3"/>
      <c r="M14" s="3"/>
    </row>
    <row r="15" spans="1:14" ht="14.25" customHeight="1" x14ac:dyDescent="0.4">
      <c r="A15" s="67">
        <v>4004005746</v>
      </c>
      <c r="B15" s="116" t="s">
        <v>223</v>
      </c>
      <c r="C15" s="166">
        <v>61611</v>
      </c>
      <c r="D15" s="65">
        <f>(OBSAH!$J$6/100)*Tabulka20104957[[#This Row],[Sloupec3]]</f>
        <v>0</v>
      </c>
      <c r="E15" s="66">
        <f>Tabulka20104957[[#This Row],[Sloupec3]]-Tabulka20104957[[#This Row],[Sloupec4]]</f>
        <v>61611</v>
      </c>
      <c r="F15" s="3"/>
      <c r="G15" s="3"/>
      <c r="H15" s="3"/>
      <c r="I15" s="3"/>
      <c r="J15" s="3"/>
      <c r="K15" s="3"/>
      <c r="L15" s="3"/>
      <c r="M15" s="3"/>
    </row>
    <row r="16" spans="1:14" ht="14.25" customHeight="1" x14ac:dyDescent="0.4">
      <c r="A16" s="101">
        <v>4004005747</v>
      </c>
      <c r="B16" s="98" t="s">
        <v>224</v>
      </c>
      <c r="C16" s="166">
        <v>65151</v>
      </c>
      <c r="D16" s="65">
        <f>(OBSAH!$J$6/100)*Tabulka20104957[[#This Row],[Sloupec3]]</f>
        <v>0</v>
      </c>
      <c r="E16" s="66">
        <f>Tabulka20104957[[#This Row],[Sloupec3]]-Tabulka20104957[[#This Row],[Sloupec4]]</f>
        <v>65151</v>
      </c>
      <c r="F16" s="3"/>
      <c r="G16" s="3"/>
      <c r="H16" s="3"/>
      <c r="I16" s="3"/>
      <c r="J16" s="3"/>
      <c r="K16" s="3"/>
      <c r="L16" s="3"/>
      <c r="M16" s="3"/>
    </row>
    <row r="17" spans="1:13" ht="14.25" customHeight="1" x14ac:dyDescent="0.4">
      <c r="A17" s="101">
        <v>4004005748</v>
      </c>
      <c r="B17" s="98" t="s">
        <v>225</v>
      </c>
      <c r="C17" s="166">
        <v>76396</v>
      </c>
      <c r="D17" s="65">
        <f>(OBSAH!$J$6/100)*Tabulka20104957[[#This Row],[Sloupec3]]</f>
        <v>0</v>
      </c>
      <c r="E17" s="66">
        <f>Tabulka20104957[[#This Row],[Sloupec3]]-Tabulka20104957[[#This Row],[Sloupec4]]</f>
        <v>76396</v>
      </c>
      <c r="F17" s="3"/>
      <c r="G17" s="3"/>
      <c r="H17" s="3"/>
      <c r="I17" s="3"/>
      <c r="J17" s="3"/>
      <c r="K17" s="3"/>
      <c r="L17" s="3"/>
      <c r="M17" s="3"/>
    </row>
    <row r="18" spans="1:13" ht="14.25" customHeight="1" x14ac:dyDescent="0.4">
      <c r="A18" s="101">
        <v>4004005749</v>
      </c>
      <c r="B18" s="98" t="s">
        <v>226</v>
      </c>
      <c r="C18" s="166">
        <v>79935</v>
      </c>
      <c r="D18" s="65">
        <f>(OBSAH!$J$6/100)*Tabulka20104957[[#This Row],[Sloupec3]]</f>
        <v>0</v>
      </c>
      <c r="E18" s="66">
        <f>Tabulka20104957[[#This Row],[Sloupec3]]-Tabulka20104957[[#This Row],[Sloupec4]]</f>
        <v>79935</v>
      </c>
      <c r="F18" s="3"/>
      <c r="G18" s="3"/>
      <c r="H18" s="3"/>
      <c r="I18" s="3"/>
      <c r="J18" s="3"/>
      <c r="K18" s="3"/>
      <c r="L18" s="3"/>
      <c r="M18" s="3"/>
    </row>
    <row r="19" spans="1:13" ht="14.25" customHeight="1" x14ac:dyDescent="0.4">
      <c r="A19" s="101">
        <v>4004005750</v>
      </c>
      <c r="B19" s="98" t="s">
        <v>227</v>
      </c>
      <c r="C19" s="166">
        <v>90032</v>
      </c>
      <c r="D19" s="65">
        <f>(OBSAH!$J$6/100)*Tabulka20104957[[#This Row],[Sloupec3]]</f>
        <v>0</v>
      </c>
      <c r="E19" s="66">
        <f>Tabulka20104957[[#This Row],[Sloupec3]]-Tabulka20104957[[#This Row],[Sloupec4]]</f>
        <v>90032</v>
      </c>
      <c r="F19" s="3"/>
      <c r="G19" s="3"/>
      <c r="H19" s="3"/>
      <c r="I19" s="3"/>
      <c r="J19" s="3"/>
      <c r="K19" s="3"/>
      <c r="L19" s="3"/>
      <c r="M19" s="3"/>
    </row>
    <row r="20" spans="1:13" ht="14.25" customHeight="1" x14ac:dyDescent="0.4">
      <c r="A20" s="102">
        <v>4004005751</v>
      </c>
      <c r="B20" s="99" t="s">
        <v>228</v>
      </c>
      <c r="C20" s="166">
        <v>93570</v>
      </c>
      <c r="D20" s="76">
        <f>(OBSAH!$J$6/100)*Tabulka20104957[[#This Row],[Sloupec3]]</f>
        <v>0</v>
      </c>
      <c r="E20" s="77">
        <f>Tabulka20104957[[#This Row],[Sloupec3]]-Tabulka20104957[[#This Row],[Sloupec4]]</f>
        <v>93570</v>
      </c>
      <c r="F20" s="3"/>
      <c r="G20" s="3"/>
      <c r="H20" s="3"/>
      <c r="I20" s="3"/>
      <c r="J20" s="3"/>
      <c r="K20" s="3"/>
      <c r="L20" s="3"/>
      <c r="M20" s="3"/>
    </row>
    <row r="21" spans="1:13" ht="15" customHeight="1" x14ac:dyDescent="0.4">
      <c r="A21" s="70"/>
      <c r="B21" s="71"/>
      <c r="C21" s="72"/>
      <c r="D21" s="73"/>
      <c r="E21" s="74"/>
      <c r="F21" s="3"/>
      <c r="G21" s="3"/>
      <c r="H21" s="3"/>
      <c r="I21" s="3"/>
      <c r="J21" s="3"/>
      <c r="K21" s="3"/>
      <c r="L21" s="3"/>
      <c r="M21" s="3"/>
    </row>
    <row r="22" spans="1:13" ht="22.5" customHeight="1" x14ac:dyDescent="0.4">
      <c r="A22" s="266" t="s">
        <v>69</v>
      </c>
      <c r="B22" s="266"/>
      <c r="C22" s="266"/>
      <c r="D22" s="266"/>
      <c r="E22" s="266"/>
      <c r="F22" s="3"/>
      <c r="G22" s="3"/>
      <c r="H22" s="3"/>
      <c r="I22" s="3"/>
      <c r="J22" s="3"/>
      <c r="K22" s="3"/>
      <c r="L22" s="3"/>
      <c r="M22" s="3"/>
    </row>
    <row r="23" spans="1:13" s="44" customFormat="1" ht="22.5" customHeight="1" x14ac:dyDescent="0.25">
      <c r="A23" s="51" t="s">
        <v>39</v>
      </c>
      <c r="B23" s="51" t="s">
        <v>40</v>
      </c>
      <c r="C23" s="52" t="s">
        <v>41</v>
      </c>
      <c r="D23" s="52" t="s">
        <v>42</v>
      </c>
      <c r="E23" s="53" t="s">
        <v>43</v>
      </c>
      <c r="F23" s="41"/>
      <c r="G23" s="41"/>
      <c r="H23" s="41"/>
      <c r="I23" s="41"/>
      <c r="J23" s="41"/>
      <c r="K23" s="41"/>
      <c r="L23" s="41"/>
      <c r="M23" s="41"/>
    </row>
    <row r="24" spans="1:13" ht="14.25" customHeight="1" x14ac:dyDescent="0.4">
      <c r="A24" s="100">
        <v>4004005752</v>
      </c>
      <c r="B24" s="97" t="s">
        <v>229</v>
      </c>
      <c r="C24" s="167">
        <v>21739</v>
      </c>
      <c r="D24" s="61">
        <f>(OBSAH!$J$6/100)*Tabulka21115058[[#This Row],[Sloupec3]]</f>
        <v>0</v>
      </c>
      <c r="E24" s="62">
        <f>Tabulka21115058[[#This Row],[Sloupec3]]-Tabulka21115058[[#This Row],[Sloupec4]]</f>
        <v>21739</v>
      </c>
      <c r="F24" s="3"/>
      <c r="G24" s="3"/>
      <c r="H24" s="3"/>
      <c r="I24" s="3"/>
      <c r="J24" s="3"/>
      <c r="K24" s="3"/>
      <c r="L24" s="3"/>
      <c r="M24" s="3"/>
    </row>
    <row r="25" spans="1:13" ht="14.25" customHeight="1" x14ac:dyDescent="0.4">
      <c r="A25" s="101">
        <v>4004005753</v>
      </c>
      <c r="B25" s="98" t="s">
        <v>230</v>
      </c>
      <c r="C25" s="167">
        <v>32943</v>
      </c>
      <c r="D25" s="65">
        <f>(OBSAH!$J$6/100)*Tabulka21115058[[#This Row],[Sloupec3]]</f>
        <v>0</v>
      </c>
      <c r="E25" s="66">
        <f>Tabulka21115058[[#This Row],[Sloupec3]]-Tabulka21115058[[#This Row],[Sloupec4]]</f>
        <v>32943</v>
      </c>
      <c r="F25" s="3"/>
      <c r="G25" s="3"/>
      <c r="H25" s="3"/>
      <c r="I25" s="3"/>
      <c r="J25" s="3"/>
      <c r="K25" s="3"/>
      <c r="L25" s="3"/>
      <c r="M25" s="3"/>
    </row>
    <row r="26" spans="1:13" ht="14.25" customHeight="1" x14ac:dyDescent="0.4">
      <c r="A26" s="67">
        <v>4004005754</v>
      </c>
      <c r="B26" s="116" t="s">
        <v>231</v>
      </c>
      <c r="C26" s="167">
        <v>36481</v>
      </c>
      <c r="D26" s="65">
        <f>(OBSAH!$J$6/100)*Tabulka21115058[[#This Row],[Sloupec3]]</f>
        <v>0</v>
      </c>
      <c r="E26" s="66">
        <f>Tabulka21115058[[#This Row],[Sloupec3]]-Tabulka21115058[[#This Row],[Sloupec4]]</f>
        <v>36481</v>
      </c>
      <c r="F26" s="3"/>
      <c r="G26" s="3"/>
      <c r="H26" s="3"/>
      <c r="I26" s="3"/>
      <c r="J26" s="3"/>
      <c r="K26" s="3"/>
      <c r="L26" s="3"/>
      <c r="M26" s="3"/>
    </row>
    <row r="27" spans="1:13" ht="14.25" customHeight="1" x14ac:dyDescent="0.4">
      <c r="A27" s="67">
        <v>4004005755</v>
      </c>
      <c r="B27" s="116" t="s">
        <v>232</v>
      </c>
      <c r="C27" s="167">
        <v>47729</v>
      </c>
      <c r="D27" s="65">
        <f>(OBSAH!$J$6/100)*Tabulka21115058[[#This Row],[Sloupec3]]</f>
        <v>0</v>
      </c>
      <c r="E27" s="66">
        <f>Tabulka21115058[[#This Row],[Sloupec3]]-Tabulka21115058[[#This Row],[Sloupec4]]</f>
        <v>47729</v>
      </c>
      <c r="F27" s="3"/>
      <c r="G27" s="3"/>
      <c r="H27" s="3"/>
      <c r="I27" s="3"/>
      <c r="J27" s="3"/>
      <c r="K27" s="3"/>
      <c r="L27" s="3"/>
      <c r="M27" s="3"/>
    </row>
    <row r="28" spans="1:13" ht="14.25" customHeight="1" x14ac:dyDescent="0.4">
      <c r="A28" s="67">
        <v>4004005756</v>
      </c>
      <c r="B28" s="116" t="s">
        <v>233</v>
      </c>
      <c r="C28" s="167">
        <v>51266</v>
      </c>
      <c r="D28" s="65">
        <f>(OBSAH!$J$6/100)*Tabulka21115058[[#This Row],[Sloupec3]]</f>
        <v>0</v>
      </c>
      <c r="E28" s="66">
        <f>Tabulka21115058[[#This Row],[Sloupec3]]-Tabulka21115058[[#This Row],[Sloupec4]]</f>
        <v>51266</v>
      </c>
      <c r="F28" s="3"/>
      <c r="G28" s="3"/>
      <c r="H28" s="3"/>
      <c r="I28" s="3"/>
      <c r="J28" s="3"/>
      <c r="K28" s="3"/>
      <c r="L28" s="3"/>
      <c r="M28" s="3"/>
    </row>
    <row r="29" spans="1:13" ht="14.25" customHeight="1" x14ac:dyDescent="0.4">
      <c r="A29" s="67">
        <v>4004005757</v>
      </c>
      <c r="B29" s="116" t="s">
        <v>234</v>
      </c>
      <c r="C29" s="167">
        <v>62521</v>
      </c>
      <c r="D29" s="65">
        <f>(OBSAH!$J$6/100)*Tabulka21115058[[#This Row],[Sloupec3]]</f>
        <v>0</v>
      </c>
      <c r="E29" s="66">
        <f>Tabulka21115058[[#This Row],[Sloupec3]]-Tabulka21115058[[#This Row],[Sloupec4]]</f>
        <v>62521</v>
      </c>
      <c r="F29" s="3"/>
      <c r="G29" s="3"/>
      <c r="H29" s="3"/>
      <c r="I29" s="3"/>
      <c r="J29" s="3"/>
      <c r="K29" s="3"/>
      <c r="L29" s="3"/>
      <c r="M29" s="3"/>
    </row>
    <row r="30" spans="1:13" ht="14.25" customHeight="1" x14ac:dyDescent="0.4">
      <c r="A30" s="101">
        <v>4004005758</v>
      </c>
      <c r="B30" s="98" t="s">
        <v>235</v>
      </c>
      <c r="C30" s="167">
        <v>66058</v>
      </c>
      <c r="D30" s="65">
        <f>(OBSAH!$J$6/100)*Tabulka21115058[[#This Row],[Sloupec3]]</f>
        <v>0</v>
      </c>
      <c r="E30" s="66">
        <f>Tabulka21115058[[#This Row],[Sloupec3]]-Tabulka21115058[[#This Row],[Sloupec4]]</f>
        <v>66058</v>
      </c>
      <c r="F30" s="3"/>
      <c r="G30" s="3"/>
      <c r="H30" s="3"/>
      <c r="I30" s="3"/>
      <c r="J30" s="3"/>
      <c r="K30" s="3"/>
      <c r="L30" s="3"/>
      <c r="M30" s="3"/>
    </row>
    <row r="31" spans="1:13" ht="14.25" customHeight="1" x14ac:dyDescent="0.4">
      <c r="A31" s="101">
        <v>4004005759</v>
      </c>
      <c r="B31" s="98" t="s">
        <v>236</v>
      </c>
      <c r="C31" s="167">
        <v>77306</v>
      </c>
      <c r="D31" s="65">
        <f>(OBSAH!$J$6/100)*Tabulka21115058[[#This Row],[Sloupec3]]</f>
        <v>0</v>
      </c>
      <c r="E31" s="66">
        <f>Tabulka21115058[[#This Row],[Sloupec3]]-Tabulka21115058[[#This Row],[Sloupec4]]</f>
        <v>77306</v>
      </c>
      <c r="F31" s="3"/>
      <c r="G31" s="3"/>
      <c r="H31" s="3"/>
      <c r="I31" s="3"/>
      <c r="J31" s="3"/>
      <c r="K31" s="3"/>
      <c r="L31" s="3"/>
      <c r="M31" s="3"/>
    </row>
    <row r="32" spans="1:13" ht="14.25" customHeight="1" x14ac:dyDescent="0.4">
      <c r="A32" s="101">
        <v>4004005760</v>
      </c>
      <c r="B32" s="98" t="s">
        <v>237</v>
      </c>
      <c r="C32" s="167">
        <v>80844</v>
      </c>
      <c r="D32" s="65">
        <f>(OBSAH!$J$6/100)*Tabulka21115058[[#This Row],[Sloupec3]]</f>
        <v>0</v>
      </c>
      <c r="E32" s="66">
        <f>Tabulka21115058[[#This Row],[Sloupec3]]-Tabulka21115058[[#This Row],[Sloupec4]]</f>
        <v>80844</v>
      </c>
      <c r="F32" s="3"/>
      <c r="G32" s="248"/>
      <c r="H32" s="248"/>
      <c r="I32" s="248"/>
      <c r="J32" s="248"/>
      <c r="K32" s="248"/>
      <c r="L32" s="248"/>
      <c r="M32" s="3"/>
    </row>
    <row r="33" spans="1:13" ht="14.25" customHeight="1" x14ac:dyDescent="0.4">
      <c r="A33" s="101">
        <v>4004005761</v>
      </c>
      <c r="B33" s="98" t="s">
        <v>238</v>
      </c>
      <c r="C33" s="167">
        <v>90941</v>
      </c>
      <c r="D33" s="65">
        <f>(OBSAH!$J$6/100)*Tabulka21115058[[#This Row],[Sloupec3]]</f>
        <v>0</v>
      </c>
      <c r="E33" s="66">
        <f>Tabulka21115058[[#This Row],[Sloupec3]]-Tabulka21115058[[#This Row],[Sloupec4]]</f>
        <v>90941</v>
      </c>
      <c r="F33" s="3"/>
      <c r="G33" s="249"/>
      <c r="H33" s="249"/>
      <c r="I33" s="249"/>
      <c r="J33" s="249"/>
      <c r="K33" s="249"/>
      <c r="L33" s="249"/>
      <c r="M33" s="3"/>
    </row>
    <row r="34" spans="1:13" ht="14.25" customHeight="1" x14ac:dyDescent="0.4">
      <c r="A34" s="102">
        <v>4004005762</v>
      </c>
      <c r="B34" s="99" t="s">
        <v>239</v>
      </c>
      <c r="C34" s="167">
        <v>94479</v>
      </c>
      <c r="D34" s="76">
        <f>(OBSAH!$J$6/100)*Tabulka21115058[[#This Row],[Sloupec3]]</f>
        <v>0</v>
      </c>
      <c r="E34" s="77">
        <f>Tabulka21115058[[#This Row],[Sloupec3]]-Tabulka21115058[[#This Row],[Sloupec4]]</f>
        <v>94479</v>
      </c>
      <c r="F34" s="3"/>
      <c r="G34" s="248"/>
      <c r="H34" s="248"/>
      <c r="I34" s="248"/>
      <c r="J34" s="248"/>
      <c r="K34" s="248"/>
      <c r="L34" s="248"/>
      <c r="M34" s="3"/>
    </row>
    <row r="35" spans="1:13" ht="15" customHeight="1" x14ac:dyDescent="0.4">
      <c r="A35" s="37"/>
      <c r="B35" s="37"/>
      <c r="C35" s="96"/>
      <c r="D35" s="73"/>
      <c r="E35" s="74"/>
      <c r="F35" s="3"/>
      <c r="G35" s="249"/>
      <c r="H35" s="249"/>
      <c r="I35" s="249"/>
      <c r="J35" s="249"/>
      <c r="K35" s="249"/>
      <c r="L35" s="249"/>
      <c r="M35" s="3"/>
    </row>
    <row r="36" spans="1:13" ht="15" customHeight="1" x14ac:dyDescent="0.4">
      <c r="A36" s="37"/>
      <c r="B36" s="37"/>
      <c r="C36" s="96"/>
      <c r="D36" s="73"/>
      <c r="E36" s="74"/>
      <c r="F36" s="3"/>
      <c r="G36" s="75"/>
      <c r="H36" s="75"/>
      <c r="I36" s="37"/>
      <c r="J36" s="37"/>
      <c r="K36" s="37"/>
      <c r="L36" s="37"/>
      <c r="M36" s="3"/>
    </row>
    <row r="37" spans="1:13" ht="15" customHeight="1" x14ac:dyDescent="0.4">
      <c r="A37" s="37"/>
      <c r="B37" s="37"/>
      <c r="C37" s="96"/>
      <c r="D37" s="73"/>
      <c r="E37" s="74"/>
      <c r="F37" s="3"/>
      <c r="G37" s="3"/>
      <c r="H37" s="3"/>
      <c r="I37" s="3"/>
      <c r="J37" s="3"/>
      <c r="K37" s="3"/>
      <c r="L37" s="3"/>
      <c r="M37" s="3"/>
    </row>
    <row r="38" spans="1:13" ht="36" customHeight="1" x14ac:dyDescent="0.4">
      <c r="A38" s="267" t="s">
        <v>81</v>
      </c>
      <c r="B38" s="267"/>
      <c r="C38" s="267"/>
      <c r="D38" s="267"/>
      <c r="E38" s="267"/>
      <c r="F38" s="3"/>
      <c r="G38" s="3"/>
      <c r="H38" s="3"/>
      <c r="I38" s="3"/>
      <c r="J38" s="3"/>
      <c r="K38" s="3"/>
      <c r="L38" s="3"/>
      <c r="M38" s="3"/>
    </row>
    <row r="39" spans="1:13" ht="36" customHeight="1" x14ac:dyDescent="0.4">
      <c r="A39" s="264" t="s">
        <v>82</v>
      </c>
      <c r="B39" s="264"/>
      <c r="C39" s="264"/>
      <c r="D39" s="264"/>
      <c r="E39" s="264"/>
      <c r="F39" s="3"/>
      <c r="G39" s="3"/>
      <c r="H39" s="3"/>
      <c r="I39" s="3"/>
      <c r="J39" s="3"/>
      <c r="K39" s="3"/>
      <c r="L39" s="3"/>
      <c r="M39" s="3"/>
    </row>
    <row r="40" spans="1:13" ht="22.5" customHeight="1" x14ac:dyDescent="0.4">
      <c r="A40" s="265" t="s">
        <v>57</v>
      </c>
      <c r="B40" s="265"/>
      <c r="C40" s="265"/>
      <c r="D40" s="265"/>
      <c r="E40" s="265"/>
      <c r="F40" s="3"/>
      <c r="G40" s="3"/>
      <c r="H40" s="3"/>
      <c r="I40" s="3"/>
      <c r="J40" s="3"/>
      <c r="K40" s="3"/>
      <c r="L40" s="3"/>
      <c r="M40" s="3"/>
    </row>
    <row r="41" spans="1:13" s="44" customFormat="1" ht="22.5" customHeight="1" x14ac:dyDescent="0.25">
      <c r="A41" s="51" t="s">
        <v>39</v>
      </c>
      <c r="B41" s="51" t="s">
        <v>40</v>
      </c>
      <c r="C41" s="52" t="s">
        <v>41</v>
      </c>
      <c r="D41" s="52" t="s">
        <v>42</v>
      </c>
      <c r="E41" s="53" t="s">
        <v>43</v>
      </c>
      <c r="F41" s="41"/>
      <c r="G41" s="41"/>
      <c r="H41" s="41"/>
      <c r="I41" s="41"/>
      <c r="J41" s="41"/>
      <c r="K41" s="41"/>
      <c r="L41" s="41"/>
      <c r="M41" s="41"/>
    </row>
    <row r="42" spans="1:13" ht="14.25" customHeight="1" x14ac:dyDescent="0.4">
      <c r="A42" s="100">
        <v>4004005807</v>
      </c>
      <c r="B42" s="97" t="s">
        <v>240</v>
      </c>
      <c r="C42" s="168">
        <v>27453</v>
      </c>
      <c r="D42" s="61">
        <f>(OBSAH!$J$6/100)*Tabulka2010145159[[#This Row],[Sloupec3]]</f>
        <v>0</v>
      </c>
      <c r="E42" s="62">
        <f>Tabulka2010145159[[#This Row],[Sloupec3]]-Tabulka2010145159[[#This Row],[Sloupec4]]</f>
        <v>27453</v>
      </c>
      <c r="F42" s="3"/>
      <c r="G42" s="3"/>
      <c r="H42" s="3"/>
      <c r="I42" s="3"/>
      <c r="J42" s="3"/>
      <c r="K42" s="3"/>
      <c r="L42" s="3"/>
      <c r="M42" s="3"/>
    </row>
    <row r="43" spans="1:13" ht="14.25" customHeight="1" x14ac:dyDescent="0.4">
      <c r="A43" s="101">
        <v>4004005808</v>
      </c>
      <c r="B43" s="98" t="s">
        <v>241</v>
      </c>
      <c r="C43" s="168">
        <v>38722</v>
      </c>
      <c r="D43" s="65">
        <f>(OBSAH!$J$6/100)*Tabulka2010145159[[#This Row],[Sloupec3]]</f>
        <v>0</v>
      </c>
      <c r="E43" s="66">
        <f>Tabulka2010145159[[#This Row],[Sloupec3]]-Tabulka2010145159[[#This Row],[Sloupec4]]</f>
        <v>38722</v>
      </c>
      <c r="F43" s="3"/>
      <c r="G43" s="3"/>
      <c r="H43" s="3"/>
      <c r="I43" s="3"/>
      <c r="J43" s="3"/>
      <c r="K43" s="3"/>
      <c r="L43" s="3"/>
      <c r="M43" s="3"/>
    </row>
    <row r="44" spans="1:13" ht="14.25" customHeight="1" x14ac:dyDescent="0.4">
      <c r="A44" s="67">
        <v>4004005809</v>
      </c>
      <c r="B44" s="116" t="s">
        <v>242</v>
      </c>
      <c r="C44" s="168">
        <v>42260</v>
      </c>
      <c r="D44" s="65">
        <f>(OBSAH!$J$6/100)*Tabulka2010145159[[#This Row],[Sloupec3]]</f>
        <v>0</v>
      </c>
      <c r="E44" s="66">
        <f>Tabulka2010145159[[#This Row],[Sloupec3]]-Tabulka2010145159[[#This Row],[Sloupec4]]</f>
        <v>42260</v>
      </c>
      <c r="F44" s="3"/>
      <c r="G44" s="3"/>
      <c r="H44" s="3"/>
      <c r="I44" s="3"/>
      <c r="J44" s="3"/>
      <c r="K44" s="3"/>
      <c r="L44" s="3"/>
      <c r="M44" s="3"/>
    </row>
    <row r="45" spans="1:13" ht="14.25" customHeight="1" x14ac:dyDescent="0.4">
      <c r="A45" s="67">
        <v>4004005810</v>
      </c>
      <c r="B45" s="116" t="s">
        <v>243</v>
      </c>
      <c r="C45" s="168">
        <v>53538</v>
      </c>
      <c r="D45" s="65">
        <f>(OBSAH!$J$6/100)*Tabulka2010145159[[#This Row],[Sloupec3]]</f>
        <v>0</v>
      </c>
      <c r="E45" s="66">
        <f>Tabulka2010145159[[#This Row],[Sloupec3]]-Tabulka2010145159[[#This Row],[Sloupec4]]</f>
        <v>53538</v>
      </c>
      <c r="F45" s="3"/>
      <c r="G45" s="3"/>
      <c r="H45" s="3"/>
      <c r="I45" s="3"/>
      <c r="J45" s="3"/>
      <c r="K45" s="3"/>
      <c r="L45" s="3"/>
      <c r="M45" s="3"/>
    </row>
    <row r="46" spans="1:13" ht="14.25" customHeight="1" x14ac:dyDescent="0.4">
      <c r="A46" s="67">
        <v>4004005811</v>
      </c>
      <c r="B46" s="116" t="s">
        <v>244</v>
      </c>
      <c r="C46" s="168">
        <v>57075</v>
      </c>
      <c r="D46" s="65">
        <f>(OBSAH!$J$6/100)*Tabulka2010145159[[#This Row],[Sloupec3]]</f>
        <v>0</v>
      </c>
      <c r="E46" s="66">
        <f>Tabulka2010145159[[#This Row],[Sloupec3]]-Tabulka2010145159[[#This Row],[Sloupec4]]</f>
        <v>57075</v>
      </c>
      <c r="F46" s="3"/>
      <c r="G46" s="3"/>
      <c r="H46" s="3"/>
      <c r="I46" s="3"/>
      <c r="J46" s="3"/>
      <c r="K46" s="3"/>
      <c r="L46" s="3"/>
      <c r="M46" s="3"/>
    </row>
    <row r="47" spans="1:13" ht="14.25" customHeight="1" x14ac:dyDescent="0.4">
      <c r="A47" s="67">
        <v>4004005812</v>
      </c>
      <c r="B47" s="116" t="s">
        <v>245</v>
      </c>
      <c r="C47" s="168">
        <v>67845</v>
      </c>
      <c r="D47" s="65">
        <f>(OBSAH!$J$6/100)*Tabulka2010145159[[#This Row],[Sloupec3]]</f>
        <v>0</v>
      </c>
      <c r="E47" s="66">
        <f>Tabulka2010145159[[#This Row],[Sloupec3]]-Tabulka2010145159[[#This Row],[Sloupec4]]</f>
        <v>67845</v>
      </c>
      <c r="F47" s="3"/>
      <c r="G47" s="3"/>
      <c r="H47" s="3"/>
      <c r="I47" s="3"/>
      <c r="J47" s="3"/>
      <c r="K47" s="3"/>
      <c r="L47" s="3"/>
      <c r="M47" s="3"/>
    </row>
    <row r="48" spans="1:13" ht="14.25" customHeight="1" x14ac:dyDescent="0.4">
      <c r="A48" s="101">
        <v>4004005813</v>
      </c>
      <c r="B48" s="98" t="s">
        <v>246</v>
      </c>
      <c r="C48" s="168">
        <v>71382</v>
      </c>
      <c r="D48" s="65">
        <f>(OBSAH!$J$6/100)*Tabulka2010145159[[#This Row],[Sloupec3]]</f>
        <v>0</v>
      </c>
      <c r="E48" s="66">
        <f>Tabulka2010145159[[#This Row],[Sloupec3]]-Tabulka2010145159[[#This Row],[Sloupec4]]</f>
        <v>71382</v>
      </c>
      <c r="F48" s="3"/>
      <c r="G48" s="3"/>
      <c r="H48" s="3"/>
      <c r="I48" s="3"/>
      <c r="J48" s="3"/>
      <c r="K48" s="3"/>
      <c r="L48" s="3"/>
      <c r="M48" s="3"/>
    </row>
    <row r="49" spans="1:13" ht="14.25" customHeight="1" x14ac:dyDescent="0.4">
      <c r="A49" s="101">
        <v>4004005814</v>
      </c>
      <c r="B49" s="98" t="s">
        <v>247</v>
      </c>
      <c r="C49" s="168">
        <v>82660</v>
      </c>
      <c r="D49" s="65">
        <f>(OBSAH!$J$6/100)*Tabulka2010145159[[#This Row],[Sloupec3]]</f>
        <v>0</v>
      </c>
      <c r="E49" s="66">
        <f>Tabulka2010145159[[#This Row],[Sloupec3]]-Tabulka2010145159[[#This Row],[Sloupec4]]</f>
        <v>82660</v>
      </c>
      <c r="F49" s="3"/>
      <c r="G49" s="3"/>
      <c r="H49" s="3"/>
      <c r="I49" s="3"/>
      <c r="J49" s="3"/>
      <c r="K49" s="3"/>
      <c r="L49" s="3"/>
      <c r="M49" s="3"/>
    </row>
    <row r="50" spans="1:13" ht="14.25" customHeight="1" x14ac:dyDescent="0.4">
      <c r="A50" s="101">
        <v>4004005815</v>
      </c>
      <c r="B50" s="98" t="s">
        <v>248</v>
      </c>
      <c r="C50" s="168">
        <v>86199</v>
      </c>
      <c r="D50" s="65">
        <f>(OBSAH!$J$6/100)*Tabulka2010145159[[#This Row],[Sloupec3]]</f>
        <v>0</v>
      </c>
      <c r="E50" s="66">
        <f>Tabulka2010145159[[#This Row],[Sloupec3]]-Tabulka2010145159[[#This Row],[Sloupec4]]</f>
        <v>86199</v>
      </c>
      <c r="F50" s="3"/>
      <c r="G50" s="3"/>
      <c r="H50" s="3"/>
      <c r="I50" s="3"/>
      <c r="J50" s="3"/>
      <c r="K50" s="3"/>
      <c r="L50" s="3"/>
      <c r="M50" s="3"/>
    </row>
    <row r="51" spans="1:13" ht="14.25" customHeight="1" x14ac:dyDescent="0.4">
      <c r="A51" s="101">
        <v>4004005816</v>
      </c>
      <c r="B51" s="98" t="s">
        <v>249</v>
      </c>
      <c r="C51" s="168">
        <v>96295</v>
      </c>
      <c r="D51" s="65">
        <f>(OBSAH!$J$6/100)*Tabulka2010145159[[#This Row],[Sloupec3]]</f>
        <v>0</v>
      </c>
      <c r="E51" s="66">
        <f>Tabulka2010145159[[#This Row],[Sloupec3]]-Tabulka2010145159[[#This Row],[Sloupec4]]</f>
        <v>96295</v>
      </c>
      <c r="F51" s="3"/>
      <c r="G51" s="3"/>
      <c r="H51" s="3"/>
      <c r="I51" s="3"/>
      <c r="J51" s="3"/>
      <c r="K51" s="3"/>
      <c r="L51" s="3"/>
      <c r="M51" s="3"/>
    </row>
    <row r="52" spans="1:13" ht="14.25" customHeight="1" x14ac:dyDescent="0.4">
      <c r="A52" s="102">
        <v>4004005817</v>
      </c>
      <c r="B52" s="99" t="s">
        <v>250</v>
      </c>
      <c r="C52" s="168">
        <v>99833</v>
      </c>
      <c r="D52" s="76">
        <f>(OBSAH!$J$6/100)*Tabulka2010145159[[#This Row],[Sloupec3]]</f>
        <v>0</v>
      </c>
      <c r="E52" s="77">
        <f>Tabulka2010145159[[#This Row],[Sloupec3]]-Tabulka2010145159[[#This Row],[Sloupec4]]</f>
        <v>99833</v>
      </c>
      <c r="F52" s="3"/>
      <c r="G52" s="3"/>
      <c r="H52" s="3"/>
      <c r="I52" s="3"/>
      <c r="J52" s="3"/>
      <c r="K52" s="3"/>
      <c r="L52" s="3"/>
      <c r="M52" s="3"/>
    </row>
    <row r="53" spans="1:13" ht="15" customHeight="1" x14ac:dyDescent="0.4">
      <c r="A53" s="70"/>
      <c r="B53" s="71"/>
      <c r="C53" s="72"/>
      <c r="D53" s="73"/>
      <c r="E53" s="74"/>
      <c r="F53" s="3"/>
      <c r="G53" s="3"/>
      <c r="H53" s="3"/>
      <c r="I53" s="3"/>
      <c r="J53" s="3"/>
      <c r="K53" s="3"/>
      <c r="L53" s="3"/>
      <c r="M53" s="3"/>
    </row>
    <row r="54" spans="1:13" ht="22.5" customHeight="1" x14ac:dyDescent="0.4">
      <c r="A54" s="266" t="s">
        <v>69</v>
      </c>
      <c r="B54" s="266"/>
      <c r="C54" s="266"/>
      <c r="D54" s="266"/>
      <c r="E54" s="266"/>
      <c r="F54" s="3"/>
      <c r="G54" s="3"/>
      <c r="H54" s="3"/>
      <c r="I54" s="3"/>
      <c r="J54" s="3"/>
      <c r="K54" s="3"/>
      <c r="L54" s="3"/>
      <c r="M54" s="3"/>
    </row>
    <row r="55" spans="1:13" s="44" customFormat="1" ht="22.5" customHeight="1" x14ac:dyDescent="0.25">
      <c r="A55" s="51" t="s">
        <v>39</v>
      </c>
      <c r="B55" s="51" t="s">
        <v>40</v>
      </c>
      <c r="C55" s="52" t="s">
        <v>41</v>
      </c>
      <c r="D55" s="52" t="s">
        <v>42</v>
      </c>
      <c r="E55" s="53" t="s">
        <v>43</v>
      </c>
      <c r="F55" s="41"/>
      <c r="G55" s="41"/>
      <c r="H55" s="41"/>
      <c r="I55" s="41"/>
      <c r="J55" s="41"/>
      <c r="K55" s="41"/>
      <c r="L55" s="41"/>
      <c r="M55" s="41"/>
    </row>
    <row r="56" spans="1:13" ht="14.25" customHeight="1" x14ac:dyDescent="0.4">
      <c r="A56" s="100">
        <v>4004005818</v>
      </c>
      <c r="B56" s="97" t="s">
        <v>251</v>
      </c>
      <c r="C56" s="169">
        <v>27908</v>
      </c>
      <c r="D56" s="61">
        <f>(OBSAH!$J$6/100)*Tabulka2111155260[[#This Row],[Sloupec3]]</f>
        <v>0</v>
      </c>
      <c r="E56" s="62">
        <f>Tabulka2111155260[[#This Row],[Sloupec3]]-Tabulka2111155260[[#This Row],[Sloupec4]]</f>
        <v>27908</v>
      </c>
      <c r="F56" s="3"/>
      <c r="G56" s="3"/>
      <c r="H56" s="3"/>
      <c r="I56" s="3"/>
      <c r="J56" s="3"/>
      <c r="K56" s="3"/>
      <c r="L56" s="3"/>
      <c r="M56" s="3"/>
    </row>
    <row r="57" spans="1:13" ht="14.25" customHeight="1" x14ac:dyDescent="0.4">
      <c r="A57" s="101">
        <v>4004005819</v>
      </c>
      <c r="B57" s="98" t="s">
        <v>252</v>
      </c>
      <c r="C57" s="169">
        <v>39174</v>
      </c>
      <c r="D57" s="65">
        <f>(OBSAH!$J$6/100)*Tabulka2111155260[[#This Row],[Sloupec3]]</f>
        <v>0</v>
      </c>
      <c r="E57" s="66">
        <f>Tabulka2111155260[[#This Row],[Sloupec3]]-Tabulka2111155260[[#This Row],[Sloupec4]]</f>
        <v>39174</v>
      </c>
      <c r="F57" s="3"/>
      <c r="G57" s="3"/>
      <c r="H57" s="3"/>
      <c r="I57" s="3"/>
      <c r="J57" s="3"/>
      <c r="K57" s="3"/>
      <c r="L57" s="3"/>
      <c r="M57" s="3"/>
    </row>
    <row r="58" spans="1:13" ht="14.25" customHeight="1" x14ac:dyDescent="0.4">
      <c r="A58" s="67">
        <v>4004005820</v>
      </c>
      <c r="B58" s="116" t="s">
        <v>253</v>
      </c>
      <c r="C58" s="169">
        <v>42713</v>
      </c>
      <c r="D58" s="65">
        <f>(OBSAH!$J$6/100)*Tabulka2111155260[[#This Row],[Sloupec3]]</f>
        <v>0</v>
      </c>
      <c r="E58" s="66">
        <f>Tabulka2111155260[[#This Row],[Sloupec3]]-Tabulka2111155260[[#This Row],[Sloupec4]]</f>
        <v>42713</v>
      </c>
      <c r="F58" s="3"/>
      <c r="G58" s="3"/>
      <c r="H58" s="3"/>
      <c r="I58" s="3"/>
      <c r="J58" s="3"/>
      <c r="K58" s="3"/>
      <c r="L58" s="3"/>
      <c r="M58" s="3"/>
    </row>
    <row r="59" spans="1:13" ht="14.25" customHeight="1" x14ac:dyDescent="0.4">
      <c r="A59" s="67">
        <v>4004005821</v>
      </c>
      <c r="B59" s="116" t="s">
        <v>254</v>
      </c>
      <c r="C59" s="169">
        <v>53991</v>
      </c>
      <c r="D59" s="65">
        <f>(OBSAH!$J$6/100)*Tabulka2111155260[[#This Row],[Sloupec3]]</f>
        <v>0</v>
      </c>
      <c r="E59" s="66">
        <f>Tabulka2111155260[[#This Row],[Sloupec3]]-Tabulka2111155260[[#This Row],[Sloupec4]]</f>
        <v>53991</v>
      </c>
      <c r="F59" s="3"/>
      <c r="G59" s="3"/>
      <c r="H59" s="3"/>
      <c r="I59" s="3"/>
      <c r="J59" s="3"/>
      <c r="K59" s="3"/>
      <c r="L59" s="3"/>
      <c r="M59" s="3"/>
    </row>
    <row r="60" spans="1:13" ht="14.25" customHeight="1" x14ac:dyDescent="0.4">
      <c r="A60" s="67">
        <v>4004005822</v>
      </c>
      <c r="B60" s="116" t="s">
        <v>255</v>
      </c>
      <c r="C60" s="169">
        <v>57529</v>
      </c>
      <c r="D60" s="65">
        <f>(OBSAH!$J$6/100)*Tabulka2111155260[[#This Row],[Sloupec3]]</f>
        <v>0</v>
      </c>
      <c r="E60" s="66">
        <f>Tabulka2111155260[[#This Row],[Sloupec3]]-Tabulka2111155260[[#This Row],[Sloupec4]]</f>
        <v>57529</v>
      </c>
      <c r="F60" s="3"/>
      <c r="G60" s="3"/>
      <c r="H60" s="3"/>
      <c r="I60" s="3"/>
      <c r="J60" s="3"/>
      <c r="K60" s="3"/>
      <c r="L60" s="3"/>
      <c r="M60" s="3"/>
    </row>
    <row r="61" spans="1:13" ht="14.25" customHeight="1" x14ac:dyDescent="0.4">
      <c r="A61" s="67">
        <v>4004005823</v>
      </c>
      <c r="B61" s="116" t="s">
        <v>256</v>
      </c>
      <c r="C61" s="169">
        <v>68753</v>
      </c>
      <c r="D61" s="65">
        <f>(OBSAH!$J$6/100)*Tabulka2111155260[[#This Row],[Sloupec3]]</f>
        <v>0</v>
      </c>
      <c r="E61" s="66">
        <f>Tabulka2111155260[[#This Row],[Sloupec3]]-Tabulka2111155260[[#This Row],[Sloupec4]]</f>
        <v>68753</v>
      </c>
      <c r="F61" s="3"/>
      <c r="G61" s="3"/>
      <c r="H61" s="3"/>
      <c r="I61" s="3"/>
      <c r="J61" s="3"/>
      <c r="K61" s="3"/>
      <c r="L61" s="3"/>
      <c r="M61" s="3"/>
    </row>
    <row r="62" spans="1:13" ht="14.25" customHeight="1" x14ac:dyDescent="0.4">
      <c r="A62" s="101">
        <v>4004005824</v>
      </c>
      <c r="B62" s="98" t="s">
        <v>257</v>
      </c>
      <c r="C62" s="169">
        <v>72290</v>
      </c>
      <c r="D62" s="65">
        <f>(OBSAH!$J$6/100)*Tabulka2111155260[[#This Row],[Sloupec3]]</f>
        <v>0</v>
      </c>
      <c r="E62" s="66">
        <f>Tabulka2111155260[[#This Row],[Sloupec3]]-Tabulka2111155260[[#This Row],[Sloupec4]]</f>
        <v>72290</v>
      </c>
      <c r="F62" s="3"/>
      <c r="G62" s="3"/>
      <c r="H62" s="3"/>
      <c r="I62" s="3"/>
      <c r="J62" s="3"/>
      <c r="K62" s="3"/>
      <c r="L62" s="3"/>
      <c r="M62" s="3"/>
    </row>
    <row r="63" spans="1:13" ht="14.25" customHeight="1" x14ac:dyDescent="0.4">
      <c r="A63" s="101">
        <v>4004005825</v>
      </c>
      <c r="B63" s="98" t="s">
        <v>258</v>
      </c>
      <c r="C63" s="169">
        <v>83569</v>
      </c>
      <c r="D63" s="65">
        <f>(OBSAH!$J$6/100)*Tabulka2111155260[[#This Row],[Sloupec3]]</f>
        <v>0</v>
      </c>
      <c r="E63" s="66">
        <f>Tabulka2111155260[[#This Row],[Sloupec3]]-Tabulka2111155260[[#This Row],[Sloupec4]]</f>
        <v>83569</v>
      </c>
      <c r="F63" s="3"/>
      <c r="G63" s="3"/>
      <c r="H63" s="3"/>
      <c r="I63" s="3"/>
      <c r="J63" s="3"/>
      <c r="K63" s="3"/>
      <c r="L63" s="3"/>
      <c r="M63" s="3"/>
    </row>
    <row r="64" spans="1:13" ht="14.25" customHeight="1" x14ac:dyDescent="0.4">
      <c r="A64" s="101">
        <v>4004005826</v>
      </c>
      <c r="B64" s="98" t="s">
        <v>259</v>
      </c>
      <c r="C64" s="169">
        <v>87106</v>
      </c>
      <c r="D64" s="65">
        <f>(OBSAH!$J$6/100)*Tabulka2111155260[[#This Row],[Sloupec3]]</f>
        <v>0</v>
      </c>
      <c r="E64" s="66">
        <f>Tabulka2111155260[[#This Row],[Sloupec3]]-Tabulka2111155260[[#This Row],[Sloupec4]]</f>
        <v>87106</v>
      </c>
      <c r="F64" s="3"/>
      <c r="G64" s="3"/>
      <c r="H64" s="3"/>
      <c r="I64" s="3"/>
      <c r="J64" s="3"/>
      <c r="K64" s="3"/>
      <c r="L64" s="3"/>
      <c r="M64" s="3"/>
    </row>
    <row r="65" spans="1:13" ht="14.25" customHeight="1" x14ac:dyDescent="0.4">
      <c r="A65" s="101">
        <v>4004005827</v>
      </c>
      <c r="B65" s="98" t="s">
        <v>260</v>
      </c>
      <c r="C65" s="169">
        <v>97202</v>
      </c>
      <c r="D65" s="65">
        <f>(OBSAH!$J$6/100)*Tabulka2111155260[[#This Row],[Sloupec3]]</f>
        <v>0</v>
      </c>
      <c r="E65" s="66">
        <f>Tabulka2111155260[[#This Row],[Sloupec3]]-Tabulka2111155260[[#This Row],[Sloupec4]]</f>
        <v>97202</v>
      </c>
      <c r="F65" s="3"/>
      <c r="G65" s="3"/>
      <c r="H65" s="3"/>
      <c r="I65" s="3"/>
      <c r="J65" s="3"/>
      <c r="K65" s="3"/>
      <c r="L65" s="3"/>
      <c r="M65" s="3"/>
    </row>
    <row r="66" spans="1:13" ht="14.25" customHeight="1" x14ac:dyDescent="0.4">
      <c r="A66" s="102">
        <v>4004005828</v>
      </c>
      <c r="B66" s="99" t="s">
        <v>261</v>
      </c>
      <c r="C66" s="169">
        <v>100743</v>
      </c>
      <c r="D66" s="76">
        <f>(OBSAH!$J$6/100)*Tabulka2111155260[[#This Row],[Sloupec3]]</f>
        <v>0</v>
      </c>
      <c r="E66" s="77">
        <f>Tabulka2111155260[[#This Row],[Sloupec3]]-Tabulka2111155260[[#This Row],[Sloupec4]]</f>
        <v>100743</v>
      </c>
      <c r="F66" s="3"/>
      <c r="G66" s="3"/>
      <c r="H66" s="3"/>
      <c r="I66" s="3"/>
      <c r="J66" s="3"/>
      <c r="K66" s="3"/>
      <c r="L66" s="3"/>
      <c r="M66" s="3"/>
    </row>
    <row r="67" spans="1:13" ht="15" customHeight="1" x14ac:dyDescent="0.4">
      <c r="A67" s="260"/>
      <c r="B67" s="260"/>
      <c r="C67" s="260"/>
      <c r="D67" s="260"/>
      <c r="E67" s="260"/>
      <c r="F67" s="3"/>
      <c r="G67" s="3"/>
      <c r="H67" s="3"/>
      <c r="I67" s="3"/>
      <c r="J67" s="3"/>
      <c r="K67" s="3"/>
      <c r="L67" s="3"/>
      <c r="M67" s="3"/>
    </row>
    <row r="68" spans="1:13" ht="15" customHeight="1" x14ac:dyDescent="0.4">
      <c r="A68" s="37"/>
      <c r="B68" s="37"/>
      <c r="C68" s="37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spans="1:13" ht="15" customHeight="1" x14ac:dyDescent="0.4">
      <c r="A69" s="37"/>
      <c r="B69" s="37"/>
      <c r="C69" s="37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1:13" ht="36" customHeight="1" x14ac:dyDescent="0.4">
      <c r="A70" s="267" t="s">
        <v>81</v>
      </c>
      <c r="B70" s="267"/>
      <c r="C70" s="267"/>
      <c r="D70" s="267"/>
      <c r="E70" s="267"/>
      <c r="F70" s="3"/>
      <c r="G70" s="3"/>
      <c r="H70" s="3"/>
      <c r="I70" s="3"/>
      <c r="J70" s="3"/>
      <c r="K70" s="3"/>
      <c r="L70" s="3"/>
      <c r="M70" s="3"/>
    </row>
    <row r="71" spans="1:13" ht="36" customHeight="1" x14ac:dyDescent="0.4">
      <c r="A71" s="264" t="s">
        <v>206</v>
      </c>
      <c r="B71" s="264"/>
      <c r="C71" s="264"/>
      <c r="D71" s="264"/>
      <c r="E71" s="264"/>
      <c r="F71" s="3"/>
      <c r="G71" s="3"/>
      <c r="H71" s="3"/>
      <c r="I71" s="3"/>
      <c r="J71" s="3"/>
      <c r="K71" s="3"/>
      <c r="L71" s="3"/>
      <c r="M71" s="3"/>
    </row>
    <row r="72" spans="1:13" ht="22.5" customHeight="1" x14ac:dyDescent="0.4">
      <c r="A72" s="265" t="s">
        <v>57</v>
      </c>
      <c r="B72" s="265"/>
      <c r="C72" s="265"/>
      <c r="D72" s="265"/>
      <c r="E72" s="265"/>
      <c r="F72" s="3"/>
      <c r="G72" s="3"/>
      <c r="H72" s="3"/>
      <c r="I72" s="3"/>
      <c r="J72" s="3"/>
      <c r="K72" s="3"/>
      <c r="L72" s="3"/>
      <c r="M72" s="3"/>
    </row>
    <row r="73" spans="1:13" ht="22.5" customHeight="1" x14ac:dyDescent="0.4">
      <c r="A73" s="51" t="s">
        <v>39</v>
      </c>
      <c r="B73" s="51" t="s">
        <v>40</v>
      </c>
      <c r="C73" s="52" t="s">
        <v>41</v>
      </c>
      <c r="D73" s="52" t="s">
        <v>42</v>
      </c>
      <c r="E73" s="53" t="s">
        <v>43</v>
      </c>
      <c r="F73" s="3"/>
      <c r="G73" s="3"/>
      <c r="H73" s="3"/>
      <c r="I73" s="3"/>
      <c r="J73" s="3"/>
      <c r="K73" s="3"/>
      <c r="L73" s="3"/>
      <c r="M73" s="3"/>
    </row>
    <row r="74" spans="1:13" ht="14.25" customHeight="1" x14ac:dyDescent="0.4">
      <c r="A74" s="100">
        <v>4004005895</v>
      </c>
      <c r="B74" s="97" t="s">
        <v>262</v>
      </c>
      <c r="C74" s="170">
        <v>39282</v>
      </c>
      <c r="D74" s="61">
        <f>(OBSAH!$J$6/100)*Tabulka20101451598[[#This Row],[Sloupec3]]</f>
        <v>0</v>
      </c>
      <c r="E74" s="62">
        <f>Tabulka20101451598[[#This Row],[Sloupec3]]-Tabulka20101451598[[#This Row],[Sloupec4]]</f>
        <v>39282</v>
      </c>
      <c r="F74" s="3"/>
      <c r="G74" s="3"/>
      <c r="H74" s="3"/>
      <c r="I74" s="3"/>
      <c r="J74" s="3"/>
      <c r="K74" s="3"/>
      <c r="L74" s="3"/>
      <c r="M74" s="3"/>
    </row>
    <row r="75" spans="1:13" ht="14.25" customHeight="1" x14ac:dyDescent="0.4">
      <c r="A75" s="101">
        <v>4004005896</v>
      </c>
      <c r="B75" s="98" t="s">
        <v>263</v>
      </c>
      <c r="C75" s="170">
        <v>54098</v>
      </c>
      <c r="D75" s="65">
        <f>(OBSAH!$J$6/100)*Tabulka20101451598[[#This Row],[Sloupec3]]</f>
        <v>0</v>
      </c>
      <c r="E75" s="66">
        <f>Tabulka20101451598[[#This Row],[Sloupec3]]-Tabulka20101451598[[#This Row],[Sloupec4]]</f>
        <v>54098</v>
      </c>
      <c r="F75" s="3"/>
      <c r="G75" s="3"/>
      <c r="H75" s="3"/>
      <c r="I75" s="3"/>
      <c r="J75" s="3"/>
      <c r="K75" s="3"/>
      <c r="L75" s="3"/>
      <c r="M75" s="3"/>
    </row>
    <row r="76" spans="1:13" ht="14.25" customHeight="1" x14ac:dyDescent="0.4">
      <c r="A76" s="101">
        <v>4004005897</v>
      </c>
      <c r="B76" s="98" t="s">
        <v>264</v>
      </c>
      <c r="C76" s="170">
        <v>68405</v>
      </c>
      <c r="D76" s="65">
        <f>(OBSAH!$J$6/100)*Tabulka20101451598[[#This Row],[Sloupec3]]</f>
        <v>0</v>
      </c>
      <c r="E76" s="66">
        <f>Tabulka20101451598[[#This Row],[Sloupec3]]-Tabulka20101451598[[#This Row],[Sloupec4]]</f>
        <v>68405</v>
      </c>
      <c r="F76" s="3"/>
      <c r="G76" s="3"/>
      <c r="H76" s="3"/>
      <c r="I76" s="3"/>
      <c r="J76" s="3"/>
      <c r="K76" s="3"/>
      <c r="L76" s="3"/>
      <c r="M76" s="3"/>
    </row>
    <row r="77" spans="1:13" ht="14.25" customHeight="1" x14ac:dyDescent="0.4">
      <c r="A77" s="101">
        <v>4004005898</v>
      </c>
      <c r="B77" s="98" t="s">
        <v>265</v>
      </c>
      <c r="C77" s="170">
        <v>83220</v>
      </c>
      <c r="D77" s="65">
        <f>(OBSAH!$J$6/100)*Tabulka20101451598[[#This Row],[Sloupec3]]</f>
        <v>0</v>
      </c>
      <c r="E77" s="66">
        <f>Tabulka20101451598[[#This Row],[Sloupec3]]-Tabulka20101451598[[#This Row],[Sloupec4]]</f>
        <v>83220</v>
      </c>
      <c r="F77" s="3"/>
      <c r="G77" s="3"/>
      <c r="H77" s="3"/>
      <c r="I77" s="3"/>
      <c r="J77" s="3"/>
      <c r="K77" s="3"/>
      <c r="L77" s="3"/>
      <c r="M77" s="3"/>
    </row>
    <row r="78" spans="1:13" ht="14.25" customHeight="1" x14ac:dyDescent="0.4">
      <c r="A78" s="102">
        <v>4004005899</v>
      </c>
      <c r="B78" s="99" t="s">
        <v>266</v>
      </c>
      <c r="C78" s="170">
        <v>96855</v>
      </c>
      <c r="D78" s="76">
        <f>(OBSAH!$J$6/100)*Tabulka20101451598[[#This Row],[Sloupec3]]</f>
        <v>0</v>
      </c>
      <c r="E78" s="77">
        <f>Tabulka20101451598[[#This Row],[Sloupec3]]-Tabulka20101451598[[#This Row],[Sloupec4]]</f>
        <v>96855</v>
      </c>
      <c r="F78" s="3"/>
      <c r="G78" s="3"/>
      <c r="H78" s="3"/>
      <c r="I78" s="3"/>
      <c r="J78" s="3"/>
      <c r="K78" s="3"/>
      <c r="L78" s="3"/>
      <c r="M78" s="3"/>
    </row>
    <row r="79" spans="1:13" x14ac:dyDescent="0.4">
      <c r="A79" s="70"/>
      <c r="B79" s="71"/>
      <c r="C79" s="72"/>
      <c r="D79" s="73"/>
      <c r="E79" s="74"/>
      <c r="F79" s="3"/>
      <c r="G79" s="3"/>
      <c r="H79" s="3"/>
      <c r="I79" s="3"/>
      <c r="J79" s="3"/>
      <c r="K79" s="3"/>
      <c r="L79" s="3"/>
      <c r="M79" s="3"/>
    </row>
    <row r="80" spans="1:13" ht="22.5" customHeight="1" x14ac:dyDescent="0.4">
      <c r="A80" s="266" t="s">
        <v>69</v>
      </c>
      <c r="B80" s="266"/>
      <c r="C80" s="266"/>
      <c r="D80" s="266"/>
      <c r="E80" s="266"/>
      <c r="F80" s="3"/>
      <c r="G80" s="3"/>
      <c r="H80" s="3"/>
      <c r="I80" s="3"/>
      <c r="J80" s="3"/>
      <c r="K80" s="3"/>
      <c r="L80" s="3"/>
      <c r="M80" s="3"/>
    </row>
    <row r="81" spans="1:13" ht="22.5" customHeight="1" x14ac:dyDescent="0.4">
      <c r="A81" s="51" t="s">
        <v>39</v>
      </c>
      <c r="B81" s="51" t="s">
        <v>40</v>
      </c>
      <c r="C81" s="52" t="s">
        <v>41</v>
      </c>
      <c r="D81" s="52" t="s">
        <v>42</v>
      </c>
      <c r="E81" s="53" t="s">
        <v>43</v>
      </c>
      <c r="F81" s="3"/>
      <c r="G81" s="3"/>
      <c r="H81" s="3"/>
      <c r="I81" s="3"/>
      <c r="J81" s="3"/>
      <c r="K81" s="3"/>
      <c r="L81" s="3"/>
      <c r="M81" s="3"/>
    </row>
    <row r="82" spans="1:13" ht="14.25" customHeight="1" x14ac:dyDescent="0.4">
      <c r="A82" s="100">
        <v>4004005900</v>
      </c>
      <c r="B82" s="97" t="s">
        <v>267</v>
      </c>
      <c r="C82" s="171">
        <v>39736</v>
      </c>
      <c r="D82" s="61">
        <f>(OBSAH!$J$6/100)*Tabulka21111552609[[#This Row],[Sloupec3]]</f>
        <v>0</v>
      </c>
      <c r="E82" s="62">
        <f>Tabulka21111552609[[#This Row],[Sloupec3]]-Tabulka21111552609[[#This Row],[Sloupec4]]</f>
        <v>39736</v>
      </c>
      <c r="F82" s="3"/>
      <c r="G82" s="3"/>
      <c r="H82" s="3"/>
      <c r="I82" s="3"/>
      <c r="J82" s="3"/>
      <c r="K82" s="3"/>
      <c r="L82" s="3"/>
      <c r="M82" s="3"/>
    </row>
    <row r="83" spans="1:13" ht="14.25" customHeight="1" x14ac:dyDescent="0.4">
      <c r="A83" s="101">
        <v>4004005901</v>
      </c>
      <c r="B83" s="98" t="s">
        <v>268</v>
      </c>
      <c r="C83" s="171">
        <v>54552</v>
      </c>
      <c r="D83" s="65">
        <f>(OBSAH!$J$6/100)*Tabulka21111552609[[#This Row],[Sloupec3]]</f>
        <v>0</v>
      </c>
      <c r="E83" s="66">
        <f>Tabulka21111552609[[#This Row],[Sloupec3]]-Tabulka21111552609[[#This Row],[Sloupec4]]</f>
        <v>54552</v>
      </c>
      <c r="F83" s="3"/>
      <c r="G83" s="3"/>
      <c r="H83" s="3"/>
      <c r="I83" s="3"/>
      <c r="J83" s="3"/>
      <c r="K83" s="3"/>
      <c r="L83" s="3"/>
      <c r="M83" s="3"/>
    </row>
    <row r="84" spans="1:13" ht="14.25" customHeight="1" x14ac:dyDescent="0.4">
      <c r="A84" s="101">
        <v>4004005902</v>
      </c>
      <c r="B84" s="98" t="s">
        <v>269</v>
      </c>
      <c r="C84" s="171">
        <v>69312</v>
      </c>
      <c r="D84" s="65">
        <f>(OBSAH!$J$6/100)*Tabulka21111552609[[#This Row],[Sloupec3]]</f>
        <v>0</v>
      </c>
      <c r="E84" s="66">
        <f>Tabulka21111552609[[#This Row],[Sloupec3]]-Tabulka21111552609[[#This Row],[Sloupec4]]</f>
        <v>69312</v>
      </c>
      <c r="F84" s="3"/>
      <c r="G84" s="3"/>
      <c r="H84" s="3"/>
      <c r="I84" s="3"/>
      <c r="J84" s="3"/>
      <c r="K84" s="3"/>
      <c r="L84" s="3"/>
      <c r="M84" s="3"/>
    </row>
    <row r="85" spans="1:13" ht="14.25" customHeight="1" x14ac:dyDescent="0.4">
      <c r="A85" s="101">
        <v>4004005903</v>
      </c>
      <c r="B85" s="98" t="s">
        <v>270</v>
      </c>
      <c r="C85" s="171">
        <v>84129</v>
      </c>
      <c r="D85" s="65">
        <f>(OBSAH!$J$6/100)*Tabulka21111552609[[#This Row],[Sloupec3]]</f>
        <v>0</v>
      </c>
      <c r="E85" s="66">
        <f>Tabulka21111552609[[#This Row],[Sloupec3]]-Tabulka21111552609[[#This Row],[Sloupec4]]</f>
        <v>84129</v>
      </c>
      <c r="F85" s="3"/>
      <c r="G85" s="3"/>
      <c r="H85" s="3"/>
      <c r="I85" s="3"/>
      <c r="J85" s="3"/>
      <c r="K85" s="3"/>
      <c r="L85" s="3"/>
      <c r="M85" s="3"/>
    </row>
    <row r="86" spans="1:13" ht="14.25" customHeight="1" x14ac:dyDescent="0.4">
      <c r="A86" s="102">
        <v>4004005904</v>
      </c>
      <c r="B86" s="99" t="s">
        <v>271</v>
      </c>
      <c r="C86" s="171">
        <v>97762</v>
      </c>
      <c r="D86" s="76">
        <f>(OBSAH!$J$6/100)*Tabulka21111552609[[#This Row],[Sloupec3]]</f>
        <v>0</v>
      </c>
      <c r="E86" s="77">
        <f>Tabulka21111552609[[#This Row],[Sloupec3]]-Tabulka21111552609[[#This Row],[Sloupec4]]</f>
        <v>97762</v>
      </c>
      <c r="F86" s="3"/>
      <c r="G86" s="3"/>
      <c r="H86" s="3"/>
      <c r="I86" s="3"/>
      <c r="J86" s="3"/>
      <c r="K86" s="3"/>
      <c r="L86" s="3"/>
      <c r="M86" s="3"/>
    </row>
    <row r="87" spans="1:13" x14ac:dyDescent="0.4">
      <c r="A87" s="260"/>
      <c r="B87" s="260"/>
      <c r="C87" s="260"/>
      <c r="D87" s="260"/>
      <c r="E87" s="260"/>
      <c r="F87" s="3"/>
      <c r="G87" s="3"/>
      <c r="H87" s="3"/>
      <c r="I87" s="3"/>
      <c r="J87" s="3"/>
      <c r="K87" s="3"/>
      <c r="L87" s="3"/>
      <c r="M87" s="3"/>
    </row>
    <row r="88" spans="1:13" x14ac:dyDescent="0.4">
      <c r="A88" s="37"/>
      <c r="B88" s="37"/>
      <c r="C88" s="37"/>
      <c r="D88" s="3"/>
      <c r="E88" s="3"/>
      <c r="F88" s="3"/>
      <c r="G88" s="3"/>
      <c r="H88" s="3"/>
      <c r="I88" s="3"/>
      <c r="J88" s="3"/>
      <c r="K88" s="3"/>
      <c r="L88" s="3"/>
      <c r="M88" s="3"/>
    </row>
    <row r="89" spans="1:13" x14ac:dyDescent="0.4">
      <c r="A89" s="179"/>
      <c r="B89" s="179"/>
      <c r="C89" s="179"/>
      <c r="D89" s="180"/>
      <c r="E89" s="180"/>
      <c r="F89" s="180"/>
      <c r="G89" s="180"/>
      <c r="H89" s="180"/>
      <c r="I89" s="180"/>
      <c r="J89" s="180"/>
      <c r="K89" s="180"/>
      <c r="L89" s="180"/>
      <c r="M89" s="180"/>
    </row>
    <row r="90" spans="1:13" ht="33.9" x14ac:dyDescent="0.7">
      <c r="A90" s="270" t="s">
        <v>301</v>
      </c>
      <c r="B90" s="270"/>
      <c r="C90" s="270"/>
      <c r="D90" s="270"/>
      <c r="E90" s="270"/>
      <c r="F90" s="180"/>
      <c r="G90" s="180"/>
      <c r="H90" s="180"/>
      <c r="I90" s="180"/>
      <c r="J90" s="180"/>
      <c r="K90" s="180"/>
      <c r="L90" s="180"/>
      <c r="M90" s="180"/>
    </row>
    <row r="91" spans="1:13" ht="15.45" x14ac:dyDescent="0.4">
      <c r="A91" s="271" t="s">
        <v>302</v>
      </c>
      <c r="B91" s="271"/>
      <c r="C91" s="271"/>
      <c r="D91" s="271"/>
      <c r="E91" s="271"/>
      <c r="F91" s="180"/>
      <c r="G91" s="180"/>
      <c r="H91" s="180"/>
      <c r="I91" s="180"/>
      <c r="J91" s="180"/>
      <c r="K91" s="180"/>
      <c r="L91" s="180"/>
      <c r="M91" s="180"/>
    </row>
    <row r="92" spans="1:13" ht="33.9" x14ac:dyDescent="0.7">
      <c r="A92" s="254"/>
      <c r="B92" s="254"/>
      <c r="C92" s="254"/>
      <c r="D92" s="254"/>
      <c r="E92" s="254"/>
      <c r="F92" s="180"/>
      <c r="G92" s="180"/>
      <c r="H92" s="180"/>
      <c r="I92" s="180"/>
      <c r="J92" s="180"/>
      <c r="K92" s="180"/>
      <c r="L92" s="180"/>
      <c r="M92" s="180"/>
    </row>
    <row r="93" spans="1:13" ht="29.6" x14ac:dyDescent="0.4">
      <c r="A93" s="269" t="s">
        <v>19</v>
      </c>
      <c r="B93" s="269"/>
      <c r="C93" s="269"/>
      <c r="D93" s="269"/>
      <c r="E93" s="269"/>
      <c r="F93" s="180"/>
      <c r="G93" s="180"/>
      <c r="H93" s="180"/>
      <c r="I93" s="180"/>
      <c r="J93" s="180"/>
      <c r="K93" s="180"/>
      <c r="L93" s="180"/>
      <c r="M93" s="180"/>
    </row>
    <row r="94" spans="1:13" ht="19.75" x14ac:dyDescent="0.4">
      <c r="A94" s="272" t="s">
        <v>303</v>
      </c>
      <c r="B94" s="272"/>
      <c r="C94" s="272"/>
      <c r="D94" s="272"/>
      <c r="E94" s="272"/>
      <c r="F94" s="180"/>
      <c r="G94" s="180"/>
      <c r="H94" s="180"/>
      <c r="I94" s="180"/>
      <c r="J94" s="180"/>
      <c r="K94" s="180"/>
      <c r="L94" s="180"/>
      <c r="M94" s="180"/>
    </row>
    <row r="95" spans="1:13" ht="15" x14ac:dyDescent="0.4">
      <c r="A95" s="265" t="s">
        <v>304</v>
      </c>
      <c r="B95" s="265"/>
      <c r="C95" s="265"/>
      <c r="D95" s="265"/>
      <c r="E95" s="265"/>
      <c r="F95" s="180"/>
      <c r="G95" s="180"/>
      <c r="H95" s="180"/>
      <c r="I95" s="180"/>
      <c r="J95" s="180"/>
      <c r="K95" s="180"/>
      <c r="L95" s="180"/>
      <c r="M95" s="180"/>
    </row>
    <row r="96" spans="1:13" ht="22.3" x14ac:dyDescent="0.4">
      <c r="A96" s="51" t="s">
        <v>39</v>
      </c>
      <c r="B96" s="51" t="s">
        <v>40</v>
      </c>
      <c r="C96" s="52" t="s">
        <v>41</v>
      </c>
      <c r="D96" s="52" t="s">
        <v>42</v>
      </c>
      <c r="E96" s="53" t="s">
        <v>43</v>
      </c>
      <c r="F96" s="180"/>
      <c r="G96" s="180"/>
      <c r="H96" s="180"/>
      <c r="I96" s="180"/>
      <c r="J96" s="180"/>
      <c r="K96" s="180"/>
      <c r="L96" s="180"/>
      <c r="M96" s="180"/>
    </row>
    <row r="97" spans="1:13" x14ac:dyDescent="0.4">
      <c r="A97" s="181"/>
      <c r="B97" s="182" t="s">
        <v>305</v>
      </c>
      <c r="C97" s="183"/>
      <c r="D97" s="183"/>
      <c r="E97" s="184"/>
      <c r="F97" s="180"/>
      <c r="G97" s="180"/>
      <c r="H97" s="180"/>
      <c r="I97" s="180"/>
      <c r="J97" s="180"/>
      <c r="K97" s="180"/>
      <c r="L97" s="180"/>
      <c r="M97" s="180"/>
    </row>
    <row r="98" spans="1:13" x14ac:dyDescent="0.4">
      <c r="A98" s="100">
        <v>4004090001</v>
      </c>
      <c r="B98" s="97" t="s">
        <v>306</v>
      </c>
      <c r="C98" s="185">
        <v>1123</v>
      </c>
      <c r="D98" s="186">
        <f>(OBSAH!$J$6/100)*Tabulka201049577[[#This Row],[Sloupec3]]</f>
        <v>0</v>
      </c>
      <c r="E98" s="187">
        <f>Tabulka201049577[[#This Row],[Sloupec3]]-Tabulka201049577[[#This Row],[Sloupec4]]</f>
        <v>1123</v>
      </c>
      <c r="F98" s="180"/>
      <c r="G98" s="180"/>
      <c r="H98" s="180"/>
      <c r="I98" s="180"/>
      <c r="J98" s="180"/>
      <c r="K98" s="180"/>
      <c r="L98" s="180"/>
      <c r="M98" s="180"/>
    </row>
    <row r="99" spans="1:13" x14ac:dyDescent="0.4">
      <c r="A99" s="101">
        <v>4004090002</v>
      </c>
      <c r="B99" s="98" t="s">
        <v>307</v>
      </c>
      <c r="C99" s="188">
        <v>1435</v>
      </c>
      <c r="D99" s="186">
        <f>(OBSAH!$J$6/100)*Tabulka201049577[[#This Row],[Sloupec3]]</f>
        <v>0</v>
      </c>
      <c r="E99" s="190">
        <f>Tabulka201049577[[#This Row],[Sloupec3]]-Tabulka201049577[[#This Row],[Sloupec4]]</f>
        <v>1435</v>
      </c>
      <c r="F99" s="180"/>
      <c r="G99" s="180"/>
      <c r="H99" s="180"/>
      <c r="I99" s="180"/>
      <c r="J99" s="180"/>
      <c r="K99" s="180"/>
      <c r="L99" s="180"/>
      <c r="M99" s="180"/>
    </row>
    <row r="100" spans="1:13" x14ac:dyDescent="0.4">
      <c r="A100" s="102">
        <v>4004090003</v>
      </c>
      <c r="B100" s="99" t="s">
        <v>308</v>
      </c>
      <c r="C100" s="191">
        <v>1747</v>
      </c>
      <c r="D100" s="186">
        <f>(OBSAH!$J$6/100)*Tabulka201049577[[#This Row],[Sloupec3]]</f>
        <v>0</v>
      </c>
      <c r="E100" s="192">
        <f>Tabulka201049577[[#This Row],[Sloupec3]]-Tabulka201049577[[#This Row],[Sloupec4]]</f>
        <v>1747</v>
      </c>
      <c r="F100" s="180"/>
      <c r="G100" s="180"/>
      <c r="H100" s="180"/>
      <c r="I100" s="180"/>
      <c r="J100" s="180"/>
      <c r="K100" s="180"/>
      <c r="L100" s="180"/>
      <c r="M100" s="180"/>
    </row>
    <row r="101" spans="1:13" x14ac:dyDescent="0.4">
      <c r="A101" s="181"/>
      <c r="B101" s="182" t="s">
        <v>309</v>
      </c>
      <c r="C101" s="183"/>
      <c r="D101" s="183"/>
      <c r="E101" s="184"/>
      <c r="F101" s="180"/>
      <c r="G101" s="180"/>
      <c r="H101" s="180"/>
      <c r="I101" s="180"/>
      <c r="J101" s="180"/>
      <c r="K101" s="180"/>
      <c r="L101" s="180"/>
      <c r="M101" s="180"/>
    </row>
    <row r="102" spans="1:13" x14ac:dyDescent="0.4">
      <c r="A102" s="100">
        <v>4004090006</v>
      </c>
      <c r="B102" s="97" t="s">
        <v>310</v>
      </c>
      <c r="C102" s="185">
        <v>2180</v>
      </c>
      <c r="D102" s="186">
        <f>(OBSAH!$J$6/100)*Tabulka201049577[[#This Row],[Sloupec3]]</f>
        <v>0</v>
      </c>
      <c r="E102" s="187">
        <f>Tabulka201049577[[#This Row],[Sloupec3]]-Tabulka201049577[[#This Row],[Sloupec4]]</f>
        <v>2180</v>
      </c>
      <c r="F102" s="180"/>
      <c r="G102" s="180"/>
      <c r="H102" s="180"/>
      <c r="I102" s="180"/>
      <c r="J102" s="180"/>
      <c r="K102" s="180"/>
      <c r="L102" s="180"/>
      <c r="M102" s="180"/>
    </row>
    <row r="103" spans="1:13" x14ac:dyDescent="0.4">
      <c r="A103" s="101">
        <v>4004090007</v>
      </c>
      <c r="B103" s="98" t="s">
        <v>311</v>
      </c>
      <c r="C103" s="188">
        <v>2955</v>
      </c>
      <c r="D103" s="189">
        <f>(OBSAH!$J$6/100)*Tabulka201049577[[#This Row],[Sloupec3]]</f>
        <v>0</v>
      </c>
      <c r="E103" s="190">
        <f>Tabulka201049577[[#This Row],[Sloupec3]]-Tabulka201049577[[#This Row],[Sloupec4]]</f>
        <v>2955</v>
      </c>
      <c r="F103" s="180"/>
      <c r="G103" s="180"/>
      <c r="H103" s="180"/>
      <c r="I103" s="180"/>
      <c r="J103" s="180"/>
      <c r="K103" s="180"/>
      <c r="L103" s="180"/>
      <c r="M103" s="180"/>
    </row>
    <row r="104" spans="1:13" x14ac:dyDescent="0.4">
      <c r="A104" s="101">
        <v>4004090008</v>
      </c>
      <c r="B104" s="98" t="s">
        <v>312</v>
      </c>
      <c r="C104" s="188">
        <v>3725</v>
      </c>
      <c r="D104" s="189">
        <f>(OBSAH!$J$6/100)*Tabulka201049577[[#This Row],[Sloupec3]]</f>
        <v>0</v>
      </c>
      <c r="E104" s="190">
        <f>Tabulka201049577[[#This Row],[Sloupec3]]-Tabulka201049577[[#This Row],[Sloupec4]]</f>
        <v>3725</v>
      </c>
      <c r="F104" s="180"/>
      <c r="G104" s="180"/>
      <c r="H104" s="180"/>
      <c r="I104" s="180"/>
      <c r="J104" s="180"/>
      <c r="K104" s="180"/>
      <c r="L104" s="180"/>
      <c r="M104" s="180"/>
    </row>
    <row r="105" spans="1:13" x14ac:dyDescent="0.4">
      <c r="A105" s="101">
        <v>4004090011</v>
      </c>
      <c r="B105" s="98" t="s">
        <v>313</v>
      </c>
      <c r="C105" s="188">
        <v>2180</v>
      </c>
      <c r="D105" s="189">
        <f>(OBSAH!$J$6/100)*Tabulka201049577[[#This Row],[Sloupec3]]</f>
        <v>0</v>
      </c>
      <c r="E105" s="190">
        <f>Tabulka201049577[[#This Row],[Sloupec3]]-Tabulka201049577[[#This Row],[Sloupec4]]</f>
        <v>2180</v>
      </c>
      <c r="F105" s="180"/>
      <c r="G105" s="180"/>
      <c r="H105" s="180"/>
      <c r="I105" s="180"/>
      <c r="J105" s="180"/>
      <c r="K105" s="180"/>
      <c r="L105" s="180"/>
      <c r="M105" s="180"/>
    </row>
    <row r="106" spans="1:13" x14ac:dyDescent="0.4">
      <c r="A106" s="193">
        <v>4004090012</v>
      </c>
      <c r="B106" s="194" t="s">
        <v>314</v>
      </c>
      <c r="C106" s="195">
        <v>2955</v>
      </c>
      <c r="D106" s="196">
        <f>(OBSAH!$J$6/100)*Tabulka201049577[[#This Row],[Sloupec3]]</f>
        <v>0</v>
      </c>
      <c r="E106" s="197">
        <f>Tabulka201049577[[#This Row],[Sloupec3]]-Tabulka201049577[[#This Row],[Sloupec4]]</f>
        <v>2955</v>
      </c>
      <c r="F106" s="180"/>
      <c r="G106" s="180"/>
      <c r="H106" s="180"/>
      <c r="I106" s="180"/>
      <c r="J106" s="180"/>
      <c r="K106" s="180"/>
      <c r="L106" s="180"/>
      <c r="M106" s="180"/>
    </row>
    <row r="107" spans="1:13" x14ac:dyDescent="0.4">
      <c r="A107" s="193">
        <v>4004090013</v>
      </c>
      <c r="B107" s="194" t="s">
        <v>315</v>
      </c>
      <c r="C107" s="195">
        <v>3725</v>
      </c>
      <c r="D107" s="196">
        <f>(OBSAH!$J$6/100)*Tabulka201049577[[#This Row],[Sloupec3]]</f>
        <v>0</v>
      </c>
      <c r="E107" s="197">
        <f>Tabulka201049577[[#This Row],[Sloupec3]]-Tabulka201049577[[#This Row],[Sloupec4]]</f>
        <v>3725</v>
      </c>
      <c r="F107" s="180"/>
      <c r="G107" s="180"/>
      <c r="H107" s="180"/>
      <c r="I107" s="180"/>
      <c r="J107" s="180"/>
      <c r="K107" s="180"/>
      <c r="L107" s="180"/>
      <c r="M107" s="180"/>
    </row>
    <row r="108" spans="1:13" x14ac:dyDescent="0.4">
      <c r="A108" s="193">
        <v>4004090016</v>
      </c>
      <c r="B108" s="194" t="s">
        <v>316</v>
      </c>
      <c r="C108" s="195">
        <v>2180</v>
      </c>
      <c r="D108" s="196">
        <f>(OBSAH!$J$6/100)*Tabulka201049577[[#This Row],[Sloupec3]]</f>
        <v>0</v>
      </c>
      <c r="E108" s="197">
        <f>Tabulka201049577[[#This Row],[Sloupec3]]-Tabulka201049577[[#This Row],[Sloupec4]]</f>
        <v>2180</v>
      </c>
      <c r="F108" s="180"/>
      <c r="G108" s="180"/>
      <c r="H108" s="180"/>
      <c r="I108" s="180"/>
      <c r="J108" s="180"/>
      <c r="K108" s="180"/>
      <c r="L108" s="180"/>
      <c r="M108" s="180"/>
    </row>
    <row r="109" spans="1:13" x14ac:dyDescent="0.4">
      <c r="A109" s="193">
        <v>4004090017</v>
      </c>
      <c r="B109" s="194" t="s">
        <v>317</v>
      </c>
      <c r="C109" s="195">
        <v>2955</v>
      </c>
      <c r="D109" s="196">
        <f>(OBSAH!$J$6/100)*Tabulka201049577[[#This Row],[Sloupec3]]</f>
        <v>0</v>
      </c>
      <c r="E109" s="197">
        <f>Tabulka201049577[[#This Row],[Sloupec3]]-Tabulka201049577[[#This Row],[Sloupec4]]</f>
        <v>2955</v>
      </c>
      <c r="F109" s="180"/>
      <c r="G109" s="180"/>
      <c r="H109" s="180"/>
      <c r="I109" s="180"/>
      <c r="J109" s="180"/>
      <c r="K109" s="180"/>
      <c r="L109" s="180"/>
      <c r="M109" s="180"/>
    </row>
    <row r="110" spans="1:13" x14ac:dyDescent="0.4">
      <c r="A110" s="198">
        <v>4004090018</v>
      </c>
      <c r="B110" s="199" t="s">
        <v>318</v>
      </c>
      <c r="C110" s="200">
        <v>3725</v>
      </c>
      <c r="D110" s="201">
        <f>(OBSAH!$J$6/100)*Tabulka201049577[[#This Row],[Sloupec3]]</f>
        <v>0</v>
      </c>
      <c r="E110" s="202">
        <f>Tabulka201049577[[#This Row],[Sloupec3]]-Tabulka201049577[[#This Row],[Sloupec4]]</f>
        <v>3725</v>
      </c>
      <c r="F110" s="180"/>
      <c r="G110" s="180"/>
      <c r="H110" s="180"/>
      <c r="I110" s="180"/>
      <c r="J110" s="180"/>
      <c r="K110" s="180"/>
      <c r="L110" s="180"/>
      <c r="M110" s="180"/>
    </row>
    <row r="111" spans="1:13" x14ac:dyDescent="0.4">
      <c r="A111" s="181"/>
      <c r="B111" s="182" t="s">
        <v>319</v>
      </c>
      <c r="C111" s="183"/>
      <c r="D111" s="183"/>
      <c r="E111" s="184"/>
      <c r="F111" s="180"/>
      <c r="G111" s="180"/>
      <c r="H111" s="180"/>
      <c r="I111" s="180"/>
      <c r="J111" s="180"/>
      <c r="K111" s="180"/>
      <c r="L111" s="180"/>
      <c r="M111" s="180"/>
    </row>
    <row r="112" spans="1:13" x14ac:dyDescent="0.4">
      <c r="A112" s="203">
        <v>4004090020</v>
      </c>
      <c r="B112" s="204" t="s">
        <v>320</v>
      </c>
      <c r="C112" s="205">
        <v>20859</v>
      </c>
      <c r="D112" s="206">
        <f>(OBSAH!$J$6/100)*Tabulka201049577[[#This Row],[Sloupec3]]</f>
        <v>0</v>
      </c>
      <c r="E112" s="207">
        <f>Tabulka201049577[[#This Row],[Sloupec3]]-Tabulka201049577[[#This Row],[Sloupec4]]</f>
        <v>20859</v>
      </c>
      <c r="F112" s="180"/>
      <c r="G112" s="180"/>
      <c r="H112" s="180"/>
      <c r="I112" s="180"/>
      <c r="J112" s="180"/>
      <c r="K112" s="180"/>
      <c r="L112" s="180"/>
      <c r="M112" s="180"/>
    </row>
    <row r="113" spans="1:13" x14ac:dyDescent="0.4">
      <c r="A113" s="193">
        <v>4004090021</v>
      </c>
      <c r="B113" s="194" t="s">
        <v>321</v>
      </c>
      <c r="C113" s="195">
        <v>26540</v>
      </c>
      <c r="D113" s="196">
        <f>(OBSAH!$J$6/100)*Tabulka201049577[[#This Row],[Sloupec3]]</f>
        <v>0</v>
      </c>
      <c r="E113" s="197">
        <f>Tabulka201049577[[#This Row],[Sloupec3]]-Tabulka201049577[[#This Row],[Sloupec4]]</f>
        <v>26540</v>
      </c>
      <c r="F113" s="180"/>
      <c r="G113" s="180"/>
      <c r="H113" s="180"/>
      <c r="I113" s="180"/>
      <c r="J113" s="180"/>
      <c r="K113" s="180"/>
      <c r="L113" s="180"/>
      <c r="M113" s="180"/>
    </row>
    <row r="114" spans="1:13" x14ac:dyDescent="0.4">
      <c r="A114" s="198">
        <v>4004090022</v>
      </c>
      <c r="B114" s="199" t="s">
        <v>322</v>
      </c>
      <c r="C114" s="200">
        <v>42677</v>
      </c>
      <c r="D114" s="201">
        <f>(OBSAH!$J$6/100)*Tabulka201049577[[#This Row],[Sloupec3]]</f>
        <v>0</v>
      </c>
      <c r="E114" s="202">
        <f>Tabulka201049577[[#This Row],[Sloupec3]]-Tabulka201049577[[#This Row],[Sloupec4]]</f>
        <v>42677</v>
      </c>
      <c r="F114" s="180"/>
      <c r="G114" s="180"/>
      <c r="H114" s="180"/>
      <c r="I114" s="180"/>
      <c r="J114" s="180"/>
      <c r="K114" s="180"/>
      <c r="L114" s="180"/>
      <c r="M114" s="180"/>
    </row>
    <row r="115" spans="1:13" x14ac:dyDescent="0.4">
      <c r="A115" s="193">
        <v>4004090023</v>
      </c>
      <c r="B115" s="194" t="s">
        <v>323</v>
      </c>
      <c r="C115" s="195">
        <v>48769</v>
      </c>
      <c r="D115" s="196">
        <f>(OBSAH!$J$6/100)*Tabulka201049577[[#This Row],[Sloupec3]]</f>
        <v>0</v>
      </c>
      <c r="E115" s="197">
        <f>Tabulka201049577[[#This Row],[Sloupec3]]-Tabulka201049577[[#This Row],[Sloupec4]]</f>
        <v>48769</v>
      </c>
      <c r="F115" s="180"/>
      <c r="G115" s="180"/>
      <c r="H115" s="180"/>
      <c r="I115" s="180"/>
      <c r="J115" s="180"/>
      <c r="K115" s="180"/>
      <c r="L115" s="180"/>
      <c r="M115" s="180"/>
    </row>
    <row r="116" spans="1:13" x14ac:dyDescent="0.4">
      <c r="A116" s="193">
        <v>4004090024</v>
      </c>
      <c r="B116" s="194" t="s">
        <v>324</v>
      </c>
      <c r="C116" s="195">
        <v>56919</v>
      </c>
      <c r="D116" s="196">
        <f>(OBSAH!$J$6/100)*Tabulka201049577[[#This Row],[Sloupec3]]</f>
        <v>0</v>
      </c>
      <c r="E116" s="197">
        <f>Tabulka201049577[[#This Row],[Sloupec3]]-Tabulka201049577[[#This Row],[Sloupec4]]</f>
        <v>56919</v>
      </c>
      <c r="F116" s="180"/>
      <c r="G116" s="180"/>
      <c r="H116" s="180"/>
      <c r="I116" s="180"/>
      <c r="J116" s="180"/>
      <c r="K116" s="180"/>
      <c r="L116" s="180"/>
      <c r="M116" s="180"/>
    </row>
    <row r="117" spans="1:13" x14ac:dyDescent="0.4">
      <c r="A117" s="198">
        <v>4004090025</v>
      </c>
      <c r="B117" s="199" t="s">
        <v>325</v>
      </c>
      <c r="C117" s="200">
        <v>62383</v>
      </c>
      <c r="D117" s="201">
        <f>(OBSAH!$J$6/100)*Tabulka201049577[[#This Row],[Sloupec3]]</f>
        <v>0</v>
      </c>
      <c r="E117" s="202">
        <f>Tabulka201049577[[#This Row],[Sloupec3]]-Tabulka201049577[[#This Row],[Sloupec4]]</f>
        <v>62383</v>
      </c>
      <c r="F117" s="180"/>
      <c r="G117" s="180"/>
      <c r="H117" s="180"/>
      <c r="I117" s="180"/>
      <c r="J117" s="180"/>
      <c r="K117" s="180"/>
      <c r="L117" s="180"/>
      <c r="M117" s="180"/>
    </row>
    <row r="118" spans="1:13" x14ac:dyDescent="0.4">
      <c r="A118" s="179"/>
      <c r="B118" s="179"/>
      <c r="C118" s="179"/>
      <c r="D118" s="180"/>
      <c r="E118" s="180"/>
      <c r="F118" s="180"/>
      <c r="G118" s="180"/>
      <c r="H118" s="180"/>
      <c r="I118" s="180"/>
      <c r="J118" s="180"/>
      <c r="K118" s="180"/>
      <c r="L118" s="180"/>
      <c r="M118" s="180"/>
    </row>
    <row r="119" spans="1:13" x14ac:dyDescent="0.4">
      <c r="A119" s="179"/>
      <c r="B119" s="179"/>
      <c r="C119" s="179"/>
      <c r="D119" s="180"/>
      <c r="E119" s="180"/>
      <c r="F119" s="180"/>
      <c r="G119" s="180"/>
      <c r="H119" s="180"/>
      <c r="I119" s="180"/>
      <c r="J119" s="180"/>
      <c r="K119" s="180"/>
      <c r="L119" s="180"/>
      <c r="M119" s="180"/>
    </row>
    <row r="120" spans="1:13" x14ac:dyDescent="0.4">
      <c r="A120" s="179"/>
      <c r="B120" s="179"/>
      <c r="C120" s="179"/>
      <c r="D120" s="180"/>
      <c r="E120" s="180"/>
      <c r="F120" s="180"/>
      <c r="G120" s="180"/>
      <c r="H120" s="180"/>
      <c r="I120" s="180"/>
      <c r="J120" s="180"/>
      <c r="K120" s="180"/>
      <c r="L120" s="180"/>
      <c r="M120" s="180"/>
    </row>
    <row r="121" spans="1:13" x14ac:dyDescent="0.4">
      <c r="A121" s="179"/>
      <c r="B121" s="179"/>
      <c r="C121" s="179"/>
      <c r="D121" s="180"/>
      <c r="E121" s="180"/>
      <c r="F121" s="180"/>
      <c r="G121" s="180"/>
      <c r="H121" s="180"/>
      <c r="I121" s="180"/>
      <c r="J121" s="180"/>
      <c r="K121" s="180"/>
      <c r="L121" s="180"/>
      <c r="M121" s="180"/>
    </row>
  </sheetData>
  <mergeCells count="36">
    <mergeCell ref="A95:E95"/>
    <mergeCell ref="A90:E90"/>
    <mergeCell ref="A91:E91"/>
    <mergeCell ref="A92:E92"/>
    <mergeCell ref="A93:E93"/>
    <mergeCell ref="A94:E94"/>
    <mergeCell ref="A1:E1"/>
    <mergeCell ref="F1:H1"/>
    <mergeCell ref="A2:E2"/>
    <mergeCell ref="F2:H2"/>
    <mergeCell ref="A3:E3"/>
    <mergeCell ref="F3:M3"/>
    <mergeCell ref="A4:E4"/>
    <mergeCell ref="F4:I4"/>
    <mergeCell ref="J4:M4"/>
    <mergeCell ref="A5:E5"/>
    <mergeCell ref="A6:E6"/>
    <mergeCell ref="A7:E7"/>
    <mergeCell ref="A8:E8"/>
    <mergeCell ref="G8:L8"/>
    <mergeCell ref="G9:L9"/>
    <mergeCell ref="A22:E22"/>
    <mergeCell ref="G32:L32"/>
    <mergeCell ref="G33:L33"/>
    <mergeCell ref="G34:L34"/>
    <mergeCell ref="G35:L35"/>
    <mergeCell ref="A38:E38"/>
    <mergeCell ref="A71:E71"/>
    <mergeCell ref="A72:E72"/>
    <mergeCell ref="A80:E80"/>
    <mergeCell ref="A87:E87"/>
    <mergeCell ref="A39:E39"/>
    <mergeCell ref="A40:E40"/>
    <mergeCell ref="A54:E54"/>
    <mergeCell ref="A67:E67"/>
    <mergeCell ref="A70:E70"/>
  </mergeCells>
  <hyperlinks>
    <hyperlink ref="F2" location="OBSAH!I128" display="PŘEJÍT NA UPOZORNĚNÍ" xr:uid="{00000000-0004-0000-0400-000000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/>
  <drawing r:id="rId1"/>
  <tableParts count="7">
    <tablePart r:id="rId2"/>
    <tablePart r:id="rId3"/>
    <tablePart r:id="rId4"/>
    <tablePart r:id="rId5"/>
    <tablePart r:id="rId6"/>
    <tablePart r:id="rId7"/>
    <tablePart r:id="rId8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D9D9D9"/>
    <pageSetUpPr fitToPage="1"/>
  </sheetPr>
  <dimension ref="A1:AMK36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1" customWidth="1"/>
    <col min="2" max="2" width="44.69140625" style="1" customWidth="1"/>
    <col min="3" max="4" width="10.15234375" style="1" customWidth="1"/>
    <col min="5" max="5" width="15.69140625" style="1" customWidth="1"/>
    <col min="6" max="1025" width="9.15234375" style="1" customWidth="1"/>
  </cols>
  <sheetData>
    <row r="1" spans="1:13" ht="15" customHeight="1" x14ac:dyDescent="0.4">
      <c r="A1" s="239" t="s">
        <v>35</v>
      </c>
      <c r="B1" s="239"/>
      <c r="C1" s="239"/>
      <c r="D1" s="239"/>
      <c r="E1" s="239"/>
      <c r="F1" s="240" t="s">
        <v>36</v>
      </c>
      <c r="G1" s="240"/>
      <c r="H1" s="240"/>
      <c r="I1" s="33">
        <f>OBSAH!J6</f>
        <v>0</v>
      </c>
      <c r="J1" s="34" t="s">
        <v>2</v>
      </c>
      <c r="K1" s="3"/>
      <c r="L1" s="3"/>
      <c r="M1" s="3"/>
    </row>
    <row r="2" spans="1:13" ht="15" customHeight="1" x14ac:dyDescent="0.4">
      <c r="A2" s="239" t="s">
        <v>37</v>
      </c>
      <c r="B2" s="239"/>
      <c r="C2" s="239"/>
      <c r="D2" s="239"/>
      <c r="E2" s="239"/>
      <c r="F2" s="241" t="s">
        <v>3</v>
      </c>
      <c r="G2" s="241"/>
      <c r="H2" s="241"/>
      <c r="I2" s="3"/>
      <c r="J2" s="3"/>
      <c r="K2" s="3"/>
      <c r="L2" s="3"/>
      <c r="M2" s="3"/>
    </row>
    <row r="3" spans="1:13" ht="39" customHeight="1" x14ac:dyDescent="0.6">
      <c r="A3" s="275" t="s">
        <v>272</v>
      </c>
      <c r="B3" s="275"/>
      <c r="C3" s="275"/>
      <c r="D3" s="275"/>
      <c r="E3" s="275"/>
    </row>
    <row r="4" spans="1:13" ht="15" customHeight="1" x14ac:dyDescent="0.55000000000000004">
      <c r="A4" s="215"/>
      <c r="B4" s="215"/>
      <c r="C4" s="215"/>
      <c r="D4" s="215"/>
      <c r="E4" s="215"/>
    </row>
    <row r="5" spans="1:13" ht="15" customHeight="1" x14ac:dyDescent="0.7">
      <c r="A5" s="254"/>
      <c r="B5" s="254"/>
      <c r="C5" s="254"/>
      <c r="D5" s="254"/>
      <c r="E5" s="254"/>
    </row>
    <row r="6" spans="1:13" ht="36" customHeight="1" x14ac:dyDescent="0.4">
      <c r="A6" s="274" t="s">
        <v>273</v>
      </c>
      <c r="B6" s="274"/>
      <c r="C6" s="274"/>
      <c r="D6" s="274"/>
      <c r="E6" s="274"/>
    </row>
    <row r="7" spans="1:13" s="44" customFormat="1" ht="22.5" customHeight="1" x14ac:dyDescent="0.25">
      <c r="A7" s="103" t="s">
        <v>39</v>
      </c>
      <c r="B7" s="103" t="s">
        <v>40</v>
      </c>
      <c r="C7" s="104" t="s">
        <v>41</v>
      </c>
      <c r="D7" s="104" t="s">
        <v>42</v>
      </c>
      <c r="E7" s="105" t="s">
        <v>43</v>
      </c>
      <c r="F7" s="106"/>
      <c r="G7" s="273"/>
      <c r="H7" s="273"/>
      <c r="I7" s="273"/>
      <c r="J7" s="273"/>
      <c r="K7" s="273"/>
      <c r="L7" s="273"/>
    </row>
    <row r="8" spans="1:13" s="32" customFormat="1" ht="14.25" customHeight="1" x14ac:dyDescent="0.3">
      <c r="A8" s="108">
        <v>4002100051</v>
      </c>
      <c r="B8" s="137" t="s">
        <v>274</v>
      </c>
      <c r="C8" s="172">
        <v>493</v>
      </c>
      <c r="D8" s="61">
        <f>(OBSAH!$J$6/100)*Tabulka201079410411612713921[[#This Row],[Sloupec3]]</f>
        <v>0</v>
      </c>
      <c r="E8" s="62">
        <f>Tabulka201079410411612713921[[#This Row],[Sloupec3]]-Tabulka201079410411612713921[[#This Row],[Sloupec4]]</f>
        <v>493</v>
      </c>
    </row>
    <row r="9" spans="1:13" s="32" customFormat="1" ht="14.25" customHeight="1" x14ac:dyDescent="0.3">
      <c r="A9" s="110">
        <v>4002100052</v>
      </c>
      <c r="B9" s="107" t="s">
        <v>275</v>
      </c>
      <c r="C9" s="172">
        <v>867</v>
      </c>
      <c r="D9" s="65">
        <f>(OBSAH!$J$6/100)*Tabulka201079410411612713921[[#This Row],[Sloupec3]]</f>
        <v>0</v>
      </c>
      <c r="E9" s="66">
        <f>Tabulka201079410411612713921[[#This Row],[Sloupec3]]-Tabulka201079410411612713921[[#This Row],[Sloupec4]]</f>
        <v>867</v>
      </c>
    </row>
    <row r="10" spans="1:13" s="32" customFormat="1" ht="14.25" customHeight="1" x14ac:dyDescent="0.3">
      <c r="A10" s="110">
        <v>4002100053</v>
      </c>
      <c r="B10" s="107" t="s">
        <v>276</v>
      </c>
      <c r="C10" s="172">
        <v>1050</v>
      </c>
      <c r="D10" s="65">
        <f>(OBSAH!$J$6/100)*Tabulka201079410411612713921[[#This Row],[Sloupec3]]</f>
        <v>0</v>
      </c>
      <c r="E10" s="66">
        <f>Tabulka201079410411612713921[[#This Row],[Sloupec3]]-Tabulka201079410411612713921[[#This Row],[Sloupec4]]</f>
        <v>1050</v>
      </c>
    </row>
    <row r="11" spans="1:13" s="32" customFormat="1" ht="14.25" customHeight="1" x14ac:dyDescent="0.3">
      <c r="A11" s="110">
        <v>4002100054</v>
      </c>
      <c r="B11" s="107" t="s">
        <v>277</v>
      </c>
      <c r="C11" s="172">
        <v>1321</v>
      </c>
      <c r="D11" s="65">
        <f>(OBSAH!$J$6/100)*Tabulka201079410411612713921[[#This Row],[Sloupec3]]</f>
        <v>0</v>
      </c>
      <c r="E11" s="66">
        <f>Tabulka201079410411612713921[[#This Row],[Sloupec3]]-Tabulka201079410411612713921[[#This Row],[Sloupec4]]</f>
        <v>1321</v>
      </c>
    </row>
    <row r="12" spans="1:13" s="32" customFormat="1" ht="14.25" customHeight="1" x14ac:dyDescent="0.3">
      <c r="A12" s="110">
        <v>4002100055</v>
      </c>
      <c r="B12" s="107" t="s">
        <v>278</v>
      </c>
      <c r="C12" s="172">
        <v>1512</v>
      </c>
      <c r="D12" s="65">
        <f>(OBSAH!$J$6/100)*Tabulka201079410411612713921[[#This Row],[Sloupec3]]</f>
        <v>0</v>
      </c>
      <c r="E12" s="66">
        <f>Tabulka201079410411612713921[[#This Row],[Sloupec3]]-Tabulka201079410411612713921[[#This Row],[Sloupec4]]</f>
        <v>1512</v>
      </c>
    </row>
    <row r="13" spans="1:13" s="32" customFormat="1" ht="14.25" customHeight="1" x14ac:dyDescent="0.3">
      <c r="A13" s="110">
        <v>4002100056</v>
      </c>
      <c r="B13" s="107" t="s">
        <v>279</v>
      </c>
      <c r="C13" s="172">
        <v>1716</v>
      </c>
      <c r="D13" s="65">
        <f>(OBSAH!$J$6/100)*Tabulka201079410411612713921[[#This Row],[Sloupec3]]</f>
        <v>0</v>
      </c>
      <c r="E13" s="66">
        <f>Tabulka201079410411612713921[[#This Row],[Sloupec3]]-Tabulka201079410411612713921[[#This Row],[Sloupec4]]</f>
        <v>1716</v>
      </c>
    </row>
    <row r="14" spans="1:13" s="32" customFormat="1" ht="14.25" customHeight="1" x14ac:dyDescent="0.3">
      <c r="A14" s="138">
        <v>4002100057</v>
      </c>
      <c r="B14" s="139" t="s">
        <v>280</v>
      </c>
      <c r="C14" s="172">
        <v>1906</v>
      </c>
      <c r="D14" s="76">
        <f>(OBSAH!$J$6/100)*Tabulka201079410411612713921[[#This Row],[Sloupec3]]</f>
        <v>0</v>
      </c>
      <c r="E14" s="77">
        <f>Tabulka201079410411612713921[[#This Row],[Sloupec3]]-Tabulka201079410411612713921[[#This Row],[Sloupec4]]</f>
        <v>1906</v>
      </c>
    </row>
    <row r="15" spans="1:13" ht="15" customHeight="1" x14ac:dyDescent="0.4">
      <c r="A15" s="3"/>
      <c r="B15" s="3"/>
      <c r="C15" s="3"/>
      <c r="D15" s="3"/>
      <c r="E15" s="3"/>
    </row>
    <row r="16" spans="1:13" ht="15" customHeight="1" x14ac:dyDescent="0.4">
      <c r="A16" s="3"/>
      <c r="B16" s="3"/>
      <c r="C16" s="3"/>
      <c r="D16" s="3"/>
      <c r="E16" s="3"/>
    </row>
    <row r="17" spans="1:12" x14ac:dyDescent="0.4">
      <c r="A17" s="3"/>
      <c r="B17" s="3"/>
      <c r="C17" s="3"/>
      <c r="D17" s="3"/>
      <c r="E17" s="3"/>
    </row>
    <row r="18" spans="1:12" ht="36" customHeight="1" x14ac:dyDescent="0.4">
      <c r="A18" s="274" t="s">
        <v>23</v>
      </c>
      <c r="B18" s="274"/>
      <c r="C18" s="274"/>
      <c r="D18" s="274"/>
      <c r="E18" s="274"/>
    </row>
    <row r="19" spans="1:12" s="44" customFormat="1" ht="22.5" customHeight="1" x14ac:dyDescent="0.25">
      <c r="A19" s="103" t="s">
        <v>39</v>
      </c>
      <c r="B19" s="103" t="s">
        <v>40</v>
      </c>
      <c r="C19" s="104" t="s">
        <v>41</v>
      </c>
      <c r="D19" s="104" t="s">
        <v>42</v>
      </c>
      <c r="E19" s="105" t="s">
        <v>43</v>
      </c>
      <c r="F19" s="106"/>
      <c r="G19" s="273"/>
      <c r="H19" s="273"/>
      <c r="I19" s="273"/>
      <c r="J19" s="273"/>
      <c r="K19" s="273"/>
      <c r="L19" s="273"/>
    </row>
    <row r="20" spans="1:12" s="32" customFormat="1" ht="14.25" customHeight="1" x14ac:dyDescent="0.3">
      <c r="A20" s="108">
        <v>4130000111</v>
      </c>
      <c r="B20" s="109" t="s">
        <v>281</v>
      </c>
      <c r="C20" s="175">
        <v>187</v>
      </c>
      <c r="D20" s="61">
        <f>(OBSAH!$J$6/100)*Tabulka20107941041161271392124[[#This Row],[Sloupec3]]</f>
        <v>0</v>
      </c>
      <c r="E20" s="62">
        <f>Tabulka20107941041161271392124[[#This Row],[Sloupec3]]-Tabulka20107941041161271392124[[#This Row],[Sloupec4]]</f>
        <v>187</v>
      </c>
    </row>
    <row r="21" spans="1:12" s="32" customFormat="1" ht="14.25" customHeight="1" x14ac:dyDescent="0.3">
      <c r="A21" s="110">
        <v>4130000127</v>
      </c>
      <c r="B21" s="111" t="s">
        <v>282</v>
      </c>
      <c r="C21" s="173">
        <v>342</v>
      </c>
      <c r="D21" s="65">
        <f>(OBSAH!$J$6/100)*Tabulka20107941041161271392124[[#This Row],[Sloupec3]]</f>
        <v>0</v>
      </c>
      <c r="E21" s="66">
        <f>Tabulka20107941041161271392124[[#This Row],[Sloupec3]]-Tabulka20107941041161271392124[[#This Row],[Sloupec4]]</f>
        <v>342</v>
      </c>
    </row>
    <row r="22" spans="1:12" s="32" customFormat="1" ht="14.25" customHeight="1" x14ac:dyDescent="0.3">
      <c r="A22" s="110">
        <v>4130000130</v>
      </c>
      <c r="B22" s="111" t="s">
        <v>283</v>
      </c>
      <c r="C22" s="173">
        <v>372</v>
      </c>
      <c r="D22" s="65">
        <f>(OBSAH!$J$6/100)*Tabulka20107941041161271392124[[#This Row],[Sloupec3]]</f>
        <v>0</v>
      </c>
      <c r="E22" s="66">
        <f>Tabulka20107941041161271392124[[#This Row],[Sloupec3]]-Tabulka20107941041161271392124[[#This Row],[Sloupec4]]</f>
        <v>372</v>
      </c>
    </row>
    <row r="23" spans="1:12" s="32" customFormat="1" ht="14.25" customHeight="1" x14ac:dyDescent="0.3">
      <c r="A23" s="110">
        <v>4130000138</v>
      </c>
      <c r="B23" s="111" t="s">
        <v>284</v>
      </c>
      <c r="C23" s="173">
        <v>418</v>
      </c>
      <c r="D23" s="65">
        <f>(OBSAH!$J$6/100)*Tabulka20107941041161271392124[[#This Row],[Sloupec3]]</f>
        <v>0</v>
      </c>
      <c r="E23" s="66">
        <f>Tabulka20107941041161271392124[[#This Row],[Sloupec3]]-Tabulka20107941041161271392124[[#This Row],[Sloupec4]]</f>
        <v>418</v>
      </c>
    </row>
    <row r="24" spans="1:12" s="32" customFormat="1" ht="14.25" customHeight="1" x14ac:dyDescent="0.3">
      <c r="A24" s="110">
        <v>4130000131</v>
      </c>
      <c r="B24" s="111" t="s">
        <v>285</v>
      </c>
      <c r="C24" s="173">
        <v>619</v>
      </c>
      <c r="D24" s="65">
        <f>(OBSAH!$J$6/100)*Tabulka20107941041161271392124[[#This Row],[Sloupec3]]</f>
        <v>0</v>
      </c>
      <c r="E24" s="66">
        <f>Tabulka20107941041161271392124[[#This Row],[Sloupec3]]-Tabulka20107941041161271392124[[#This Row],[Sloupec4]]</f>
        <v>619</v>
      </c>
    </row>
    <row r="25" spans="1:12" s="32" customFormat="1" ht="14.25" customHeight="1" x14ac:dyDescent="0.3">
      <c r="A25" s="110">
        <v>4130000137</v>
      </c>
      <c r="B25" s="111" t="s">
        <v>286</v>
      </c>
      <c r="C25" s="173">
        <v>734</v>
      </c>
      <c r="D25" s="65">
        <f>(OBSAH!$J$6/100)*Tabulka20107941041161271392124[[#This Row],[Sloupec3]]</f>
        <v>0</v>
      </c>
      <c r="E25" s="66">
        <f>Tabulka20107941041161271392124[[#This Row],[Sloupec3]]-Tabulka20107941041161271392124[[#This Row],[Sloupec4]]</f>
        <v>734</v>
      </c>
    </row>
    <row r="26" spans="1:12" s="32" customFormat="1" ht="14.25" customHeight="1" x14ac:dyDescent="0.3">
      <c r="A26" s="110">
        <v>4130000134</v>
      </c>
      <c r="B26" s="111" t="s">
        <v>287</v>
      </c>
      <c r="C26" s="173">
        <v>866</v>
      </c>
      <c r="D26" s="65">
        <f>(OBSAH!$J$6/100)*Tabulka20107941041161271392124[[#This Row],[Sloupec3]]</f>
        <v>0</v>
      </c>
      <c r="E26" s="66">
        <f>Tabulka20107941041161271392124[[#This Row],[Sloupec3]]-Tabulka20107941041161271392124[[#This Row],[Sloupec4]]</f>
        <v>866</v>
      </c>
    </row>
    <row r="27" spans="1:12" x14ac:dyDescent="0.4">
      <c r="A27" s="112">
        <v>4130000135</v>
      </c>
      <c r="B27" s="113" t="s">
        <v>288</v>
      </c>
      <c r="C27" s="174">
        <v>928</v>
      </c>
      <c r="D27" s="76">
        <f>(OBSAH!$J$6/100)*Tabulka20107941041161271392124[[#This Row],[Sloupec3]]</f>
        <v>0</v>
      </c>
      <c r="E27" s="77">
        <f>Tabulka20107941041161271392124[[#This Row],[Sloupec3]]-Tabulka20107941041161271392124[[#This Row],[Sloupec4]]</f>
        <v>928</v>
      </c>
    </row>
    <row r="28" spans="1:12" x14ac:dyDescent="0.4">
      <c r="A28" s="3"/>
      <c r="B28" s="3"/>
      <c r="C28" s="3"/>
      <c r="D28" s="3"/>
      <c r="E28" s="3"/>
    </row>
    <row r="29" spans="1:12" x14ac:dyDescent="0.4">
      <c r="A29" s="3"/>
      <c r="B29" s="3"/>
      <c r="C29" s="3"/>
      <c r="D29" s="3"/>
      <c r="E29" s="3"/>
    </row>
    <row r="30" spans="1:12" x14ac:dyDescent="0.4">
      <c r="A30" s="3"/>
      <c r="B30" s="3"/>
      <c r="C30" s="3"/>
      <c r="D30" s="3"/>
      <c r="E30" s="3"/>
    </row>
    <row r="31" spans="1:12" ht="36" customHeight="1" x14ac:dyDescent="0.4">
      <c r="A31" s="274" t="s">
        <v>24</v>
      </c>
      <c r="B31" s="274"/>
      <c r="C31" s="274"/>
      <c r="D31" s="274"/>
      <c r="E31" s="274"/>
    </row>
    <row r="32" spans="1:12" ht="22.5" customHeight="1" x14ac:dyDescent="0.4">
      <c r="A32" s="103" t="s">
        <v>39</v>
      </c>
      <c r="B32" s="103" t="s">
        <v>40</v>
      </c>
      <c r="C32" s="104" t="s">
        <v>41</v>
      </c>
      <c r="D32" s="104" t="s">
        <v>42</v>
      </c>
      <c r="E32" s="105" t="s">
        <v>43</v>
      </c>
    </row>
    <row r="33" spans="1:5" s="32" customFormat="1" ht="14.25" customHeight="1" x14ac:dyDescent="0.3">
      <c r="A33" s="140">
        <v>4004004930</v>
      </c>
      <c r="B33" s="141" t="s">
        <v>289</v>
      </c>
      <c r="C33" s="175">
        <v>1323</v>
      </c>
      <c r="D33" s="61">
        <f>(OBSAH!$J$6/100)*Tabulka20107941041161271392127[[#This Row],[Sloupec3]]</f>
        <v>0</v>
      </c>
      <c r="E33" s="62">
        <f>Tabulka20107941041161271392127[[#This Row],[Sloupec3]]-Tabulka20107941041161271392127[[#This Row],[Sloupec4]]</f>
        <v>1323</v>
      </c>
    </row>
    <row r="34" spans="1:5" s="32" customFormat="1" ht="14.25" customHeight="1" x14ac:dyDescent="0.3">
      <c r="A34" s="142">
        <v>4004005368</v>
      </c>
      <c r="B34" s="143" t="s">
        <v>290</v>
      </c>
      <c r="C34" s="176">
        <v>1323</v>
      </c>
      <c r="D34" s="76">
        <f>(OBSAH!$J$6/100)*Tabulka20107941041161271392127[[#This Row],[Sloupec3]]</f>
        <v>0</v>
      </c>
      <c r="E34" s="77">
        <f>Tabulka20107941041161271392127[[#This Row],[Sloupec3]]-Tabulka20107941041161271392127[[#This Row],[Sloupec4]]</f>
        <v>1323</v>
      </c>
    </row>
    <row r="35" spans="1:5" x14ac:dyDescent="0.4">
      <c r="A35" s="3"/>
      <c r="B35" s="3"/>
      <c r="C35" s="3"/>
      <c r="D35" s="3"/>
      <c r="E35" s="3"/>
    </row>
    <row r="36" spans="1:5" x14ac:dyDescent="0.4">
      <c r="A36" s="3"/>
      <c r="B36" s="3"/>
      <c r="C36" s="3"/>
      <c r="D36" s="3"/>
      <c r="E36" s="3"/>
    </row>
  </sheetData>
  <mergeCells count="12">
    <mergeCell ref="A1:E1"/>
    <mergeCell ref="F1:H1"/>
    <mergeCell ref="A2:E2"/>
    <mergeCell ref="F2:H2"/>
    <mergeCell ref="A3:E3"/>
    <mergeCell ref="G19:L19"/>
    <mergeCell ref="A31:E31"/>
    <mergeCell ref="A4:E4"/>
    <mergeCell ref="A5:E5"/>
    <mergeCell ref="A6:E6"/>
    <mergeCell ref="G7:L7"/>
    <mergeCell ref="A18:E18"/>
  </mergeCells>
  <hyperlinks>
    <hyperlink ref="F2" location="OBSAH!I128" display="PŘEJÍT NA UPOZORNĚNÍ" xr:uid="{00000000-0004-0000-0500-000000000000}"/>
  </hyperlinks>
  <pageMargins left="0.7" right="0.7" top="0.78749999999999998" bottom="0.78749999999999998" header="0.51180555555555496" footer="0.51180555555555496"/>
  <pageSetup paperSize="9" firstPageNumber="0" orientation="portrait" horizontalDpi="300" verticalDpi="300"/>
  <drawing r:id="rId1"/>
  <tableParts count="3">
    <tablePart r:id="rId2"/>
    <tablePart r:id="rId3"/>
    <tablePart r:id="rId4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D9D9D9"/>
  </sheetPr>
  <dimension ref="A1:AMK36"/>
  <sheetViews>
    <sheetView zoomScaleNormal="100" workbookViewId="0">
      <pane ySplit="2" topLeftCell="A3" activePane="bottomLeft" state="frozen"/>
      <selection pane="bottomLeft" activeCell="A3" sqref="A3:E3"/>
    </sheetView>
  </sheetViews>
  <sheetFormatPr defaultRowHeight="14.6" x14ac:dyDescent="0.4"/>
  <cols>
    <col min="1" max="1" width="11" style="1" customWidth="1"/>
    <col min="2" max="2" width="44.69140625" style="1" customWidth="1"/>
    <col min="3" max="4" width="10.15234375" style="1" customWidth="1"/>
    <col min="5" max="5" width="15.69140625" style="1" customWidth="1"/>
    <col min="6" max="1025" width="9.15234375" style="1" customWidth="1"/>
  </cols>
  <sheetData>
    <row r="1" spans="1:13" ht="15" customHeight="1" x14ac:dyDescent="0.4">
      <c r="A1" s="239" t="s">
        <v>35</v>
      </c>
      <c r="B1" s="239"/>
      <c r="C1" s="239"/>
      <c r="D1" s="239"/>
      <c r="E1" s="239"/>
      <c r="F1" s="240" t="s">
        <v>36</v>
      </c>
      <c r="G1" s="240"/>
      <c r="H1" s="240"/>
      <c r="I1" s="33">
        <f>OBSAH!J6</f>
        <v>0</v>
      </c>
      <c r="J1" s="34" t="s">
        <v>2</v>
      </c>
      <c r="K1" s="3"/>
      <c r="L1" s="3"/>
      <c r="M1" s="3"/>
    </row>
    <row r="2" spans="1:13" ht="15" customHeight="1" x14ac:dyDescent="0.4">
      <c r="A2" s="239" t="s">
        <v>37</v>
      </c>
      <c r="B2" s="239"/>
      <c r="C2" s="239"/>
      <c r="D2" s="239"/>
      <c r="E2" s="239"/>
      <c r="F2" s="241" t="s">
        <v>3</v>
      </c>
      <c r="G2" s="241"/>
      <c r="H2" s="241"/>
      <c r="I2" s="3"/>
      <c r="J2" s="3"/>
      <c r="K2" s="3"/>
      <c r="L2" s="3"/>
      <c r="M2" s="3"/>
    </row>
    <row r="3" spans="1:13" ht="39" customHeight="1" x14ac:dyDescent="0.6">
      <c r="A3" s="275" t="s">
        <v>25</v>
      </c>
      <c r="B3" s="275"/>
      <c r="C3" s="275"/>
      <c r="D3" s="275"/>
      <c r="E3" s="275"/>
    </row>
    <row r="4" spans="1:13" ht="15" customHeight="1" x14ac:dyDescent="0.55000000000000004">
      <c r="A4" s="215"/>
      <c r="B4" s="215"/>
      <c r="C4" s="215"/>
      <c r="D4" s="215"/>
      <c r="E4" s="215"/>
    </row>
    <row r="5" spans="1:13" ht="15" customHeight="1" x14ac:dyDescent="0.7">
      <c r="A5" s="254"/>
      <c r="B5" s="254"/>
      <c r="C5" s="254"/>
      <c r="D5" s="254"/>
      <c r="E5" s="254"/>
    </row>
    <row r="6" spans="1:13" ht="36" customHeight="1" x14ac:dyDescent="0.4">
      <c r="A6" s="276" t="s">
        <v>26</v>
      </c>
      <c r="B6" s="276"/>
      <c r="C6" s="276"/>
      <c r="D6" s="276"/>
      <c r="E6" s="276"/>
    </row>
    <row r="7" spans="1:13" s="44" customFormat="1" ht="22.5" customHeight="1" x14ac:dyDescent="0.25">
      <c r="A7" s="103" t="s">
        <v>39</v>
      </c>
      <c r="B7" s="103" t="s">
        <v>40</v>
      </c>
      <c r="C7" s="104" t="s">
        <v>41</v>
      </c>
      <c r="D7" s="104" t="s">
        <v>42</v>
      </c>
      <c r="E7" s="105" t="s">
        <v>43</v>
      </c>
      <c r="F7" s="106"/>
      <c r="G7" s="273"/>
      <c r="H7" s="273"/>
      <c r="I7" s="273"/>
      <c r="J7" s="273"/>
      <c r="K7" s="273"/>
      <c r="L7" s="273"/>
    </row>
    <row r="8" spans="1:13" s="115" customFormat="1" ht="14.25" customHeight="1" x14ac:dyDescent="0.3">
      <c r="A8" s="110">
        <v>4110000392</v>
      </c>
      <c r="B8" s="114" t="s">
        <v>326</v>
      </c>
      <c r="C8" s="65">
        <v>2900</v>
      </c>
      <c r="D8" s="61">
        <f>(OBSAH!$J$6/100)*Tabulka20107941041161271392129[[#This Row],[Sloupec3]]</f>
        <v>0</v>
      </c>
      <c r="E8" s="62">
        <f>Tabulka20107941041161271392129[[#This Row],[Sloupec3]]-Tabulka20107941041161271392129[[#This Row],[Sloupec4]]</f>
        <v>2900</v>
      </c>
    </row>
    <row r="9" spans="1:13" s="32" customFormat="1" ht="14.25" customHeight="1" x14ac:dyDescent="0.3">
      <c r="A9" s="110">
        <v>4005100436</v>
      </c>
      <c r="B9" s="114" t="s">
        <v>291</v>
      </c>
      <c r="C9" s="177">
        <v>945</v>
      </c>
      <c r="D9" s="65">
        <f>(OBSAH!$J$6/100)*Tabulka20107941041161271392129[[#This Row],[Sloupec3]]</f>
        <v>0</v>
      </c>
      <c r="E9" s="66">
        <f>Tabulka20107941041161271392129[[#This Row],[Sloupec3]]-Tabulka20107941041161271392129[[#This Row],[Sloupec4]]</f>
        <v>945</v>
      </c>
    </row>
    <row r="10" spans="1:13" s="32" customFormat="1" ht="14.25" customHeight="1" x14ac:dyDescent="0.3">
      <c r="A10" s="138">
        <v>4005100476</v>
      </c>
      <c r="B10" s="143" t="s">
        <v>292</v>
      </c>
      <c r="C10" s="178">
        <v>945</v>
      </c>
      <c r="D10" s="76">
        <f>(OBSAH!$J$6/100)*Tabulka20107941041161271392129[[#This Row],[Sloupec3]]</f>
        <v>0</v>
      </c>
      <c r="E10" s="77">
        <f>Tabulka20107941041161271392129[[#This Row],[Sloupec3]]-Tabulka20107941041161271392129[[#This Row],[Sloupec4]]</f>
        <v>945</v>
      </c>
    </row>
    <row r="11" spans="1:13" x14ac:dyDescent="0.4">
      <c r="A11" s="3"/>
      <c r="B11" s="3"/>
      <c r="C11" s="3"/>
      <c r="D11" s="3"/>
      <c r="E11" s="3"/>
    </row>
    <row r="12" spans="1:13" x14ac:dyDescent="0.4">
      <c r="A12" s="3"/>
      <c r="B12" s="3"/>
      <c r="C12" s="3"/>
      <c r="D12" s="3"/>
      <c r="E12" s="3"/>
    </row>
    <row r="13" spans="1:13" x14ac:dyDescent="0.4">
      <c r="A13" s="3"/>
      <c r="B13" s="3"/>
      <c r="C13" s="3"/>
      <c r="D13" s="3"/>
      <c r="E13" s="3"/>
    </row>
    <row r="14" spans="1:13" s="32" customFormat="1" ht="36" customHeight="1" x14ac:dyDescent="0.3">
      <c r="A14" s="276" t="s">
        <v>27</v>
      </c>
      <c r="B14" s="276"/>
      <c r="C14" s="276"/>
      <c r="D14" s="276"/>
      <c r="E14" s="276"/>
    </row>
    <row r="15" spans="1:13" s="32" customFormat="1" ht="22.5" customHeight="1" x14ac:dyDescent="0.3">
      <c r="A15" s="103" t="s">
        <v>39</v>
      </c>
      <c r="B15" s="103" t="s">
        <v>40</v>
      </c>
      <c r="C15" s="104" t="s">
        <v>41</v>
      </c>
      <c r="D15" s="104" t="s">
        <v>42</v>
      </c>
      <c r="E15" s="105" t="s">
        <v>43</v>
      </c>
    </row>
    <row r="16" spans="1:13" s="32" customFormat="1" ht="14.25" customHeight="1" x14ac:dyDescent="0.3">
      <c r="A16" s="108">
        <v>4004005623</v>
      </c>
      <c r="B16" s="137" t="s">
        <v>293</v>
      </c>
      <c r="C16" s="61">
        <v>3016</v>
      </c>
      <c r="D16" s="61">
        <f>(OBSAH!$J$6/100)*Tabulka2010794104116127139212935[[#This Row],[Sloupec3]]</f>
        <v>0</v>
      </c>
      <c r="E16" s="62">
        <f>Tabulka2010794104116127139212935[[#This Row],[Sloupec3]]-Tabulka2010794104116127139212935[[#This Row],[Sloupec4]]</f>
        <v>3016</v>
      </c>
    </row>
    <row r="17" spans="1:5" s="32" customFormat="1" ht="14.25" customHeight="1" x14ac:dyDescent="0.3">
      <c r="A17" s="110">
        <v>4004005961</v>
      </c>
      <c r="B17" s="107" t="s">
        <v>298</v>
      </c>
      <c r="C17" s="65">
        <v>1391</v>
      </c>
      <c r="D17" s="65">
        <f>(OBSAH!$J$6/100)*Tabulka2010794104116127139212935[[#This Row],[Sloupec3]]</f>
        <v>0</v>
      </c>
      <c r="E17" s="66">
        <f>Tabulka2010794104116127139212935[[#This Row],[Sloupec3]]-Tabulka2010794104116127139212935[[#This Row],[Sloupec4]]</f>
        <v>1391</v>
      </c>
    </row>
    <row r="18" spans="1:5" s="32" customFormat="1" ht="14.25" customHeight="1" x14ac:dyDescent="0.3">
      <c r="A18" s="110">
        <v>4004005624</v>
      </c>
      <c r="B18" s="107" t="s">
        <v>299</v>
      </c>
      <c r="C18" s="65">
        <v>1391</v>
      </c>
      <c r="D18" s="65">
        <f>(OBSAH!$J$6/100)*Tabulka2010794104116127139212935[[#This Row],[Sloupec3]]</f>
        <v>0</v>
      </c>
      <c r="E18" s="66">
        <f>Tabulka2010794104116127139212935[[#This Row],[Sloupec3]]-Tabulka2010794104116127139212935[[#This Row],[Sloupec4]]</f>
        <v>1391</v>
      </c>
    </row>
    <row r="19" spans="1:5" s="32" customFormat="1" ht="14.25" customHeight="1" x14ac:dyDescent="0.3">
      <c r="A19" s="110">
        <v>4004005359</v>
      </c>
      <c r="B19" s="107" t="s">
        <v>294</v>
      </c>
      <c r="C19" s="65">
        <v>1904</v>
      </c>
      <c r="D19" s="65">
        <f>(OBSAH!$J$6/100)*Tabulka2010794104116127139212935[[#This Row],[Sloupec3]]</f>
        <v>0</v>
      </c>
      <c r="E19" s="66">
        <f>Tabulka2010794104116127139212935[[#This Row],[Sloupec3]]-Tabulka2010794104116127139212935[[#This Row],[Sloupec4]]</f>
        <v>1904</v>
      </c>
    </row>
    <row r="20" spans="1:5" s="32" customFormat="1" ht="14.25" customHeight="1" x14ac:dyDescent="0.3">
      <c r="A20" s="110">
        <v>4004001366</v>
      </c>
      <c r="B20" s="107" t="s">
        <v>295</v>
      </c>
      <c r="C20" s="65">
        <v>851</v>
      </c>
      <c r="D20" s="65">
        <f>(OBSAH!$J$6/100)*Tabulka2010794104116127139212935[[#This Row],[Sloupec3]]</f>
        <v>0</v>
      </c>
      <c r="E20" s="66">
        <f>Tabulka2010794104116127139212935[[#This Row],[Sloupec3]]-Tabulka2010794104116127139212935[[#This Row],[Sloupec4]]</f>
        <v>851</v>
      </c>
    </row>
    <row r="21" spans="1:5" s="32" customFormat="1" ht="14.25" customHeight="1" x14ac:dyDescent="0.3">
      <c r="A21" s="138">
        <v>4004005376</v>
      </c>
      <c r="B21" s="139" t="s">
        <v>296</v>
      </c>
      <c r="C21" s="76">
        <v>6811</v>
      </c>
      <c r="D21" s="76">
        <f>(OBSAH!$J$6/100)*Tabulka2010794104116127139212935[[#This Row],[Sloupec3]]</f>
        <v>0</v>
      </c>
      <c r="E21" s="77">
        <f>Tabulka2010794104116127139212935[[#This Row],[Sloupec3]]-Tabulka2010794104116127139212935[[#This Row],[Sloupec4]]</f>
        <v>6811</v>
      </c>
    </row>
    <row r="22" spans="1:5" x14ac:dyDescent="0.4">
      <c r="A22" s="3"/>
      <c r="B22" s="3"/>
      <c r="C22" s="3"/>
      <c r="D22" s="3"/>
      <c r="E22" s="3"/>
    </row>
    <row r="23" spans="1:5" x14ac:dyDescent="0.4">
      <c r="A23" s="3"/>
      <c r="B23" s="3"/>
      <c r="C23" s="3"/>
      <c r="D23" s="3"/>
      <c r="E23" s="3"/>
    </row>
    <row r="24" spans="1:5" x14ac:dyDescent="0.4">
      <c r="A24" s="3"/>
      <c r="B24" s="3"/>
      <c r="C24" s="3"/>
      <c r="D24" s="3"/>
      <c r="E24" s="3"/>
    </row>
    <row r="25" spans="1:5" ht="36" customHeight="1" x14ac:dyDescent="0.4">
      <c r="A25" s="276" t="s">
        <v>28</v>
      </c>
      <c r="B25" s="276"/>
      <c r="C25" s="276"/>
      <c r="D25" s="276"/>
      <c r="E25" s="276"/>
    </row>
    <row r="26" spans="1:5" ht="22.5" customHeight="1" x14ac:dyDescent="0.4">
      <c r="A26" s="103" t="s">
        <v>39</v>
      </c>
      <c r="B26" s="103" t="s">
        <v>40</v>
      </c>
      <c r="C26" s="104" t="s">
        <v>41</v>
      </c>
      <c r="D26" s="104" t="s">
        <v>42</v>
      </c>
      <c r="E26" s="105" t="s">
        <v>43</v>
      </c>
    </row>
    <row r="27" spans="1:5" s="32" customFormat="1" ht="14.25" customHeight="1" x14ac:dyDescent="0.3">
      <c r="A27" s="144">
        <v>4004005156</v>
      </c>
      <c r="B27" s="145" t="s">
        <v>297</v>
      </c>
      <c r="C27" s="65">
        <v>1026</v>
      </c>
      <c r="D27" s="54">
        <f>(OBSAH!$J$6/100)*Tabulka2010794104116127139141233036[[#This Row],[Sloupec3]]</f>
        <v>0</v>
      </c>
      <c r="E27" s="55">
        <f>Tabulka2010794104116127139141233036[[#This Row],[Sloupec3]]-Tabulka2010794104116127139141233036[[#This Row],[Sloupec4]]</f>
        <v>1026</v>
      </c>
    </row>
    <row r="28" spans="1:5" x14ac:dyDescent="0.4">
      <c r="A28" s="117"/>
      <c r="B28" s="117"/>
      <c r="C28" s="117"/>
      <c r="D28" s="73"/>
      <c r="E28" s="74"/>
    </row>
    <row r="29" spans="1:5" x14ac:dyDescent="0.4">
      <c r="A29" s="3"/>
      <c r="B29" s="3"/>
      <c r="C29" s="3"/>
      <c r="D29" s="3"/>
      <c r="E29" s="3"/>
    </row>
    <row r="32" spans="1:5" ht="19.75" x14ac:dyDescent="0.4">
      <c r="A32" s="277"/>
      <c r="B32" s="277"/>
      <c r="C32" s="277"/>
      <c r="D32" s="277"/>
      <c r="E32" s="277"/>
    </row>
    <row r="33" spans="1:5" x14ac:dyDescent="0.4">
      <c r="A33" s="118"/>
      <c r="B33" s="118"/>
      <c r="C33" s="119"/>
      <c r="D33" s="119"/>
      <c r="E33" s="120"/>
    </row>
    <row r="34" spans="1:5" x14ac:dyDescent="0.4">
      <c r="A34" s="121"/>
      <c r="B34" s="121"/>
      <c r="C34" s="122"/>
      <c r="D34" s="123"/>
      <c r="E34" s="124"/>
    </row>
    <row r="35" spans="1:5" x14ac:dyDescent="0.4">
      <c r="A35" s="121"/>
      <c r="B35" s="121"/>
      <c r="C35" s="122"/>
      <c r="D35" s="123"/>
      <c r="E35" s="124"/>
    </row>
    <row r="36" spans="1:5" x14ac:dyDescent="0.4">
      <c r="A36" s="121"/>
      <c r="B36" s="121"/>
      <c r="C36" s="122"/>
      <c r="D36" s="123"/>
      <c r="E36" s="124"/>
    </row>
  </sheetData>
  <mergeCells count="12">
    <mergeCell ref="G7:L7"/>
    <mergeCell ref="A14:E14"/>
    <mergeCell ref="A1:E1"/>
    <mergeCell ref="F1:H1"/>
    <mergeCell ref="A2:E2"/>
    <mergeCell ref="F2:H2"/>
    <mergeCell ref="A3:E3"/>
    <mergeCell ref="A25:E25"/>
    <mergeCell ref="A32:E32"/>
    <mergeCell ref="A4:E4"/>
    <mergeCell ref="A5:E5"/>
    <mergeCell ref="A6:E6"/>
  </mergeCells>
  <hyperlinks>
    <hyperlink ref="F2" location="OBSAH!I128" display="PŘEJÍT NA UPOZORNĚNÍ" xr:uid="{00000000-0004-0000-0600-000000000000}"/>
  </hyperlinks>
  <pageMargins left="0.7" right="0.7" top="0.78749999999999998" bottom="0.78749999999999998" header="0.51180555555555496" footer="0.51180555555555496"/>
  <pageSetup paperSize="9" firstPageNumber="0" orientation="landscape" horizontalDpi="300" verticalDpi="300" r:id="rId1"/>
  <drawing r:id="rId2"/>
  <tableParts count="3">
    <tablePart r:id="rId3"/>
    <tablePart r:id="rId4"/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7</vt:i4>
      </vt:variant>
    </vt:vector>
  </HeadingPairs>
  <TitlesOfParts>
    <vt:vector size="7" baseType="lpstr">
      <vt:lpstr>OBSAH</vt:lpstr>
      <vt:lpstr>DOMOVNÍ TELEFONY</vt:lpstr>
      <vt:lpstr>MELODY E-INK S KLÁVESNICÍ</vt:lpstr>
      <vt:lpstr>DUO plus+ E-INK S KLÁVESNICÍ</vt:lpstr>
      <vt:lpstr>DUO Standard E-INK S KLÁVESNICÍ</vt:lpstr>
      <vt:lpstr>DOPLŇKY K TABLŮM A TELEFONŮM</vt:lpstr>
      <vt:lpstr>VŠE DO ROZVADĚČŮ A STOUPAČEK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Halfar</dc:creator>
  <cp:lastModifiedBy>David Halfar</cp:lastModifiedBy>
  <cp:revision>1</cp:revision>
  <dcterms:created xsi:type="dcterms:W3CDTF">2006-09-16T00:00:00Z</dcterms:created>
  <dcterms:modified xsi:type="dcterms:W3CDTF">2024-01-11T14:18:46Z</dcterms:modified>
  <dc:language>cs-CZ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