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drawings/drawing3.xml" ContentType="application/vnd.openxmlformats-officedocument.drawing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drawings/drawing4.xml" ContentType="application/vnd.openxmlformats-officedocument.drawing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drawings/drawing5.xml" ContentType="application/vnd.openxmlformats-officedocument.drawing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drawings/drawing6.xml" ContentType="application/vnd.openxmlformats-officedocument.drawing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drawings/drawing7.xml" ContentType="application/vnd.openxmlformats-officedocument.drawing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drawings/drawing8.xml" ContentType="application/vnd.openxmlformats-officedocument.drawing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drawings/drawing9.xml" ContentType="application/vnd.openxmlformats-officedocument.drawing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drawings/drawing10.xml" ContentType="application/vnd.openxmlformats-officedocument.drawing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drawings/drawing11.xml" ContentType="application/vnd.openxmlformats-officedocument.drawing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drawings/drawing12.xml" ContentType="application/vnd.openxmlformats-officedocument.drawing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tables/table74.xml" ContentType="application/vnd.openxmlformats-officedocument.spreadsheetml.table+xml"/>
  <Override PartName="/xl/tables/table75.xml" ContentType="application/vnd.openxmlformats-officedocument.spreadsheetml.table+xml"/>
  <Override PartName="/xl/tables/table76.xml" ContentType="application/vnd.openxmlformats-officedocument.spreadsheetml.table+xml"/>
  <Override PartName="/xl/drawings/drawing13.xml" ContentType="application/vnd.openxmlformats-officedocument.drawing+xml"/>
  <Override PartName="/xl/tables/table77.xml" ContentType="application/vnd.openxmlformats-officedocument.spreadsheetml.table+xml"/>
  <Override PartName="/xl/tables/table78.xml" ContentType="application/vnd.openxmlformats-officedocument.spreadsheetml.table+xml"/>
  <Override PartName="/xl/tables/table79.xml" ContentType="application/vnd.openxmlformats-officedocument.spreadsheetml.table+xml"/>
  <Override PartName="/xl/tables/table80.xml" ContentType="application/vnd.openxmlformats-officedocument.spreadsheetml.table+xml"/>
  <Override PartName="/xl/drawings/drawing14.xml" ContentType="application/vnd.openxmlformats-officedocument.drawing+xml"/>
  <Override PartName="/xl/tables/table81.xml" ContentType="application/vnd.openxmlformats-officedocument.spreadsheetml.table+xml"/>
  <Override PartName="/xl/tables/table82.xml" ContentType="application/vnd.openxmlformats-officedocument.spreadsheetml.table+xml"/>
  <Override PartName="/xl/tables/table8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eníky Czechphone\Ceník 2024\CZK\"/>
    </mc:Choice>
  </mc:AlternateContent>
  <xr:revisionPtr revIDLastSave="0" documentId="13_ncr:1_{5A7E96B5-8FF1-4D92-96A5-6C2397327948}" xr6:coauthVersionLast="47" xr6:coauthVersionMax="47" xr10:uidLastSave="{00000000-0000-0000-0000-000000000000}"/>
  <bookViews>
    <workbookView xWindow="2126" yWindow="471" windowWidth="17194" windowHeight="17383" tabRatio="745" xr2:uid="{00000000-000D-0000-FFFF-FFFF00000000}"/>
  </bookViews>
  <sheets>
    <sheet name="OBSAH" sheetId="1" r:id="rId1"/>
    <sheet name="DOMOVNÍ TELEFONY" sheetId="2" r:id="rId2"/>
    <sheet name="MELODY GENOVA S KLÁVESNICÍ" sheetId="3" r:id="rId3"/>
    <sheet name="MELODY GENOVA S TLAČÍTKY" sheetId="4" r:id="rId4"/>
    <sheet name="DUO plus+ GENOVA S KLÁVESNICÍ" sheetId="6" r:id="rId5"/>
    <sheet name="DUO plus+ GENOVA S TLAČÍTKY" sheetId="7" r:id="rId6"/>
    <sheet name="DUO St. GEN. a FlatLine S KLÁV." sheetId="8" r:id="rId7"/>
    <sheet name="DUO Standard GENOVA S TLAČÍTKY" sheetId="9" r:id="rId8"/>
    <sheet name="4+N-05-17 GENOVA S TLAČÍTKY" sheetId="10" r:id="rId9"/>
    <sheet name="4+N-05-16 GENOVA S TLAČÍTKY" sheetId="13" r:id="rId10"/>
    <sheet name="SADY A TLAČÍTKA BEZ KOM." sheetId="16" r:id="rId11"/>
    <sheet name="PŘÍSTUPOVÉ SYSTÉMY" sheetId="17" r:id="rId12"/>
    <sheet name="DOPLŇKY K TABLŮM A TELEFONŮM" sheetId="18" r:id="rId13"/>
    <sheet name="VŠE DO ROZVADĚČŮ A STOUPAČEK" sheetId="19" r:id="rId14"/>
  </sheets>
  <calcPr calcId="181029"/>
</workbook>
</file>

<file path=xl/calcChain.xml><?xml version="1.0" encoding="utf-8"?>
<calcChain xmlns="http://schemas.openxmlformats.org/spreadsheetml/2006/main">
  <c r="D102" i="8" l="1"/>
  <c r="E102" i="8" s="1"/>
  <c r="D94" i="8"/>
  <c r="E94" i="8" s="1"/>
  <c r="D95" i="8"/>
  <c r="E95" i="8" s="1"/>
  <c r="D96" i="8"/>
  <c r="E96" i="8" s="1"/>
  <c r="D97" i="8"/>
  <c r="E97" i="8" s="1"/>
  <c r="D98" i="8"/>
  <c r="E98" i="8" s="1"/>
  <c r="D100" i="8"/>
  <c r="E100" i="8" s="1"/>
  <c r="D101" i="8"/>
  <c r="E101" i="8" s="1"/>
  <c r="D93" i="8"/>
  <c r="E93" i="8" s="1"/>
  <c r="D92" i="8"/>
  <c r="E92" i="8" s="1"/>
  <c r="D91" i="8"/>
  <c r="E91" i="8" s="1"/>
  <c r="D90" i="8"/>
  <c r="E90" i="8" s="1"/>
  <c r="D88" i="8"/>
  <c r="E88" i="8" s="1"/>
  <c r="D87" i="8"/>
  <c r="E87" i="8" s="1"/>
  <c r="D86" i="8"/>
  <c r="E86" i="8" s="1"/>
  <c r="D34" i="19" l="1"/>
  <c r="E34" i="19" s="1"/>
  <c r="D24" i="19"/>
  <c r="E24" i="19" s="1"/>
  <c r="D50" i="16"/>
  <c r="E50" i="16" s="1"/>
  <c r="D49" i="16"/>
  <c r="E49" i="16" s="1"/>
  <c r="D66" i="16"/>
  <c r="E66" i="16" s="1"/>
  <c r="D61" i="16"/>
  <c r="E61" i="16" s="1"/>
  <c r="D56" i="16"/>
  <c r="E56" i="16" s="1"/>
  <c r="D43" i="16"/>
  <c r="E43" i="16" s="1"/>
  <c r="D42" i="16"/>
  <c r="E42" i="16" s="1"/>
  <c r="D35" i="16"/>
  <c r="E35" i="16" s="1"/>
  <c r="D34" i="16"/>
  <c r="E34" i="16" s="1"/>
  <c r="D23" i="16"/>
  <c r="E23" i="16" s="1"/>
  <c r="D29" i="16"/>
  <c r="E29" i="16" s="1"/>
  <c r="D28" i="16"/>
  <c r="E28" i="16" s="1"/>
  <c r="D22" i="16"/>
  <c r="E22" i="16" s="1"/>
  <c r="D9" i="2"/>
  <c r="E9" i="2" s="1"/>
  <c r="D24" i="2"/>
  <c r="E24" i="2" s="1"/>
  <c r="D23" i="2"/>
  <c r="E23" i="2" s="1"/>
  <c r="D18" i="2"/>
  <c r="E18" i="2" s="1"/>
  <c r="D17" i="2"/>
  <c r="E17" i="2" s="1"/>
  <c r="D12" i="2"/>
  <c r="E12" i="2" s="1"/>
  <c r="D11" i="2"/>
  <c r="E11" i="2" s="1"/>
  <c r="D10" i="2"/>
  <c r="E10" i="2" s="1"/>
  <c r="D35" i="19"/>
  <c r="E35" i="19" s="1"/>
  <c r="D33" i="19"/>
  <c r="E33" i="19" s="1"/>
  <c r="D27" i="19"/>
  <c r="E27" i="19" s="1"/>
  <c r="D26" i="19"/>
  <c r="E26" i="19" s="1"/>
  <c r="D25" i="19"/>
  <c r="E25" i="19" s="1"/>
  <c r="D23" i="19"/>
  <c r="E23" i="19" s="1"/>
  <c r="D22" i="19"/>
  <c r="E22" i="19" s="1"/>
  <c r="D8" i="19"/>
  <c r="E8" i="19" s="1"/>
  <c r="D9" i="19"/>
  <c r="E9" i="19" s="1"/>
  <c r="D12" i="19"/>
  <c r="E12" i="19" s="1"/>
  <c r="D13" i="19"/>
  <c r="E13" i="19" s="1"/>
  <c r="D14" i="19"/>
  <c r="E14" i="19" s="1"/>
  <c r="D15" i="19"/>
  <c r="E15" i="19" s="1"/>
  <c r="D16" i="19"/>
  <c r="E16" i="19" s="1"/>
  <c r="D10" i="19"/>
  <c r="E10" i="19" s="1"/>
  <c r="D11" i="19"/>
  <c r="E11" i="19" s="1"/>
  <c r="I1" i="19"/>
  <c r="D43" i="18"/>
  <c r="E43" i="18" s="1"/>
  <c r="D42" i="18"/>
  <c r="E42" i="18" s="1"/>
  <c r="D36" i="18"/>
  <c r="E36" i="18" s="1"/>
  <c r="D35" i="18"/>
  <c r="E35" i="18" s="1"/>
  <c r="D34" i="18"/>
  <c r="E34" i="18" s="1"/>
  <c r="D33" i="18"/>
  <c r="E33" i="18" s="1"/>
  <c r="D32" i="18"/>
  <c r="E32" i="18" s="1"/>
  <c r="D31" i="18"/>
  <c r="E31" i="18" s="1"/>
  <c r="D30" i="18"/>
  <c r="E30" i="18" s="1"/>
  <c r="D29" i="18"/>
  <c r="E29" i="18" s="1"/>
  <c r="D23" i="18"/>
  <c r="E23" i="18" s="1"/>
  <c r="D22" i="18"/>
  <c r="E22" i="18" s="1"/>
  <c r="D21" i="18"/>
  <c r="E21" i="18" s="1"/>
  <c r="D20" i="18"/>
  <c r="E20" i="18" s="1"/>
  <c r="D14" i="18"/>
  <c r="E14" i="18" s="1"/>
  <c r="D13" i="18"/>
  <c r="E13" i="18" s="1"/>
  <c r="D12" i="18"/>
  <c r="E12" i="18" s="1"/>
  <c r="D11" i="18"/>
  <c r="E11" i="18" s="1"/>
  <c r="D10" i="18"/>
  <c r="E10" i="18" s="1"/>
  <c r="D9" i="18"/>
  <c r="E9" i="18" s="1"/>
  <c r="D8" i="18"/>
  <c r="E8" i="18" s="1"/>
  <c r="I1" i="18"/>
  <c r="D41" i="17"/>
  <c r="E41" i="17" s="1"/>
  <c r="D40" i="17"/>
  <c r="E40" i="17" s="1"/>
  <c r="D39" i="17"/>
  <c r="E39" i="17" s="1"/>
  <c r="D38" i="17"/>
  <c r="E38" i="17" s="1"/>
  <c r="D37" i="17"/>
  <c r="E37" i="17" s="1"/>
  <c r="D36" i="17"/>
  <c r="E36" i="17" s="1"/>
  <c r="D34" i="17"/>
  <c r="E34" i="17" s="1"/>
  <c r="D33" i="17"/>
  <c r="E33" i="17" s="1"/>
  <c r="D32" i="17"/>
  <c r="E32" i="17" s="1"/>
  <c r="D25" i="17"/>
  <c r="E25" i="17" s="1"/>
  <c r="D24" i="17"/>
  <c r="E24" i="17" s="1"/>
  <c r="D19" i="17"/>
  <c r="E19" i="17" s="1"/>
  <c r="D18" i="17"/>
  <c r="E18" i="17" s="1"/>
  <c r="D13" i="17"/>
  <c r="E13" i="17" s="1"/>
  <c r="D12" i="17"/>
  <c r="E12" i="17" s="1"/>
  <c r="D11" i="17"/>
  <c r="E11" i="17" s="1"/>
  <c r="D10" i="17"/>
  <c r="E10" i="17" s="1"/>
  <c r="I1" i="17"/>
  <c r="D91" i="16"/>
  <c r="E91" i="16" s="1"/>
  <c r="D90" i="16"/>
  <c r="E90" i="16" s="1"/>
  <c r="D89" i="16"/>
  <c r="E89" i="16" s="1"/>
  <c r="D88" i="16"/>
  <c r="E88" i="16" s="1"/>
  <c r="D87" i="16"/>
  <c r="E87" i="16" s="1"/>
  <c r="D86" i="16"/>
  <c r="E86" i="16" s="1"/>
  <c r="D82" i="16"/>
  <c r="E82" i="16" s="1"/>
  <c r="D81" i="16"/>
  <c r="E81" i="16" s="1"/>
  <c r="D80" i="16"/>
  <c r="E80" i="16" s="1"/>
  <c r="D79" i="16"/>
  <c r="E79" i="16" s="1"/>
  <c r="D78" i="16"/>
  <c r="E78" i="16" s="1"/>
  <c r="D77" i="16"/>
  <c r="E77" i="16" s="1"/>
  <c r="I1" i="16"/>
  <c r="D149" i="13"/>
  <c r="E149" i="13" s="1"/>
  <c r="D148" i="13"/>
  <c r="E148" i="13" s="1"/>
  <c r="D147" i="13"/>
  <c r="E147" i="13" s="1"/>
  <c r="D146" i="13"/>
  <c r="E146" i="13" s="1"/>
  <c r="D145" i="13"/>
  <c r="E145" i="13" s="1"/>
  <c r="D144" i="13"/>
  <c r="E144" i="13" s="1"/>
  <c r="D143" i="13"/>
  <c r="E143" i="13" s="1"/>
  <c r="D142" i="13"/>
  <c r="E142" i="13" s="1"/>
  <c r="D141" i="13"/>
  <c r="E141" i="13" s="1"/>
  <c r="D140" i="13"/>
  <c r="E140" i="13" s="1"/>
  <c r="D139" i="13"/>
  <c r="E139" i="13" s="1"/>
  <c r="D138" i="13"/>
  <c r="E138" i="13" s="1"/>
  <c r="D137" i="13"/>
  <c r="E137" i="13" s="1"/>
  <c r="D136" i="13"/>
  <c r="E136" i="13" s="1"/>
  <c r="D135" i="13"/>
  <c r="E135" i="13" s="1"/>
  <c r="D134" i="13"/>
  <c r="E134" i="13" s="1"/>
  <c r="D133" i="13"/>
  <c r="E133" i="13" s="1"/>
  <c r="D132" i="13"/>
  <c r="E132" i="13" s="1"/>
  <c r="D131" i="13"/>
  <c r="E131" i="13" s="1"/>
  <c r="D130" i="13"/>
  <c r="E130" i="13" s="1"/>
  <c r="D129" i="13"/>
  <c r="E129" i="13" s="1"/>
  <c r="D128" i="13"/>
  <c r="E128" i="13" s="1"/>
  <c r="D127" i="13"/>
  <c r="E127" i="13" s="1"/>
  <c r="D126" i="13"/>
  <c r="E126" i="13" s="1"/>
  <c r="D125" i="13"/>
  <c r="E125" i="13" s="1"/>
  <c r="D124" i="13"/>
  <c r="E124" i="13" s="1"/>
  <c r="D123" i="13"/>
  <c r="E123" i="13" s="1"/>
  <c r="D122" i="13"/>
  <c r="E122" i="13" s="1"/>
  <c r="D121" i="13"/>
  <c r="E121" i="13" s="1"/>
  <c r="D120" i="13"/>
  <c r="E120" i="13" s="1"/>
  <c r="D119" i="13"/>
  <c r="E119" i="13" s="1"/>
  <c r="D115" i="13"/>
  <c r="E115" i="13" s="1"/>
  <c r="D114" i="13"/>
  <c r="E114" i="13" s="1"/>
  <c r="D113" i="13"/>
  <c r="E113" i="13" s="1"/>
  <c r="D112" i="13"/>
  <c r="E112" i="13" s="1"/>
  <c r="D111" i="13"/>
  <c r="E111" i="13" s="1"/>
  <c r="D110" i="13"/>
  <c r="E110" i="13" s="1"/>
  <c r="D109" i="13"/>
  <c r="E109" i="13" s="1"/>
  <c r="D108" i="13"/>
  <c r="E108" i="13" s="1"/>
  <c r="D107" i="13"/>
  <c r="E107" i="13" s="1"/>
  <c r="D106" i="13"/>
  <c r="E106" i="13" s="1"/>
  <c r="D105" i="13"/>
  <c r="E105" i="13" s="1"/>
  <c r="D104" i="13"/>
  <c r="E104" i="13" s="1"/>
  <c r="D103" i="13"/>
  <c r="E103" i="13" s="1"/>
  <c r="D102" i="13"/>
  <c r="E102" i="13" s="1"/>
  <c r="D101" i="13"/>
  <c r="E101" i="13" s="1"/>
  <c r="D100" i="13"/>
  <c r="E100" i="13" s="1"/>
  <c r="D99" i="13"/>
  <c r="E99" i="13" s="1"/>
  <c r="D98" i="13"/>
  <c r="E98" i="13" s="1"/>
  <c r="D97" i="13"/>
  <c r="E97" i="13" s="1"/>
  <c r="D96" i="13"/>
  <c r="E96" i="13" s="1"/>
  <c r="D95" i="13"/>
  <c r="E95" i="13" s="1"/>
  <c r="D94" i="13"/>
  <c r="E94" i="13" s="1"/>
  <c r="D93" i="13"/>
  <c r="E93" i="13" s="1"/>
  <c r="D92" i="13"/>
  <c r="E92" i="13" s="1"/>
  <c r="D91" i="13"/>
  <c r="E91" i="13" s="1"/>
  <c r="D90" i="13"/>
  <c r="E90" i="13" s="1"/>
  <c r="D89" i="13"/>
  <c r="E89" i="13" s="1"/>
  <c r="D88" i="13"/>
  <c r="E88" i="13" s="1"/>
  <c r="D87" i="13"/>
  <c r="E87" i="13" s="1"/>
  <c r="D86" i="13"/>
  <c r="E86" i="13" s="1"/>
  <c r="D85" i="13"/>
  <c r="E85" i="13" s="1"/>
  <c r="D78" i="13"/>
  <c r="E78" i="13" s="1"/>
  <c r="D77" i="13"/>
  <c r="E77" i="13" s="1"/>
  <c r="D76" i="13"/>
  <c r="E76" i="13" s="1"/>
  <c r="D75" i="13"/>
  <c r="E75" i="13" s="1"/>
  <c r="D74" i="13"/>
  <c r="E74" i="13" s="1"/>
  <c r="D73" i="13"/>
  <c r="E73" i="13" s="1"/>
  <c r="D72" i="13"/>
  <c r="E72" i="13" s="1"/>
  <c r="D71" i="13"/>
  <c r="E71" i="13" s="1"/>
  <c r="D70" i="13"/>
  <c r="E70" i="13" s="1"/>
  <c r="D69" i="13"/>
  <c r="E69" i="13" s="1"/>
  <c r="D68" i="13"/>
  <c r="E68" i="13" s="1"/>
  <c r="D67" i="13"/>
  <c r="E67" i="13" s="1"/>
  <c r="D66" i="13"/>
  <c r="E66" i="13" s="1"/>
  <c r="D65" i="13"/>
  <c r="E65" i="13" s="1"/>
  <c r="D64" i="13"/>
  <c r="E64" i="13" s="1"/>
  <c r="D63" i="13"/>
  <c r="E63" i="13" s="1"/>
  <c r="D62" i="13"/>
  <c r="E62" i="13" s="1"/>
  <c r="D61" i="13"/>
  <c r="E61" i="13" s="1"/>
  <c r="D60" i="13"/>
  <c r="E60" i="13" s="1"/>
  <c r="D59" i="13"/>
  <c r="E59" i="13" s="1"/>
  <c r="D58" i="13"/>
  <c r="E58" i="13" s="1"/>
  <c r="D57" i="13"/>
  <c r="E57" i="13" s="1"/>
  <c r="D56" i="13"/>
  <c r="E56" i="13" s="1"/>
  <c r="D55" i="13"/>
  <c r="E55" i="13" s="1"/>
  <c r="D54" i="13"/>
  <c r="E54" i="13" s="1"/>
  <c r="D53" i="13"/>
  <c r="E53" i="13" s="1"/>
  <c r="D52" i="13"/>
  <c r="E52" i="13" s="1"/>
  <c r="D51" i="13"/>
  <c r="E51" i="13" s="1"/>
  <c r="D50" i="13"/>
  <c r="E50" i="13" s="1"/>
  <c r="D49" i="13"/>
  <c r="E49" i="13" s="1"/>
  <c r="D48" i="13"/>
  <c r="E48" i="13" s="1"/>
  <c r="D47" i="13"/>
  <c r="E47" i="13" s="1"/>
  <c r="D46" i="13"/>
  <c r="E46" i="13" s="1"/>
  <c r="D42" i="13"/>
  <c r="E42" i="13" s="1"/>
  <c r="D41" i="13"/>
  <c r="E41" i="13" s="1"/>
  <c r="D40" i="13"/>
  <c r="E40" i="13" s="1"/>
  <c r="D39" i="13"/>
  <c r="E39" i="13" s="1"/>
  <c r="D38" i="13"/>
  <c r="E38" i="13" s="1"/>
  <c r="D37" i="13"/>
  <c r="E37" i="13" s="1"/>
  <c r="D36" i="13"/>
  <c r="E36" i="13" s="1"/>
  <c r="D35" i="13"/>
  <c r="E35" i="13" s="1"/>
  <c r="D34" i="13"/>
  <c r="E34" i="13" s="1"/>
  <c r="D33" i="13"/>
  <c r="E33" i="13" s="1"/>
  <c r="D32" i="13"/>
  <c r="E32" i="13" s="1"/>
  <c r="D31" i="13"/>
  <c r="E31" i="13" s="1"/>
  <c r="D30" i="13"/>
  <c r="E30" i="13" s="1"/>
  <c r="D29" i="13"/>
  <c r="E29" i="13" s="1"/>
  <c r="D28" i="13"/>
  <c r="E28" i="13" s="1"/>
  <c r="D27" i="13"/>
  <c r="E27" i="13" s="1"/>
  <c r="D26" i="13"/>
  <c r="E26" i="13" s="1"/>
  <c r="D25" i="13"/>
  <c r="E25" i="13" s="1"/>
  <c r="D24" i="13"/>
  <c r="E24" i="13" s="1"/>
  <c r="D23" i="13"/>
  <c r="E23" i="13" s="1"/>
  <c r="D22" i="13"/>
  <c r="E22" i="13" s="1"/>
  <c r="D21" i="13"/>
  <c r="E21" i="13" s="1"/>
  <c r="D20" i="13"/>
  <c r="E20" i="13" s="1"/>
  <c r="D19" i="13"/>
  <c r="E19" i="13" s="1"/>
  <c r="D18" i="13"/>
  <c r="E18" i="13" s="1"/>
  <c r="D17" i="13"/>
  <c r="E17" i="13" s="1"/>
  <c r="D16" i="13"/>
  <c r="E16" i="13" s="1"/>
  <c r="D15" i="13"/>
  <c r="E15" i="13" s="1"/>
  <c r="D14" i="13"/>
  <c r="E14" i="13" s="1"/>
  <c r="D13" i="13"/>
  <c r="E13" i="13" s="1"/>
  <c r="D12" i="13"/>
  <c r="E12" i="13" s="1"/>
  <c r="D11" i="13"/>
  <c r="E11" i="13" s="1"/>
  <c r="D10" i="13"/>
  <c r="E10" i="13" s="1"/>
  <c r="I1" i="13"/>
  <c r="D149" i="10"/>
  <c r="E149" i="10" s="1"/>
  <c r="D148" i="10"/>
  <c r="E148" i="10" s="1"/>
  <c r="D147" i="10"/>
  <c r="E147" i="10" s="1"/>
  <c r="D146" i="10"/>
  <c r="E146" i="10" s="1"/>
  <c r="D145" i="10"/>
  <c r="E145" i="10" s="1"/>
  <c r="D144" i="10"/>
  <c r="E144" i="10" s="1"/>
  <c r="D143" i="10"/>
  <c r="E143" i="10" s="1"/>
  <c r="D142" i="10"/>
  <c r="E142" i="10" s="1"/>
  <c r="D141" i="10"/>
  <c r="E141" i="10" s="1"/>
  <c r="D140" i="10"/>
  <c r="E140" i="10" s="1"/>
  <c r="D139" i="10"/>
  <c r="E139" i="10" s="1"/>
  <c r="D138" i="10"/>
  <c r="E138" i="10" s="1"/>
  <c r="D137" i="10"/>
  <c r="E137" i="10" s="1"/>
  <c r="D136" i="10"/>
  <c r="E136" i="10" s="1"/>
  <c r="D135" i="10"/>
  <c r="E135" i="10" s="1"/>
  <c r="D134" i="10"/>
  <c r="E134" i="10" s="1"/>
  <c r="D133" i="10"/>
  <c r="E133" i="10" s="1"/>
  <c r="D132" i="10"/>
  <c r="E132" i="10" s="1"/>
  <c r="D131" i="10"/>
  <c r="E131" i="10" s="1"/>
  <c r="D130" i="10"/>
  <c r="E130" i="10" s="1"/>
  <c r="D129" i="10"/>
  <c r="E129" i="10" s="1"/>
  <c r="D128" i="10"/>
  <c r="E128" i="10" s="1"/>
  <c r="D127" i="10"/>
  <c r="E127" i="10" s="1"/>
  <c r="D126" i="10"/>
  <c r="E126" i="10" s="1"/>
  <c r="D125" i="10"/>
  <c r="E125" i="10" s="1"/>
  <c r="D124" i="10"/>
  <c r="E124" i="10" s="1"/>
  <c r="D123" i="10"/>
  <c r="E123" i="10" s="1"/>
  <c r="D122" i="10"/>
  <c r="E122" i="10" s="1"/>
  <c r="D121" i="10"/>
  <c r="E121" i="10" s="1"/>
  <c r="D120" i="10"/>
  <c r="E120" i="10" s="1"/>
  <c r="D119" i="10"/>
  <c r="E119" i="10" s="1"/>
  <c r="D115" i="10"/>
  <c r="E115" i="10" s="1"/>
  <c r="D114" i="10"/>
  <c r="E114" i="10" s="1"/>
  <c r="D113" i="10"/>
  <c r="E113" i="10" s="1"/>
  <c r="D112" i="10"/>
  <c r="E112" i="10" s="1"/>
  <c r="D111" i="10"/>
  <c r="E111" i="10" s="1"/>
  <c r="D110" i="10"/>
  <c r="E110" i="10" s="1"/>
  <c r="D109" i="10"/>
  <c r="E109" i="10" s="1"/>
  <c r="D108" i="10"/>
  <c r="E108" i="10" s="1"/>
  <c r="D107" i="10"/>
  <c r="E107" i="10" s="1"/>
  <c r="D106" i="10"/>
  <c r="E106" i="10" s="1"/>
  <c r="D105" i="10"/>
  <c r="E105" i="10" s="1"/>
  <c r="D104" i="10"/>
  <c r="E104" i="10" s="1"/>
  <c r="D103" i="10"/>
  <c r="E103" i="10" s="1"/>
  <c r="D102" i="10"/>
  <c r="E102" i="10" s="1"/>
  <c r="D101" i="10"/>
  <c r="E101" i="10" s="1"/>
  <c r="D100" i="10"/>
  <c r="E100" i="10" s="1"/>
  <c r="D99" i="10"/>
  <c r="E99" i="10" s="1"/>
  <c r="D98" i="10"/>
  <c r="E98" i="10" s="1"/>
  <c r="D97" i="10"/>
  <c r="E97" i="10" s="1"/>
  <c r="D96" i="10"/>
  <c r="E96" i="10" s="1"/>
  <c r="D95" i="10"/>
  <c r="E95" i="10" s="1"/>
  <c r="D94" i="10"/>
  <c r="E94" i="10" s="1"/>
  <c r="D93" i="10"/>
  <c r="E93" i="10" s="1"/>
  <c r="D92" i="10"/>
  <c r="E92" i="10" s="1"/>
  <c r="D91" i="10"/>
  <c r="E91" i="10" s="1"/>
  <c r="D90" i="10"/>
  <c r="E90" i="10" s="1"/>
  <c r="D89" i="10"/>
  <c r="E89" i="10" s="1"/>
  <c r="D88" i="10"/>
  <c r="E88" i="10" s="1"/>
  <c r="D87" i="10"/>
  <c r="E87" i="10" s="1"/>
  <c r="D86" i="10"/>
  <c r="E86" i="10" s="1"/>
  <c r="D85" i="10"/>
  <c r="E85" i="10" s="1"/>
  <c r="D78" i="10"/>
  <c r="E78" i="10" s="1"/>
  <c r="D77" i="10"/>
  <c r="E77" i="10" s="1"/>
  <c r="D76" i="10"/>
  <c r="E76" i="10" s="1"/>
  <c r="D75" i="10"/>
  <c r="E75" i="10" s="1"/>
  <c r="D74" i="10"/>
  <c r="E74" i="10" s="1"/>
  <c r="D73" i="10"/>
  <c r="E73" i="10" s="1"/>
  <c r="D72" i="10"/>
  <c r="E72" i="10" s="1"/>
  <c r="D71" i="10"/>
  <c r="E71" i="10" s="1"/>
  <c r="D70" i="10"/>
  <c r="E70" i="10" s="1"/>
  <c r="D69" i="10"/>
  <c r="E69" i="10" s="1"/>
  <c r="D68" i="10"/>
  <c r="E68" i="10" s="1"/>
  <c r="D67" i="10"/>
  <c r="E67" i="10" s="1"/>
  <c r="D66" i="10"/>
  <c r="E66" i="10" s="1"/>
  <c r="D65" i="10"/>
  <c r="E65" i="10" s="1"/>
  <c r="D64" i="10"/>
  <c r="E64" i="10" s="1"/>
  <c r="D63" i="10"/>
  <c r="E63" i="10" s="1"/>
  <c r="D62" i="10"/>
  <c r="E62" i="10" s="1"/>
  <c r="D61" i="10"/>
  <c r="E61" i="10" s="1"/>
  <c r="D60" i="10"/>
  <c r="E60" i="10" s="1"/>
  <c r="D59" i="10"/>
  <c r="E59" i="10" s="1"/>
  <c r="D58" i="10"/>
  <c r="E58" i="10" s="1"/>
  <c r="D57" i="10"/>
  <c r="E57" i="10" s="1"/>
  <c r="D56" i="10"/>
  <c r="E56" i="10" s="1"/>
  <c r="D55" i="10"/>
  <c r="E55" i="10" s="1"/>
  <c r="D54" i="10"/>
  <c r="E54" i="10" s="1"/>
  <c r="D53" i="10"/>
  <c r="E53" i="10" s="1"/>
  <c r="D52" i="10"/>
  <c r="E52" i="10" s="1"/>
  <c r="D51" i="10"/>
  <c r="E51" i="10" s="1"/>
  <c r="D50" i="10"/>
  <c r="E50" i="10" s="1"/>
  <c r="D49" i="10"/>
  <c r="E49" i="10" s="1"/>
  <c r="D48" i="10"/>
  <c r="E48" i="10" s="1"/>
  <c r="D47" i="10"/>
  <c r="E47" i="10" s="1"/>
  <c r="D46" i="10"/>
  <c r="E46" i="10" s="1"/>
  <c r="D42" i="10"/>
  <c r="E42" i="10" s="1"/>
  <c r="D41" i="10"/>
  <c r="E41" i="10" s="1"/>
  <c r="D40" i="10"/>
  <c r="E40" i="10" s="1"/>
  <c r="D39" i="10"/>
  <c r="E39" i="10" s="1"/>
  <c r="D38" i="10"/>
  <c r="E38" i="10" s="1"/>
  <c r="D37" i="10"/>
  <c r="E37" i="10" s="1"/>
  <c r="D36" i="10"/>
  <c r="E36" i="10" s="1"/>
  <c r="D35" i="10"/>
  <c r="E35" i="10" s="1"/>
  <c r="D34" i="10"/>
  <c r="E34" i="10" s="1"/>
  <c r="D33" i="10"/>
  <c r="E33" i="10" s="1"/>
  <c r="D32" i="10"/>
  <c r="E32" i="10" s="1"/>
  <c r="D31" i="10"/>
  <c r="E31" i="10" s="1"/>
  <c r="D30" i="10"/>
  <c r="E30" i="10" s="1"/>
  <c r="D29" i="10"/>
  <c r="E29" i="10" s="1"/>
  <c r="D28" i="10"/>
  <c r="E28" i="10" s="1"/>
  <c r="D27" i="10"/>
  <c r="E27" i="10" s="1"/>
  <c r="D26" i="10"/>
  <c r="E26" i="10" s="1"/>
  <c r="D25" i="10"/>
  <c r="E25" i="10" s="1"/>
  <c r="D24" i="10"/>
  <c r="E24" i="10" s="1"/>
  <c r="D23" i="10"/>
  <c r="E23" i="10" s="1"/>
  <c r="D22" i="10"/>
  <c r="E22" i="10" s="1"/>
  <c r="D21" i="10"/>
  <c r="E21" i="10" s="1"/>
  <c r="D20" i="10"/>
  <c r="E20" i="10" s="1"/>
  <c r="D19" i="10"/>
  <c r="E19" i="10" s="1"/>
  <c r="D18" i="10"/>
  <c r="E18" i="10" s="1"/>
  <c r="D17" i="10"/>
  <c r="E17" i="10" s="1"/>
  <c r="D16" i="10"/>
  <c r="E16" i="10" s="1"/>
  <c r="D15" i="10"/>
  <c r="E15" i="10" s="1"/>
  <c r="D14" i="10"/>
  <c r="E14" i="10" s="1"/>
  <c r="D13" i="10"/>
  <c r="E13" i="10" s="1"/>
  <c r="D12" i="10"/>
  <c r="E12" i="10" s="1"/>
  <c r="D11" i="10"/>
  <c r="E11" i="10" s="1"/>
  <c r="D10" i="10"/>
  <c r="E10" i="10" s="1"/>
  <c r="I1" i="10"/>
  <c r="D222" i="9"/>
  <c r="E222" i="9" s="1"/>
  <c r="D221" i="9"/>
  <c r="E221" i="9" s="1"/>
  <c r="D220" i="9"/>
  <c r="E220" i="9" s="1"/>
  <c r="D219" i="9"/>
  <c r="E219" i="9" s="1"/>
  <c r="D218" i="9"/>
  <c r="E218" i="9" s="1"/>
  <c r="D217" i="9"/>
  <c r="E217" i="9" s="1"/>
  <c r="D216" i="9"/>
  <c r="E216" i="9" s="1"/>
  <c r="D215" i="9"/>
  <c r="E215" i="9" s="1"/>
  <c r="D214" i="9"/>
  <c r="E214" i="9" s="1"/>
  <c r="D213" i="9"/>
  <c r="E213" i="9" s="1"/>
  <c r="D212" i="9"/>
  <c r="E212" i="9" s="1"/>
  <c r="D211" i="9"/>
  <c r="E211" i="9" s="1"/>
  <c r="D210" i="9"/>
  <c r="E210" i="9" s="1"/>
  <c r="D209" i="9"/>
  <c r="E209" i="9" s="1"/>
  <c r="D208" i="9"/>
  <c r="E208" i="9" s="1"/>
  <c r="D207" i="9"/>
  <c r="E207" i="9" s="1"/>
  <c r="D206" i="9"/>
  <c r="E206" i="9" s="1"/>
  <c r="D205" i="9"/>
  <c r="E205" i="9" s="1"/>
  <c r="D204" i="9"/>
  <c r="E204" i="9" s="1"/>
  <c r="D203" i="9"/>
  <c r="E203" i="9" s="1"/>
  <c r="D202" i="9"/>
  <c r="E202" i="9" s="1"/>
  <c r="D201" i="9"/>
  <c r="E201" i="9" s="1"/>
  <c r="D200" i="9"/>
  <c r="E200" i="9" s="1"/>
  <c r="D199" i="9"/>
  <c r="E199" i="9" s="1"/>
  <c r="D198" i="9"/>
  <c r="E198" i="9" s="1"/>
  <c r="D197" i="9"/>
  <c r="E197" i="9" s="1"/>
  <c r="D196" i="9"/>
  <c r="E196" i="9" s="1"/>
  <c r="D195" i="9"/>
  <c r="E195" i="9" s="1"/>
  <c r="D194" i="9"/>
  <c r="E194" i="9" s="1"/>
  <c r="D193" i="9"/>
  <c r="E193" i="9" s="1"/>
  <c r="D192" i="9"/>
  <c r="E192" i="9" s="1"/>
  <c r="D188" i="9"/>
  <c r="E188" i="9" s="1"/>
  <c r="D187" i="9"/>
  <c r="E187" i="9" s="1"/>
  <c r="D186" i="9"/>
  <c r="E186" i="9" s="1"/>
  <c r="D185" i="9"/>
  <c r="E185" i="9" s="1"/>
  <c r="D184" i="9"/>
  <c r="E184" i="9" s="1"/>
  <c r="D183" i="9"/>
  <c r="E183" i="9" s="1"/>
  <c r="D182" i="9"/>
  <c r="E182" i="9" s="1"/>
  <c r="D181" i="9"/>
  <c r="E181" i="9" s="1"/>
  <c r="D180" i="9"/>
  <c r="E180" i="9" s="1"/>
  <c r="D179" i="9"/>
  <c r="E179" i="9" s="1"/>
  <c r="D178" i="9"/>
  <c r="E178" i="9" s="1"/>
  <c r="D177" i="9"/>
  <c r="E177" i="9" s="1"/>
  <c r="D176" i="9"/>
  <c r="E176" i="9" s="1"/>
  <c r="D175" i="9"/>
  <c r="E175" i="9" s="1"/>
  <c r="D174" i="9"/>
  <c r="E174" i="9" s="1"/>
  <c r="D173" i="9"/>
  <c r="E173" i="9" s="1"/>
  <c r="D172" i="9"/>
  <c r="E172" i="9" s="1"/>
  <c r="D171" i="9"/>
  <c r="E171" i="9" s="1"/>
  <c r="D170" i="9"/>
  <c r="E170" i="9" s="1"/>
  <c r="D169" i="9"/>
  <c r="E169" i="9" s="1"/>
  <c r="D168" i="9"/>
  <c r="E168" i="9" s="1"/>
  <c r="D167" i="9"/>
  <c r="E167" i="9" s="1"/>
  <c r="D166" i="9"/>
  <c r="E166" i="9" s="1"/>
  <c r="D165" i="9"/>
  <c r="E165" i="9" s="1"/>
  <c r="D164" i="9"/>
  <c r="E164" i="9" s="1"/>
  <c r="D163" i="9"/>
  <c r="E163" i="9" s="1"/>
  <c r="D162" i="9"/>
  <c r="E162" i="9" s="1"/>
  <c r="D161" i="9"/>
  <c r="E161" i="9" s="1"/>
  <c r="D160" i="9"/>
  <c r="E160" i="9" s="1"/>
  <c r="D159" i="9"/>
  <c r="E159" i="9" s="1"/>
  <c r="D158" i="9"/>
  <c r="E158" i="9" s="1"/>
  <c r="D150" i="9"/>
  <c r="E150" i="9" s="1"/>
  <c r="D149" i="9"/>
  <c r="E149" i="9" s="1"/>
  <c r="D148" i="9"/>
  <c r="E148" i="9" s="1"/>
  <c r="D147" i="9"/>
  <c r="E147" i="9" s="1"/>
  <c r="D146" i="9"/>
  <c r="E146" i="9" s="1"/>
  <c r="D145" i="9"/>
  <c r="E145" i="9" s="1"/>
  <c r="D144" i="9"/>
  <c r="E144" i="9" s="1"/>
  <c r="D143" i="9"/>
  <c r="E143" i="9" s="1"/>
  <c r="D142" i="9"/>
  <c r="E142" i="9" s="1"/>
  <c r="D141" i="9"/>
  <c r="E141" i="9" s="1"/>
  <c r="D140" i="9"/>
  <c r="E140" i="9" s="1"/>
  <c r="D139" i="9"/>
  <c r="E139" i="9" s="1"/>
  <c r="D138" i="9"/>
  <c r="E138" i="9" s="1"/>
  <c r="D137" i="9"/>
  <c r="E137" i="9" s="1"/>
  <c r="D136" i="9"/>
  <c r="E136" i="9" s="1"/>
  <c r="D135" i="9"/>
  <c r="E135" i="9" s="1"/>
  <c r="D134" i="9"/>
  <c r="E134" i="9" s="1"/>
  <c r="D133" i="9"/>
  <c r="E133" i="9" s="1"/>
  <c r="D132" i="9"/>
  <c r="E132" i="9" s="1"/>
  <c r="D131" i="9"/>
  <c r="E131" i="9" s="1"/>
  <c r="D130" i="9"/>
  <c r="E130" i="9" s="1"/>
  <c r="D129" i="9"/>
  <c r="E129" i="9" s="1"/>
  <c r="D128" i="9"/>
  <c r="E128" i="9" s="1"/>
  <c r="D127" i="9"/>
  <c r="E127" i="9" s="1"/>
  <c r="D126" i="9"/>
  <c r="E126" i="9" s="1"/>
  <c r="D125" i="9"/>
  <c r="E125" i="9" s="1"/>
  <c r="D124" i="9"/>
  <c r="E124" i="9" s="1"/>
  <c r="D123" i="9"/>
  <c r="E123" i="9" s="1"/>
  <c r="D122" i="9"/>
  <c r="E122" i="9" s="1"/>
  <c r="D121" i="9"/>
  <c r="E121" i="9" s="1"/>
  <c r="D120" i="9"/>
  <c r="E120" i="9" s="1"/>
  <c r="D116" i="9"/>
  <c r="E116" i="9" s="1"/>
  <c r="D115" i="9"/>
  <c r="E115" i="9" s="1"/>
  <c r="D114" i="9"/>
  <c r="E114" i="9" s="1"/>
  <c r="D113" i="9"/>
  <c r="E113" i="9" s="1"/>
  <c r="D112" i="9"/>
  <c r="E112" i="9" s="1"/>
  <c r="D111" i="9"/>
  <c r="E111" i="9" s="1"/>
  <c r="D110" i="9"/>
  <c r="E110" i="9" s="1"/>
  <c r="D109" i="9"/>
  <c r="E109" i="9" s="1"/>
  <c r="D108" i="9"/>
  <c r="E108" i="9" s="1"/>
  <c r="D107" i="9"/>
  <c r="E107" i="9" s="1"/>
  <c r="D106" i="9"/>
  <c r="E106" i="9" s="1"/>
  <c r="D105" i="9"/>
  <c r="E105" i="9" s="1"/>
  <c r="D104" i="9"/>
  <c r="E104" i="9" s="1"/>
  <c r="D103" i="9"/>
  <c r="E103" i="9" s="1"/>
  <c r="D102" i="9"/>
  <c r="E102" i="9" s="1"/>
  <c r="D101" i="9"/>
  <c r="E101" i="9" s="1"/>
  <c r="D100" i="9"/>
  <c r="E100" i="9" s="1"/>
  <c r="D99" i="9"/>
  <c r="E99" i="9" s="1"/>
  <c r="D98" i="9"/>
  <c r="E98" i="9" s="1"/>
  <c r="D97" i="9"/>
  <c r="E97" i="9" s="1"/>
  <c r="D96" i="9"/>
  <c r="E96" i="9" s="1"/>
  <c r="D95" i="9"/>
  <c r="E95" i="9" s="1"/>
  <c r="D94" i="9"/>
  <c r="E94" i="9" s="1"/>
  <c r="D93" i="9"/>
  <c r="E93" i="9" s="1"/>
  <c r="D92" i="9"/>
  <c r="E92" i="9" s="1"/>
  <c r="D91" i="9"/>
  <c r="E91" i="9" s="1"/>
  <c r="D90" i="9"/>
  <c r="E90" i="9" s="1"/>
  <c r="D89" i="9"/>
  <c r="E89" i="9" s="1"/>
  <c r="D88" i="9"/>
  <c r="E88" i="9" s="1"/>
  <c r="D87" i="9"/>
  <c r="E87" i="9" s="1"/>
  <c r="D86" i="9"/>
  <c r="E86" i="9" s="1"/>
  <c r="D78" i="9"/>
  <c r="E78" i="9" s="1"/>
  <c r="D77" i="9"/>
  <c r="E77" i="9" s="1"/>
  <c r="D76" i="9"/>
  <c r="E76" i="9" s="1"/>
  <c r="D75" i="9"/>
  <c r="E75" i="9" s="1"/>
  <c r="D74" i="9"/>
  <c r="E74" i="9" s="1"/>
  <c r="D73" i="9"/>
  <c r="E73" i="9" s="1"/>
  <c r="D72" i="9"/>
  <c r="E72" i="9" s="1"/>
  <c r="D71" i="9"/>
  <c r="E71" i="9" s="1"/>
  <c r="D70" i="9"/>
  <c r="E70" i="9" s="1"/>
  <c r="D69" i="9"/>
  <c r="E69" i="9" s="1"/>
  <c r="D68" i="9"/>
  <c r="E68" i="9" s="1"/>
  <c r="D67" i="9"/>
  <c r="E67" i="9" s="1"/>
  <c r="D66" i="9"/>
  <c r="E66" i="9" s="1"/>
  <c r="D65" i="9"/>
  <c r="E65" i="9" s="1"/>
  <c r="D64" i="9"/>
  <c r="E64" i="9" s="1"/>
  <c r="D63" i="9"/>
  <c r="E63" i="9" s="1"/>
  <c r="D62" i="9"/>
  <c r="E62" i="9" s="1"/>
  <c r="D61" i="9"/>
  <c r="E61" i="9" s="1"/>
  <c r="D60" i="9"/>
  <c r="E60" i="9" s="1"/>
  <c r="D59" i="9"/>
  <c r="E59" i="9" s="1"/>
  <c r="D58" i="9"/>
  <c r="E58" i="9" s="1"/>
  <c r="D57" i="9"/>
  <c r="E57" i="9" s="1"/>
  <c r="D56" i="9"/>
  <c r="E56" i="9" s="1"/>
  <c r="D55" i="9"/>
  <c r="E55" i="9" s="1"/>
  <c r="D54" i="9"/>
  <c r="E54" i="9" s="1"/>
  <c r="D53" i="9"/>
  <c r="E53" i="9" s="1"/>
  <c r="D52" i="9"/>
  <c r="E52" i="9" s="1"/>
  <c r="D51" i="9"/>
  <c r="E51" i="9" s="1"/>
  <c r="D50" i="9"/>
  <c r="E50" i="9" s="1"/>
  <c r="D49" i="9"/>
  <c r="E49" i="9" s="1"/>
  <c r="D48" i="9"/>
  <c r="E48" i="9" s="1"/>
  <c r="D47" i="9"/>
  <c r="E47" i="9" s="1"/>
  <c r="D46" i="9"/>
  <c r="E46" i="9" s="1"/>
  <c r="D42" i="9"/>
  <c r="E42" i="9" s="1"/>
  <c r="D41" i="9"/>
  <c r="E41" i="9" s="1"/>
  <c r="D40" i="9"/>
  <c r="E40" i="9" s="1"/>
  <c r="D39" i="9"/>
  <c r="E39" i="9" s="1"/>
  <c r="D38" i="9"/>
  <c r="E38" i="9" s="1"/>
  <c r="D37" i="9"/>
  <c r="E37" i="9" s="1"/>
  <c r="D36" i="9"/>
  <c r="E36" i="9" s="1"/>
  <c r="D35" i="9"/>
  <c r="E35" i="9" s="1"/>
  <c r="D34" i="9"/>
  <c r="E34" i="9" s="1"/>
  <c r="D33" i="9"/>
  <c r="E33" i="9" s="1"/>
  <c r="D32" i="9"/>
  <c r="E32" i="9" s="1"/>
  <c r="D31" i="9"/>
  <c r="E31" i="9" s="1"/>
  <c r="D30" i="9"/>
  <c r="E30" i="9" s="1"/>
  <c r="D29" i="9"/>
  <c r="E29" i="9" s="1"/>
  <c r="D28" i="9"/>
  <c r="E28" i="9" s="1"/>
  <c r="D27" i="9"/>
  <c r="E27" i="9" s="1"/>
  <c r="D26" i="9"/>
  <c r="E26" i="9" s="1"/>
  <c r="D25" i="9"/>
  <c r="E25" i="9" s="1"/>
  <c r="D24" i="9"/>
  <c r="E24" i="9" s="1"/>
  <c r="D23" i="9"/>
  <c r="E23" i="9" s="1"/>
  <c r="D22" i="9"/>
  <c r="E22" i="9" s="1"/>
  <c r="D21" i="9"/>
  <c r="E21" i="9" s="1"/>
  <c r="D20" i="9"/>
  <c r="E20" i="9" s="1"/>
  <c r="D19" i="9"/>
  <c r="E19" i="9" s="1"/>
  <c r="D18" i="9"/>
  <c r="E18" i="9" s="1"/>
  <c r="D17" i="9"/>
  <c r="E17" i="9" s="1"/>
  <c r="D16" i="9"/>
  <c r="E16" i="9" s="1"/>
  <c r="D15" i="9"/>
  <c r="E15" i="9" s="1"/>
  <c r="D14" i="9"/>
  <c r="E14" i="9" s="1"/>
  <c r="D13" i="9"/>
  <c r="E13" i="9" s="1"/>
  <c r="D12" i="9"/>
  <c r="E12" i="9" s="1"/>
  <c r="D11" i="9"/>
  <c r="E11" i="9" s="1"/>
  <c r="D10" i="9"/>
  <c r="E10" i="9" s="1"/>
  <c r="I1" i="9"/>
  <c r="D74" i="8"/>
  <c r="E74" i="8" s="1"/>
  <c r="D73" i="8"/>
  <c r="E73" i="8" s="1"/>
  <c r="D72" i="8"/>
  <c r="E72" i="8" s="1"/>
  <c r="D71" i="8"/>
  <c r="E71" i="8" s="1"/>
  <c r="D70" i="8"/>
  <c r="E70" i="8" s="1"/>
  <c r="D69" i="8"/>
  <c r="E69" i="8" s="1"/>
  <c r="D68" i="8"/>
  <c r="E68" i="8" s="1"/>
  <c r="D64" i="8"/>
  <c r="E64" i="8" s="1"/>
  <c r="D63" i="8"/>
  <c r="E63" i="8" s="1"/>
  <c r="D62" i="8"/>
  <c r="E62" i="8" s="1"/>
  <c r="D61" i="8"/>
  <c r="E61" i="8" s="1"/>
  <c r="D60" i="8"/>
  <c r="E60" i="8" s="1"/>
  <c r="D59" i="8"/>
  <c r="E59" i="8" s="1"/>
  <c r="D58" i="8"/>
  <c r="E58" i="8" s="1"/>
  <c r="D50" i="8"/>
  <c r="E50" i="8" s="1"/>
  <c r="D49" i="8"/>
  <c r="E49" i="8" s="1"/>
  <c r="D48" i="8"/>
  <c r="E48" i="8" s="1"/>
  <c r="D47" i="8"/>
  <c r="E47" i="8" s="1"/>
  <c r="D46" i="8"/>
  <c r="E46" i="8" s="1"/>
  <c r="D45" i="8"/>
  <c r="E45" i="8" s="1"/>
  <c r="D44" i="8"/>
  <c r="E44" i="8" s="1"/>
  <c r="D40" i="8"/>
  <c r="E40" i="8" s="1"/>
  <c r="D39" i="8"/>
  <c r="E39" i="8" s="1"/>
  <c r="D38" i="8"/>
  <c r="E38" i="8" s="1"/>
  <c r="D37" i="8"/>
  <c r="E37" i="8" s="1"/>
  <c r="D36" i="8"/>
  <c r="E36" i="8" s="1"/>
  <c r="D35" i="8"/>
  <c r="E35" i="8" s="1"/>
  <c r="D34" i="8"/>
  <c r="E34" i="8" s="1"/>
  <c r="D26" i="8"/>
  <c r="E26" i="8" s="1"/>
  <c r="D25" i="8"/>
  <c r="E25" i="8" s="1"/>
  <c r="D24" i="8"/>
  <c r="E24" i="8" s="1"/>
  <c r="D23" i="8"/>
  <c r="E23" i="8" s="1"/>
  <c r="D22" i="8"/>
  <c r="E22" i="8" s="1"/>
  <c r="D21" i="8"/>
  <c r="E21" i="8" s="1"/>
  <c r="D20" i="8"/>
  <c r="E20" i="8" s="1"/>
  <c r="D16" i="8"/>
  <c r="E16" i="8" s="1"/>
  <c r="D15" i="8"/>
  <c r="E15" i="8" s="1"/>
  <c r="D14" i="8"/>
  <c r="E14" i="8" s="1"/>
  <c r="D13" i="8"/>
  <c r="E13" i="8" s="1"/>
  <c r="D12" i="8"/>
  <c r="E12" i="8" s="1"/>
  <c r="D11" i="8"/>
  <c r="E11" i="8" s="1"/>
  <c r="D10" i="8"/>
  <c r="E10" i="8" s="1"/>
  <c r="I1" i="8"/>
  <c r="D222" i="7"/>
  <c r="E222" i="7" s="1"/>
  <c r="D221" i="7"/>
  <c r="E221" i="7" s="1"/>
  <c r="D220" i="7"/>
  <c r="E220" i="7" s="1"/>
  <c r="D219" i="7"/>
  <c r="E219" i="7" s="1"/>
  <c r="D218" i="7"/>
  <c r="E218" i="7" s="1"/>
  <c r="D217" i="7"/>
  <c r="E217" i="7" s="1"/>
  <c r="D216" i="7"/>
  <c r="E216" i="7" s="1"/>
  <c r="D215" i="7"/>
  <c r="E215" i="7" s="1"/>
  <c r="D214" i="7"/>
  <c r="E214" i="7" s="1"/>
  <c r="D213" i="7"/>
  <c r="E213" i="7" s="1"/>
  <c r="D212" i="7"/>
  <c r="E212" i="7" s="1"/>
  <c r="D211" i="7"/>
  <c r="E211" i="7" s="1"/>
  <c r="D210" i="7"/>
  <c r="E210" i="7" s="1"/>
  <c r="D209" i="7"/>
  <c r="E209" i="7" s="1"/>
  <c r="D208" i="7"/>
  <c r="E208" i="7" s="1"/>
  <c r="D207" i="7"/>
  <c r="E207" i="7" s="1"/>
  <c r="D206" i="7"/>
  <c r="E206" i="7" s="1"/>
  <c r="D205" i="7"/>
  <c r="E205" i="7" s="1"/>
  <c r="D204" i="7"/>
  <c r="E204" i="7" s="1"/>
  <c r="D203" i="7"/>
  <c r="E203" i="7" s="1"/>
  <c r="D202" i="7"/>
  <c r="E202" i="7" s="1"/>
  <c r="D201" i="7"/>
  <c r="E201" i="7" s="1"/>
  <c r="D200" i="7"/>
  <c r="E200" i="7" s="1"/>
  <c r="D199" i="7"/>
  <c r="E199" i="7" s="1"/>
  <c r="D198" i="7"/>
  <c r="E198" i="7" s="1"/>
  <c r="D197" i="7"/>
  <c r="E197" i="7" s="1"/>
  <c r="D196" i="7"/>
  <c r="E196" i="7" s="1"/>
  <c r="D195" i="7"/>
  <c r="E195" i="7" s="1"/>
  <c r="D194" i="7"/>
  <c r="E194" i="7" s="1"/>
  <c r="D193" i="7"/>
  <c r="E193" i="7" s="1"/>
  <c r="D192" i="7"/>
  <c r="E192" i="7" s="1"/>
  <c r="D188" i="7"/>
  <c r="E188" i="7" s="1"/>
  <c r="D187" i="7"/>
  <c r="E187" i="7" s="1"/>
  <c r="D186" i="7"/>
  <c r="E186" i="7" s="1"/>
  <c r="D185" i="7"/>
  <c r="E185" i="7" s="1"/>
  <c r="D184" i="7"/>
  <c r="E184" i="7" s="1"/>
  <c r="D183" i="7"/>
  <c r="E183" i="7" s="1"/>
  <c r="D182" i="7"/>
  <c r="E182" i="7" s="1"/>
  <c r="D181" i="7"/>
  <c r="E181" i="7" s="1"/>
  <c r="D180" i="7"/>
  <c r="E180" i="7" s="1"/>
  <c r="D179" i="7"/>
  <c r="E179" i="7" s="1"/>
  <c r="D178" i="7"/>
  <c r="E178" i="7" s="1"/>
  <c r="D177" i="7"/>
  <c r="E177" i="7" s="1"/>
  <c r="D176" i="7"/>
  <c r="E176" i="7" s="1"/>
  <c r="D175" i="7"/>
  <c r="E175" i="7" s="1"/>
  <c r="D174" i="7"/>
  <c r="E174" i="7" s="1"/>
  <c r="D173" i="7"/>
  <c r="E173" i="7" s="1"/>
  <c r="D172" i="7"/>
  <c r="E172" i="7" s="1"/>
  <c r="D171" i="7"/>
  <c r="E171" i="7" s="1"/>
  <c r="D170" i="7"/>
  <c r="E170" i="7" s="1"/>
  <c r="D169" i="7"/>
  <c r="E169" i="7" s="1"/>
  <c r="D168" i="7"/>
  <c r="E168" i="7" s="1"/>
  <c r="D167" i="7"/>
  <c r="E167" i="7" s="1"/>
  <c r="D166" i="7"/>
  <c r="E166" i="7" s="1"/>
  <c r="D165" i="7"/>
  <c r="E165" i="7" s="1"/>
  <c r="D164" i="7"/>
  <c r="E164" i="7" s="1"/>
  <c r="D163" i="7"/>
  <c r="E163" i="7" s="1"/>
  <c r="D162" i="7"/>
  <c r="E162" i="7" s="1"/>
  <c r="D161" i="7"/>
  <c r="E161" i="7" s="1"/>
  <c r="D160" i="7"/>
  <c r="E160" i="7" s="1"/>
  <c r="D159" i="7"/>
  <c r="E159" i="7" s="1"/>
  <c r="D158" i="7"/>
  <c r="E158" i="7" s="1"/>
  <c r="D150" i="7"/>
  <c r="E150" i="7" s="1"/>
  <c r="D149" i="7"/>
  <c r="E149" i="7" s="1"/>
  <c r="D148" i="7"/>
  <c r="E148" i="7" s="1"/>
  <c r="D147" i="7"/>
  <c r="E147" i="7" s="1"/>
  <c r="D146" i="7"/>
  <c r="E146" i="7" s="1"/>
  <c r="D145" i="7"/>
  <c r="E145" i="7" s="1"/>
  <c r="D144" i="7"/>
  <c r="E144" i="7" s="1"/>
  <c r="D143" i="7"/>
  <c r="E143" i="7" s="1"/>
  <c r="D142" i="7"/>
  <c r="E142" i="7" s="1"/>
  <c r="D141" i="7"/>
  <c r="E141" i="7" s="1"/>
  <c r="D140" i="7"/>
  <c r="E140" i="7" s="1"/>
  <c r="D139" i="7"/>
  <c r="E139" i="7" s="1"/>
  <c r="D138" i="7"/>
  <c r="E138" i="7" s="1"/>
  <c r="D137" i="7"/>
  <c r="E137" i="7" s="1"/>
  <c r="D136" i="7"/>
  <c r="E136" i="7" s="1"/>
  <c r="D135" i="7"/>
  <c r="E135" i="7" s="1"/>
  <c r="D134" i="7"/>
  <c r="E134" i="7" s="1"/>
  <c r="D133" i="7"/>
  <c r="E133" i="7" s="1"/>
  <c r="D132" i="7"/>
  <c r="E132" i="7" s="1"/>
  <c r="D131" i="7"/>
  <c r="E131" i="7" s="1"/>
  <c r="D130" i="7"/>
  <c r="E130" i="7" s="1"/>
  <c r="D129" i="7"/>
  <c r="E129" i="7" s="1"/>
  <c r="D128" i="7"/>
  <c r="E128" i="7" s="1"/>
  <c r="D127" i="7"/>
  <c r="E127" i="7" s="1"/>
  <c r="D126" i="7"/>
  <c r="E126" i="7" s="1"/>
  <c r="D125" i="7"/>
  <c r="E125" i="7" s="1"/>
  <c r="D124" i="7"/>
  <c r="E124" i="7" s="1"/>
  <c r="D123" i="7"/>
  <c r="E123" i="7" s="1"/>
  <c r="D122" i="7"/>
  <c r="E122" i="7" s="1"/>
  <c r="D121" i="7"/>
  <c r="E121" i="7" s="1"/>
  <c r="D120" i="7"/>
  <c r="E120" i="7" s="1"/>
  <c r="D116" i="7"/>
  <c r="E116" i="7" s="1"/>
  <c r="D115" i="7"/>
  <c r="E115" i="7" s="1"/>
  <c r="D114" i="7"/>
  <c r="E114" i="7" s="1"/>
  <c r="D113" i="7"/>
  <c r="E113" i="7" s="1"/>
  <c r="D112" i="7"/>
  <c r="E112" i="7" s="1"/>
  <c r="D111" i="7"/>
  <c r="E111" i="7" s="1"/>
  <c r="D110" i="7"/>
  <c r="E110" i="7" s="1"/>
  <c r="D109" i="7"/>
  <c r="E109" i="7" s="1"/>
  <c r="D108" i="7"/>
  <c r="E108" i="7" s="1"/>
  <c r="D107" i="7"/>
  <c r="E107" i="7" s="1"/>
  <c r="D106" i="7"/>
  <c r="E106" i="7" s="1"/>
  <c r="D105" i="7"/>
  <c r="E105" i="7" s="1"/>
  <c r="D104" i="7"/>
  <c r="E104" i="7" s="1"/>
  <c r="D103" i="7"/>
  <c r="E103" i="7" s="1"/>
  <c r="D102" i="7"/>
  <c r="E102" i="7" s="1"/>
  <c r="D101" i="7"/>
  <c r="E101" i="7" s="1"/>
  <c r="D100" i="7"/>
  <c r="E100" i="7" s="1"/>
  <c r="D99" i="7"/>
  <c r="E99" i="7" s="1"/>
  <c r="D98" i="7"/>
  <c r="E98" i="7" s="1"/>
  <c r="D97" i="7"/>
  <c r="E97" i="7" s="1"/>
  <c r="D96" i="7"/>
  <c r="E96" i="7" s="1"/>
  <c r="D95" i="7"/>
  <c r="E95" i="7" s="1"/>
  <c r="D94" i="7"/>
  <c r="E94" i="7" s="1"/>
  <c r="D93" i="7"/>
  <c r="E93" i="7" s="1"/>
  <c r="D92" i="7"/>
  <c r="E92" i="7" s="1"/>
  <c r="D91" i="7"/>
  <c r="E91" i="7" s="1"/>
  <c r="D90" i="7"/>
  <c r="E90" i="7" s="1"/>
  <c r="D89" i="7"/>
  <c r="E89" i="7" s="1"/>
  <c r="D88" i="7"/>
  <c r="E88" i="7" s="1"/>
  <c r="D87" i="7"/>
  <c r="E87" i="7" s="1"/>
  <c r="D86" i="7"/>
  <c r="E86" i="7" s="1"/>
  <c r="D78" i="7"/>
  <c r="E78" i="7" s="1"/>
  <c r="D77" i="7"/>
  <c r="E77" i="7" s="1"/>
  <c r="D76" i="7"/>
  <c r="E76" i="7" s="1"/>
  <c r="D75" i="7"/>
  <c r="E75" i="7" s="1"/>
  <c r="D74" i="7"/>
  <c r="E74" i="7" s="1"/>
  <c r="D73" i="7"/>
  <c r="E73" i="7" s="1"/>
  <c r="D72" i="7"/>
  <c r="E72" i="7" s="1"/>
  <c r="D71" i="7"/>
  <c r="E71" i="7" s="1"/>
  <c r="D70" i="7"/>
  <c r="E70" i="7" s="1"/>
  <c r="D69" i="7"/>
  <c r="E69" i="7" s="1"/>
  <c r="D68" i="7"/>
  <c r="E68" i="7" s="1"/>
  <c r="D67" i="7"/>
  <c r="E67" i="7" s="1"/>
  <c r="D66" i="7"/>
  <c r="E66" i="7" s="1"/>
  <c r="D65" i="7"/>
  <c r="E65" i="7" s="1"/>
  <c r="D64" i="7"/>
  <c r="E64" i="7" s="1"/>
  <c r="D63" i="7"/>
  <c r="E63" i="7" s="1"/>
  <c r="D62" i="7"/>
  <c r="E62" i="7" s="1"/>
  <c r="D61" i="7"/>
  <c r="E61" i="7" s="1"/>
  <c r="D60" i="7"/>
  <c r="E60" i="7" s="1"/>
  <c r="D59" i="7"/>
  <c r="E59" i="7" s="1"/>
  <c r="D58" i="7"/>
  <c r="E58" i="7" s="1"/>
  <c r="D57" i="7"/>
  <c r="E57" i="7" s="1"/>
  <c r="D56" i="7"/>
  <c r="E56" i="7" s="1"/>
  <c r="D55" i="7"/>
  <c r="E55" i="7" s="1"/>
  <c r="D54" i="7"/>
  <c r="E54" i="7" s="1"/>
  <c r="D53" i="7"/>
  <c r="E53" i="7" s="1"/>
  <c r="D52" i="7"/>
  <c r="E52" i="7" s="1"/>
  <c r="D51" i="7"/>
  <c r="E51" i="7" s="1"/>
  <c r="D50" i="7"/>
  <c r="E50" i="7" s="1"/>
  <c r="D49" i="7"/>
  <c r="E49" i="7" s="1"/>
  <c r="D48" i="7"/>
  <c r="E48" i="7" s="1"/>
  <c r="D47" i="7"/>
  <c r="E47" i="7" s="1"/>
  <c r="D46" i="7"/>
  <c r="E46" i="7" s="1"/>
  <c r="I1" i="7"/>
  <c r="D74" i="6"/>
  <c r="E74" i="6" s="1"/>
  <c r="D73" i="6"/>
  <c r="E73" i="6" s="1"/>
  <c r="D72" i="6"/>
  <c r="E72" i="6" s="1"/>
  <c r="D71" i="6"/>
  <c r="E71" i="6" s="1"/>
  <c r="D70" i="6"/>
  <c r="E70" i="6" s="1"/>
  <c r="D69" i="6"/>
  <c r="E69" i="6" s="1"/>
  <c r="D68" i="6"/>
  <c r="E68" i="6" s="1"/>
  <c r="D64" i="6"/>
  <c r="E64" i="6" s="1"/>
  <c r="D63" i="6"/>
  <c r="E63" i="6" s="1"/>
  <c r="D62" i="6"/>
  <c r="E62" i="6" s="1"/>
  <c r="D61" i="6"/>
  <c r="E61" i="6" s="1"/>
  <c r="D60" i="6"/>
  <c r="E60" i="6" s="1"/>
  <c r="D59" i="6"/>
  <c r="E59" i="6" s="1"/>
  <c r="D58" i="6"/>
  <c r="E58" i="6" s="1"/>
  <c r="D50" i="6"/>
  <c r="E50" i="6" s="1"/>
  <c r="D49" i="6"/>
  <c r="E49" i="6" s="1"/>
  <c r="D48" i="6"/>
  <c r="E48" i="6" s="1"/>
  <c r="D47" i="6"/>
  <c r="E47" i="6" s="1"/>
  <c r="D46" i="6"/>
  <c r="E46" i="6" s="1"/>
  <c r="D45" i="6"/>
  <c r="E45" i="6" s="1"/>
  <c r="D44" i="6"/>
  <c r="E44" i="6" s="1"/>
  <c r="D40" i="6"/>
  <c r="E40" i="6" s="1"/>
  <c r="D39" i="6"/>
  <c r="E39" i="6" s="1"/>
  <c r="D38" i="6"/>
  <c r="E38" i="6" s="1"/>
  <c r="D37" i="6"/>
  <c r="E37" i="6" s="1"/>
  <c r="D36" i="6"/>
  <c r="E36" i="6" s="1"/>
  <c r="D35" i="6"/>
  <c r="E35" i="6" s="1"/>
  <c r="D34" i="6"/>
  <c r="E34" i="6" s="1"/>
  <c r="D26" i="6"/>
  <c r="E26" i="6" s="1"/>
  <c r="D25" i="6"/>
  <c r="E25" i="6" s="1"/>
  <c r="D24" i="6"/>
  <c r="E24" i="6" s="1"/>
  <c r="D23" i="6"/>
  <c r="E23" i="6" s="1"/>
  <c r="D22" i="6"/>
  <c r="E22" i="6" s="1"/>
  <c r="D21" i="6"/>
  <c r="E21" i="6" s="1"/>
  <c r="D20" i="6"/>
  <c r="E20" i="6" s="1"/>
  <c r="D16" i="6"/>
  <c r="E16" i="6" s="1"/>
  <c r="D15" i="6"/>
  <c r="E15" i="6" s="1"/>
  <c r="D14" i="6"/>
  <c r="E14" i="6" s="1"/>
  <c r="D13" i="6"/>
  <c r="E13" i="6" s="1"/>
  <c r="D12" i="6"/>
  <c r="E12" i="6" s="1"/>
  <c r="D11" i="6"/>
  <c r="E11" i="6" s="1"/>
  <c r="D10" i="6"/>
  <c r="E10" i="6" s="1"/>
  <c r="I1" i="6"/>
  <c r="D302" i="4"/>
  <c r="E302" i="4" s="1"/>
  <c r="D301" i="4"/>
  <c r="E301" i="4" s="1"/>
  <c r="D300" i="4"/>
  <c r="E300" i="4" s="1"/>
  <c r="D299" i="4"/>
  <c r="E299" i="4" s="1"/>
  <c r="D298" i="4"/>
  <c r="E298" i="4" s="1"/>
  <c r="D297" i="4"/>
  <c r="E297" i="4" s="1"/>
  <c r="D296" i="4"/>
  <c r="E296" i="4" s="1"/>
  <c r="D295" i="4"/>
  <c r="E295" i="4" s="1"/>
  <c r="D294" i="4"/>
  <c r="E294" i="4" s="1"/>
  <c r="D293" i="4"/>
  <c r="E293" i="4" s="1"/>
  <c r="D292" i="4"/>
  <c r="E292" i="4" s="1"/>
  <c r="D291" i="4"/>
  <c r="E291" i="4" s="1"/>
  <c r="D290" i="4"/>
  <c r="E290" i="4" s="1"/>
  <c r="D289" i="4"/>
  <c r="E289" i="4" s="1"/>
  <c r="D288" i="4"/>
  <c r="E288" i="4" s="1"/>
  <c r="D287" i="4"/>
  <c r="E287" i="4" s="1"/>
  <c r="D286" i="4"/>
  <c r="E286" i="4" s="1"/>
  <c r="D285" i="4"/>
  <c r="E285" i="4" s="1"/>
  <c r="D284" i="4"/>
  <c r="E284" i="4" s="1"/>
  <c r="D283" i="4"/>
  <c r="E283" i="4" s="1"/>
  <c r="D282" i="4"/>
  <c r="E282" i="4" s="1"/>
  <c r="D281" i="4"/>
  <c r="E281" i="4" s="1"/>
  <c r="D280" i="4"/>
  <c r="E280" i="4" s="1"/>
  <c r="D279" i="4"/>
  <c r="E279" i="4" s="1"/>
  <c r="D278" i="4"/>
  <c r="E278" i="4" s="1"/>
  <c r="D277" i="4"/>
  <c r="E277" i="4" s="1"/>
  <c r="D276" i="4"/>
  <c r="E276" i="4" s="1"/>
  <c r="D275" i="4"/>
  <c r="E275" i="4" s="1"/>
  <c r="D274" i="4"/>
  <c r="E274" i="4" s="1"/>
  <c r="D273" i="4"/>
  <c r="E273" i="4" s="1"/>
  <c r="D269" i="4"/>
  <c r="E269" i="4" s="1"/>
  <c r="D268" i="4"/>
  <c r="E268" i="4" s="1"/>
  <c r="D267" i="4"/>
  <c r="E267" i="4" s="1"/>
  <c r="D266" i="4"/>
  <c r="E266" i="4" s="1"/>
  <c r="D265" i="4"/>
  <c r="E265" i="4" s="1"/>
  <c r="D264" i="4"/>
  <c r="E264" i="4" s="1"/>
  <c r="D263" i="4"/>
  <c r="E263" i="4" s="1"/>
  <c r="D262" i="4"/>
  <c r="E262" i="4" s="1"/>
  <c r="D261" i="4"/>
  <c r="E261" i="4" s="1"/>
  <c r="D260" i="4"/>
  <c r="E260" i="4" s="1"/>
  <c r="D259" i="4"/>
  <c r="E259" i="4" s="1"/>
  <c r="D258" i="4"/>
  <c r="E258" i="4" s="1"/>
  <c r="D257" i="4"/>
  <c r="E257" i="4" s="1"/>
  <c r="D256" i="4"/>
  <c r="E256" i="4" s="1"/>
  <c r="D255" i="4"/>
  <c r="E255" i="4" s="1"/>
  <c r="D254" i="4"/>
  <c r="E254" i="4" s="1"/>
  <c r="D253" i="4"/>
  <c r="E253" i="4" s="1"/>
  <c r="D252" i="4"/>
  <c r="E252" i="4" s="1"/>
  <c r="D251" i="4"/>
  <c r="E251" i="4" s="1"/>
  <c r="D250" i="4"/>
  <c r="E250" i="4" s="1"/>
  <c r="D249" i="4"/>
  <c r="E249" i="4" s="1"/>
  <c r="D248" i="4"/>
  <c r="E248" i="4" s="1"/>
  <c r="D247" i="4"/>
  <c r="E247" i="4" s="1"/>
  <c r="D246" i="4"/>
  <c r="E246" i="4" s="1"/>
  <c r="D245" i="4"/>
  <c r="E245" i="4" s="1"/>
  <c r="D244" i="4"/>
  <c r="E244" i="4" s="1"/>
  <c r="D243" i="4"/>
  <c r="E243" i="4" s="1"/>
  <c r="D242" i="4"/>
  <c r="E242" i="4" s="1"/>
  <c r="D241" i="4"/>
  <c r="E241" i="4" s="1"/>
  <c r="D240" i="4"/>
  <c r="E240" i="4" s="1"/>
  <c r="D232" i="4"/>
  <c r="E232" i="4" s="1"/>
  <c r="D231" i="4"/>
  <c r="E231" i="4" s="1"/>
  <c r="D230" i="4"/>
  <c r="E230" i="4" s="1"/>
  <c r="D229" i="4"/>
  <c r="E229" i="4" s="1"/>
  <c r="D228" i="4"/>
  <c r="E228" i="4" s="1"/>
  <c r="D227" i="4"/>
  <c r="E227" i="4" s="1"/>
  <c r="D226" i="4"/>
  <c r="E226" i="4" s="1"/>
  <c r="D225" i="4"/>
  <c r="E225" i="4" s="1"/>
  <c r="D224" i="4"/>
  <c r="E224" i="4" s="1"/>
  <c r="D223" i="4"/>
  <c r="E223" i="4" s="1"/>
  <c r="D222" i="4"/>
  <c r="E222" i="4" s="1"/>
  <c r="D221" i="4"/>
  <c r="E221" i="4" s="1"/>
  <c r="D220" i="4"/>
  <c r="E220" i="4" s="1"/>
  <c r="D219" i="4"/>
  <c r="E219" i="4" s="1"/>
  <c r="D218" i="4"/>
  <c r="E218" i="4" s="1"/>
  <c r="D217" i="4"/>
  <c r="E217" i="4" s="1"/>
  <c r="D216" i="4"/>
  <c r="E216" i="4" s="1"/>
  <c r="D215" i="4"/>
  <c r="E215" i="4" s="1"/>
  <c r="D214" i="4"/>
  <c r="E214" i="4" s="1"/>
  <c r="D213" i="4"/>
  <c r="E213" i="4" s="1"/>
  <c r="D212" i="4"/>
  <c r="E212" i="4" s="1"/>
  <c r="D211" i="4"/>
  <c r="E211" i="4" s="1"/>
  <c r="D210" i="4"/>
  <c r="E210" i="4" s="1"/>
  <c r="D209" i="4"/>
  <c r="E209" i="4" s="1"/>
  <c r="D208" i="4"/>
  <c r="E208" i="4" s="1"/>
  <c r="D207" i="4"/>
  <c r="E207" i="4" s="1"/>
  <c r="D206" i="4"/>
  <c r="E206" i="4" s="1"/>
  <c r="D205" i="4"/>
  <c r="E205" i="4" s="1"/>
  <c r="D204" i="4"/>
  <c r="E204" i="4" s="1"/>
  <c r="D203" i="4"/>
  <c r="E203" i="4" s="1"/>
  <c r="D202" i="4"/>
  <c r="E202" i="4" s="1"/>
  <c r="D198" i="4"/>
  <c r="E198" i="4" s="1"/>
  <c r="D197" i="4"/>
  <c r="E197" i="4" s="1"/>
  <c r="D196" i="4"/>
  <c r="E196" i="4" s="1"/>
  <c r="D195" i="4"/>
  <c r="E195" i="4" s="1"/>
  <c r="D194" i="4"/>
  <c r="E194" i="4" s="1"/>
  <c r="D193" i="4"/>
  <c r="E193" i="4" s="1"/>
  <c r="D192" i="4"/>
  <c r="E192" i="4" s="1"/>
  <c r="D191" i="4"/>
  <c r="E191" i="4" s="1"/>
  <c r="D190" i="4"/>
  <c r="E190" i="4" s="1"/>
  <c r="D189" i="4"/>
  <c r="E189" i="4" s="1"/>
  <c r="D188" i="4"/>
  <c r="E188" i="4" s="1"/>
  <c r="D187" i="4"/>
  <c r="E187" i="4" s="1"/>
  <c r="D186" i="4"/>
  <c r="E186" i="4" s="1"/>
  <c r="D185" i="4"/>
  <c r="E185" i="4" s="1"/>
  <c r="D184" i="4"/>
  <c r="E184" i="4" s="1"/>
  <c r="D183" i="4"/>
  <c r="E183" i="4" s="1"/>
  <c r="D182" i="4"/>
  <c r="E182" i="4" s="1"/>
  <c r="D181" i="4"/>
  <c r="E181" i="4" s="1"/>
  <c r="D180" i="4"/>
  <c r="E180" i="4" s="1"/>
  <c r="D179" i="4"/>
  <c r="E179" i="4" s="1"/>
  <c r="D178" i="4"/>
  <c r="E178" i="4" s="1"/>
  <c r="D177" i="4"/>
  <c r="E177" i="4" s="1"/>
  <c r="D176" i="4"/>
  <c r="E176" i="4" s="1"/>
  <c r="D175" i="4"/>
  <c r="E175" i="4" s="1"/>
  <c r="D174" i="4"/>
  <c r="E174" i="4" s="1"/>
  <c r="D173" i="4"/>
  <c r="E173" i="4" s="1"/>
  <c r="D172" i="4"/>
  <c r="E172" i="4" s="1"/>
  <c r="D171" i="4"/>
  <c r="E171" i="4" s="1"/>
  <c r="D170" i="4"/>
  <c r="E170" i="4" s="1"/>
  <c r="D169" i="4"/>
  <c r="E169" i="4" s="1"/>
  <c r="D168" i="4"/>
  <c r="E168" i="4" s="1"/>
  <c r="D160" i="4"/>
  <c r="E160" i="4" s="1"/>
  <c r="D159" i="4"/>
  <c r="E159" i="4" s="1"/>
  <c r="D158" i="4"/>
  <c r="E158" i="4" s="1"/>
  <c r="D157" i="4"/>
  <c r="E157" i="4" s="1"/>
  <c r="D156" i="4"/>
  <c r="E156" i="4" s="1"/>
  <c r="D155" i="4"/>
  <c r="E155" i="4" s="1"/>
  <c r="D154" i="4"/>
  <c r="E154" i="4" s="1"/>
  <c r="D153" i="4"/>
  <c r="E153" i="4" s="1"/>
  <c r="D152" i="4"/>
  <c r="E152" i="4" s="1"/>
  <c r="D151" i="4"/>
  <c r="E151" i="4" s="1"/>
  <c r="D150" i="4"/>
  <c r="E150" i="4" s="1"/>
  <c r="D149" i="4"/>
  <c r="E149" i="4" s="1"/>
  <c r="D148" i="4"/>
  <c r="E148" i="4" s="1"/>
  <c r="D147" i="4"/>
  <c r="E147" i="4" s="1"/>
  <c r="D146" i="4"/>
  <c r="E146" i="4" s="1"/>
  <c r="D145" i="4"/>
  <c r="E145" i="4" s="1"/>
  <c r="D144" i="4"/>
  <c r="E144" i="4" s="1"/>
  <c r="D143" i="4"/>
  <c r="E143" i="4" s="1"/>
  <c r="D142" i="4"/>
  <c r="E142" i="4" s="1"/>
  <c r="D141" i="4"/>
  <c r="E141" i="4" s="1"/>
  <c r="D140" i="4"/>
  <c r="E140" i="4" s="1"/>
  <c r="D139" i="4"/>
  <c r="E139" i="4" s="1"/>
  <c r="D138" i="4"/>
  <c r="E138" i="4" s="1"/>
  <c r="D137" i="4"/>
  <c r="E137" i="4" s="1"/>
  <c r="D136" i="4"/>
  <c r="E136" i="4" s="1"/>
  <c r="D135" i="4"/>
  <c r="E135" i="4" s="1"/>
  <c r="D134" i="4"/>
  <c r="E134" i="4" s="1"/>
  <c r="D133" i="4"/>
  <c r="E133" i="4" s="1"/>
  <c r="D132" i="4"/>
  <c r="E132" i="4" s="1"/>
  <c r="D131" i="4"/>
  <c r="E131" i="4" s="1"/>
  <c r="D130" i="4"/>
  <c r="E130" i="4" s="1"/>
  <c r="D126" i="4"/>
  <c r="E126" i="4" s="1"/>
  <c r="D125" i="4"/>
  <c r="E125" i="4" s="1"/>
  <c r="D124" i="4"/>
  <c r="E124" i="4" s="1"/>
  <c r="D123" i="4"/>
  <c r="E123" i="4" s="1"/>
  <c r="D122" i="4"/>
  <c r="E122" i="4" s="1"/>
  <c r="D121" i="4"/>
  <c r="E121" i="4" s="1"/>
  <c r="D120" i="4"/>
  <c r="E120" i="4" s="1"/>
  <c r="D119" i="4"/>
  <c r="E119" i="4" s="1"/>
  <c r="D118" i="4"/>
  <c r="E118" i="4" s="1"/>
  <c r="D117" i="4"/>
  <c r="E117" i="4" s="1"/>
  <c r="D116" i="4"/>
  <c r="E116" i="4" s="1"/>
  <c r="D115" i="4"/>
  <c r="E115" i="4" s="1"/>
  <c r="D114" i="4"/>
  <c r="E114" i="4" s="1"/>
  <c r="D113" i="4"/>
  <c r="E113" i="4" s="1"/>
  <c r="D112" i="4"/>
  <c r="E112" i="4" s="1"/>
  <c r="D111" i="4"/>
  <c r="E111" i="4" s="1"/>
  <c r="D110" i="4"/>
  <c r="E110" i="4" s="1"/>
  <c r="D109" i="4"/>
  <c r="E109" i="4" s="1"/>
  <c r="D108" i="4"/>
  <c r="E108" i="4" s="1"/>
  <c r="D107" i="4"/>
  <c r="E107" i="4" s="1"/>
  <c r="D106" i="4"/>
  <c r="E106" i="4" s="1"/>
  <c r="D105" i="4"/>
  <c r="E105" i="4" s="1"/>
  <c r="D104" i="4"/>
  <c r="E104" i="4" s="1"/>
  <c r="D103" i="4"/>
  <c r="E103" i="4" s="1"/>
  <c r="D102" i="4"/>
  <c r="E102" i="4" s="1"/>
  <c r="D101" i="4"/>
  <c r="E101" i="4" s="1"/>
  <c r="D100" i="4"/>
  <c r="E100" i="4" s="1"/>
  <c r="D99" i="4"/>
  <c r="E99" i="4" s="1"/>
  <c r="D98" i="4"/>
  <c r="E98" i="4" s="1"/>
  <c r="D97" i="4"/>
  <c r="E97" i="4" s="1"/>
  <c r="D96" i="4"/>
  <c r="E96" i="4" s="1"/>
  <c r="D89" i="4"/>
  <c r="E89" i="4" s="1"/>
  <c r="D78" i="4"/>
  <c r="E78" i="4" s="1"/>
  <c r="D77" i="4"/>
  <c r="E77" i="4" s="1"/>
  <c r="D76" i="4"/>
  <c r="E76" i="4" s="1"/>
  <c r="D75" i="4"/>
  <c r="E75" i="4" s="1"/>
  <c r="D74" i="4"/>
  <c r="E74" i="4" s="1"/>
  <c r="D73" i="4"/>
  <c r="E73" i="4" s="1"/>
  <c r="D72" i="4"/>
  <c r="E72" i="4" s="1"/>
  <c r="D71" i="4"/>
  <c r="E71" i="4" s="1"/>
  <c r="D70" i="4"/>
  <c r="E70" i="4" s="1"/>
  <c r="D69" i="4"/>
  <c r="E69" i="4" s="1"/>
  <c r="D68" i="4"/>
  <c r="E68" i="4" s="1"/>
  <c r="D67" i="4"/>
  <c r="E67" i="4" s="1"/>
  <c r="D66" i="4"/>
  <c r="E66" i="4" s="1"/>
  <c r="D65" i="4"/>
  <c r="E65" i="4" s="1"/>
  <c r="D64" i="4"/>
  <c r="E64" i="4" s="1"/>
  <c r="D63" i="4"/>
  <c r="E63" i="4" s="1"/>
  <c r="D62" i="4"/>
  <c r="E62" i="4" s="1"/>
  <c r="D61" i="4"/>
  <c r="E61" i="4" s="1"/>
  <c r="D60" i="4"/>
  <c r="E60" i="4" s="1"/>
  <c r="D59" i="4"/>
  <c r="E59" i="4" s="1"/>
  <c r="D58" i="4"/>
  <c r="E58" i="4" s="1"/>
  <c r="D57" i="4"/>
  <c r="E57" i="4" s="1"/>
  <c r="D56" i="4"/>
  <c r="E56" i="4" s="1"/>
  <c r="D55" i="4"/>
  <c r="E55" i="4" s="1"/>
  <c r="D54" i="4"/>
  <c r="E54" i="4" s="1"/>
  <c r="D53" i="4"/>
  <c r="E53" i="4" s="1"/>
  <c r="D52" i="4"/>
  <c r="E52" i="4" s="1"/>
  <c r="D51" i="4"/>
  <c r="E51" i="4" s="1"/>
  <c r="D50" i="4"/>
  <c r="E50" i="4" s="1"/>
  <c r="D49" i="4"/>
  <c r="E49" i="4" s="1"/>
  <c r="D48" i="4"/>
  <c r="E48" i="4" s="1"/>
  <c r="D47" i="4"/>
  <c r="E47" i="4" s="1"/>
  <c r="D46" i="4"/>
  <c r="E46" i="4" s="1"/>
  <c r="D42" i="4"/>
  <c r="E42" i="4" s="1"/>
  <c r="D41" i="4"/>
  <c r="E41" i="4" s="1"/>
  <c r="D40" i="4"/>
  <c r="E40" i="4" s="1"/>
  <c r="D39" i="4"/>
  <c r="E39" i="4" s="1"/>
  <c r="D38" i="4"/>
  <c r="E38" i="4" s="1"/>
  <c r="D37" i="4"/>
  <c r="E37" i="4" s="1"/>
  <c r="D36" i="4"/>
  <c r="E36" i="4" s="1"/>
  <c r="D35" i="4"/>
  <c r="E35" i="4" s="1"/>
  <c r="D34" i="4"/>
  <c r="E34" i="4" s="1"/>
  <c r="D33" i="4"/>
  <c r="E33" i="4" s="1"/>
  <c r="D32" i="4"/>
  <c r="E32" i="4" s="1"/>
  <c r="D31" i="4"/>
  <c r="E31" i="4" s="1"/>
  <c r="D30" i="4"/>
  <c r="E30" i="4" s="1"/>
  <c r="D29" i="4"/>
  <c r="E29" i="4" s="1"/>
  <c r="D28" i="4"/>
  <c r="E28" i="4" s="1"/>
  <c r="D27" i="4"/>
  <c r="E27" i="4" s="1"/>
  <c r="D26" i="4"/>
  <c r="E26" i="4" s="1"/>
  <c r="D25" i="4"/>
  <c r="E25" i="4" s="1"/>
  <c r="D24" i="4"/>
  <c r="E24" i="4" s="1"/>
  <c r="D23" i="4"/>
  <c r="E23" i="4" s="1"/>
  <c r="D22" i="4"/>
  <c r="E22" i="4" s="1"/>
  <c r="D21" i="4"/>
  <c r="E21" i="4" s="1"/>
  <c r="D20" i="4"/>
  <c r="E20" i="4" s="1"/>
  <c r="D19" i="4"/>
  <c r="E19" i="4" s="1"/>
  <c r="D18" i="4"/>
  <c r="E18" i="4" s="1"/>
  <c r="D17" i="4"/>
  <c r="E17" i="4" s="1"/>
  <c r="D16" i="4"/>
  <c r="E16" i="4" s="1"/>
  <c r="D15" i="4"/>
  <c r="E15" i="4" s="1"/>
  <c r="D14" i="4"/>
  <c r="E14" i="4" s="1"/>
  <c r="D13" i="4"/>
  <c r="E13" i="4" s="1"/>
  <c r="D12" i="4"/>
  <c r="E12" i="4" s="1"/>
  <c r="D11" i="4"/>
  <c r="E11" i="4" s="1"/>
  <c r="D10" i="4"/>
  <c r="E10" i="4" s="1"/>
  <c r="I1" i="4"/>
  <c r="D106" i="3"/>
  <c r="E106" i="3" s="1"/>
  <c r="D105" i="3"/>
  <c r="E105" i="3" s="1"/>
  <c r="D104" i="3"/>
  <c r="E104" i="3" s="1"/>
  <c r="D103" i="3"/>
  <c r="E103" i="3" s="1"/>
  <c r="D102" i="3"/>
  <c r="E102" i="3" s="1"/>
  <c r="D101" i="3"/>
  <c r="E101" i="3" s="1"/>
  <c r="D100" i="3"/>
  <c r="E100" i="3" s="1"/>
  <c r="D96" i="3"/>
  <c r="E96" i="3" s="1"/>
  <c r="D95" i="3"/>
  <c r="E95" i="3" s="1"/>
  <c r="D94" i="3"/>
  <c r="E94" i="3" s="1"/>
  <c r="D93" i="3"/>
  <c r="E93" i="3" s="1"/>
  <c r="D92" i="3"/>
  <c r="E92" i="3" s="1"/>
  <c r="D91" i="3"/>
  <c r="E91" i="3" s="1"/>
  <c r="D90" i="3"/>
  <c r="E90" i="3" s="1"/>
  <c r="D82" i="3"/>
  <c r="E82" i="3" s="1"/>
  <c r="D81" i="3"/>
  <c r="E81" i="3" s="1"/>
  <c r="D80" i="3"/>
  <c r="E80" i="3" s="1"/>
  <c r="D79" i="3"/>
  <c r="E79" i="3" s="1"/>
  <c r="D78" i="3"/>
  <c r="E78" i="3" s="1"/>
  <c r="D77" i="3"/>
  <c r="E77" i="3" s="1"/>
  <c r="D76" i="3"/>
  <c r="E76" i="3" s="1"/>
  <c r="D72" i="3"/>
  <c r="E72" i="3" s="1"/>
  <c r="D71" i="3"/>
  <c r="E71" i="3" s="1"/>
  <c r="D70" i="3"/>
  <c r="E70" i="3" s="1"/>
  <c r="D69" i="3"/>
  <c r="E69" i="3" s="1"/>
  <c r="D68" i="3"/>
  <c r="E68" i="3" s="1"/>
  <c r="D67" i="3"/>
  <c r="E67" i="3" s="1"/>
  <c r="D66" i="3"/>
  <c r="E66" i="3" s="1"/>
  <c r="D58" i="3"/>
  <c r="E58" i="3" s="1"/>
  <c r="D57" i="3"/>
  <c r="E57" i="3" s="1"/>
  <c r="D56" i="3"/>
  <c r="E56" i="3" s="1"/>
  <c r="D55" i="3"/>
  <c r="E55" i="3" s="1"/>
  <c r="D54" i="3"/>
  <c r="E54" i="3" s="1"/>
  <c r="D53" i="3"/>
  <c r="E53" i="3" s="1"/>
  <c r="D52" i="3"/>
  <c r="E52" i="3" s="1"/>
  <c r="D48" i="3"/>
  <c r="E48" i="3" s="1"/>
  <c r="D47" i="3"/>
  <c r="E47" i="3" s="1"/>
  <c r="D46" i="3"/>
  <c r="E46" i="3" s="1"/>
  <c r="D45" i="3"/>
  <c r="E45" i="3" s="1"/>
  <c r="D44" i="3"/>
  <c r="E44" i="3" s="1"/>
  <c r="D43" i="3"/>
  <c r="E43" i="3" s="1"/>
  <c r="D42" i="3"/>
  <c r="E42" i="3" s="1"/>
  <c r="D35" i="3"/>
  <c r="E35" i="3" s="1"/>
  <c r="D26" i="3"/>
  <c r="E26" i="3" s="1"/>
  <c r="D25" i="3"/>
  <c r="E25" i="3" s="1"/>
  <c r="D24" i="3"/>
  <c r="E24" i="3" s="1"/>
  <c r="D23" i="3"/>
  <c r="E23" i="3" s="1"/>
  <c r="D22" i="3"/>
  <c r="E22" i="3" s="1"/>
  <c r="D21" i="3"/>
  <c r="E21" i="3" s="1"/>
  <c r="D20" i="3"/>
  <c r="E20" i="3" s="1"/>
  <c r="D16" i="3"/>
  <c r="E16" i="3" s="1"/>
  <c r="D15" i="3"/>
  <c r="E15" i="3" s="1"/>
  <c r="D14" i="3"/>
  <c r="E14" i="3" s="1"/>
  <c r="D13" i="3"/>
  <c r="E13" i="3" s="1"/>
  <c r="D12" i="3"/>
  <c r="E12" i="3" s="1"/>
  <c r="D11" i="3"/>
  <c r="E11" i="3" s="1"/>
  <c r="D10" i="3"/>
  <c r="E10" i="3" s="1"/>
  <c r="I1" i="3"/>
  <c r="D40" i="2"/>
  <c r="E40" i="2" s="1"/>
  <c r="D39" i="2"/>
  <c r="E39" i="2" s="1"/>
  <c r="D38" i="2"/>
  <c r="E38" i="2" s="1"/>
  <c r="D37" i="2"/>
  <c r="E37" i="2" s="1"/>
  <c r="D32" i="2"/>
  <c r="E32" i="2" s="1"/>
  <c r="D31" i="2"/>
  <c r="E31" i="2" s="1"/>
  <c r="D30" i="2"/>
  <c r="E30" i="2" s="1"/>
  <c r="D29" i="2"/>
  <c r="E29" i="2" s="1"/>
  <c r="I1" i="2"/>
  <c r="D25" i="7"/>
  <c r="E25" i="7" s="1"/>
  <c r="D31" i="7"/>
  <c r="E31" i="7" s="1"/>
  <c r="D14" i="7"/>
  <c r="E14" i="7" s="1"/>
  <c r="D11" i="7"/>
  <c r="E11" i="7" s="1"/>
  <c r="D26" i="7"/>
  <c r="E26" i="7" s="1"/>
  <c r="D24" i="7"/>
  <c r="E24" i="7" s="1"/>
  <c r="D27" i="7"/>
  <c r="E27" i="7" s="1"/>
  <c r="D21" i="7"/>
  <c r="E21" i="7" s="1"/>
  <c r="D17" i="7"/>
  <c r="E17" i="7" s="1"/>
  <c r="D37" i="7"/>
  <c r="E37" i="7" s="1"/>
  <c r="D39" i="7"/>
  <c r="E39" i="7" s="1"/>
  <c r="D41" i="7"/>
  <c r="E41" i="7" s="1"/>
  <c r="D30" i="7"/>
  <c r="E30" i="7" s="1"/>
  <c r="D28" i="7"/>
  <c r="E28" i="7" s="1"/>
  <c r="D42" i="7"/>
  <c r="E42" i="7" s="1"/>
  <c r="D16" i="7"/>
  <c r="E16" i="7" s="1"/>
  <c r="D23" i="7"/>
  <c r="E23" i="7" s="1"/>
  <c r="D36" i="7"/>
  <c r="E36" i="7" s="1"/>
  <c r="D12" i="7"/>
  <c r="E12" i="7" s="1"/>
  <c r="D10" i="7"/>
  <c r="E10" i="7" s="1"/>
  <c r="D19" i="7"/>
  <c r="E19" i="7" s="1"/>
  <c r="D34" i="7"/>
  <c r="E34" i="7" s="1"/>
  <c r="D18" i="7"/>
  <c r="E18" i="7" s="1"/>
  <c r="D32" i="7"/>
  <c r="E32" i="7" s="1"/>
  <c r="D35" i="7"/>
  <c r="E35" i="7" s="1"/>
  <c r="D33" i="7"/>
  <c r="E33" i="7" s="1"/>
  <c r="D38" i="7"/>
  <c r="E38" i="7" s="1"/>
  <c r="D15" i="7"/>
  <c r="E15" i="7" s="1"/>
  <c r="D40" i="7"/>
  <c r="E40" i="7" s="1"/>
  <c r="D22" i="7"/>
  <c r="E22" i="7" s="1"/>
  <c r="D29" i="7"/>
  <c r="E29" i="7" s="1"/>
  <c r="D13" i="7"/>
  <c r="E13" i="7" s="1"/>
  <c r="D20" i="7"/>
  <c r="E20" i="7" s="1"/>
</calcChain>
</file>

<file path=xl/sharedStrings.xml><?xml version="1.0" encoding="utf-8"?>
<sst xmlns="http://schemas.openxmlformats.org/spreadsheetml/2006/main" count="1996" uniqueCount="1411">
  <si>
    <t>www.czechphone.cz</t>
  </si>
  <si>
    <t>ZADEJTE VAŠI SLEVU:</t>
  </si>
  <si>
    <t>%</t>
  </si>
  <si>
    <t>PŘEJÍT NA UPOZORNĚNÍ</t>
  </si>
  <si>
    <t>DOMOVNÍ TELEFONY</t>
  </si>
  <si>
    <t>A PŘÍDAVNÉ VYZVÁNĚČE</t>
  </si>
  <si>
    <t>PRO SYS. MELODY</t>
  </si>
  <si>
    <t>PRO SYS. DUO plus+</t>
  </si>
  <si>
    <t>PRO SYS. DUO Standard</t>
  </si>
  <si>
    <t>PRO SYS. DUO</t>
  </si>
  <si>
    <t>PRO SYS. 4+N</t>
  </si>
  <si>
    <t>ZVONKOVÁ TABLA</t>
  </si>
  <si>
    <t>Systém MELODY</t>
  </si>
  <si>
    <t>DIGITÁLNÍ SYSTÉM</t>
  </si>
  <si>
    <t>TABLA GENOVA S KLÁVESNICÍ</t>
  </si>
  <si>
    <t>TABLA GENOVA S KLÁVESNICÍ A BEZKONTAKTNÍM OTEVÍRAČEM DVEŘÍ (BOD)</t>
  </si>
  <si>
    <t>TABLA GENOVA S KLÁVESNICÍ A KAMEROU</t>
  </si>
  <si>
    <t>TABLA GENOVA S KLÁVESNICÍ, KAMEROU A BEZKONTAKTNÍM OTEVÍRAČEM DVEŘÍ (BOD)</t>
  </si>
  <si>
    <t>TABLA GENOVA S TLAČÍTKY</t>
  </si>
  <si>
    <t>TABLA GENOVA S TLAČÍTKY A BEZKONTAKTNÍM OTEVÍRAČEM DVEŘÍ (BOD)</t>
  </si>
  <si>
    <t>TABLA GENOVA S TLAČÍTKY A KAMEROU</t>
  </si>
  <si>
    <t>TABLA GENOVA S TLAČÍTKY, KAMEROU A BEZKONTAKTNÍM OTEVÍRAČEM DVEŘÍ (BOD)</t>
  </si>
  <si>
    <r>
      <rPr>
        <b/>
        <sz val="22"/>
        <color rgb="FF000000"/>
        <rFont val="Tahoma"/>
        <family val="2"/>
        <charset val="238"/>
      </rPr>
      <t>Systém DUO plus</t>
    </r>
    <r>
      <rPr>
        <b/>
        <vertAlign val="superscript"/>
        <sz val="22"/>
        <color rgb="FF000000"/>
        <rFont val="Tahoma"/>
        <family val="2"/>
        <charset val="238"/>
      </rPr>
      <t>+</t>
    </r>
  </si>
  <si>
    <t>NOVÝ DVOUDRÁTOVÝ SYSTÉM</t>
  </si>
  <si>
    <t>TABLA GENOVA S TLAČÍTKY A BEZKONTAKTNÍM PŘÍSTUPOVÝM SYSTÉMEM (BIS)</t>
  </si>
  <si>
    <t>Systém DUO Standard</t>
  </si>
  <si>
    <t>NOVÝ STANDARDNÍ DVOUDRÁTOVÝ SYSTÉM</t>
  </si>
  <si>
    <t>Systém 4+N</t>
  </si>
  <si>
    <t>KLASICKÝ SYSTÉM</t>
  </si>
  <si>
    <t>SYSTÉM 17 - 12V</t>
  </si>
  <si>
    <t>s elektronikou v table</t>
  </si>
  <si>
    <t>SYSTÉM 16 - 8V</t>
  </si>
  <si>
    <t>ZVONKOVÁ TLAČÍTKA BEZ KOMUNIKACE</t>
  </si>
  <si>
    <t>PŘÍSTUPOVÉ SYSTÉMY</t>
  </si>
  <si>
    <t>SAMOSTATNÝ VSTUP (GENOVA) - PS2</t>
  </si>
  <si>
    <t>ČIPY A PŘÍSLUŠENSTVÍ K PŘÍSTUPOVÝM SYSTÉMŮM</t>
  </si>
  <si>
    <t>DOPLŇKOVÉ KOMPONENTY</t>
  </si>
  <si>
    <t>MONTÁŽNÍ KRABICE (MK) PRO TABLA GENOVA V RÁMKU (DO ZDI)</t>
  </si>
  <si>
    <t>MONTÁŽNÍ KRABICE (RZ) PRO TABLA V PŮVODNÍM DESIGNU V RÁMKU (DO ZDI)</t>
  </si>
  <si>
    <t>LÍMCE PROTI DEŠTI PRO TABLA DO ZDI (V RÁMKU)</t>
  </si>
  <si>
    <t>KONFIGURÁTORY SYSTÉMŮ</t>
  </si>
  <si>
    <t>VŠE DO ROZVADĚČŮ A STOUPAČEK</t>
  </si>
  <si>
    <t>NAPÁJECÍ MODULY</t>
  </si>
  <si>
    <t>DISTRIBUTORY A ELEKTRONIKA PRO SYSTÉM MELODY</t>
  </si>
  <si>
    <t>OSTATNÍ ELEKTRONIKA</t>
  </si>
  <si>
    <t>NAHORU ˄</t>
  </si>
  <si>
    <t>UPOZORNĚNÍ</t>
  </si>
  <si>
    <t xml:space="preserve">˄ NAHORU </t>
  </si>
  <si>
    <t>Ačkoli se má za to, že poskytnuté cenové informace v tomto dokumentu jsou přesné, mohou obsahovat chyby či nepřesnosti.</t>
  </si>
  <si>
    <t>Platné a závazné údaje lze získat na telefonním čísle 553 663 322 nebo prostřednictvím e-mailu: info@czechphone.cz</t>
  </si>
  <si>
    <t>Výrobce si vyhrazuje právo změnit ceny výrobků v cenících bez předchozího upozornění.</t>
  </si>
  <si>
    <t>ELEKTRO-FA.PAVELEK, s.r.o. - výroba Czechphone®</t>
  </si>
  <si>
    <t>SLEVA NASTAVENÁ V OBSAHU:</t>
  </si>
  <si>
    <t>Průmyslová 15 ● 747 23 Bolatice ● ČR ● T: +420 553 663 322  ● E: obchod@czechphone.cz</t>
  </si>
  <si>
    <t>VERONA A PŘÍDAVNÉ VYZVÁNĚČE</t>
  </si>
  <si>
    <t>DT pro systém MELODY</t>
  </si>
  <si>
    <t>OBJ. ČÍSLO</t>
  </si>
  <si>
    <t>NÁZEV PRODUKTU</t>
  </si>
  <si>
    <t>CENA bez DPH</t>
  </si>
  <si>
    <t>UŠETŘÍTE</t>
  </si>
  <si>
    <t>KONEČNÁ CENA bez DPH</t>
  </si>
  <si>
    <t>DT Verona Melody audio bílý  ABS</t>
  </si>
  <si>
    <t>DT Verona Melody video bílý  ABS</t>
  </si>
  <si>
    <t>DT Viola Melody audio bílý  ABS</t>
  </si>
  <si>
    <t>DT Melody HF 5.0. handsfree videotelefon</t>
  </si>
  <si>
    <r>
      <rPr>
        <b/>
        <sz val="24"/>
        <color rgb="FFFFFFFF"/>
        <rFont val="Tahoma"/>
        <family val="2"/>
        <charset val="238"/>
      </rPr>
      <t>DT pro systém DUO plus</t>
    </r>
    <r>
      <rPr>
        <b/>
        <vertAlign val="superscript"/>
        <sz val="24"/>
        <color rgb="FFFFFFFF"/>
        <rFont val="Tahoma"/>
        <family val="2"/>
        <charset val="238"/>
      </rPr>
      <t>+</t>
    </r>
  </si>
  <si>
    <t>DT Verona DUO+ bílý ABS</t>
  </si>
  <si>
    <t>DT Viola DUO+ bílý ABS</t>
  </si>
  <si>
    <t>DT pro systém DUO Standard</t>
  </si>
  <si>
    <t>DT Verona DS14 bílý ABS</t>
  </si>
  <si>
    <t>DT Viola DS15 bílý ABS</t>
  </si>
  <si>
    <t>DT pro systém DUO</t>
  </si>
  <si>
    <t>DT Verona AS04 A bílý  ABS</t>
  </si>
  <si>
    <t>DT Verona AS04 A / V bílý  ABS (vypnutí zvonění)</t>
  </si>
  <si>
    <t>DT Verona AS04 MB bílý  ABS</t>
  </si>
  <si>
    <t>DT Verona AS04 MB / V bílý  ABS (vypnutí zvonění)</t>
  </si>
  <si>
    <t>DT VERONA pro systém 4+N</t>
  </si>
  <si>
    <t>DT Verona 16A-BZ bílý  ABS</t>
  </si>
  <si>
    <t>DT Verona 16A-MB bílý  ABS</t>
  </si>
  <si>
    <t>DT Verona 17A bílý  ABS</t>
  </si>
  <si>
    <t>DT Verona interkom 2-6 úč. bílý  ABS</t>
  </si>
  <si>
    <t>ZVONKOVÁ TABLA GENOVA</t>
  </si>
  <si>
    <t>TABLA S KLÁVESNICÍ</t>
  </si>
  <si>
    <t>DO RÁMKU</t>
  </si>
  <si>
    <t>Tablo Melody klávesnice až 12jm.(2M),kom,D</t>
  </si>
  <si>
    <t>Tablo Melody klávesnice až 22jm.(2M),kom,D</t>
  </si>
  <si>
    <t>Tablo Melody klávesnice až 34jm.(3M),kom,D</t>
  </si>
  <si>
    <t>Tablo Melody klávesnice až 44jm.(3M),kom,D</t>
  </si>
  <si>
    <t>Tablo Melody klávesnice až 66jm.(4M),kom,D</t>
  </si>
  <si>
    <t>Tablo Melody klávesnice až 88jm.(5M),kom,D</t>
  </si>
  <si>
    <t>Tablo Melody klávesnice až 110jm.(6M),kom,D</t>
  </si>
  <si>
    <t>STŘÍŠKA</t>
  </si>
  <si>
    <t>Tablo Melody klávesnice až 12jm.(2M),kom,S</t>
  </si>
  <si>
    <t>Tablo Melody klávesnice až 22jm.(2M),kom,S</t>
  </si>
  <si>
    <t>Tablo Melody klávesnice až 34jm.(3M),kom,S</t>
  </si>
  <si>
    <t>Tablo Melody klávesnice až 44jm.(3M),kom,S</t>
  </si>
  <si>
    <t>Tablo Melody klávesnice až 66jm.(4M),kom,S</t>
  </si>
  <si>
    <t>Tablo Melody klávesnice až 88jm.(5M),kom,S</t>
  </si>
  <si>
    <t>Tablo Melody klávesnice až 110jm.(6M),kom,S</t>
  </si>
  <si>
    <t>Zvonková tabla MELODY, u kterých je součástí bezkontaktní otevírač dveří BOD,</t>
  </si>
  <si>
    <t xml:space="preserve">nezaznamenávají jednotlivé průchody (s aktuálním datem a časem) a neumožňují </t>
  </si>
  <si>
    <t>jejich vyčítání a filtrování. Požadujete-li tyto funkce, je nutné přidat</t>
  </si>
  <si>
    <t xml:space="preserve"> k objednávanému tablu MELODY s bezkontaktním otevíračem dveří BOD </t>
  </si>
  <si>
    <r>
      <rPr>
        <b/>
        <sz val="11"/>
        <color rgb="FF0D0D0D"/>
        <rFont val="Tahoma"/>
        <family val="2"/>
        <charset val="238"/>
      </rPr>
      <t xml:space="preserve"> "Rozšíření Tabla MELODY z BOD na BIS 125kHz"</t>
    </r>
    <r>
      <rPr>
        <b/>
        <sz val="11"/>
        <color rgb="FFFF0000"/>
        <rFont val="Tahoma"/>
        <family val="2"/>
        <charset val="238"/>
      </rPr>
      <t xml:space="preserve"> - SAMOSTATNĚ NEPRODEJNÉ</t>
    </r>
  </si>
  <si>
    <t>Rozšíření Tabla MELODY z BOD na BIS 125kHz</t>
  </si>
  <si>
    <t>A BEZKONTAKTNÍM OTEVÍRAČEM DVEŘÍ - BOD</t>
  </si>
  <si>
    <t>Tablo Melody klávesnice až 12jm.(2M),kom,BOD,D</t>
  </si>
  <si>
    <t>Tablo Melody klávesnice až 22jm.(2M),kom,BOD,D</t>
  </si>
  <si>
    <t>Tablo Melody klávesnice až 34jm.(3M),kom,BOD,D</t>
  </si>
  <si>
    <t>Tablo Melody klávesnice až 44jm.(3M),kom,BOD,D</t>
  </si>
  <si>
    <t>Tablo Melody klávesnice až 66jm.(4M),kom,BOD,D</t>
  </si>
  <si>
    <t>Tablo Melody klávesnice až 88jm.(5M),kom,BOD,D</t>
  </si>
  <si>
    <t>Tablo Melody klávesnice až 110jm.(6M),kom,BOD,D</t>
  </si>
  <si>
    <t>Tablo Melody klávesnice až 12jm.(2M),kom,BOD,S</t>
  </si>
  <si>
    <t>Tablo Melody klávesnice až 22jm.(2M),kom,BOD,S</t>
  </si>
  <si>
    <t>Tablo Melody klávesnice až 34jm.(3M),kom,BOD,S</t>
  </si>
  <si>
    <t>Tablo Melody klávesnice až 44jm.(3M),kom,BOD,S</t>
  </si>
  <si>
    <t>Tablo Melody klávesnice až 66jm.(4M),kom,BOD,S</t>
  </si>
  <si>
    <t>Tablo Melody klávesnice až 88jm.(5M),kom,BOD,S</t>
  </si>
  <si>
    <t>Tablo Melody klávesnice až 110jm.(6M),kom,BOD,S</t>
  </si>
  <si>
    <t>ODKAZ NA ČIPY RFID 125kHz</t>
  </si>
  <si>
    <t>A KAMEROU</t>
  </si>
  <si>
    <t>Tablo Melody klávesnice až 12jm.(2M),kom,kam,D</t>
  </si>
  <si>
    <t>Tablo Melody klávesnice až 22jm.(3M),kom,kam,D</t>
  </si>
  <si>
    <t>Tablo Melody klávesnice až 34jm.(3M),kom,kam,D</t>
  </si>
  <si>
    <t>Tablo Melody klávesnice až 44jm.(4M),kom,kam,D</t>
  </si>
  <si>
    <t>Tablo Melody klávesnice až 66jm.(5M),kom,kam,D</t>
  </si>
  <si>
    <t>Tablo Melody klávesnice až 88jm.(6M),kom,kam,D</t>
  </si>
  <si>
    <t>Tablo Melody klávesnice až 110jm.(7M),kom,kam,D</t>
  </si>
  <si>
    <t>Tablo Melody klávesnice až 12jm.(2M),kom,kam,S</t>
  </si>
  <si>
    <t>Tablo Melody klávesnice až 22jm.(3M),kom,kam,S</t>
  </si>
  <si>
    <t>Tablo Melody klávesnice až 34jm.(3M),kom,kam,S</t>
  </si>
  <si>
    <t>Tablo Melody klávesnice až 44jm.(4M),kom,kam,S</t>
  </si>
  <si>
    <t>Tablo Melody klávesnice až 66jm.(5M),kom,kam,S</t>
  </si>
  <si>
    <t>Tablo Melody klávesnice až 88jm.(6M),kom,kam,S</t>
  </si>
  <si>
    <t>Tablo Melody klávesnice až 110jm.(7M),kom,kam,S</t>
  </si>
  <si>
    <t>TABLA S KLÁVESNICÍ,</t>
  </si>
  <si>
    <t>KAMEROU A BEZKONTAKTNÍM OTEVÍRAČEM DVEŘÍ - BOD</t>
  </si>
  <si>
    <t>Tablo Melody kláves. až 12jm.(2M),kom,kam,BOD,D</t>
  </si>
  <si>
    <t>Tablo Melody kláves. až 22jm.(3M),kom,kam,BOD,D</t>
  </si>
  <si>
    <t>Tablo Melody kláves. až 34jm.(3M),kom,kam,BOD,D</t>
  </si>
  <si>
    <t>Tablo Melody kláves. až 44jm.(4M),kom,kam,BOD,D</t>
  </si>
  <si>
    <t>Tablo Melody kláves. až 66jm.(5M),kom,kam,BOD,D</t>
  </si>
  <si>
    <t>Tablo Melody kláves. až 88jm.(6M),kom,kam,BOD,D</t>
  </si>
  <si>
    <t>Tablo Melody kláves. až 110jm.(7M),kom,kam,BOD,D</t>
  </si>
  <si>
    <t>Tablo Melody kláves. až 12jm.(2M),kom,kam,BOD,S</t>
  </si>
  <si>
    <t>Tablo Melody kláves. až 22jm.(3M),kom,kam,BOD,S</t>
  </si>
  <si>
    <t>Tablo Melody kláves. až 34jm.(3M),kom,kam,BOD,S</t>
  </si>
  <si>
    <t>Tablo Melody kláves. až 44jm.(4M),kom,kam,BOD,S</t>
  </si>
  <si>
    <t>Tablo Melody kláves. až 66jm.(5M),kom,kam,BOD,S</t>
  </si>
  <si>
    <t>Tablo Melody kláves. až 88jm.(6M),kom,kam,BOD,S</t>
  </si>
  <si>
    <t>Tablo Melody kláves. až 110jm.(7M,kom,kam,BOD,S</t>
  </si>
  <si>
    <t>TLAČÍTKOVÁ TABLA</t>
  </si>
  <si>
    <t>4004005370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</si>
  <si>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2 tl.,kom, (1M) D + MK1</t>
    </r>
  </si>
  <si>
    <t>4004005371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</si>
  <si>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4 tl.,kom, (1M) D + MK1</t>
    </r>
  </si>
  <si>
    <t>4004005372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</si>
  <si>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6 tl.,kom, (1M) D + MK1</t>
    </r>
  </si>
  <si>
    <t>Tablo Melody 8 tl.,kom, (2M) D</t>
  </si>
  <si>
    <t>Tablo Melody 10 tl.,kom, (2M) D</t>
  </si>
  <si>
    <t>Tablo Melody 12 tl.,kom, (2M) D</t>
  </si>
  <si>
    <t>Tablo Melody 14 tl.,kom, (2M) D</t>
  </si>
  <si>
    <t>Tablo Melody 16 tl.,kom, (2M) D</t>
  </si>
  <si>
    <t>Tablo Melody 18 tl.,kom, (3M) D</t>
  </si>
  <si>
    <t>Tablo Melody 20 tl.,kom, (3M) D</t>
  </si>
  <si>
    <t>Tablo Melody 22 tl.,kom, (3M) D</t>
  </si>
  <si>
    <t>Tablo Melody 24 tl.,kom, (3M) D</t>
  </si>
  <si>
    <t>Tablo Melody 26 tl.,kom, (3M) D</t>
  </si>
  <si>
    <t>Tablo Melody 28 tl.,kom, (4M) D</t>
  </si>
  <si>
    <t>Tablo Melody 30 tl.,kom, (4M) D</t>
  </si>
  <si>
    <t>Tablo Melody 32 tl.,kom, (4M) D</t>
  </si>
  <si>
    <t>Tablo Melody 34 tl.,kom, (4M) D</t>
  </si>
  <si>
    <t>Tablo Melody 36 tl.,kom, (4M) D</t>
  </si>
  <si>
    <t>Tablo Melody 38 tl.,kom, (5M) D</t>
  </si>
  <si>
    <t>Tablo Melody 40 tl.,kom, (5M) D</t>
  </si>
  <si>
    <t>Tablo Melody 42 tl.,kom, (5M) D</t>
  </si>
  <si>
    <t>Tablo Melody 44 tl.,kom, (5M) D</t>
  </si>
  <si>
    <t>Tablo Melody 46 tl.,kom, (5M) D</t>
  </si>
  <si>
    <t>Tablo Melody 48 tl.,kom, (6M) D</t>
  </si>
  <si>
    <t>Tablo Melody 50 tl.,kom, (6M) D</t>
  </si>
  <si>
    <t>Tablo Melody 52 tl.,kom, (6M) D</t>
  </si>
  <si>
    <t>Tablo Melody 54 tl.,kom, (6M) D</t>
  </si>
  <si>
    <t>Tablo Melody 56 tl.,kom, (6M) D</t>
  </si>
  <si>
    <t>Tablo Melody 58 tl.,kom, (7M) D</t>
  </si>
  <si>
    <t>Tablo Melody 60 tl.,kom, (7M) D</t>
  </si>
  <si>
    <t>Tablo Melody 62 tl.,kom, (7M) D</t>
  </si>
  <si>
    <t>Tablo Melody 64 tl.,kom, (7M) D</t>
  </si>
  <si>
    <t>Tablo Melody 66 tl.,kom, (7M) D</t>
  </si>
  <si>
    <t>4004005373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</si>
  <si>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2 tl.,kom, (1M) S</t>
    </r>
  </si>
  <si>
    <t>4004005374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</si>
  <si>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4 tl.,kom, (1M) S</t>
    </r>
  </si>
  <si>
    <t>4004005375</t>
  </si>
  <si>
    <r>
      <rPr>
        <sz val="10"/>
        <color rgb="FF000000"/>
        <rFont val="Tahoma"/>
        <family val="2"/>
        <charset val="238"/>
      </rPr>
      <t xml:space="preserve">Tablo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color rgb="FF000000"/>
        <rFont val="Tahoma"/>
        <family val="2"/>
        <charset val="238"/>
      </rPr>
      <t xml:space="preserve"> 6 tl.,kom, (1M) S</t>
    </r>
  </si>
  <si>
    <t>Tablo Melody 8 tl.,kom, (2M) S</t>
  </si>
  <si>
    <t>Tablo Melody 10 tl.,kom, (2M) S</t>
  </si>
  <si>
    <t>Tablo Melody 12 tl.,kom, (2M) S</t>
  </si>
  <si>
    <t>Tablo Melody 14 tl.,kom, (2M) S</t>
  </si>
  <si>
    <t>Tablo Melody 16 tl.,kom, (2M) S</t>
  </si>
  <si>
    <t>Tablo Melody 18 tl.,kom, (3M) S</t>
  </si>
  <si>
    <t>Tablo Melody 20 tl.,kom, (3M) S</t>
  </si>
  <si>
    <t>Tablo Melody 22 tl.,kom, (3M) S</t>
  </si>
  <si>
    <t>Tablo Melody 24 tl.,kom, (3M) S</t>
  </si>
  <si>
    <t>Tablo Melody 26 tl.,kom, (3M) S</t>
  </si>
  <si>
    <t>Tablo Melody 28 tl.,kom, (4M) S</t>
  </si>
  <si>
    <t>Tablo Melody 30 tl.,kom, (4M) S</t>
  </si>
  <si>
    <t>Tablo Melody 32 tl.,kom, (4M) S</t>
  </si>
  <si>
    <t>Tablo Melody 34 tl.,kom, (4M) S</t>
  </si>
  <si>
    <t>Tablo Melody 36 tl.,kom, (4M) S</t>
  </si>
  <si>
    <t>Tablo Melody 38 tl.,kom, (5M) S</t>
  </si>
  <si>
    <t>Tablo Melody 40 tl.,kom, (5M) S</t>
  </si>
  <si>
    <t>Tablo Melody 42 tl.,kom, (5M) S</t>
  </si>
  <si>
    <t>Tablo Melody 44 tl.,kom, (5M) S</t>
  </si>
  <si>
    <t>Tablo Melody 46 tl.,kom, (5M) S</t>
  </si>
  <si>
    <t>Tablo Melody 48 tl.,kom, (6M) S</t>
  </si>
  <si>
    <t>Tablo Melody 50 tl.,kom, (6M) S</t>
  </si>
  <si>
    <t>Tablo Melody 52 tl.,kom, (6M) S</t>
  </si>
  <si>
    <t>Tablo Melody 54 tl.,kom, (6M) S</t>
  </si>
  <si>
    <t>Tablo Melody 56 tl.,kom, (6M) S</t>
  </si>
  <si>
    <t>Tablo Melody 58 tl.,kom, (7M) S</t>
  </si>
  <si>
    <t>Tablo Melody 60 tl.,kom, (7M) S</t>
  </si>
  <si>
    <t>Tablo Melody 62 tl.,kom, (7M) S</t>
  </si>
  <si>
    <t>Tablo Melody 64 tl.,kom, (7M) S</t>
  </si>
  <si>
    <t>Tablo Melody 66 tl.,kom, (7M) S</t>
  </si>
  <si>
    <r>
      <rPr>
        <b/>
        <sz val="10"/>
        <color rgb="FFFF0000"/>
        <rFont val="Tahoma"/>
        <family val="2"/>
        <charset val="238"/>
      </rPr>
      <t xml:space="preserve">UPOZORNĚNÍ: </t>
    </r>
    <r>
      <rPr>
        <b/>
        <sz val="10"/>
        <rFont val="Tahoma"/>
        <family val="2"/>
        <charset val="238"/>
      </rPr>
      <t xml:space="preserve">Systém MELODY </t>
    </r>
    <r>
      <rPr>
        <b/>
        <sz val="10"/>
        <color rgb="FFFF0000"/>
        <rFont val="Tahoma"/>
        <family val="2"/>
        <charset val="238"/>
      </rPr>
      <t>Lite</t>
    </r>
    <r>
      <rPr>
        <sz val="10"/>
        <rFont val="Tahoma"/>
        <family val="2"/>
        <charset val="238"/>
      </rPr>
      <t xml:space="preserve"> neumožňuje využívat pokročilé funkce systému MELODY.</t>
    </r>
  </si>
  <si>
    <t>Tablo Melody 2 tl.,kom,BOD, (2M) D</t>
  </si>
  <si>
    <t>Tablo Melody 4 tl.,kom,BOD, (2M) D</t>
  </si>
  <si>
    <t>Tablo Melody 6 tl.,kom,BOD, (2M) D</t>
  </si>
  <si>
    <t>Tablo Melody 8 tl.,kom,BOD, (2M) D</t>
  </si>
  <si>
    <t>Tablo Melody 10 tl.,kom,BOD, (2M) D</t>
  </si>
  <si>
    <t>Tablo Melody 12 tl.,kom,BOD, (2M) D</t>
  </si>
  <si>
    <t>Tablo Melody 14 tl.,kom,BOD, (3M) D</t>
  </si>
  <si>
    <t>Tablo Melody 16 tl.,kom,BOD, (3M) D</t>
  </si>
  <si>
    <t>Tablo Melody 18 tl.,kom,BOD, (3M) D</t>
  </si>
  <si>
    <t>Tablo Melody 20 tl.,kom,BOD, (3M) D</t>
  </si>
  <si>
    <t>Tablo Melody 22 tl.,kom,BOD, (3M) D</t>
  </si>
  <si>
    <t>Tablo Melody 24 tl.,kom,BOD, (4M) D</t>
  </si>
  <si>
    <t>Tablo Melody 26 tl.,kom,BOD, (4M) D</t>
  </si>
  <si>
    <t>Tablo Melody 28 tl.,kom,BOD, (4M) D</t>
  </si>
  <si>
    <t>Tablo Melody 30 tl.,kom,BOD, (4M) D</t>
  </si>
  <si>
    <t>Tablo Melody 32 tl.,kom,BOD, (4M) D</t>
  </si>
  <si>
    <t>Tablo Melody 34 tl.,kom,BOD, (5M) D</t>
  </si>
  <si>
    <t>Tablo Melody 36 tl.,kom,BOD, (5M) D</t>
  </si>
  <si>
    <t>Tablo Melody 38 tl.,kom,BOD, (5M) D</t>
  </si>
  <si>
    <t>Tablo Melody 40 tl.,kom,BOD, (5M) D</t>
  </si>
  <si>
    <t>Tablo Melody 42 tl.,kom,BOD, (5M) D</t>
  </si>
  <si>
    <t>Tablo Melody 44 tl.,kom,BOD, (6M) D</t>
  </si>
  <si>
    <t>Tablo Melody 46 tl.,kom,BOD, (6M) D</t>
  </si>
  <si>
    <t>Tablo Melody 48 tl.,kom,BOD, (6M) D</t>
  </si>
  <si>
    <t>Tablo Melody 50 tl.,kom,BOD, (6M) D</t>
  </si>
  <si>
    <t>Tablo Melody 52 tl.,kom,BOD, (6M) D</t>
  </si>
  <si>
    <t>Tablo Melody 54 tl.,kom,BOD, (7M) D</t>
  </si>
  <si>
    <t>Tablo Melody 56 tl.,kom,BOD, (7M) D</t>
  </si>
  <si>
    <t>Tablo Melody 58 tl.,kom,BOD, (7M) D</t>
  </si>
  <si>
    <t>Tablo Melody 60 tl.,kom,BOD, (7M) D</t>
  </si>
  <si>
    <t>Tablo Melody 62 tl.,kom,BOD, (7M) D</t>
  </si>
  <si>
    <t>Tablo Melody 2 tl.,kom,BOD, (2M) S</t>
  </si>
  <si>
    <t>Tablo Melody 4 tl.,kom,BOD, (2M) S</t>
  </si>
  <si>
    <t>Tablo Melody 6 tl.,kom,BOD, (2M) S</t>
  </si>
  <si>
    <t>Tablo Melody 8 tl.,kom,BOD, (2M) S</t>
  </si>
  <si>
    <t>Tablo Melody 10 tl.,kom,BOD, (2M) S</t>
  </si>
  <si>
    <t>Tablo Melody 12 tl.,kom,BOD, (2M) S</t>
  </si>
  <si>
    <t>Tablo Melody 14 tl.,kom,BOD, (3M) S</t>
  </si>
  <si>
    <t>Tablo Melody 16 tl.,kom,BOD, (3M) S</t>
  </si>
  <si>
    <t>Tablo Melody 18 tl.,kom,BOD, (3M) S</t>
  </si>
  <si>
    <t>Tablo Melody 20 tl.,kom,BOD, (3M) S</t>
  </si>
  <si>
    <t>Tablo Melody 22 tl.,kom,BOD, (3M) S</t>
  </si>
  <si>
    <t>Tablo Melody 24 tl.,kom,BOD, (4M) S</t>
  </si>
  <si>
    <t>Tablo Melody 26 tl.,kom,BOD, (4M) S</t>
  </si>
  <si>
    <t>Tablo Melody 28 tl.,kom,BOD, (4M) S</t>
  </si>
  <si>
    <t>Tablo Melody 30 tl.,kom,BOD, (4M) S</t>
  </si>
  <si>
    <t>Tablo Melody 32 tl.,kom,BOD, (4M) S</t>
  </si>
  <si>
    <t>Tablo Melody 34 tl.,kom,BOD, (5M) S</t>
  </si>
  <si>
    <t>Tablo Melody 36 tl.,kom,BOD, (5M) S</t>
  </si>
  <si>
    <t>Tablo Melody 38 tl.,kom,BOD, (5M) S</t>
  </si>
  <si>
    <t>Tablo Melody 40 tl.,kom,BOD, (5M) S</t>
  </si>
  <si>
    <t>Tablo Melody 42 tl.,kom,BOD, (5M) S</t>
  </si>
  <si>
    <t>Tablo Melody 44 tl.,kom,BOD, (6M) S</t>
  </si>
  <si>
    <t>Tablo Melody 46 tl.,kom,BOD, (6M) S</t>
  </si>
  <si>
    <t>Tablo Melody 48 tl.,kom,BOD, (6M) S</t>
  </si>
  <si>
    <t>Tablo Melody 50 tl.,kom,BOD, (6M) S</t>
  </si>
  <si>
    <t>Tablo Melody 52 tl.,kom,BOD, (6M) S</t>
  </si>
  <si>
    <t>Tablo Melody 54 tl.,kom,BOD, (7M) S</t>
  </si>
  <si>
    <t>Tablo Melody 56 tl.,kom,BOD, (7M) S</t>
  </si>
  <si>
    <t>Tablo Melody 58 tl.,kom,BOD, (7M) S</t>
  </si>
  <si>
    <t>Tablo Melody 60 tl.,kom,BOD, (7M) S</t>
  </si>
  <si>
    <t>Tablo Melody 62 tl.,kom,BOD, (7M) S</t>
  </si>
  <si>
    <t>S KAMEROU</t>
  </si>
  <si>
    <t>Tablo Melody 2 tl.,kom,kam, (2M) D</t>
  </si>
  <si>
    <t>Tablo Melody 4 tl.,kom,kam, (2M) D</t>
  </si>
  <si>
    <t>Tablo Melody 6 tl.,kom,kam, (2M) D</t>
  </si>
  <si>
    <t>Tablo Melody 8 tl.,kom,kam, (2M) D</t>
  </si>
  <si>
    <t>Tablo Melody 10 tl.,kom,kam, (2M) D</t>
  </si>
  <si>
    <t>Tablo Melody 12 tl.,kom,kam, (2M) D</t>
  </si>
  <si>
    <t>Tablo Melody 14 tl.,kom,kam, (3M) D</t>
  </si>
  <si>
    <t>Tablo Melody 16 tl.,kom,kam, (3M) D</t>
  </si>
  <si>
    <t>Tablo Melody 18 tl.,kom,kam, (3M) D</t>
  </si>
  <si>
    <t>Tablo Melody 20 tl.,kom,kam, (3M) D</t>
  </si>
  <si>
    <t>Tablo Melody 22 tl.,kom,kam, (3M) D</t>
  </si>
  <si>
    <t>Tablo Melody 24 tl.,kom,kam, (4M) D</t>
  </si>
  <si>
    <t>Tablo Melody 26 tl.,kom,kam, (4M) D</t>
  </si>
  <si>
    <t>Tablo Melody 28 tl.,kom,kam, (4M) D</t>
  </si>
  <si>
    <t>Tablo Melody 30 tl.,kom,kam, (4M) D</t>
  </si>
  <si>
    <t>Tablo Melody 32 tl.,kom,kam, (4M) D</t>
  </si>
  <si>
    <t>Tablo Melody 34 tl.,kom,kam, (5M) D</t>
  </si>
  <si>
    <t>Tablo Melody 36 tl.,kom,kam, (5M) D</t>
  </si>
  <si>
    <t>Tablo Melody 38 tl.,kom,kam, (5M) D</t>
  </si>
  <si>
    <t>Tablo Melody 40 tl.,kom,kam, (5M) D</t>
  </si>
  <si>
    <t>Tablo Melody 42 tl.,kom,kam, (5M) D</t>
  </si>
  <si>
    <t>Tablo Melody 44 tl.,kom,kam, (6M) D</t>
  </si>
  <si>
    <t>Tablo Melody 46 tl.,kom,kam, (6M) D</t>
  </si>
  <si>
    <t>Tablo Melody 48 tl.,kom,kam, (6M) D</t>
  </si>
  <si>
    <t>Tablo Melody 50 tl.,kom,kam, (6M) D</t>
  </si>
  <si>
    <t>Tablo Melody 52 tl.,kom,kam, (7M) D</t>
  </si>
  <si>
    <t>Tablo Melody 54 tl.,kom,kam, (7M) D</t>
  </si>
  <si>
    <t>Tablo Melody 56 tl.,kom,kam, (7M) D</t>
  </si>
  <si>
    <t>Tablo Melody 58 tl.,kom,kam, (7M) D</t>
  </si>
  <si>
    <t>Tablo Melody 60 tl.,kom,kam, (7M) D</t>
  </si>
  <si>
    <t>Tablo Melody 62 tl.,kom,kam, (7M) D</t>
  </si>
  <si>
    <t>Tablo Melody 2 tl.,kom,kam, (2M) S</t>
  </si>
  <si>
    <t>Tablo Melody 4 tl.,kom,kam, (2M) S</t>
  </si>
  <si>
    <t>Tablo Melody 6 tl.,kom,kam, (2M) S</t>
  </si>
  <si>
    <t>Tablo Melody 8 tl.,kom,kam, (2M) S</t>
  </si>
  <si>
    <t>Tablo Melody 10 tl.,kom,kam, (2M) S</t>
  </si>
  <si>
    <t>Tablo Melody 12 tl.,kom,kam, (2M) S</t>
  </si>
  <si>
    <t>Tablo Melody 14 tl.,kom,kam, (3M) S</t>
  </si>
  <si>
    <t>Tablo Melody 16 tl.,kom,kam, (3M) S</t>
  </si>
  <si>
    <t>Tablo Melody 18 tl.,kom,kam, (3M) S</t>
  </si>
  <si>
    <t>Tablo Melody 20 tl.,kom,kam, (3M) S</t>
  </si>
  <si>
    <t>Tablo Melody 22 tl.,kom,kam, (3M) S</t>
  </si>
  <si>
    <t>Tablo Melody 24 tl.,kom,kam, (4M) S</t>
  </si>
  <si>
    <t>Tablo Melody 26 tl.,kom,kam, (4M) S</t>
  </si>
  <si>
    <t>Tablo Melody 28 tl.,kom,kam, (4M) S</t>
  </si>
  <si>
    <t>Tablo Melody 30 tl.,kom,kam, (4M) S</t>
  </si>
  <si>
    <t>Tablo Melody 32 tl.,kom,kam, (4M) S</t>
  </si>
  <si>
    <t>Tablo Melody 34 tl.,kom,kam, (5M) S</t>
  </si>
  <si>
    <t>Tablo Melody 36 tl.,kom,kam, (5M) S</t>
  </si>
  <si>
    <t>Tablo Melody 38 tl.,kom,kam, (5M) S</t>
  </si>
  <si>
    <t>Tablo Melody 40 tl.,kom,kam, (5M) S</t>
  </si>
  <si>
    <t>Tablo Melody 42 tl.,kom,kam, (5M) S</t>
  </si>
  <si>
    <t>Tablo Melody 44 tl.,kom,kam, (6M) S</t>
  </si>
  <si>
    <t>Tablo Melody 46 tl.,kom,kam, (6M) S</t>
  </si>
  <si>
    <t>Tablo Melody 48 tl.,kom,kam, (6M) S</t>
  </si>
  <si>
    <t>Tablo Melody 50 tl.,kom,kam, (6M) S</t>
  </si>
  <si>
    <t>Tablo Melody 52 tl.,kom,kam, (6M) S</t>
  </si>
  <si>
    <t>Tablo Melody 54 tl.,kom,kam, (7M) S</t>
  </si>
  <si>
    <t>Tablo Melody 56 tl.,kom,kam, (7M) S</t>
  </si>
  <si>
    <t>Tablo Melody 58 tl.,kom,kam, (7M) S</t>
  </si>
  <si>
    <t>Tablo Melody 60 tl.,kom,kam, (7M) S</t>
  </si>
  <si>
    <t>Tablo Melody 62 tl.,kom,kam, (7M) S</t>
  </si>
  <si>
    <t>S KAMEROU A BEZKONTAKTNÍM OTEVÍRAČEM DVEŘÍ - BOD</t>
  </si>
  <si>
    <t>Tablo Melody 2 tl.,kom,kam,BOD, (2M) D</t>
  </si>
  <si>
    <t>Tablo Melody 4 tl.,kom,kam,BOD, (2M) D</t>
  </si>
  <si>
    <t>Tablo Melody 6 tl.,kom,kam,BOD, (2M) D</t>
  </si>
  <si>
    <t>Tablo Melody 8 tl.,kom,kam,BOD, (2M) D</t>
  </si>
  <si>
    <t>Tablo Melody 10 tl.,kom,kam,BOD, (2M) D</t>
  </si>
  <si>
    <t>Tablo Melody 12 tl.,kom,kam,BOD, (3M) D</t>
  </si>
  <si>
    <t>Tablo Melody 14 tl.,kom,kam,BOD, (3M) D</t>
  </si>
  <si>
    <t>Tablo Melody 16 tl.,kom,kam,BOD, (3M) D</t>
  </si>
  <si>
    <t>Tablo Melody 18 tl.,kom,kam,BOD, (3M) D</t>
  </si>
  <si>
    <t>Tablo Melody 20 tl.,kom,kam,BOD, (3M) D</t>
  </si>
  <si>
    <t>Tablo Melody 22 tl.,kom,kam,BOD, (4M) D</t>
  </si>
  <si>
    <t>Tablo Melody 24 tl.,kom,kam,BOD, (4M) D</t>
  </si>
  <si>
    <t>Tablo Melody 26 tl.,kom,kam,BOD, (4M) D</t>
  </si>
  <si>
    <t>Tablo Melody 28 tl.,kom,kam,BOD, (4M) D</t>
  </si>
  <si>
    <t>Tablo Melody 30 tl.,kom,kam,BOD, (4M) D</t>
  </si>
  <si>
    <t>Tablo Melody 32 tl.,kom,kam,BOD, (5M) D</t>
  </si>
  <si>
    <t>Tablo Melody 34 tl.,kom,kam,BOD, (5M) D</t>
  </si>
  <si>
    <t>Tablo Melody 36 tl.,kom,kam,BOD, (5M) D</t>
  </si>
  <si>
    <t>Tablo Melody 38 tl.,kom,kam,BOD, (5M) D</t>
  </si>
  <si>
    <t>Tablo Melody 40 tl.,kom,kam,BOD, (5M) D</t>
  </si>
  <si>
    <t>Tablo Melody 42 tl.,kom,kam,BOD, (6M) D</t>
  </si>
  <si>
    <t>Tablo Melody 44 tl.,kom,kam,BOD, (6M) D</t>
  </si>
  <si>
    <t>Tablo Melody 46 tl.,kom,kam,BOD, (6M) D</t>
  </si>
  <si>
    <t>Tablo Melody 48 tl.,kom,kam,BOD, (6M) D</t>
  </si>
  <si>
    <t>Tablo Melody 50 tl.,kom,kam,BOD, (6M) D</t>
  </si>
  <si>
    <t>Tablo Melody 52 tl.,kom,kam,BOD, (7M) D</t>
  </si>
  <si>
    <t>Tablo Melody 54 tl.,kom,kam,BOD, (7M) D</t>
  </si>
  <si>
    <t>Tablo Melody 56 tl.,kom,kam,BOD, (7M) D</t>
  </si>
  <si>
    <t>Tablo Melody 58 tl.,kom,kam,BOD, (7M) D</t>
  </si>
  <si>
    <t>Tablo Melody 60 tl.,kom,kam,BOD, (7M) D</t>
  </si>
  <si>
    <t>Tablo Melody 2 tl.,kom,kam,BOD, (2M) S</t>
  </si>
  <si>
    <t>Tablo Melody 4 tl.,kom,kam,BOD, (2M) S</t>
  </si>
  <si>
    <t>Tablo Melody 6 tl.,kom,kam,BOD, (2M) S</t>
  </si>
  <si>
    <t>Tablo Melody 8 tl.,kom,kam,BOD, (2M) S</t>
  </si>
  <si>
    <t>Tablo Melody 10 tl.,kom,kam,BOD, (2M) S</t>
  </si>
  <si>
    <t>Tablo Melody 12 tl.,kom,kam,BOD, (3M) S</t>
  </si>
  <si>
    <t>Tablo Melody 14 tl.,kom,kam,BOD, (3M) S</t>
  </si>
  <si>
    <t>Tablo Melody 16 tl.,kom,kam,BOD, (3M) S</t>
  </si>
  <si>
    <t>Tablo Melody 18 tl.,kom,kam,BOD, (3M) S</t>
  </si>
  <si>
    <t>Tablo Melody 20 tl.,kom,kam,BOD, (3M) S</t>
  </si>
  <si>
    <t>Tablo Melody 22 tl.,kom,kam,BOD, (4M) S</t>
  </si>
  <si>
    <t>Tablo Melody 24 tl.,kom,kam,BOD, (4M) S</t>
  </si>
  <si>
    <t>Tablo Melody 26 tl.,kom,kam,BOD, (4M) S</t>
  </si>
  <si>
    <t>Tablo Melody 28 tl.,kom,kam,BOD, (4M) S</t>
  </si>
  <si>
    <t>Tablo Melody 30 tl.,kom,kam,BOD, (4M) S</t>
  </si>
  <si>
    <t>Tablo Melody 32 tl.,kom,kam,BOD, (5M) S</t>
  </si>
  <si>
    <t>Tablo Melody 34 tl.,kom,kam,BOD, (5M) S</t>
  </si>
  <si>
    <t>Tablo Melody 36 tl.,kom,kam,BOD, (5M) S</t>
  </si>
  <si>
    <t>Tablo Melody 38 tl.,kom,kam,BOD, (5M) S</t>
  </si>
  <si>
    <t>Tablo Melody 40 tl.,kom,kam,BOD, (5M) S</t>
  </si>
  <si>
    <t>Tablo Melody 42 tl.,kom,kam,BOD, (6M) S</t>
  </si>
  <si>
    <t>Tablo Melody 44 tl.,kom,kam,BOD, (6M) S</t>
  </si>
  <si>
    <t>Tablo Melody 46 tl.,kom,kam,BOD, (6M) S</t>
  </si>
  <si>
    <t>Tablo Melody 48 tl.,kom,kam,BOD, (6M) S</t>
  </si>
  <si>
    <t>Tablo Melody 50 tl.,kom,kam,BOD, (7M) S</t>
  </si>
  <si>
    <t>Tablo Melody 52 tl.,kom,kam,BOD, (7M) S</t>
  </si>
  <si>
    <t>Tablo Melody 54 tl.,kom,kam,BOD, (7M) S</t>
  </si>
  <si>
    <t>Tablo Melody 56 tl.,kom,kam,BOD, (7M) S</t>
  </si>
  <si>
    <t>Tablo Melody 58 tl.,kom,kam,BOD, (7M) S</t>
  </si>
  <si>
    <t>Tablo Melody 60 tl.,kom,kam,BOD, (7M) S</t>
  </si>
  <si>
    <r>
      <rPr>
        <b/>
        <sz val="24"/>
        <color rgb="FFFFFFFF"/>
        <rFont val="Tahoma"/>
        <family val="2"/>
        <charset val="238"/>
      </rPr>
      <t>Systém DUO plus</t>
    </r>
    <r>
      <rPr>
        <b/>
        <vertAlign val="superscript"/>
        <sz val="24"/>
        <color rgb="FFFFFFFF"/>
        <rFont val="Tahoma"/>
        <family val="2"/>
        <charset val="238"/>
      </rPr>
      <t>+</t>
    </r>
  </si>
  <si>
    <t>Tablo DUO+ kl. až 12 jm. (2M), kom, D</t>
  </si>
  <si>
    <t>Tablo DUO+ kl. až 22 jm. (2M), kom, D</t>
  </si>
  <si>
    <t>Tablo DUO+ kl. až 34 jm. (3M), kom, D</t>
  </si>
  <si>
    <t>Tablo DUO+ kl. až 44 jm. (3M), kom, D</t>
  </si>
  <si>
    <t>Tablo DUO+ kl. až 66 jm. (4M), kom, D</t>
  </si>
  <si>
    <t>Tablo DUO+ kl. až 88 jm. (5M), kom, D</t>
  </si>
  <si>
    <t>Tablo DUO+ kl. až 110 jm. (6M), kom, D</t>
  </si>
  <si>
    <t>Tablo DUO+ kl. až 12 jm. (2M), kom, S</t>
  </si>
  <si>
    <t>Tablo DUO+ kl. až 22 jm. (2M), kom, S</t>
  </si>
  <si>
    <t>Tablo DUO+ kl. až 34 jm. (3M), kom, S</t>
  </si>
  <si>
    <t>Tablo DUO+ kl. až 44 jm. (3M), kom, S</t>
  </si>
  <si>
    <t>Tablo DUO+ kl. až 66 jm. (4M), kom, S</t>
  </si>
  <si>
    <t>Tablo DUO+ kl. až 88 jm. (5M), kom, S</t>
  </si>
  <si>
    <t>Tablo DUO+ kl. až 110 jm. (6M), kom, S</t>
  </si>
  <si>
    <t>A S PŘÍSTUPOVÝM SYSTÉMEM: RFID 125kHz (BIS)</t>
  </si>
  <si>
    <t>Tablo DUO+ kl. až 12 jm. (2M), kom, BIS125kHz, D</t>
  </si>
  <si>
    <t>Tablo DUO+ kl. až 22 jm. (2M), kom, BIS125kHz, D</t>
  </si>
  <si>
    <t>Tablo DUO+ kl. až 34 jm. (3M), kom, BIS125kHz, D</t>
  </si>
  <si>
    <t>Tablo DUO+ kl. až 44 jm. (3M), kom, BIS125kHz, D</t>
  </si>
  <si>
    <t>Tablo DUO+ kl. až 66 jm. (4M), kom, BIS125kHz, D</t>
  </si>
  <si>
    <t>Tablo DUO+ kl. až 88 jm. (5M), kom, BIS125kHz, D</t>
  </si>
  <si>
    <t>Tablo DUO+ kl. až 110 jm. (6M), kom, BIS125kHz, D</t>
  </si>
  <si>
    <t>Tablo DUO+ kl. až 12 jm. (2M), kom, BIS125kHz, S</t>
  </si>
  <si>
    <t>Tablo DUO+ kl. až 22 jm. (2M), kom, BIS125kHz, S</t>
  </si>
  <si>
    <t>Tablo DUO+ kl. až 34 jm. (3M), kom, BIS125kHz, S</t>
  </si>
  <si>
    <t>Tablo DUO+ kl. až 44 jm. (3M), kom, BIS125kHz, S</t>
  </si>
  <si>
    <t>Tablo DUO+ kl. až 66 jm. (4M), kom, BIS125kHz, S</t>
  </si>
  <si>
    <t>Tablo DUO+ kl. až 88 jm. (5M), kom, BIS125kHz, S</t>
  </si>
  <si>
    <t>Tablo DUO+ kl. až 110 jm. (6M), kom, BIS125kHz, S</t>
  </si>
  <si>
    <t xml:space="preserve">A S PŘÍSTUPOVÝM SYSTÉMEM: MIFARE </t>
  </si>
  <si>
    <t>Tablo DUO+ kl. až 12 jm. (2M), kom, MIFARE, D</t>
  </si>
  <si>
    <t>Tablo DUO+ kl. až 22 jm. (2M), kom, MIFARE, D</t>
  </si>
  <si>
    <t>Tablo DUO+ kl. až 34 jm. (3M), kom, MIFARE, D</t>
  </si>
  <si>
    <t>Tablo DUO+ kl. až 44 jm. (3M), kom, MIFARE, D</t>
  </si>
  <si>
    <t>Tablo DUO+ kl. až 66 jm. (4M), kom, MIFARE, D</t>
  </si>
  <si>
    <t>Tablo DUO+ kl. až 88 jm. (5M), kom, MIFARE, D</t>
  </si>
  <si>
    <t>Tablo DUO+ kl. až 110 jm. (6M), kom, MIFARE, D</t>
  </si>
  <si>
    <t>Tablo DUO+ kl. až 12 jm. (2M), kom, MIFARE, S</t>
  </si>
  <si>
    <t>Tablo DUO+ kl. až 22 jm. (2M), kom, MIFARE, S</t>
  </si>
  <si>
    <t>Tablo DUO+ kl. až 34 jm. (3M), kom, MIFARE, S</t>
  </si>
  <si>
    <t>Tablo DUO+ kl. až 44 jm. (3M), kom, MIFARE, S</t>
  </si>
  <si>
    <t>Tablo DUO+ kl. až 66 jm. (4M), kom, MIFARE, S</t>
  </si>
  <si>
    <t>Tablo DUO+ kl. až 88 jm. (5M), kom, MIFARE, S</t>
  </si>
  <si>
    <t>Tablo DUO+ kl. až 110 jm. (6M), kom, MIFARE, S</t>
  </si>
  <si>
    <t>ODKAZ NA ČIPY MIFARE</t>
  </si>
  <si>
    <t>Tablo DUO+ 2 tl., kom (1M) D + MK1</t>
  </si>
  <si>
    <t>Tablo DUO+ 4 tl., kom (1M) D + MK1</t>
  </si>
  <si>
    <t>Tablo DUO+ 6 tl., kom (1M) D + MK1</t>
  </si>
  <si>
    <t>Tablo DUO+ 8 tl., kom (2M) D</t>
  </si>
  <si>
    <t>Tablo DUO+ 10 tl., kom (2M) D</t>
  </si>
  <si>
    <t>Tablo DUO+ 12 tl., kom (2M) D</t>
  </si>
  <si>
    <t>Tablo DUO+ 14 tl., kom (2M) D</t>
  </si>
  <si>
    <t>Tablo DUO+ 16 tl., kom (2M) D</t>
  </si>
  <si>
    <t>Tablo DUO+ 18 tl., kom (3M) D</t>
  </si>
  <si>
    <t>Tablo DUO+ 20 tl., kom (3M) D</t>
  </si>
  <si>
    <t>Tablo DUO+ 22 tl., kom (3M) D</t>
  </si>
  <si>
    <t>Tablo DUO+ 24 tl., kom (3M) D</t>
  </si>
  <si>
    <t>Tablo DUO+ 26 tl., kom (3M) D</t>
  </si>
  <si>
    <t>Tablo DUO+ 28 tl., kom (4M) D</t>
  </si>
  <si>
    <t>Tablo DUO+ 30 tl., kom (4M) D</t>
  </si>
  <si>
    <t>Tablo DUO+ 32 tl., kom (4M) D</t>
  </si>
  <si>
    <t>Tablo DUO+ 34 tl., kom (4M) D</t>
  </si>
  <si>
    <t>Tablo DUO+ 36 tl., kom (4M) D</t>
  </si>
  <si>
    <t>Tablo DUO+ 38 tl., kom (5M) D</t>
  </si>
  <si>
    <t>Tablo DUO+ 40 tl., kom (5M) D</t>
  </si>
  <si>
    <t>Tablo DUO+ 42 tl., kom (5M) D</t>
  </si>
  <si>
    <t>Tablo DUO+ 44 tl., kom (5M) D</t>
  </si>
  <si>
    <t>Tablo DUO+ 46 tl., kom (5M) D</t>
  </si>
  <si>
    <t>Tablo DUO+ 48 tl., kom (6M) D</t>
  </si>
  <si>
    <t>Tablo DUO+ 50 tl., kom (6M) D</t>
  </si>
  <si>
    <t>Tablo DUO+ 52 tl., kom (6M) D</t>
  </si>
  <si>
    <t>Tablo DUO+ 54 tl., kom (6M) D</t>
  </si>
  <si>
    <t>Tablo DUO+ 56 tl., kom (6M) D</t>
  </si>
  <si>
    <t>Tablo DUO+ 58 tl., kom (7M) D</t>
  </si>
  <si>
    <t>Tablo DUO+ 60 tl., kom (7M) D</t>
  </si>
  <si>
    <t>Tablo DUO+ 62 tl., kom (7M) D</t>
  </si>
  <si>
    <t>Tablo DUO+ 64 tl., kom (7M) D</t>
  </si>
  <si>
    <t>Tablo DUO+ 66 tl., kom (7M) D</t>
  </si>
  <si>
    <t>Tablo DUO+ 2 tl., kom (1M) S</t>
  </si>
  <si>
    <t>Tablo DUO+ 4 tl., kom (1M) S</t>
  </si>
  <si>
    <t>Tablo DUO+ 6 tl., kom (1M) S</t>
  </si>
  <si>
    <t>Tablo DUO+ 8 tl., kom (2M) S</t>
  </si>
  <si>
    <t>Tablo DUO+ 10 tl., kom (2M) S</t>
  </si>
  <si>
    <t>Tablo DUO+ 12 tl., kom (2M) S</t>
  </si>
  <si>
    <t>Tablo DUO+ 14 tl., kom (2M) S</t>
  </si>
  <si>
    <t>Tablo DUO+ 16 tl., kom (2M) S</t>
  </si>
  <si>
    <t>Tablo DUO+ 18 tl., kom (3M) S</t>
  </si>
  <si>
    <t>Tablo DUO+ 20 tl., kom (3M) S</t>
  </si>
  <si>
    <t>Tablo DUO+ 22 tl., kom (3M) S</t>
  </si>
  <si>
    <t>Tablo DUO+ 24 tl., kom (3M) S</t>
  </si>
  <si>
    <t>Tablo DUO+ 26 tl., kom (3M) S</t>
  </si>
  <si>
    <t>Tablo DUO+ 28 tl., kom (4M) S</t>
  </si>
  <si>
    <t>Tablo DUO+ 30 tl., kom (4M) S</t>
  </si>
  <si>
    <t>Tablo DUO+ 32 tl., kom (4M) S</t>
  </si>
  <si>
    <t>Tablo DUO+ 34 tl., kom (4M) S</t>
  </si>
  <si>
    <t>Tablo DUO+ 36 tl., kom (4M) S</t>
  </si>
  <si>
    <t>Tablo DUO+ 38 tl., kom (5M) S</t>
  </si>
  <si>
    <t>Tablo DUO+ 40 tl., kom (5M) S</t>
  </si>
  <si>
    <t>Tablo DUO+ 42 tl., kom (5M) S</t>
  </si>
  <si>
    <t>Tablo DUO+ 44 tl., kom (5M) S</t>
  </si>
  <si>
    <t>Tablo DUO+ 46 tl., kom (5M) S</t>
  </si>
  <si>
    <t>Tablo DUO+ 48 tl., kom (6M) S</t>
  </si>
  <si>
    <t>Tablo DUO+ 50 tl., kom (6M) S</t>
  </si>
  <si>
    <t>Tablo DUO+ 52 tl., kom (6M) S</t>
  </si>
  <si>
    <t>Tablo DUO+ 54 tl., kom (6M) S</t>
  </si>
  <si>
    <t>Tablo DUO+ 56 tl., kom (6M) S</t>
  </si>
  <si>
    <t>Tablo DUO+ 58 tl., kom (7M) S</t>
  </si>
  <si>
    <t>Tablo DUO+ 60 tl., kom (7M) S</t>
  </si>
  <si>
    <t>Tablo DUO+ 62 tl., kom (7M) S</t>
  </si>
  <si>
    <t>Tablo DUO+ 64 tl., kom (7M) S</t>
  </si>
  <si>
    <t>Tablo DUO+ 66 tl., kom (7M) S</t>
  </si>
  <si>
    <t>Tablo DUO+ 2 tl., kom, BIS125kHz (2M) D</t>
  </si>
  <si>
    <t>Tablo DUO+ 4 tl., kom, BIS125kHz (2M) D</t>
  </si>
  <si>
    <t>Tablo DUO+ 6 tl., kom, BIS125kHz (2M) D</t>
  </si>
  <si>
    <t>Tablo DUO+ 8 tl., kom, BIS125kHz (2M) D</t>
  </si>
  <si>
    <t>Tablo DUO+ 10 tl., kom, BIS125kHz (2M) D</t>
  </si>
  <si>
    <t>Tablo DUO+ 12 tl., kom, BIS125kHz (2M) D</t>
  </si>
  <si>
    <t>Tablo DUO+ 14 tl., kom, BIS125kHz (3M) D</t>
  </si>
  <si>
    <t>Tablo DUO+ 16 tl., kom, BIS125kHz (3M) D</t>
  </si>
  <si>
    <t>Tablo DUO+ 18 tl., kom, BIS125kHz (3M) D</t>
  </si>
  <si>
    <t>Tablo DUO+ 20 tl., kom, BIS125kHz (3M) D</t>
  </si>
  <si>
    <t>Tablo DUO+ 22 tl., kom, BIS125kHz (3M) D</t>
  </si>
  <si>
    <t>Tablo DUO+ 24 tl., kom, BIS125kHz (4M) D</t>
  </si>
  <si>
    <t>Tablo DUO+ 26 tl., kom, BIS125kHz (4M) D</t>
  </si>
  <si>
    <t>Tablo DUO+ 28 tl., kom, BIS125kHz (4M) D</t>
  </si>
  <si>
    <t>Tablo DUO+ 30 tl., kom, BIS125kHz (4M) D</t>
  </si>
  <si>
    <t>Tablo DUO+ 32 tl., kom, BIS125kHz (4M) D</t>
  </si>
  <si>
    <t>Tablo DUO+ 34 tl., kom, BIS125kHz (5M) D</t>
  </si>
  <si>
    <t>Tablo DUO+ 36 tl., kom, BIS125kHz (5M) D</t>
  </si>
  <si>
    <t>Tablo DUO+ 38 tl., kom, BIS125kHz (5M) D</t>
  </si>
  <si>
    <t>Tablo DUO+ 40 tl., kom, BIS125kHz (5M) D</t>
  </si>
  <si>
    <t>Tablo DUO+ 42 tl., kom, BIS125kHz (5M) D</t>
  </si>
  <si>
    <t>Tablo DUO+ 44 tl., kom, BIS125kHz (6M) D</t>
  </si>
  <si>
    <t>Tablo DUO+ 46 tl., kom, BIS125kHz (6M) D</t>
  </si>
  <si>
    <t>Tablo DUO+ 48 tl., kom, BIS125kHz (6M) D</t>
  </si>
  <si>
    <t>Tablo DUO+ 50 tl., kom, BIS125kHz (6M) D</t>
  </si>
  <si>
    <t>Tablo DUO+ 52 tl., kom, BIS125kHz (6M) D</t>
  </si>
  <si>
    <t>Tablo DUO+ 54 tl., kom, BIS125kHz (7M) D</t>
  </si>
  <si>
    <t>Tablo DUO+ 56 tl., kom, BIS125kHz (7M) D</t>
  </si>
  <si>
    <t>Tablo DUO+ 58 tl., kom, BIS125kHz (7M) D</t>
  </si>
  <si>
    <t>Tablo DUO+ 60 tl., kom, BIS125kHz (7M) D</t>
  </si>
  <si>
    <t>Tablo DUO+ 62 tl., kom, BIS125kHz (7M) D</t>
  </si>
  <si>
    <t>Tablo DUO+ 2 tl., kom, BIS125kHz (2M) S</t>
  </si>
  <si>
    <t>Tablo DUO+ 4 tl., kom, BIS125kHz (2M) S</t>
  </si>
  <si>
    <t>Tablo DUO+ 6 tl., kom, BIS125kHz (2M) S</t>
  </si>
  <si>
    <t>Tablo DUO+ 8 tl., kom, BIS125kHz (2M) S</t>
  </si>
  <si>
    <t>Tablo DUO+ 10 tl., kom, BIS125kHz (2M) S</t>
  </si>
  <si>
    <t>Tablo DUO+ 12 tl., kom, BIS125kHz (2M) S</t>
  </si>
  <si>
    <t>Tablo DUO+ 14 tl., kom, BIS125kHz (3M) S</t>
  </si>
  <si>
    <t>Tablo DUO+ 16 tl., kom, BIS125kHz (3M) S</t>
  </si>
  <si>
    <t>Tablo DUO+ 18 tl., kom, BIS125kHz (3M) S</t>
  </si>
  <si>
    <t>Tablo DUO+ 20 tl., kom, BIS125kHz (3M) S</t>
  </si>
  <si>
    <t>Tablo DUO+ 22 tl., kom, BIS125kHz (3M) S</t>
  </si>
  <si>
    <t>Tablo DUO+ 24 tl., kom, BIS125kHz (4M) S</t>
  </si>
  <si>
    <t>Tablo DUO+ 26 tl., kom, BIS125kHz (4M) S</t>
  </si>
  <si>
    <t>Tablo DUO+ 28 tl., kom, BIS125kHz (4M) S</t>
  </si>
  <si>
    <t>Tablo DUO+ 30 tl., kom, BIS125kHz (4M) S</t>
  </si>
  <si>
    <t>Tablo DUO+ 32 tl., kom, BIS125kHz (4M) S</t>
  </si>
  <si>
    <t>Tablo DUO+ 34 tl., kom, BIS125kHz (5M) S</t>
  </si>
  <si>
    <t>Tablo DUO+ 36 tl., kom, BIS125kHz (5M) S</t>
  </si>
  <si>
    <t>Tablo DUO+ 38 tl., kom, BIS125kHz (5M) S</t>
  </si>
  <si>
    <t>Tablo DUO+ 40 tl., kom, BIS125kHz (5M) S</t>
  </si>
  <si>
    <t>Tablo DUO+ 42 tl., kom, BIS125kHz (5M) S</t>
  </si>
  <si>
    <t>Tablo DUO+ 44 tl., kom, BIS125kHz (6M) S</t>
  </si>
  <si>
    <t>Tablo DUO+ 46 tl., kom, BIS125kHz (6M) S</t>
  </si>
  <si>
    <t>Tablo DUO+ 48 tl., kom, BIS125kHz (6M) S</t>
  </si>
  <si>
    <t>Tablo DUO+ 50 tl., kom, BIS125kHz (6M) S</t>
  </si>
  <si>
    <t>Tablo DUO+ 52 tl., kom, BIS125kHz (6M) S</t>
  </si>
  <si>
    <t>Tablo DUO+ 54 tl., kom, BIS125kHz (7M) S</t>
  </si>
  <si>
    <t>Tablo DUO+ 56 tl., kom, BIS125kHz (7M) S</t>
  </si>
  <si>
    <t>Tablo DUO+ 58 tl., kom, BIS125kHz (7M) S</t>
  </si>
  <si>
    <t>Tablo DUO+ 60 tl., kom, BIS125kHz (7M) S</t>
  </si>
  <si>
    <t>Tablo DUO+ 62 tl., kom, BIS125kHz (7M) S</t>
  </si>
  <si>
    <t>4004005514</t>
  </si>
  <si>
    <t>Tablo DUO+ 2 tl., kom, MIFARE (2M) D</t>
  </si>
  <si>
    <t>4004005534</t>
  </si>
  <si>
    <t>Tablo DUO+ 4 tl., kom, MIFARE (2M) D</t>
  </si>
  <si>
    <t>4004005557</t>
  </si>
  <si>
    <t>Tablo DUO+ 6 tl., kom, MIFARE (2M) D</t>
  </si>
  <si>
    <t>4004005563</t>
  </si>
  <si>
    <t>Tablo DUO+ 8 tl., kom, MIFARE (2M) D</t>
  </si>
  <si>
    <t>4004005502</t>
  </si>
  <si>
    <t>Tablo DUO+ 10 tl., kom, MIFARE (2M) D</t>
  </si>
  <si>
    <t>4004005504</t>
  </si>
  <si>
    <t>Tablo DUO+ 12 tl., kom, MIFARE (2M) D</t>
  </si>
  <si>
    <t>4004005506</t>
  </si>
  <si>
    <t>Tablo DUO+ 14 tl., kom, MIFARE (3M) D</t>
  </si>
  <si>
    <t>4004005508</t>
  </si>
  <si>
    <t>Tablo DUO+ 16 tl., kom, MIFARE (3M) D</t>
  </si>
  <si>
    <t>4004005510</t>
  </si>
  <si>
    <t>Tablo DUO+ 18 tl., kom, MIFARE (3M) D</t>
  </si>
  <si>
    <t>4004005512</t>
  </si>
  <si>
    <t>Tablo DUO+ 20 tl., kom, MIFARE (3M) D</t>
  </si>
  <si>
    <t>4004005516</t>
  </si>
  <si>
    <t>Tablo DUO+ 22 tl., kom, MIFARE (3M) D</t>
  </si>
  <si>
    <t>4004005518</t>
  </si>
  <si>
    <t>Tablo DUO+ 24 tl., kom, MIFARE (4M) D</t>
  </si>
  <si>
    <t>4004005520</t>
  </si>
  <si>
    <t>Tablo DUO+ 26 tl., kom, MIFARE (4M) D</t>
  </si>
  <si>
    <t>4004005522</t>
  </si>
  <si>
    <t>Tablo DUO+ 28 tl., kom, MIFARE (4M) D</t>
  </si>
  <si>
    <t>4004005524</t>
  </si>
  <si>
    <t>Tablo DUO+ 30 tl., kom, MIFARE (4M) D</t>
  </si>
  <si>
    <t>4004005526</t>
  </si>
  <si>
    <t>Tablo DUO+ 32 tl., kom, MIFARE (4M) D</t>
  </si>
  <si>
    <t>4004005528</t>
  </si>
  <si>
    <t>Tablo DUO+ 34 tl., kom, MIFARE (5M) D</t>
  </si>
  <si>
    <t>4004005530</t>
  </si>
  <si>
    <t>Tablo DUO+ 36 tl., kom, MIFARE (5M) D</t>
  </si>
  <si>
    <t>4004005531</t>
  </si>
  <si>
    <t>Tablo DUO+ 38 tl., kom, MIFARE (5M) D</t>
  </si>
  <si>
    <t>4004005536</t>
  </si>
  <si>
    <t>Tablo DUO+ 40 tl., kom, MIFARE (5M) D</t>
  </si>
  <si>
    <t>4004005538</t>
  </si>
  <si>
    <t>Tablo DUO+ 42 tl., kom, MIFARE (5M) D</t>
  </si>
  <si>
    <t>4004005540</t>
  </si>
  <si>
    <t>Tablo DUO+ 44 tl., kom, MIFARE (6M) D</t>
  </si>
  <si>
    <t>4004005542</t>
  </si>
  <si>
    <t>Tablo DUO+ 46 tl., kom, MIFARE (6M) D</t>
  </si>
  <si>
    <t>4004005543</t>
  </si>
  <si>
    <t>Tablo DUO+ 48 tl., kom, MIFARE (6M) D</t>
  </si>
  <si>
    <t>4004005544</t>
  </si>
  <si>
    <t>Tablo DUO+ 50 tl., kom, MIFARE (6M) D</t>
  </si>
  <si>
    <t>4004005548</t>
  </si>
  <si>
    <t>Tablo DUO+ 52 tl., kom, MIFARE (6M) D</t>
  </si>
  <si>
    <t>4004005550</t>
  </si>
  <si>
    <t>Tablo DUO+ 54 tl., kom, MIFARE (7M) D</t>
  </si>
  <si>
    <t>4004005553</t>
  </si>
  <si>
    <t>Tablo DUO+ 56 tl., kom, MIFARE (7M) D</t>
  </si>
  <si>
    <t>4004005554</t>
  </si>
  <si>
    <t>Tablo DUO+ 58 tl., kom, MIFARE (7M) D</t>
  </si>
  <si>
    <t>4004005559</t>
  </si>
  <si>
    <t>Tablo DUO+ 60 tl., kom, MIFARE (7M) D</t>
  </si>
  <si>
    <t>4004005560</t>
  </si>
  <si>
    <t>Tablo DUO+ 62 tl., kom, MIFARE (7M) D</t>
  </si>
  <si>
    <t>4004005515</t>
  </si>
  <si>
    <t>Tablo DUO+ 2 tl., kom, MIFARE (2M) S</t>
  </si>
  <si>
    <t>4004005535</t>
  </si>
  <si>
    <t>Tablo DUO+ 4 tl., kom, MIFARE (2M) S</t>
  </si>
  <si>
    <t>4004005558</t>
  </si>
  <si>
    <t>Tablo DUO+ 6 tl., kom, MIFARE (2M) S</t>
  </si>
  <si>
    <t>4004005564</t>
  </si>
  <si>
    <t>Tablo DUO+ 8 tl., kom, MIFARE (2M) S</t>
  </si>
  <si>
    <t>4004005503</t>
  </si>
  <si>
    <t>Tablo DUO+ 10 tl., kom, MIFARE (2M) S</t>
  </si>
  <si>
    <t>4004005505</t>
  </si>
  <si>
    <t>Tablo DUO+ 12 tl., kom, MIFARE (2M) S</t>
  </si>
  <si>
    <t>4004005507</t>
  </si>
  <si>
    <t>Tablo DUO+ 14 tl., kom, MIFARE (3M) S</t>
  </si>
  <si>
    <t>4004005509</t>
  </si>
  <si>
    <t>Tablo DUO+ 16 tl., kom, MIFARE (3M) S</t>
  </si>
  <si>
    <t>4004005511</t>
  </si>
  <si>
    <t>Tablo DUO+ 18 tl., kom, MIFARE (3M) S</t>
  </si>
  <si>
    <t>4004005513</t>
  </si>
  <si>
    <t>Tablo DUO+ 20 tl., kom, MIFARE (3M) S</t>
  </si>
  <si>
    <t>4004005517</t>
  </si>
  <si>
    <t>Tablo DUO+ 22 tl., kom, MIFARE (3M) S</t>
  </si>
  <si>
    <t>4004005519</t>
  </si>
  <si>
    <t>Tablo DUO+ 24 tl., kom, MIFARE (4M) S</t>
  </si>
  <si>
    <t>4004005521</t>
  </si>
  <si>
    <t>Tablo DUO+ 26 tl., kom, MIFARE (4M) S</t>
  </si>
  <si>
    <t>4004005523</t>
  </si>
  <si>
    <t>Tablo DUO+ 28 tl., kom, MIFARE (4M) S</t>
  </si>
  <si>
    <t>4004005525</t>
  </si>
  <si>
    <t>Tablo DUO+ 30 tl., kom, MIFARE (4M) S</t>
  </si>
  <si>
    <t>4004005527</t>
  </si>
  <si>
    <t>Tablo DUO+ 32 tl., kom, MIFARE (4M) S</t>
  </si>
  <si>
    <t>4004005529</t>
  </si>
  <si>
    <t>Tablo DUO+ 34 tl., kom, MIFARE (5M) S</t>
  </si>
  <si>
    <t>4004005532</t>
  </si>
  <si>
    <t>Tablo DUO+ 36 tl., kom, MIFARE (5M) S</t>
  </si>
  <si>
    <t>4004005533</t>
  </si>
  <si>
    <t>Tablo DUO+ 38 tl., kom, MIFARE (5M) S</t>
  </si>
  <si>
    <t>4004005537</t>
  </si>
  <si>
    <t>Tablo DUO+ 40 tl., kom, MIFARE (5M) S</t>
  </si>
  <si>
    <t>4004005539</t>
  </si>
  <si>
    <t>Tablo DUO+ 42 tl., kom, MIFARE (5M) S</t>
  </si>
  <si>
    <t>4004005541</t>
  </si>
  <si>
    <t>Tablo DUO+ 44 tl., kom, MIFARE (6M) S</t>
  </si>
  <si>
    <t>4004005545</t>
  </si>
  <si>
    <t>Tablo DUO+ 46 tl., kom, MIFARE (6M) S</t>
  </si>
  <si>
    <t>4004005546</t>
  </si>
  <si>
    <t>Tablo DUO+ 48 tl., kom, MIFARE (6M) S</t>
  </si>
  <si>
    <t>4004005547</t>
  </si>
  <si>
    <t>Tablo DUO+ 50 tl., kom, MIFARE (6M) S</t>
  </si>
  <si>
    <t>4004005549</t>
  </si>
  <si>
    <t>Tablo DUO+ 52 tl., kom, MIFARE (6M) S</t>
  </si>
  <si>
    <t>4004005552</t>
  </si>
  <si>
    <t>Tablo DUO+ 54 tl., kom, MIFARE (7M) S</t>
  </si>
  <si>
    <t>4004005555</t>
  </si>
  <si>
    <t>Tablo DUO+ 56 tl., kom, MIFARE (7M) S</t>
  </si>
  <si>
    <t>4004005556</t>
  </si>
  <si>
    <t>Tablo DUO+ 58 tl., kom, MIFARE (7M) S</t>
  </si>
  <si>
    <t>4004005561</t>
  </si>
  <si>
    <t>Tablo DUO+ 60 tl., kom, MIFARE (7M) S</t>
  </si>
  <si>
    <t>4004005562</t>
  </si>
  <si>
    <t>Tablo DUO+ 62 tl., kom, MIFARE (7M) S</t>
  </si>
  <si>
    <t>Tablo DUO Standard kláves. až 12 jm. (2M), kom, D</t>
  </si>
  <si>
    <t>Tablo DUO Standard kláves. až 22 jm. (2M), kom, D</t>
  </si>
  <si>
    <t>Tablo DUO Standard kláves. až 34 jm. (3M), kom, D</t>
  </si>
  <si>
    <t>Tablo DUO Standard kláves. až 44 jm. (3M), kom, D</t>
  </si>
  <si>
    <t>Tablo DUO Standard kláves. až 66 jm. (4M), kom, D</t>
  </si>
  <si>
    <t>Tablo DUO Standard kláves. až 88 jm. (5M), kom, D</t>
  </si>
  <si>
    <t>Tablo DUO Standard kláves. až 110 jm. (6M), kom, D</t>
  </si>
  <si>
    <t>Tablo DUO Standard kláves. až 12 jm. (2M), kom, S</t>
  </si>
  <si>
    <t>Tablo DUO Standard kláves. až 22 jm. (2M), kom, S</t>
  </si>
  <si>
    <t>Tablo DUO Standard kláves. až 34 jm. (3M), kom, S</t>
  </si>
  <si>
    <t>Tablo DUO Standard kláves. až 44 jm. (3M), kom, S</t>
  </si>
  <si>
    <t>Tablo DUO Standard kláves. až 66 jm. (4M), kom, S</t>
  </si>
  <si>
    <t>Tablo DUO Standard kláves. až 88 jm. (5M), kom, S</t>
  </si>
  <si>
    <t>Tablo DUO Standard kláves. až 110 jm. (6M), kom, S</t>
  </si>
  <si>
    <t>Tablo DUO Stand. kl. až 12jm.(2M),kom,BIS125kHz,D</t>
  </si>
  <si>
    <t>Tablo DUO Stand. kl. až 22jm.(2M),kom,BIS125kHz,D</t>
  </si>
  <si>
    <t>Tablo DUO Stand. kl. až 34jm.(3M),kom,BIS125kHz,D</t>
  </si>
  <si>
    <t>Tablo DUO Stand. kl. až 44jm.(3M),kom,BIS125kHz,D</t>
  </si>
  <si>
    <t>Tablo DUO Stand. kl. až 66jm.(4M),kom,BIS125kHz,D</t>
  </si>
  <si>
    <t>Tablo DUO Stand. kl. až 88jm.(5M),kom,BIS125kHz,D</t>
  </si>
  <si>
    <t>Tablo DUO Stand. kl. až 110jm.(6M),kom,BIS125kHz,D</t>
  </si>
  <si>
    <t>Tablo DUO Stand. kl. až 12jm.(2M),kom,BIS125kHz,S</t>
  </si>
  <si>
    <t>Tablo DUO Stand. kl. až 22jm.(2M),kom,BIS125kHz,S</t>
  </si>
  <si>
    <t>Tablo DUO Stand. kl. až 34jm.(3M),kom,BIS125kHz,S</t>
  </si>
  <si>
    <t>Tablo DUO Stand. kl. až 44jm.(3M),kom,BIS125kHz,S</t>
  </si>
  <si>
    <t>Tablo DUO Stand. kl. až 66jm.(4M),kom,BIS125kHz,S</t>
  </si>
  <si>
    <t>Tablo DUO Stand. kl. až 88jm.(5M),kom,BIS125kHz,S</t>
  </si>
  <si>
    <t>Tablo DUO Stand. kl. až 110jm.(6M),kom,BIS125kHz,S</t>
  </si>
  <si>
    <t>Tablo DUO Stand. kl. až 12jm.(2M),kom,MIFARE,D</t>
  </si>
  <si>
    <t>Tablo DUO Stand. kl. až 22jm.(2M),kom,MIFARE,D</t>
  </si>
  <si>
    <t>Tablo DUO Stand. kl. až 34jm.(3M),kom,MIFARE,D</t>
  </si>
  <si>
    <t>Tablo DUO Stand. kl. až 44jm.(3M),kom,MIFARE,D</t>
  </si>
  <si>
    <t>Tablo DUO Stand. kl. až 66jm.(4M),kom,MIFARE,D</t>
  </si>
  <si>
    <t>Tablo DUO Stand. kl. až 88jm.(5M),kom,MIFARE,D</t>
  </si>
  <si>
    <t>Tablo DUO Stand. kl. až 110j.(6M),kom,MIFARE,D</t>
  </si>
  <si>
    <t>4004005571</t>
  </si>
  <si>
    <t>Tablo DUO Stand. kl. až 12jm.(2M),kom,MIFARE,S</t>
  </si>
  <si>
    <t>4004005572</t>
  </si>
  <si>
    <t>Tablo DUO Stand. kl. až 22jm.(2M),kom,MIFARE,S</t>
  </si>
  <si>
    <t>4004005573</t>
  </si>
  <si>
    <t>Tablo DUO Stand. kl. až 34jm.(3M),kom,MIFARE,S</t>
  </si>
  <si>
    <t>4004005574</t>
  </si>
  <si>
    <t>Tablo DUO Stand. kl. až 44jm.(3M),kom,MIFARE,S</t>
  </si>
  <si>
    <t>4004005575</t>
  </si>
  <si>
    <t>Tablo DUO Stand. kl. až 66jm.(4M),kom,MIFARE,S</t>
  </si>
  <si>
    <t>4004005576</t>
  </si>
  <si>
    <t>Tablo DUO Stand. kl. až 88jm.(5M),kom,MIFARE,S</t>
  </si>
  <si>
    <t>4004005577</t>
  </si>
  <si>
    <t>Tablo DUO Stand. kl. až 110j.(6M),kom,MIFARE,S</t>
  </si>
  <si>
    <t>Tablo DUO Standard 2 tl., kom (1M) D + MK1</t>
  </si>
  <si>
    <t>Tablo DUO Standard 4 tl., kom (1M) D + MK1</t>
  </si>
  <si>
    <t>Tablo DUO Standard 6 tl., kom (1M) D + MK1</t>
  </si>
  <si>
    <t>Tablo DUO Standard 8 tl., kom (2M) D</t>
  </si>
  <si>
    <t>Tablo DUO Standard 10 tl., kom (2M) D</t>
  </si>
  <si>
    <t>Tablo DUO Standard 12 tl., kom (2M) D</t>
  </si>
  <si>
    <t>Tablo DUO Standard 14 tl., kom (2M) D</t>
  </si>
  <si>
    <t>Tablo DUO Standard 16 tl., kom (2M) D</t>
  </si>
  <si>
    <t>Tablo DUO Standard 18 tl., kom (3M) D</t>
  </si>
  <si>
    <t>Tablo DUO Standard 20 tl., kom (3M) D</t>
  </si>
  <si>
    <t>Tablo DUO Standard 22 tl., kom (3M) D</t>
  </si>
  <si>
    <t>Tablo DUO Standard 24 tl., kom (3M) D</t>
  </si>
  <si>
    <t>Tablo DUO Standard 26 tl., kom (3M) D</t>
  </si>
  <si>
    <t>Tablo DUO Standard 28 tl., kom (4M) D</t>
  </si>
  <si>
    <t>Tablo DUO Standard 30 tl., kom (4M) D</t>
  </si>
  <si>
    <t>Tablo DUO Standard 32 tl., kom (4M) D</t>
  </si>
  <si>
    <t>Tablo DUO Standard 34 tl., kom (4M) D</t>
  </si>
  <si>
    <t>Tablo DUO Standard 36 tl., kom (4M) D</t>
  </si>
  <si>
    <t>Tablo DUO Standard 38 tl., kom (5M) D</t>
  </si>
  <si>
    <t>Tablo DUO Standard 40 tl., kom (5M) D</t>
  </si>
  <si>
    <t>Tablo DUO Standard 42 tl., kom (5M) D</t>
  </si>
  <si>
    <t>Tablo DUO Standard 44 tl., kom (5M) D</t>
  </si>
  <si>
    <t>Tablo DUO Standard 46 tl., kom (5M) D</t>
  </si>
  <si>
    <t>Tablo DUO Standard 48 tl., kom (6M) D</t>
  </si>
  <si>
    <t>Tablo DUO Standard 50 tl., kom (6M) D</t>
  </si>
  <si>
    <t>Tablo DUO Standard 52 tl., kom (6M) D</t>
  </si>
  <si>
    <t>Tablo DUO Standard 54 tl., kom (6M) D</t>
  </si>
  <si>
    <t>Tablo DUO Standard 56 tl., kom (6M) D</t>
  </si>
  <si>
    <t>Tablo DUO Standard 58 tl., kom (7M) D</t>
  </si>
  <si>
    <t>Tablo DUO Standard 60 tl., kom (7M) D</t>
  </si>
  <si>
    <t>Tablo DUO Standard 62 tl., kom (7M) D</t>
  </si>
  <si>
    <t>Tablo DUO Standard 64 tl., kom (7M) D</t>
  </si>
  <si>
    <t>Tablo DUO Standard 66 tl., kom (7M) D</t>
  </si>
  <si>
    <t>Tablo DUO Standard 2 tl., kom (1M) S</t>
  </si>
  <si>
    <t>Tablo DUO Standard 4 tl., kom (1M) S</t>
  </si>
  <si>
    <t>Tablo DUO Standard 6 tl., kom (1M) S</t>
  </si>
  <si>
    <t>Tablo DUO Standard 8 tl., kom (2M) S</t>
  </si>
  <si>
    <t>Tablo DUO Standard 10 tl., kom (2M) S</t>
  </si>
  <si>
    <t>Tablo DUO Standard 12 tl., kom (2M) S</t>
  </si>
  <si>
    <t>Tablo DUO Standard 14 tl., kom (2M) S</t>
  </si>
  <si>
    <t>Tablo DUO Standard 16 tl., kom (2M) S</t>
  </si>
  <si>
    <t>Tablo DUO Standard 18 tl., kom (3M) S</t>
  </si>
  <si>
    <t>Tablo DUO Standard 20 tl., kom (3M) S</t>
  </si>
  <si>
    <t>Tablo DUO Standard 22 tl., kom (3M) S</t>
  </si>
  <si>
    <t>Tablo DUO Standard 24 tl., kom (3M) S</t>
  </si>
  <si>
    <t>Tablo DUO Standard 26 tl., kom (3M) S</t>
  </si>
  <si>
    <t>Tablo DUO Standard 28 tl., kom (4M) S</t>
  </si>
  <si>
    <t>Tablo DUO Standard 30 tl., kom (4M) S</t>
  </si>
  <si>
    <t>Tablo DUO Standard 32 tl., kom (4M) S</t>
  </si>
  <si>
    <t>Tablo DUO Standard 34 tl., kom (4M) S</t>
  </si>
  <si>
    <t>Tablo DUO Standard 36 tl., kom (4M) S</t>
  </si>
  <si>
    <t>Tablo DUO Standard 38 tl., kom (5M) S</t>
  </si>
  <si>
    <t>Tablo DUO Standard 40 tl., kom (5M) S</t>
  </si>
  <si>
    <t>Tablo DUO Standard 42 tl., kom (5M) S</t>
  </si>
  <si>
    <t>Tablo DUO Standard 44 tl., kom (5M) S</t>
  </si>
  <si>
    <t>Tablo DUO Standard 46 tl., kom (5M) S</t>
  </si>
  <si>
    <t>Tablo DUO Standard 48 tl., kom (6M) S</t>
  </si>
  <si>
    <t>Tablo DUO Standard 50 tl., kom (6M) S</t>
  </si>
  <si>
    <t>Tablo DUO Standard 52 tl., kom (6M) S</t>
  </si>
  <si>
    <t>Tablo DUO Standard 54 tl., kom (6M) S</t>
  </si>
  <si>
    <t>Tablo DUO Standard 56 tl., kom (6M) S</t>
  </si>
  <si>
    <t>Tablo DUO Standard 58 tl., kom (7M) S</t>
  </si>
  <si>
    <t>Tablo DUO Standard 60 tl., kom (7M) S</t>
  </si>
  <si>
    <t>Tablo DUO Standard 62 tl., kom (7M) S</t>
  </si>
  <si>
    <t>Tablo DUO Standard 64 tl., kom (7M) S</t>
  </si>
  <si>
    <t>Tablo DUO Standard 66 tl., kom (7M) S</t>
  </si>
  <si>
    <t>Tablo DUO Standard 2 tl.,kom,BIS125KHz (2M) D</t>
  </si>
  <si>
    <t>Tablo DUO Standard 4 tl.,kom,BIS125KHz (2M) D</t>
  </si>
  <si>
    <t>Tablo DUO Standard 6 tl.,kom,BIS125KHz (2M) D</t>
  </si>
  <si>
    <t>Tablo DUO Standard 8 tl.,kom,BIS125KHz (2M) D</t>
  </si>
  <si>
    <t>Tablo DUO Standard 10 tl.,kom,BIS125KHz (2M) D</t>
  </si>
  <si>
    <t>Tablo DUO Standard 12 tl.,kom,BIS125KHz (2M) D</t>
  </si>
  <si>
    <t>Tablo DUO Standard 14 tl.,kom,BIS125KHz (3M) D</t>
  </si>
  <si>
    <t>Tablo DUO Standard 16 tl.,kom,BIS125KHz (3M) D</t>
  </si>
  <si>
    <t>Tablo DUO Standard 18 tl.,kom,BIS125KHz (3M) D</t>
  </si>
  <si>
    <t>Tablo DUO Standard 20 tl.,kom,BIS125KHz (3M) D</t>
  </si>
  <si>
    <t>Tablo DUO Standard 22 tl.,kom,BIS125KHz (3M) D</t>
  </si>
  <si>
    <t>Tablo DUO Standard 24 tl.,kom,BIS125KHz (4M) D</t>
  </si>
  <si>
    <t>Tablo DUO Standard 26 tl.,kom,BIS125KHz (4M) D</t>
  </si>
  <si>
    <t>Tablo DUO Standard 28 tl.,kom,BIS125KHz (4M) D</t>
  </si>
  <si>
    <t>Tablo DUO Standard 30 tl.,kom,BIS125KHz (4M) D</t>
  </si>
  <si>
    <t>Tablo DUO Standard 32 tl.,kom,BIS125KHz (4M) D</t>
  </si>
  <si>
    <t>Tablo DUO Standard 34 tl.,kom,BIS125KHz (5M) D</t>
  </si>
  <si>
    <t>Tablo DUO Standard 36 tl.,kom,BIS125KHz (5M) D</t>
  </si>
  <si>
    <t>Tablo DUO Standard 38 tl.,kom,BIS125KHz (5M) D</t>
  </si>
  <si>
    <t>Tablo DUO Standard 40 tl.,kom,BIS125KHz (5M) D</t>
  </si>
  <si>
    <t>Tablo DUO Standard 42 tl.,kom,BIS125KHz (5M) D</t>
  </si>
  <si>
    <t>Tablo DUO Standard 44 tl.,kom,BIS125KHz (6M) D</t>
  </si>
  <si>
    <t>Tablo DUO Standard 46 tl.,kom,BIS125KHz (6M) D</t>
  </si>
  <si>
    <t>Tablo DUO Standard 48 tl.,kom,BIS125KHz (6M) D</t>
  </si>
  <si>
    <t>Tablo DUO Standard 50 tl.,kom,BIS125KHz (6M) D</t>
  </si>
  <si>
    <t>Tablo DUO Standard 52 tl.,kom,BIS125KHz (6M) D</t>
  </si>
  <si>
    <t>Tablo DUO Standard 54 tl.,kom,BIS125KHz (7M) D</t>
  </si>
  <si>
    <t>Tablo DUO Standard 56 tl.,kom,BIS125KHz (7M) D</t>
  </si>
  <si>
    <t>Tablo DUO Standard 58 tl.,kom,BIS125KHz (7M) D</t>
  </si>
  <si>
    <t>Tablo DUO Standard 60 tl.,kom,BIS125KHz (7M) D</t>
  </si>
  <si>
    <t>Tablo DUO Standard 62 tl.,kom,BIS125KHz (7M) D</t>
  </si>
  <si>
    <t>Tablo DUO Standard 2 tl.,kom,BIS125KHz (2M) S</t>
  </si>
  <si>
    <t>Tablo DUO Standard 4 tl.,kom,BIS125KHz (2M) S</t>
  </si>
  <si>
    <t>Tablo DUO Standard 6 tl.,kom,BIS125KHz (2M) S</t>
  </si>
  <si>
    <t>Tablo DUO Standard 8 tl.,kom,BIS125KHz (2M) S</t>
  </si>
  <si>
    <t>Tablo DUO Standard 10 tl.,kom,BIS125KHz (2M) S</t>
  </si>
  <si>
    <t>Tablo DUO Standard 12 tl.,kom,BIS125KHz (2M) S</t>
  </si>
  <si>
    <t>Tablo DUO Standard 14 tl.,kom,BIS125KHz (3M) S</t>
  </si>
  <si>
    <t>Tablo DUO Standard 16 tl.,kom,BIS125KHz (3M) S</t>
  </si>
  <si>
    <t>Tablo DUO Standard 18 tl.,kom,BIS125KHz (3M) S</t>
  </si>
  <si>
    <t>Tablo DUO Standard 20 tl.,kom,BIS125KHz (3M) S</t>
  </si>
  <si>
    <t>Tablo DUO Standard 22 tl.,kom,BIS125KHz (3M) S</t>
  </si>
  <si>
    <t>Tablo DUO Standard 24 tl.,kom,BIS125KHz (4M) S</t>
  </si>
  <si>
    <t>Tablo DUO Standard 26 tl.,kom,BIS125KHz (4M) S</t>
  </si>
  <si>
    <t>Tablo DUO Standard 28 tl.,kom,BIS125KHz (4M) S</t>
  </si>
  <si>
    <t>Tablo DUO Standard 30 tl.,kom,BIS125KHz (4M) S</t>
  </si>
  <si>
    <t>Tablo DUO Standard 32 tl.,kom,BIS125KHz (4M) S</t>
  </si>
  <si>
    <t>Tablo DUO Standard 34 tl.,kom,BIS125KHz (5M) S</t>
  </si>
  <si>
    <t>Tablo DUO Standard 36 tl.,kom,BIS125KHz (5M) S</t>
  </si>
  <si>
    <t>Tablo DUO Standard 38 tl.,kom,BIS125KHz (5M) S</t>
  </si>
  <si>
    <t>Tablo DUO Standard 40 tl.,kom,BIS125KHz (5M) S</t>
  </si>
  <si>
    <t>Tablo DUO Standard 42 tl.,kom,BIS125KHz (5M) S</t>
  </si>
  <si>
    <t>Tablo DUO Standard 44 tl.,kom,BIS125KHz (6M) S</t>
  </si>
  <si>
    <t>Tablo DUO Standard 46 tl.,kom,BIS125KHz (6M) S</t>
  </si>
  <si>
    <t>Tablo DUO Standard 48 tl.,kom,BIS125KHz (6M) S</t>
  </si>
  <si>
    <t>Tablo DUO Standard 50 tl.,kom,BIS125KHz (6M) S</t>
  </si>
  <si>
    <t>Tablo DUO Standard 52 tl.,kom,BIS125KHz (6M) S</t>
  </si>
  <si>
    <t>Tablo DUO Standard 54 tl.,kom,BIS125KHz (7M) S</t>
  </si>
  <si>
    <t>Tablo DUO Standard 56 tl.,kom,BIS125KHz (7M) S</t>
  </si>
  <si>
    <t>Tablo DUO Standard 58 tl.,kom,BIS125KHz (7M) S</t>
  </si>
  <si>
    <t>Tablo DUO Standard 60 tl.,kom,BIS125KHz (7M) S</t>
  </si>
  <si>
    <t>Tablo DUO Standard 62 tl.,kom,BIS125KHz (7M) S</t>
  </si>
  <si>
    <t>Tablo DUO Standard 2 tl.,kom,MIFARE (2M) D</t>
  </si>
  <si>
    <t>Tablo DUO Standard 4 tl.,kom,MIFARE (2M) D</t>
  </si>
  <si>
    <t>Tablo DUO Standard 6 tl.,kom,MIFARE (2M) D</t>
  </si>
  <si>
    <t>Tablo DUO Standard 8 tl.,kom,MIFARE (2M) D</t>
  </si>
  <si>
    <t>Tablo DUO Standard 10 tl.,kom,MIFARE (2M) D</t>
  </si>
  <si>
    <t>Tablo DUO Standard 12 tl.,kom,MIFARE (2M) D</t>
  </si>
  <si>
    <t>Tablo DUO Standard 14 tl.,kom,MIFARE (3M) D</t>
  </si>
  <si>
    <t>Tablo DUO Standard 16 tl.,kom,MIFARE (3M) D</t>
  </si>
  <si>
    <t>Tablo DUO Standard 18 tl.,kom,MIFARE (3M) D</t>
  </si>
  <si>
    <t>Tablo DUO Standard 20 tl.,kom,MIFARE (3M) D</t>
  </si>
  <si>
    <t>Tablo DUO Standard 22 tl.,kom,MIFARE (3M) D</t>
  </si>
  <si>
    <t>Tablo DUO Standard 24 tl.,kom,MIFARE (4M) D</t>
  </si>
  <si>
    <t>Tablo DUO Standard 26 tl.,kom,MIFARE (4M) D</t>
  </si>
  <si>
    <t>Tablo DUO Standard 28 tl.,kom,MIFARE (4M) D</t>
  </si>
  <si>
    <t>Tablo DUO Standard 30 tl.,kom,MIFARE (4M) D</t>
  </si>
  <si>
    <t>Tablo DUO Standard 32 tl.,kom,MIFARE (4M) D</t>
  </si>
  <si>
    <t>Tablo DUO Standard 34 tl.,kom,MIFARE (5M) D</t>
  </si>
  <si>
    <t>Tablo DUO Standard 36 tl.,kom,MIFARE (5M) D</t>
  </si>
  <si>
    <t>Tablo DUO Standard 38 tl.,kom,MIFARE (5M) D</t>
  </si>
  <si>
    <t>Tablo DUO Standard 40 tl.,kom,MIFARE (5M) D</t>
  </si>
  <si>
    <t>Tablo DUO Standard 42 tl.,kom,MIFARE (5M) D</t>
  </si>
  <si>
    <t>Tablo DUO Standard 44 tl.,kom,MIFARE (6M) D</t>
  </si>
  <si>
    <t>Tablo DUO Standard 46 tl.,kom,MIFARE (6M) D</t>
  </si>
  <si>
    <t>Tablo DUO Standard 48 tl.,kom,MIFARE (6M) D</t>
  </si>
  <si>
    <t>Tablo DUO Standard 50 tl.,kom,MIFARE (6M) D</t>
  </si>
  <si>
    <t>Tablo DUO Standard 52 tl.,kom,MIFARE (6M) D</t>
  </si>
  <si>
    <t>Tablo DUO Standard 54 tl.,kom,MIFARE (7M) D</t>
  </si>
  <si>
    <t>Tablo DUO Standard 56 tl.,kom,MIFARE (7M) D</t>
  </si>
  <si>
    <t>Tablo DUO Standard 58 tl.,kom,MIFARE (7M) D</t>
  </si>
  <si>
    <t>Tablo DUO Standard 60 tl.,kom,MIFARE (7M) D</t>
  </si>
  <si>
    <t>Tablo DUO Standard 62 tl.,kom,MIFARE (7M) D</t>
  </si>
  <si>
    <t>Tablo DUO Standard 2 tl.,kom,MIFARE (2M) S</t>
  </si>
  <si>
    <t>Tablo DUO Standard 4 tl.,kom,MIFARE (2M) S</t>
  </si>
  <si>
    <t>Tablo DUO Standard 6 tl.,kom,MIFARE (2M) S</t>
  </si>
  <si>
    <t>Tablo DUO Standard 8 tl.,kom,MIFARE (2M) S</t>
  </si>
  <si>
    <t>Tablo DUO Standard 10 tl.,kom,MIFARE (2M) S</t>
  </si>
  <si>
    <t>Tablo DUO Standard 12 tl.,kom,MIFARE (2M) S</t>
  </si>
  <si>
    <t>Tablo DUO Standard 14 tl.,kom,MIFARE (3M) S</t>
  </si>
  <si>
    <t>Tablo DUO Standard 16 tl.,kom,MIFARE (3M) S</t>
  </si>
  <si>
    <t>Tablo DUO Standard 18 tl.,kom,MIFARE (3M) S</t>
  </si>
  <si>
    <t>Tablo DUO Standard 20 tl.,kom,MIFARE (3M) S</t>
  </si>
  <si>
    <t>Tablo DUO Standard 22 tl.,kom,MIFARE (3M) S</t>
  </si>
  <si>
    <t>Tablo DUO Standard 24 tl.,kom,MIFARE (4M) S</t>
  </si>
  <si>
    <t>Tablo DUO Standard 26 tl.,kom,MIFARE (4M) S</t>
  </si>
  <si>
    <t>Tablo DUO Standard 28 tl.,kom,MIFARE (4M) S</t>
  </si>
  <si>
    <t>Tablo DUO Standard 30 tl.,kom,MIFARE (4M) S</t>
  </si>
  <si>
    <t>Tablo DUO Standard 32 tl.,kom,MIFARE (4M) S</t>
  </si>
  <si>
    <t>Tablo DUO Standard 34 tl.,kom,MIFARE (5M) S</t>
  </si>
  <si>
    <t>Tablo DUO Standard 36 tl.,kom,MIFARE (5M) S</t>
  </si>
  <si>
    <t>Tablo DUO Standard 38 tl.,kom,MIFARE (5M) S</t>
  </si>
  <si>
    <t>Tablo DUO Standard 40 tl.,kom,MIFARE (5M) S</t>
  </si>
  <si>
    <t>Tablo DUO Standard 42 tl.,kom,MIFARE (5M) S</t>
  </si>
  <si>
    <t>Tablo DUO Standard 44 tl.,kom,MIFARE (6M) S</t>
  </si>
  <si>
    <t>Tablo DUO Standard 46 tl.,kom,MIFARE (6M) S</t>
  </si>
  <si>
    <t>Tablo DUO Standard 48 tl.,kom,MIFARE (6M) S</t>
  </si>
  <si>
    <t>Tablo DUO Standard 50 tl.,kom,MIFARE (6M) S</t>
  </si>
  <si>
    <t>Tablo DUO Standard 52 tl.,kom,MIFARE (6M) S</t>
  </si>
  <si>
    <t>Tablo DUO Standard 54 tl.,kom,MIFARE (7M) S</t>
  </si>
  <si>
    <t>Tablo DUO Standard 56 tl.,kom,MIFARE (7M) S</t>
  </si>
  <si>
    <t>Tablo DUO Standard 58 tl.,kom,MIFARE (7M) S</t>
  </si>
  <si>
    <t>Tablo DUO Standard 60 tl.,kom,MIFARE (7M) S</t>
  </si>
  <si>
    <t>Tablo DUO Standard 62 tl.,kom,MIFARE (7M) S</t>
  </si>
  <si>
    <t>Systém 4+n</t>
  </si>
  <si>
    <r>
      <rPr>
        <b/>
        <sz val="16"/>
        <color rgb="FFFFFFFF"/>
        <rFont val="Tahoma"/>
        <family val="2"/>
        <charset val="238"/>
      </rPr>
      <t>TLAČÍTKOVÁ TABLA: SYSTÉM 17 - 12V</t>
    </r>
    <r>
      <rPr>
        <b/>
        <sz val="11"/>
        <color rgb="FFFFFFFF"/>
        <rFont val="Tahoma"/>
        <family val="2"/>
        <charset val="238"/>
      </rPr>
      <t xml:space="preserve"> s elektronikou v table</t>
    </r>
  </si>
  <si>
    <t>Tablo GENOVA 4+n/05/17: 2 tl.(1M) D + MK1</t>
  </si>
  <si>
    <t>Tablo GENOVA 4+n/05/17: 4 tl.(1M) D + MK1</t>
  </si>
  <si>
    <t>Tablo GENOVA 4+n/05/17: 6 tl.(1M) D + MK1</t>
  </si>
  <si>
    <t>Tablo GENOVA 4+n/05/17: 8 tl.(2M) D</t>
  </si>
  <si>
    <t>Tablo GENOVA 4+n/05/17: 10 tl.(2M) D</t>
  </si>
  <si>
    <t>Tablo GENOVA 4+n/05/17: 12 tl.(2M) D</t>
  </si>
  <si>
    <t>Tablo GENOVA 4+n/05/17: 14 tl.(2M) D</t>
  </si>
  <si>
    <t>Tablo GENOVA 4+n/05/17: 16 tl.(2M) D</t>
  </si>
  <si>
    <t>Tablo GENOVA 4+n/05/17: 18 tl.(3M) D</t>
  </si>
  <si>
    <t>Tablo GENOVA 4+n/05/17: 20 tl.(3M) D</t>
  </si>
  <si>
    <t>Tablo GENOVA 4+n/05/17: 22 tl.(3M) D</t>
  </si>
  <si>
    <t>Tablo GENOVA 4+n/05/17: 24 tl.(3M) D</t>
  </si>
  <si>
    <t>Tablo GENOVA 4+n/05/17: 26 tl.(3M) D</t>
  </si>
  <si>
    <t>Tablo GENOVA 4+n/05/17: 28 tl.(4M) D</t>
  </si>
  <si>
    <t>Tablo GENOVA 4+n/05/17: 30 tl.(4M) D</t>
  </si>
  <si>
    <t>Tablo GENOVA 4+n/05/17: 32 tl.(4M) D</t>
  </si>
  <si>
    <t>Tablo GENOVA 4+n/05/17: 34 tl.(4M) D</t>
  </si>
  <si>
    <t>Tablo GENOVA 4+n/05/17: 36 tl.(4M) D</t>
  </si>
  <si>
    <t>Tablo GENOVA 4+n/05/17: 38 tl.(5M) D</t>
  </si>
  <si>
    <t>Tablo GENOVA 4+n/05/17: 40 tl.(5M) D</t>
  </si>
  <si>
    <t>Tablo GENOVA 4+n/05/17: 42 tl.(5M) D</t>
  </si>
  <si>
    <t>Tablo GENOVA 4+n/05/17: 44 tl.(5M) D</t>
  </si>
  <si>
    <t>Tablo GENOVA 4+n/05/17: 46 tl.(5M) D</t>
  </si>
  <si>
    <t>Tablo GENOVA 4+n/05/17: 48 tl.(6M) D</t>
  </si>
  <si>
    <t>Tablo GENOVA 4+n/05/17: 50 tl.(6M) D</t>
  </si>
  <si>
    <t>Tablo GENOVA 4+n/05/17: 52 tl.(6M) D</t>
  </si>
  <si>
    <t>Tablo GENOVA 4+n/05/17: 54 tl.(6M) D</t>
  </si>
  <si>
    <t>Tablo GENOVA 4+n/05/17: 56 tl.(6M) D</t>
  </si>
  <si>
    <t>Tablo GENOVA 4+n/05/17: 58 tl.(7M) D</t>
  </si>
  <si>
    <t>Tablo GENOVA 4+n/05/17: 60 tl.(7M) D</t>
  </si>
  <si>
    <t>Tablo GENOVA 4+n/05/17: 62 tl.(7M) D</t>
  </si>
  <si>
    <t>Tablo GENOVA 4+n/05/17: 64 tl.(7M) D</t>
  </si>
  <si>
    <t>Tablo GENOVA 4+n/05/17: 66 tl.(7M) D</t>
  </si>
  <si>
    <t>4004004082</t>
  </si>
  <si>
    <t>Tablo GENOVA 4+n/05/17: 2 tl.(1M) S</t>
  </si>
  <si>
    <t>4004004083</t>
  </si>
  <si>
    <t>Tablo GENOVA 4+n/05/17: 4 tl.(1M) S</t>
  </si>
  <si>
    <t>4004004084</t>
  </si>
  <si>
    <t>Tablo GENOVA 4+n/05/17: 6 tl.(1M) S</t>
  </si>
  <si>
    <t>4004004085</t>
  </si>
  <si>
    <t>Tablo GENOVA 4+n/05/17: 8 tl.(2M) S</t>
  </si>
  <si>
    <t>4004004086</t>
  </si>
  <si>
    <t>Tablo GENOVA 4+n/05/17: 10 tl.(2M) S</t>
  </si>
  <si>
    <t>4004004087</t>
  </si>
  <si>
    <t>Tablo GENOVA 4+n/05/17: 12 tl.(2M) S</t>
  </si>
  <si>
    <t>4004004088</t>
  </si>
  <si>
    <t>Tablo GENOVA 4+n/05/17: 14 tl.(2M) S</t>
  </si>
  <si>
    <t>4004004089</t>
  </si>
  <si>
    <t>Tablo GENOVA 4+n/05/17: 16 tl.(2M) S</t>
  </si>
  <si>
    <t>4004004090</t>
  </si>
  <si>
    <t>Tablo GENOVA 4+n/05/17: 18 tl.(3M) S</t>
  </si>
  <si>
    <t>4004004091</t>
  </si>
  <si>
    <t>Tablo GENOVA 4+n/05/17: 20 tl.(3M) S</t>
  </si>
  <si>
    <t>4004004092</t>
  </si>
  <si>
    <t>Tablo GENOVA 4+n/05/17: 22 tl.(3M) S</t>
  </si>
  <si>
    <t>4004004093</t>
  </si>
  <si>
    <t>Tablo GENOVA 4+n/05/17: 24 tl.(3M) S</t>
  </si>
  <si>
    <t>4004004094</t>
  </si>
  <si>
    <t>Tablo GENOVA 4+n/05/17: 26 tl.(3M) S</t>
  </si>
  <si>
    <t>4004004095</t>
  </si>
  <si>
    <t>Tablo GENOVA 4+n/05/17: 28 tl.(4M) S</t>
  </si>
  <si>
    <t>4004004096</t>
  </si>
  <si>
    <t>Tablo GENOVA 4+n/05/17: 30 tl.(4M) S</t>
  </si>
  <si>
    <t>4004004097</t>
  </si>
  <si>
    <t>Tablo GENOVA 4+n/05/17: 32 tl.(4M) S</t>
  </si>
  <si>
    <t>4004004098</t>
  </si>
  <si>
    <t>Tablo GENOVA 4+n/05/17: 34 tl.(4M) S</t>
  </si>
  <si>
    <t>4004004099</t>
  </si>
  <si>
    <t>Tablo GENOVA 4+n/05/17: 36 tl.(4M) S</t>
  </si>
  <si>
    <t>4004004100</t>
  </si>
  <si>
    <t>Tablo GENOVA 4+n/05/17: 38 tl.(5M) S</t>
  </si>
  <si>
    <t>4004004101</t>
  </si>
  <si>
    <t>Tablo GENOVA 4+n/05/17: 40 tl.(5M) S</t>
  </si>
  <si>
    <t>4004004102</t>
  </si>
  <si>
    <t>Tablo GENOVA 4+n/05/17: 42 tl.(5M) S</t>
  </si>
  <si>
    <t>4004004103</t>
  </si>
  <si>
    <t>Tablo GENOVA 4+n/05/17: 44 tl.(5M) S</t>
  </si>
  <si>
    <t>4004004104</t>
  </si>
  <si>
    <t>Tablo GENOVA 4+n/05/17: 46 tl.(5M) S</t>
  </si>
  <si>
    <t>4004004105</t>
  </si>
  <si>
    <t>Tablo GENOVA 4+n/05/17: 48 tl.(6M) S</t>
  </si>
  <si>
    <t>4004004106</t>
  </si>
  <si>
    <t>Tablo GENOVA 4+n/05/17: 50 tl.(6M) S</t>
  </si>
  <si>
    <t>4004004107</t>
  </si>
  <si>
    <t>Tablo GENOVA 4+n/05/17: 52 tl.(6M) S</t>
  </si>
  <si>
    <t>4004004108</t>
  </si>
  <si>
    <t>Tablo GENOVA 4+n/05/17: 54 tl.(6M) S</t>
  </si>
  <si>
    <t>4004004109</t>
  </si>
  <si>
    <t>Tablo GENOVA 4+n/05/17: 56 tl.(6M) S</t>
  </si>
  <si>
    <t>4004004110</t>
  </si>
  <si>
    <t>Tablo GENOVA 4+n/05/17: 58 tl.(7M) S</t>
  </si>
  <si>
    <t>4004004111</t>
  </si>
  <si>
    <t>Tablo GENOVA 4+n/05/17: 60 tl.(7M) S</t>
  </si>
  <si>
    <t>4004004112</t>
  </si>
  <si>
    <t>Tablo GENOVA 4+n/05/17: 62 tl.(7M) S</t>
  </si>
  <si>
    <t>4004004113</t>
  </si>
  <si>
    <t>Tablo GENOVA 4+n/05/17: 64 tl.(7M) S</t>
  </si>
  <si>
    <t>4004004114</t>
  </si>
  <si>
    <t>Tablo GENOVA 4+n/05/17: 66 tl.(7M) S</t>
  </si>
  <si>
    <r>
      <rPr>
        <b/>
        <sz val="16"/>
        <color rgb="FFFFFFFF"/>
        <rFont val="Tahoma"/>
        <family val="2"/>
        <charset val="238"/>
      </rPr>
      <t xml:space="preserve">TLAČÍTKOVÁ TABLA: SYSTÉM 17 - 12V </t>
    </r>
    <r>
      <rPr>
        <b/>
        <sz val="11"/>
        <color rgb="FFFFFFFF"/>
        <rFont val="Tahoma"/>
        <family val="2"/>
        <charset val="238"/>
      </rPr>
      <t>s elektronikou v table</t>
    </r>
  </si>
  <si>
    <t>Tablo GENOVA 4+n/05/17: 2 tl.+BIS125kHz(2M) D</t>
  </si>
  <si>
    <t>Tablo GENOVA 4+n/05/17: 4 tl.+BIS125kHz(2M) D</t>
  </si>
  <si>
    <t>Tablo GENOVA 4+n/05/17: 6 tl.+BIS125kHz(2M) D</t>
  </si>
  <si>
    <t>Tablo GENOVA 4+n/05/17: 8 tl.+BIS125kHz(3M) D</t>
  </si>
  <si>
    <t>Tablo GENOVA 4+n/05/17: 10 tl.+BIS125kHz(3M) D</t>
  </si>
  <si>
    <t>Tablo GENOVA 4+n/05/17: 12 tl.+BIS125kHz(3M) D</t>
  </si>
  <si>
    <t>Tablo GENOVA 4+n/05/17: 14 tl.+BIS125kHz(3M) D</t>
  </si>
  <si>
    <t>Tablo GENOVA 4+n/05/17: 16 tl.+BIS125kHz(3M) D</t>
  </si>
  <si>
    <t>Tablo GENOVA 4+n/05/17: 18 tl.+BIS125kHz(3M) D</t>
  </si>
  <si>
    <t>Tablo GENOVA 4+n/05/17: 20 tl.+BIS125kHz(3M) D</t>
  </si>
  <si>
    <t>Tablo GENOVA 4+n/05/17: 22 tl.+BIS125kHz(3M) D</t>
  </si>
  <si>
    <t>Tablo GENOVA 4+n/05/17: 24 tl.+BIS125kHz(4M) D</t>
  </si>
  <si>
    <t>Tablo GENOVA 4+n/05/17: 26 tl.+BIS125kHz(4M) D</t>
  </si>
  <si>
    <t>Tablo GENOVA 4+n/05/17: 28 tl.+BIS125kHz(4M) D</t>
  </si>
  <si>
    <t>Tablo GENOVA 4+n/05/17: 30 tl.+BIS125kHz(4M) D</t>
  </si>
  <si>
    <t>Tablo GENOVA 4+n/05/17: 32 tl.+BIS125kHz(4M) D</t>
  </si>
  <si>
    <t>Tablo GENOVA 4+n/05/17: 34 tl.+BIS125kHz(5M) D</t>
  </si>
  <si>
    <t>Tablo GENOVA 4+n/05/17: 36 tl.+BIS125kHz(5M) D</t>
  </si>
  <si>
    <t>Tablo GENOVA 4+n/05/17: 38 tl.+BIS125kHz(5M) D</t>
  </si>
  <si>
    <t>Tablo GENOVA 4+n/05/17: 40 tl.+BIS125kHz(5M) D</t>
  </si>
  <si>
    <t>Tablo GENOVA 4+n/05/17: 42 tl.+BIS125kHz(5M) D</t>
  </si>
  <si>
    <t>Tablo GENOVA 4+n/05/17: 44 tl.+BIS125kHz(6M) D</t>
  </si>
  <si>
    <t>Tablo GENOVA 4+n/05/17: 46 tl.+BIS125kHz(6M) D</t>
  </si>
  <si>
    <t>Tablo GENOVA 4+n/05/17: 48 tl.+BIS125kHz(6M) D</t>
  </si>
  <si>
    <t>Tablo GENOVA 4+n/05/17: 50 tl.+BIS125kHz(6M) D</t>
  </si>
  <si>
    <t>Tablo GENOVA 4+n/05/17: 52 tl.+BIS125kHz(6M) D</t>
  </si>
  <si>
    <t>Tablo GENOVA 4+n/05/17: 54 tl.+BIS125kHz(7M) D</t>
  </si>
  <si>
    <t>Tablo GENOVA 4+n/05/17: 56 tl.+BIS125kHz(7M) D</t>
  </si>
  <si>
    <t>Tablo GENOVA 4+n/05/17: 58 tl.+BIS125kHz(7M) D</t>
  </si>
  <si>
    <t>Tablo GENOVA 4+n/05/17: 60 tl.+BIS125kHz(7M) D</t>
  </si>
  <si>
    <t>Tablo GENOVA 4+n/05/17: 62 tl.+BIS125kHz(7M) D</t>
  </si>
  <si>
    <t>4004004208</t>
  </si>
  <si>
    <t>Tablo GENOVA 4+n/05/17: 2 tl.+BIS125kHz(2M) S</t>
  </si>
  <si>
    <t>4004004209</t>
  </si>
  <si>
    <t>Tablo GENOVA 4+n/05/17: 4 tl.+BIS125kHz(2M) S</t>
  </si>
  <si>
    <t>4004004210</t>
  </si>
  <si>
    <t>Tablo GENOVA 4+n/05/17: 6 tl.+BIS125kHz(2M) S</t>
  </si>
  <si>
    <t>4004004211</t>
  </si>
  <si>
    <t>Tablo GENOVA 4+n/05/17: 8 tl.+BIS125kHz(3M) S</t>
  </si>
  <si>
    <t>4004004212</t>
  </si>
  <si>
    <t>Tablo GENOVA 4+n/05/17: 10 tl.+BIS125kHz(3M) S</t>
  </si>
  <si>
    <t>4004004213</t>
  </si>
  <si>
    <t>Tablo GENOVA 4+n/05/17: 12 tl.+BIS125kHz(3M) S</t>
  </si>
  <si>
    <t>4004004214</t>
  </si>
  <si>
    <t>Tablo GENOVA 4+n/05/17: 14 tl.+BIS125kHz(3M) S</t>
  </si>
  <si>
    <t>4004004215</t>
  </si>
  <si>
    <t>Tablo GENOVA 4+n/05/17: 16 tl.+BIS125kHz(3M) S</t>
  </si>
  <si>
    <t>4004004216</t>
  </si>
  <si>
    <t>Tablo GENOVA 4+n/05/17: 18 tl.+BIS125kHz(3M) S</t>
  </si>
  <si>
    <t>4004004217</t>
  </si>
  <si>
    <t>Tablo GENOVA 4+n/05/17: 20 tl.+BIS125kHz(3M) S</t>
  </si>
  <si>
    <t>4004004218</t>
  </si>
  <si>
    <t>Tablo GENOVA 4+n/05/17: 22 tl.+BIS125kHz(3M) S</t>
  </si>
  <si>
    <t>4004004219</t>
  </si>
  <si>
    <t>Tablo GENOVA 4+n/05/17: 24 tl.+BIS125kHz(4M) S</t>
  </si>
  <si>
    <t>4004004220</t>
  </si>
  <si>
    <t>Tablo GENOVA 4+n/05/17: 26 tl.+BIS125kHz(4M) S</t>
  </si>
  <si>
    <t>4004004221</t>
  </si>
  <si>
    <t>Tablo GENOVA 4+n/05/17: 28 tl.+BIS125kHz(4M) S</t>
  </si>
  <si>
    <t>4004004222</t>
  </si>
  <si>
    <t>Tablo GENOVA 4+n/05/17: 30 tl.+BIS125kHz(4M) S</t>
  </si>
  <si>
    <t>4004004223</t>
  </si>
  <si>
    <t>Tablo GENOVA 4+n/05/17: 32 tl.+BIS125kHz(4M) S</t>
  </si>
  <si>
    <t>4004004224</t>
  </si>
  <si>
    <t>Tablo GENOVA 4+n/05/17: 34 tl.+BIS125kHz(5M) S</t>
  </si>
  <si>
    <t>4004004225</t>
  </si>
  <si>
    <t>Tablo GENOVA 4+n/05/17: 36 tl.+BIS125kHz(5M) S</t>
  </si>
  <si>
    <t>4004004226</t>
  </si>
  <si>
    <t>Tablo GENOVA 4+n/05/17: 38 tl.+BIS125kHz(5M) S</t>
  </si>
  <si>
    <t>4004004227</t>
  </si>
  <si>
    <t>Tablo GENOVA 4+n/05/17: 40 tl.+BIS125kHz(5M) S</t>
  </si>
  <si>
    <t>4004004228</t>
  </si>
  <si>
    <t>Tablo GENOVA 4+n/05/17: 42 tl.+BIS125kHz(5M) S</t>
  </si>
  <si>
    <t>4004004229</t>
  </si>
  <si>
    <t>Tablo GENOVA 4+n/05/17: 44 tl.+BIS125kHz(6M) S</t>
  </si>
  <si>
    <t>4004004230</t>
  </si>
  <si>
    <t>Tablo GENOVA 4+n/05/17: 46 tl.+BIS125kHz(6M) S</t>
  </si>
  <si>
    <t>4004004231</t>
  </si>
  <si>
    <t>Tablo GENOVA 4+n/05/17: 48 tl.+BIS125kHz(6M) S</t>
  </si>
  <si>
    <t>4004004232</t>
  </si>
  <si>
    <t>Tablo GENOVA 4+n/05/17: 50 tl.+BIS125kHz(6M) S</t>
  </si>
  <si>
    <t>4004004233</t>
  </si>
  <si>
    <t>Tablo GENOVA 4+n/05/17: 52 tl.+BIS125kHz(6M) S</t>
  </si>
  <si>
    <t>4004004234</t>
  </si>
  <si>
    <t>Tablo GENOVA 4+n/05/17: 54 tl.+BIS125kHz(7M) S</t>
  </si>
  <si>
    <t>4004004235</t>
  </si>
  <si>
    <t>Tablo GENOVA 4+n/05/17: 56 tl.+BIS125kHz(7M) S</t>
  </si>
  <si>
    <t>4004004236</t>
  </si>
  <si>
    <t>Tablo GENOVA 4+n/05/17: 58 tl.+BIS125kHz(7M) S</t>
  </si>
  <si>
    <t>4004004237</t>
  </si>
  <si>
    <t>Tablo GENOVA 4+n/05/17: 60 tl.+BIS125kHz(7M) S</t>
  </si>
  <si>
    <t>4004004238</t>
  </si>
  <si>
    <t>Tablo GENOVA 4+n/05/17: 62 tl.+BIS125kHz(7M) S</t>
  </si>
  <si>
    <r>
      <rPr>
        <b/>
        <sz val="16"/>
        <color rgb="FFFFFFFF"/>
        <rFont val="Tahoma"/>
        <family val="2"/>
        <charset val="238"/>
      </rPr>
      <t>TLAČÍTKOVÁ TABLA: SYSTÉM 16 - 8V</t>
    </r>
    <r>
      <rPr>
        <b/>
        <sz val="11"/>
        <color rgb="FFFFFFFF"/>
        <rFont val="Tahoma"/>
        <family val="2"/>
        <charset val="238"/>
      </rPr>
      <t xml:space="preserve"> s elektronikou v table</t>
    </r>
  </si>
  <si>
    <t>Tablo GENOVA 4+n/05/16: 2 tl.(1M) D + MK1</t>
  </si>
  <si>
    <t>Tablo GENOVA 4+n/05/16: 4 tl.(1M) D + MK1</t>
  </si>
  <si>
    <t>Tablo GENOVA 4+n/05/16: 6 tl.(1M) D + MK1</t>
  </si>
  <si>
    <t>Tablo GENOVA 4+n/05/16: 8 tl.(2M) D</t>
  </si>
  <si>
    <t>Tablo GENOVA 4+n/05/16: 10 tl.(2M) D</t>
  </si>
  <si>
    <t>Tablo GENOVA 4+n/05/16: 12 tl.(2M) D</t>
  </si>
  <si>
    <t>Tablo GENOVA 4+n/05/16: 14 tl.(2M) D</t>
  </si>
  <si>
    <t>Tablo GENOVA 4+n/05/16: 16 tl.(2M) D</t>
  </si>
  <si>
    <t>Tablo GENOVA 4+n/05/16: 18 tl.(3M) D</t>
  </si>
  <si>
    <t>Tablo GENOVA 4+n/05/16: 20 tl.(3M) D</t>
  </si>
  <si>
    <t>Tablo GENOVA 4+n/05/16: 22 tl.(3M) D</t>
  </si>
  <si>
    <t>Tablo GENOVA 4+n/05/16: 24 tl.(3M) D</t>
  </si>
  <si>
    <t>Tablo GENOVA 4+n/05/16: 26 tl.(3M) D</t>
  </si>
  <si>
    <t>Tablo GENOVA 4+n/05/16: 28 tl.(4M) D</t>
  </si>
  <si>
    <t>Tablo GENOVA 4+n/05/16: 30 tl.(4M) D</t>
  </si>
  <si>
    <t>Tablo GENOVA 4+n/05/16: 32 tl.(4M) D</t>
  </si>
  <si>
    <t>Tablo GENOVA 4+n/05/16: 34 tl.(4M) D</t>
  </si>
  <si>
    <t>Tablo GENOVA 4+n/05/16: 36 tl.(4M) D</t>
  </si>
  <si>
    <t>Tablo GENOVA 4+n/05/16: 38 tl.(5M) D</t>
  </si>
  <si>
    <t>Tablo GENOVA 4+n/05/16: 40 tl.(5M) D</t>
  </si>
  <si>
    <t>Tablo GENOVA 4+n/05/16: 42 tl.(5M) D</t>
  </si>
  <si>
    <t>Tablo GENOVA 4+n/05/16: 44 tl.(5M) D</t>
  </si>
  <si>
    <t>Tablo GENOVA 4+n/05/16: 46 tl.(5M) D</t>
  </si>
  <si>
    <t>Tablo GENOVA 4+n/05/16: 48 tl.(6M) D</t>
  </si>
  <si>
    <t>Tablo GENOVA 4+n/05/16: 50 tl.(6M) D</t>
  </si>
  <si>
    <t>Tablo GENOVA 4+n/05/16: 52 tl.(6M) D</t>
  </si>
  <si>
    <t>Tablo GENOVA 4+n/05/16: 54 tl.(6M) D</t>
  </si>
  <si>
    <t>Tablo GENOVA 4+n/05/16: 56 tl.(6M) D</t>
  </si>
  <si>
    <t>Tablo GENOVA 4+n/05/16: 58 tl.(7M) D</t>
  </si>
  <si>
    <t>Tablo GENOVA 4+n/05/16: 60 tl.(7M) D</t>
  </si>
  <si>
    <t>Tablo GENOVA 4+n/05/16: 62 tl.(7M) D</t>
  </si>
  <si>
    <t>Tablo GENOVA 4+n/05/16: 64 tl.(7M) D</t>
  </si>
  <si>
    <t>Tablo GENOVA 4+n/05/16: 66 tl.(7M) D</t>
  </si>
  <si>
    <t>Tablo GENOVA 4+n/05/16: 2 tl.(1M) S</t>
  </si>
  <si>
    <t>Tablo GENOVA 4+n/05/16: 4 tl.(1M) S</t>
  </si>
  <si>
    <t>Tablo GENOVA 4+n/05/16: 6 tl.(1M) S</t>
  </si>
  <si>
    <t>Tablo GENOVA 4+n/05/16: 8 tl.(2M) S</t>
  </si>
  <si>
    <t>Tablo GENOVA 4+n/05/16: 10 tl.(2M) S</t>
  </si>
  <si>
    <t>Tablo GENOVA 4+n/05/16: 12 tl.(2M) S</t>
  </si>
  <si>
    <t>Tablo GENOVA 4+n/05/16: 14 tl.(2M) S</t>
  </si>
  <si>
    <t>Tablo GENOVA 4+n/05/16: 16 tl.(2M) S</t>
  </si>
  <si>
    <t>Tablo GENOVA 4+n/05/16: 18 tl.(3M) S</t>
  </si>
  <si>
    <t>Tablo GENOVA 4+n/05/16: 20 tl.(3M) S</t>
  </si>
  <si>
    <t>Tablo GENOVA 4+n/05/16: 22 tl.(3M) S</t>
  </si>
  <si>
    <t>Tablo GENOVA 4+n/05/16: 24 tl.(3M) S</t>
  </si>
  <si>
    <t>Tablo GENOVA 4+n/05/16: 26 tl.(3M) S</t>
  </si>
  <si>
    <t>Tablo GENOVA 4+n/05/16: 28 tl.(4M) S</t>
  </si>
  <si>
    <t>Tablo GENOVA 4+n/05/16: 30 tl.(4M) S</t>
  </si>
  <si>
    <t>Tablo GENOVA 4+n/05/16: 32 tl.(4M) S</t>
  </si>
  <si>
    <t>Tablo GENOVA 4+n/05/16: 34 tl.(4M) S</t>
  </si>
  <si>
    <t>Tablo GENOVA 4+n/05/16: 36 tl.(4M) S</t>
  </si>
  <si>
    <t>Tablo GENOVA 4+n/05/16: 38 tl.(5M) S</t>
  </si>
  <si>
    <t>Tablo GENOVA 4+n/05/16: 40 tl.(5M) S</t>
  </si>
  <si>
    <t>Tablo GENOVA 4+n/05/16: 42 tl.(5M) S</t>
  </si>
  <si>
    <t>Tablo GENOVA 4+n/05/16: 44 tl.(5M) S</t>
  </si>
  <si>
    <t>Tablo GENOVA 4+n/05/16: 46 tl.(5M) S</t>
  </si>
  <si>
    <t>Tablo GENOVA 4+n/05/16: 48 tl.(6M) S</t>
  </si>
  <si>
    <t>Tablo GENOVA 4+n/05/16: 50 tl.(6M) S</t>
  </si>
  <si>
    <t>Tablo GENOVA 4+n/05/16: 52 tl.(6M) S</t>
  </si>
  <si>
    <t>Tablo GENOVA 4+n/05/16: 54 tl.(6M) S</t>
  </si>
  <si>
    <t>Tablo GENOVA 4+n/05/16: 56 tl.(6M) S</t>
  </si>
  <si>
    <t>Tablo GENOVA 4+n/05/16: 58 tl.(7M) S</t>
  </si>
  <si>
    <t>Tablo GENOVA 4+n/05/16: 60 tl.(7M) S</t>
  </si>
  <si>
    <t>Tablo GENOVA 4+n/05/16: 62 tl.(7M) S</t>
  </si>
  <si>
    <t>Tablo GENOVA 4+n/05/16: 64 tl.(7M) S</t>
  </si>
  <si>
    <t>Tablo GENOVA 4+n/05/16: 66 tl.(7M) S</t>
  </si>
  <si>
    <r>
      <rPr>
        <b/>
        <sz val="16"/>
        <color rgb="FFFFFFFF"/>
        <rFont val="Tahoma"/>
        <family val="2"/>
        <charset val="238"/>
      </rPr>
      <t xml:space="preserve">TLAČÍTKOVÁ TABLA: SYSTÉM 16 - 8V </t>
    </r>
    <r>
      <rPr>
        <b/>
        <sz val="11"/>
        <color rgb="FFFFFFFF"/>
        <rFont val="Tahoma"/>
        <family val="2"/>
        <charset val="238"/>
      </rPr>
      <t>s elektronikou v table</t>
    </r>
  </si>
  <si>
    <t>Tablo GENOVA 4+n/05/16: 2 tl.+BIS125kHz(2M) D</t>
  </si>
  <si>
    <t>Tablo GENOVA 4+n/05/16: 4 tl.+BIS125kHz(2M) D</t>
  </si>
  <si>
    <t>Tablo GENOVA 4+n/05/16: 6 tl.+BIS125kHz(2M) D</t>
  </si>
  <si>
    <t>Tablo GENOVA 4+n/05/16: 8 tl.+BIS125kHz(3M) D</t>
  </si>
  <si>
    <t>Tablo GENOVA 4+n/05/16: 10 tl.+BIS125kHz(3M) D</t>
  </si>
  <si>
    <t>Tablo GENOVA 4+n/05/16: 12 tl.+BIS125kHz(3M) D</t>
  </si>
  <si>
    <t>Tablo GENOVA 4+n/05/16: 14 tl.+BIS125kHz(3M) D</t>
  </si>
  <si>
    <t>Tablo GENOVA 4+n/05/16: 16 tl.+BIS125kHz(3M) D</t>
  </si>
  <si>
    <t>Tablo GENOVA 4+n/05/16: 18 tl.+BIS125kHz(3M) D</t>
  </si>
  <si>
    <t>Tablo GENOVA 4+n/05/16: 20 tl.+BIS125kHz(3M) D</t>
  </si>
  <si>
    <t>Tablo GENOVA 4+n/05/16: 22 tl.+BIS125kHz(3M) D</t>
  </si>
  <si>
    <t>Tablo GENOVA 4+n/05/16: 24 tl.+BIS125kHz(4M) D</t>
  </si>
  <si>
    <t>Tablo GENOVA 4+n/05/16: 26 tl.+BIS125kHz(4M) D</t>
  </si>
  <si>
    <t>Tablo GENOVA 4+n/05/16: 28 tl.+BIS125kHz(4M) D</t>
  </si>
  <si>
    <t>Tablo GENOVA 4+n/05/16: 30 tl.+BIS125kHz(4M) D</t>
  </si>
  <si>
    <t>Tablo GENOVA 4+n/05/16: 32 tl.+BIS125kHz(4M) D</t>
  </si>
  <si>
    <t>Tablo GENOVA 4+n/05/16: 34 tl.+BIS125kHz(5M) D</t>
  </si>
  <si>
    <t>Tablo GENOVA 4+n/05/16: 36 tl.+BIS125kHz(5M) D</t>
  </si>
  <si>
    <t>Tablo GENOVA 4+n/05/16: 38 tl.+BIS125kHz(5M) D</t>
  </si>
  <si>
    <t>Tablo GENOVA 4+n/05/16: 40 tl.+BIS125kHz(5M) D</t>
  </si>
  <si>
    <t>Tablo GENOVA 4+n/05/16: 42 tl.+BIS125kHz(5M) D</t>
  </si>
  <si>
    <t>Tablo GENOVA 4+n/05/16: 44 tl.+BIS125kHz(6M) D</t>
  </si>
  <si>
    <t>Tablo GENOVA 4+n/05/16: 46 tl.+BIS125kHz(6M) D</t>
  </si>
  <si>
    <t>Tablo GENOVA 4+n/05/16: 48 tl.+BIS125kHz(6M) D</t>
  </si>
  <si>
    <t>Tablo GENOVA 4+n/05/16: 50 tl.+BIS125kHz(6M) D</t>
  </si>
  <si>
    <t>Tablo GENOVA 4+n/05/16: 52 tl.+BIS125kHz(6M) D</t>
  </si>
  <si>
    <t>Tablo GENOVA 4+n/05/16: 54 tl.+BIS125kHz(7M) D</t>
  </si>
  <si>
    <t>Tablo GENOVA 4+n/05/16: 56 tl.+BIS125kHz(7M) D</t>
  </si>
  <si>
    <t>Tablo GENOVA 4+n/05/16: 58 tl.+BIS125kHz(7M) D</t>
  </si>
  <si>
    <t>Tablo GENOVA 4+n/05/16: 60 tl.+BIS125kHz(7M) D</t>
  </si>
  <si>
    <t>Tablo GENOVA 4+n/05/16: 62 tl.+BIS125kHz(7M) D</t>
  </si>
  <si>
    <t>Tablo GENOVA 4+n/05/16: 2 tl.+BIS125kHz(2M) S</t>
  </si>
  <si>
    <t>Tablo GENOVA 4+n/05/16: 4 tl.+BIS125kHz(2M) S</t>
  </si>
  <si>
    <t>Tablo GENOVA 4+n/05/16: 6 tl.+BIS125kHz(2M) S</t>
  </si>
  <si>
    <t>Tablo GENOVA 4+n/05/16: 8 tl.+BIS125kHz(3M) S</t>
  </si>
  <si>
    <t>Tablo GENOVA 4+n/05/16: 10 tl.+BIS125kHz(3M) S</t>
  </si>
  <si>
    <t>Tablo GENOVA 4+n/05/16: 12 tl.+BIS125kHz(3M) S</t>
  </si>
  <si>
    <t>Tablo GENOVA 4+n/05/16: 14 tl.+BIS125kHz(3M) S</t>
  </si>
  <si>
    <t>Tablo GENOVA 4+n/05/16: 16 tl.+BIS125kHz(3M) S</t>
  </si>
  <si>
    <t>Tablo GENOVA 4+n/05/16: 18 tl.+BIS125kHz(3M) S</t>
  </si>
  <si>
    <t>Tablo GENOVA 4+n/05/16: 20 tl.+BIS125kHz(3M) S</t>
  </si>
  <si>
    <t>Tablo GENOVA 4+n/05/16: 22 tl.+BIS125kHz(3M) S</t>
  </si>
  <si>
    <t>Tablo GENOVA 4+n/05/16: 24 tl.+BIS125kHz(4M) S</t>
  </si>
  <si>
    <t>Tablo GENOVA 4+n/05/16: 26 tl.+BIS125kHz(4M) S</t>
  </si>
  <si>
    <t>Tablo GENOVA 4+n/05/16: 28 tl.+BIS125kHz(4M) S</t>
  </si>
  <si>
    <t>Tablo GENOVA 4+n/05/16: 30 tl.+BIS125kHz(4M) S</t>
  </si>
  <si>
    <t>Tablo GENOVA 4+n/05/16: 32 tl.+BIS125kHz(4M) S</t>
  </si>
  <si>
    <t>Tablo GENOVA 4+n/05/16: 34 tl.+BIS125kHz(5M) S</t>
  </si>
  <si>
    <t>Tablo GENOVA 4+n/05/16: 36 tl.+BIS125kHz(5M) S</t>
  </si>
  <si>
    <t>Tablo GENOVA 4+n/05/16: 38 tl.+BIS125kHz(5M) S</t>
  </si>
  <si>
    <t>Tablo GENOVA 4+n/05/16: 40 tl.+BIS125kHz(5M) S</t>
  </si>
  <si>
    <t>Tablo GENOVA 4+n/05/16: 42 tl.+BIS125kHz(5M) S</t>
  </si>
  <si>
    <t>Tablo GENOVA 4+n/05/16: 44 tl.+BIS125kHz(6M) S</t>
  </si>
  <si>
    <t>Tablo GENOVA 4+n/05/16: 46 tl.+BIS125kHz(6M) S</t>
  </si>
  <si>
    <t>Tablo GENOVA 4+n/05/16: 48 tl.+BIS125kHz(6M) S</t>
  </si>
  <si>
    <t>Tablo GENOVA 4+n/05/16: 50 tl.+BIS125kHz(6M) S</t>
  </si>
  <si>
    <t>Tablo GENOVA 4+n/05/16: 52 tl.+BIS125kHz(6M) S</t>
  </si>
  <si>
    <t>Tablo GENOVA 4+n/05/16: 54 tl.+BIS125kHz(7M) S</t>
  </si>
  <si>
    <t>Tablo GENOVA 4+n/05/16: 56 tl.+BIS125kHz(7M) S</t>
  </si>
  <si>
    <t>Tablo GENOVA 4+n/05/16: 58 tl.+BIS125kHz(7M) S</t>
  </si>
  <si>
    <t>Tablo GENOVA 4+n/05/16: 60 tl.+BIS125kHz(7M) S</t>
  </si>
  <si>
    <t>Tablo GENOVA 4+n/05/16: 62 tl.+BIS125kHz(7M) S</t>
  </si>
  <si>
    <r>
      <rPr>
        <b/>
        <sz val="16"/>
        <color rgb="FFFFFFFF"/>
        <rFont val="Tahoma"/>
        <family val="2"/>
        <charset val="238"/>
      </rPr>
      <t>ZVONKOVÁ TLAČÍTKA BEZ KOMUNIKACE</t>
    </r>
    <r>
      <rPr>
        <b/>
        <sz val="12"/>
        <color rgb="FFFFFFFF"/>
        <rFont val="Tahoma"/>
        <family val="2"/>
        <charset val="238"/>
      </rPr>
      <t xml:space="preserve"> (PŮVODNÍ DESIGN)</t>
    </r>
  </si>
  <si>
    <t>TT-D-LN 1E +RZ0 zvonk.tab.bez komunik. 1 tlačítko</t>
  </si>
  <si>
    <t>TT-D-LN 2E +RZ0 zvonk.tab.bez komunik. 2 tlačítko</t>
  </si>
  <si>
    <t>TT-D-LN 3E +RZ0 zvonk.tab.bez komunik. 3 tlačítka</t>
  </si>
  <si>
    <t>TT-D-LN 4E +RZ0 zvonk.tab.bez komunik. 4 tlačítka</t>
  </si>
  <si>
    <t>TT-D-LN 6E +RZ1 zvonk.tab.bez komunik. 6 tlačítek</t>
  </si>
  <si>
    <t>TT-D-LN 10E +RZ1 zvonk.tab.bez komunik. 10 tlačítek</t>
  </si>
  <si>
    <t>TT-S-LN 1E zvonk.tab.bez komunik. 1 tlačítko</t>
  </si>
  <si>
    <t>TT-S-LN 2E zvonk.tab.bez komunik. 2 tlačítka</t>
  </si>
  <si>
    <t>TT-S-LN 3E zvonk.tab.bez komunik. 3 tlačítka</t>
  </si>
  <si>
    <t>TT-S-LN 4E zvonk.tab.bez komunik. 4 tlačítka</t>
  </si>
  <si>
    <t>TT-S-LN 6E zvonk.tab.bez komunik. 6 tlačítek</t>
  </si>
  <si>
    <t>TT-S-LN 10E zvonk.tab.bez komunik. 10 tlačítek</t>
  </si>
  <si>
    <t>RFID 125kHz (BIS)</t>
  </si>
  <si>
    <t>GEN s.vstup BIS125KHz(PS2)malá jm. Do rámu+MK1</t>
  </si>
  <si>
    <t>GEN s.vstup BIS125KHz(PS2)velká jm. Do rámu+MK1</t>
  </si>
  <si>
    <t>GEN s.vstup BIS125KHz(PS2)malá jmen.Stříška</t>
  </si>
  <si>
    <t>GEN s.vstup BIS125KHz(PS2)velká jmen.Stříška</t>
  </si>
  <si>
    <t>MIFARE</t>
  </si>
  <si>
    <t>GEN s.vstup MIFARE SL013 v jm. malá jm. D+MK1</t>
  </si>
  <si>
    <t>GEN s.vstup MIFARE SL013 v jm. malá jm. Stříška</t>
  </si>
  <si>
    <t>DESFIRE</t>
  </si>
  <si>
    <t>GEN s.vstup DESFIRE SL032 malá jm. Do rámku+MK1</t>
  </si>
  <si>
    <t>GEN s.vstup DESFIRE SL032 malá jm. Stříška</t>
  </si>
  <si>
    <t>ČIPY</t>
  </si>
  <si>
    <t>Bezkontaktní RFID čip 125kHz</t>
  </si>
  <si>
    <t>Dallas čip (černý)</t>
  </si>
  <si>
    <t>ČTEČKY A DOPLŇKY</t>
  </si>
  <si>
    <t>DPS Čtečka KU68 iDům (osazený)</t>
  </si>
  <si>
    <t>DPS 1x Relé ke čtečce KU68 iDům (osazený)</t>
  </si>
  <si>
    <t>DPS 2x Relé ke čtečce KU68 iDům (osazený)</t>
  </si>
  <si>
    <t>DOPLŇKY K TABLŮM A TELEFONŮM</t>
  </si>
  <si>
    <r>
      <rPr>
        <b/>
        <sz val="16"/>
        <color rgb="FFFFFFFF"/>
        <rFont val="Tahoma"/>
        <family val="2"/>
        <charset val="238"/>
      </rPr>
      <t>MONTÁŽNÍ KRABICE (MK)</t>
    </r>
    <r>
      <rPr>
        <b/>
        <sz val="11"/>
        <color rgb="FFFFFFFF"/>
        <rFont val="Tahoma"/>
        <family val="2"/>
        <charset val="238"/>
      </rPr>
      <t xml:space="preserve"> PRO TABLA GENOVA V RÁMKU (DO ZDI)</t>
    </r>
  </si>
  <si>
    <t>MK 1M montážní krabice zápustná 214x93x53mm</t>
  </si>
  <si>
    <t>MK 2M montážní krabice zápustná 214x168x53mm</t>
  </si>
  <si>
    <t>MK 3M montážní krabice zápustná 214x244x53mm</t>
  </si>
  <si>
    <t>MK 4M montážní krabice zápustná 214x319x53mm</t>
  </si>
  <si>
    <t>MK 5M montážní krabice zápustná 214x395x53mm</t>
  </si>
  <si>
    <t>MK 6M montážní krabice zápustná 214x470x53mm</t>
  </si>
  <si>
    <t>MK 7M montážní krabice zápustná 214x542x53mm</t>
  </si>
  <si>
    <r>
      <rPr>
        <b/>
        <sz val="16"/>
        <color rgb="FFFFFFFF"/>
        <rFont val="Tahoma"/>
        <family val="2"/>
        <charset val="238"/>
      </rPr>
      <t>MONTÁŽNÍ KRABICE (RZ)</t>
    </r>
    <r>
      <rPr>
        <b/>
        <sz val="11"/>
        <color rgb="FFFFFFFF"/>
        <rFont val="Tahoma"/>
        <family val="2"/>
        <charset val="238"/>
      </rPr>
      <t xml:space="preserve"> PRO TABLA V PŮVODNÍM D. V RÁMKU (DO ZDI)</t>
    </r>
  </si>
  <si>
    <t>PD RZ mini 0M montážní krabice zápustná</t>
  </si>
  <si>
    <t>PD RZ 1M montážní krabice zápustná</t>
  </si>
  <si>
    <t>PD RZ 2M montážní krabice zápustná</t>
  </si>
  <si>
    <t>PD RZ 3M montážní krabice zápustná</t>
  </si>
  <si>
    <t>Límec proti dešti - 0M mini (lesk)</t>
  </si>
  <si>
    <t>Límec proti dešti - nízký 1M (lesk)</t>
  </si>
  <si>
    <t>Límec proti dešti - nízký 2M (lesk)</t>
  </si>
  <si>
    <t>Límec proti dešti - nízký 3M (lesk)</t>
  </si>
  <si>
    <t>Límec proti dešti - nízký 4M (lesk)</t>
  </si>
  <si>
    <t>Límec proti dešti - nízký 5M (lesk)</t>
  </si>
  <si>
    <t>Límec proti dešti - nízký 6M (lesk)</t>
  </si>
  <si>
    <t>Límec proti dešti - nízký 7M (lesk)</t>
  </si>
  <si>
    <t>USB Konfigurátor DUO Standard a DUO (AS04)</t>
  </si>
  <si>
    <t>USB Konfigurátor iDum V2 - DUO+ a MELODY</t>
  </si>
  <si>
    <t>NM 151716 univ.nap. 12V,9V,relé NO AC,DIN6M</t>
  </si>
  <si>
    <t>NM 151716 - S napáječ k tablu EV05 - S.17, DIN6M</t>
  </si>
  <si>
    <t>NM 021707,8V DC,sada1uč,reléNO AC12V/0.4A,DIN4M</t>
  </si>
  <si>
    <t>NM 991790,8V/0.3A DC,S.16,reléNO AC12V/0.8A,DIN6M</t>
  </si>
  <si>
    <t>NM 991792,8V/0.3A DC,S.16,12V/0.8A AC,DIN6M</t>
  </si>
  <si>
    <t>NM 151717,15V/0.8A DC,12V/1A AC,relé NO AC/DC,DIN6</t>
  </si>
  <si>
    <t>NM HDR 60-15, 15V/4A, DC, DIN 3M</t>
  </si>
  <si>
    <t>NM HDR 60-24, 24V/0-2,5A, AC/DC, DIN 3M</t>
  </si>
  <si>
    <t>Distributor ARK/RJ45 rev.2 Czechphone</t>
  </si>
  <si>
    <t>Napojení externí kamery DIN 2M</t>
  </si>
  <si>
    <t>Spínač kamery</t>
  </si>
  <si>
    <t>GSM Modul 2 Czechphone</t>
  </si>
  <si>
    <t>EM 991750 regulace hlasitosti vyzvánění a hovoru</t>
  </si>
  <si>
    <t>Generátor vyzvánění DBS14 pro DUO Standard</t>
  </si>
  <si>
    <t>NEREZOVÁ ZVONKOVÁ TLAČÍTKA BEZ KOMUNIKACE</t>
  </si>
  <si>
    <t>VYSKLÁDANÉ SADY DOROZUMÍVACÍ TECHNIKY PRO RODINNÉ DOMY</t>
  </si>
  <si>
    <t>TLAČÍTKA - DESIGN KLASIK</t>
  </si>
  <si>
    <r>
      <t>SADY</t>
    </r>
    <r>
      <rPr>
        <b/>
        <sz val="20"/>
        <color rgb="FF000000"/>
        <rFont val="Tahoma"/>
        <family val="2"/>
        <charset val="238"/>
      </rPr>
      <t xml:space="preserve"> pro rodinné domy </t>
    </r>
    <r>
      <rPr>
        <b/>
        <sz val="26"/>
        <color rgb="FF000000"/>
        <rFont val="Tahoma"/>
        <family val="2"/>
        <charset val="238"/>
      </rPr>
      <t>a TLAČÍTKA</t>
    </r>
    <r>
      <rPr>
        <b/>
        <sz val="20"/>
        <color rgb="FF000000"/>
        <rFont val="Tahoma"/>
        <family val="2"/>
        <charset val="238"/>
      </rPr>
      <t xml:space="preserve"> bez komunikace</t>
    </r>
  </si>
  <si>
    <t>PD: DO RÁMKU</t>
  </si>
  <si>
    <t>PD: STŘÍŠKA</t>
  </si>
  <si>
    <t>GENOVA: DO RÁMKU</t>
  </si>
  <si>
    <t>GENOVA: STŘÍŠKA</t>
  </si>
  <si>
    <t>VILLA: STŘÍŠKA</t>
  </si>
  <si>
    <t>TABLA S TLAČÍTKY, DT VIOLA, NAPÁJEČ</t>
  </si>
  <si>
    <t>Sada DUO St. 1úč. GEN 2tlač., D - Viola,ZT,MK,NM</t>
  </si>
  <si>
    <t>Sada DUO St. 2úč. GEN 2tlač., D - Viola,ZT,MK,NM</t>
  </si>
  <si>
    <t>Sada DUO St. 1úč. GEN 2tlač., S - Viola,ZT,NM</t>
  </si>
  <si>
    <t>Sada DUO St. 2úč. GEN 2tlač., S - Viola,ZT,NM</t>
  </si>
  <si>
    <t>Sada DUO St. 1úč. VILLA 2tlač., S - Viola,ZT,NM</t>
  </si>
  <si>
    <t>Sada DUO St. 2úč. VILLA 2tlač., S - Viola,ZT,NM</t>
  </si>
  <si>
    <t>Sada MEL Lite GSM GEN 2tlač., D - GSM,ZT,MK,NM</t>
  </si>
  <si>
    <t>Sada MEL Lite GSM GEN 2tlač., S - GSM,ZT,NM</t>
  </si>
  <si>
    <t>Sada MEL Lite GSM VILLA 2tlač., S - GSM,ZT,NM</t>
  </si>
  <si>
    <t>Sada MELODY 1úč. VILLA,KAM, S - HF5.0,ZT,NM</t>
  </si>
  <si>
    <t>Sada MELODY 2úč. VILLA,KAM, S - HF5.0,ZT,NM</t>
  </si>
  <si>
    <t>Sada MELODY 1úč. VILLA,KAM, S - Verona,ZT,NM</t>
  </si>
  <si>
    <t>Sada MELODY 2úč. VILLA,KAM, S - Verona,ZT,NM</t>
  </si>
  <si>
    <r>
      <t xml:space="preserve">TABLA VILLA S TLAČÍTKY A KAMEROU, HANDSFREE VIDEOTELEFON </t>
    </r>
    <r>
      <rPr>
        <b/>
        <sz val="12"/>
        <color rgb="FFFFFFFF"/>
        <rFont val="Tahoma"/>
        <family val="2"/>
        <charset val="238"/>
      </rPr>
      <t>(5" DISPLEJ)</t>
    </r>
    <r>
      <rPr>
        <b/>
        <sz val="16"/>
        <color rgb="FFFFFFFF"/>
        <rFont val="Tahoma"/>
        <family val="2"/>
        <charset val="238"/>
      </rPr>
      <t>, NAPÁJEČ</t>
    </r>
  </si>
  <si>
    <r>
      <t xml:space="preserve">TABLA VILLA S TLAČÍTKY A KAMEROU, VIDEOTELEFON VERONA </t>
    </r>
    <r>
      <rPr>
        <b/>
        <sz val="12"/>
        <color rgb="FFFFFFFF"/>
        <rFont val="Tahoma"/>
        <family val="2"/>
        <charset val="238"/>
      </rPr>
      <t>(3,5" DISPLEJ)</t>
    </r>
    <r>
      <rPr>
        <b/>
        <sz val="16"/>
        <color rgb="FFFFFFFF"/>
        <rFont val="Tahoma"/>
        <family val="2"/>
        <charset val="238"/>
      </rPr>
      <t>, NAPÁJEČ</t>
    </r>
  </si>
  <si>
    <r>
      <t xml:space="preserve">TABLA VILLA S TLAČÍTKY, GSM MODUL </t>
    </r>
    <r>
      <rPr>
        <b/>
        <sz val="12"/>
        <color rgb="FFFFFFFF"/>
        <rFont val="Tahoma"/>
        <family val="2"/>
        <charset val="238"/>
      </rPr>
      <t>PRO VYZVÁNĚNÍ, KOMUNIKACI A OTEVŘENÍ DVEŘÍ PŘES MOBILNÍ TELEFON</t>
    </r>
    <r>
      <rPr>
        <b/>
        <sz val="16"/>
        <color rgb="FFFFFFFF"/>
        <rFont val="Tahoma"/>
        <family val="2"/>
        <charset val="238"/>
      </rPr>
      <t>, NAPÁJEČ</t>
    </r>
  </si>
  <si>
    <t>VYSKLÁDANÉ SADY DOROZUMÍVACÍ</t>
  </si>
  <si>
    <t>TECHNIKY PRO RODINNÉ DOMY</t>
  </si>
  <si>
    <t xml:space="preserve">PRO VÝŠI SLEVY KONTAKTUJTE PROSÍM OBCHODNÍ ODDĚLENÍ </t>
  </si>
  <si>
    <t>Sada DDT 1úč. tablo 1U LESK-DO ZDI</t>
  </si>
  <si>
    <t>Sada DDT 1úč. tablo 1U LESK-STŘÍŠKA</t>
  </si>
  <si>
    <r>
      <t>ZVONKOVÁ TABLA 1U</t>
    </r>
    <r>
      <rPr>
        <b/>
        <sz val="12"/>
        <color rgb="FFFFFFFF"/>
        <rFont val="Tahoma"/>
        <family val="2"/>
        <charset val="238"/>
      </rPr>
      <t xml:space="preserve"> (PŮVODNÍ DESIGN)</t>
    </r>
    <r>
      <rPr>
        <b/>
        <sz val="16"/>
        <color rgb="FFFFFFFF"/>
        <rFont val="Tahoma"/>
        <family val="2"/>
        <charset val="238"/>
      </rPr>
      <t>, DT VIOLA 1U, NAPÁJEČ</t>
    </r>
  </si>
  <si>
    <t>SYSTÉM 4+N: 1U</t>
  </si>
  <si>
    <t>SYSTÉM DUO STANDARD</t>
  </si>
  <si>
    <t>SYSTÉM MELODY</t>
  </si>
  <si>
    <t>Bezkontaktní MIFARE čip 1k S50 klíčenka</t>
  </si>
  <si>
    <t>Mini Video distributor rev.2 Czechphone PRŮBĚŽNÝ</t>
  </si>
  <si>
    <t>Mini Video distributor rev.2 Czechphone KONCOVÝ</t>
  </si>
  <si>
    <t>EM 4+N Interkom</t>
  </si>
  <si>
    <t>USB - nahrávací čtečka RFID čipů</t>
  </si>
  <si>
    <t>Externí čtečka CZEX RFID BIS 125kHz</t>
  </si>
  <si>
    <t>Externí čtečka CZEX MIFARE 13,56MHz</t>
  </si>
  <si>
    <t>ZVONKOVÁ TABLA FlatLine</t>
  </si>
  <si>
    <t>DO ZDI</t>
  </si>
  <si>
    <t>A KOMPONENTY</t>
  </si>
  <si>
    <t>FL: Montážní krabice: 2M (V 302 x Š 230 mm)</t>
  </si>
  <si>
    <t>FL: Montážní krabice: 3M (V 302 x Š 371 mm)</t>
  </si>
  <si>
    <t>FL: Montážní krabice: 4M (V 302 x Š 468 mm)</t>
  </si>
  <si>
    <t>FL kryt: 2M rozdělený - ANTRACIT</t>
  </si>
  <si>
    <t>FL kryt: 3M rozdělený - ANTRACIT</t>
  </si>
  <si>
    <t>FL kryt: 4M rozdělený - ANTRACIT</t>
  </si>
  <si>
    <t>FL kryt: 2M rozdělený - SVĚTLE ŠEDÝ</t>
  </si>
  <si>
    <t>FL kryt: 3M rozdělený - SVĚTLE ŠEDÝ</t>
  </si>
  <si>
    <t>FL kryt: 4M rozdělený - SVĚTLE ŠEDÝ</t>
  </si>
  <si>
    <t>FL kryt: 2M rozdělený - MĚDĚNÝ</t>
  </si>
  <si>
    <t>FL kryt: 3M rozdělený - MĚDĚNÝ</t>
  </si>
  <si>
    <t>FL kryt: 4M rozdělený - MĚDĚNÝ</t>
  </si>
  <si>
    <t>FL: DUO St. až 32jm.(2M),BOD,D bez krytu</t>
  </si>
  <si>
    <t>FL: DUO St. až 64jm.(3M),BOD,D bez krytu</t>
  </si>
  <si>
    <t>FL: DUO St. až 96jm.(4M),BOD,D bez krytu</t>
  </si>
  <si>
    <t>TABLA S KLÁVESNICÍ A KOMPONENTY</t>
  </si>
  <si>
    <r>
      <t xml:space="preserve">TABLA FLATLINE S KLÁVESNICÍ A BEZKONTAKTNÍM OTEVÍRAČEM DVEŘÍ (BOD) + KOMPONENTY: </t>
    </r>
    <r>
      <rPr>
        <b/>
        <u/>
        <sz val="12"/>
        <color rgb="FFFF0000"/>
        <rFont val="Tahoma"/>
        <family val="2"/>
        <charset val="238"/>
      </rPr>
      <t>NOVINKA</t>
    </r>
  </si>
  <si>
    <t>TABLA GENOVA S KLÁVESNICÍ A BEZKONTAKTNÍM PŘÍSTUPOVÝM SYSTÉMEM</t>
  </si>
  <si>
    <t>TABLA GENOVA S TLAČÍTKY A BEZKONTAKTNÍM PŘÍSTUPOVÝM SYSTÉMEM</t>
  </si>
  <si>
    <t>MONTÁŽNÍ KRABICE</t>
  </si>
  <si>
    <t>KRYTY ZVONKOVÝCH TABEL</t>
  </si>
  <si>
    <t>ZVONKOVÁ TABLA BEZ KRYTU</t>
  </si>
  <si>
    <t>DRC-100A Mean Well zdroj na DIN s funkcí nab.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</si>
</sst>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&quot; Kč&quot;"/>
    <numFmt numFmtId="165" formatCode="#,##0\ &quot;Kč&quot;"/>
  </numFmts>
  <fonts count="78" x14ac:knownFonts="1">
    <font>
      <sz val="11"/>
      <color rgb="FF000000"/>
      <name val="Calibri"/>
      <family val="2"/>
      <charset val="1"/>
    </font>
    <font>
      <u/>
      <sz val="14"/>
      <color rgb="FF16355A"/>
      <name val="Calibri"/>
      <family val="2"/>
      <charset val="1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0"/>
      <color rgb="FF000000"/>
      <name val="Verdana"/>
      <family val="2"/>
      <charset val="238"/>
    </font>
    <font>
      <sz val="11"/>
      <color rgb="FF000000"/>
      <name val="Tahoma"/>
      <family val="2"/>
      <charset val="238"/>
    </font>
    <font>
      <b/>
      <sz val="24"/>
      <color rgb="FF000000"/>
      <name val="Tahoma"/>
      <family val="2"/>
      <charset val="238"/>
    </font>
    <font>
      <sz val="1"/>
      <color rgb="FFFFFFFF"/>
      <name val="Tahoma"/>
      <family val="2"/>
      <charset val="238"/>
    </font>
    <font>
      <b/>
      <sz val="12"/>
      <color rgb="FF000000"/>
      <name val="Tahoma"/>
      <family val="2"/>
      <charset val="238"/>
    </font>
    <font>
      <b/>
      <sz val="18"/>
      <color rgb="FF000000"/>
      <name val="Tahoma"/>
      <family val="2"/>
      <charset val="238"/>
    </font>
    <font>
      <u/>
      <sz val="9"/>
      <color rgb="FFFF0000"/>
      <name val="Tahoma"/>
      <family val="2"/>
      <charset val="238"/>
    </font>
    <font>
      <u/>
      <sz val="10"/>
      <color rgb="FFC00000"/>
      <name val="Tahoma"/>
      <family val="2"/>
      <charset val="238"/>
    </font>
    <font>
      <sz val="14"/>
      <color rgb="FF000000"/>
      <name val="Tahoma"/>
      <family val="2"/>
      <charset val="238"/>
    </font>
    <font>
      <sz val="18"/>
      <color rgb="FF000000"/>
      <name val="Tahoma"/>
      <family val="2"/>
      <charset val="238"/>
    </font>
    <font>
      <b/>
      <sz val="28"/>
      <color rgb="FF000000"/>
      <name val="Tahoma"/>
      <family val="2"/>
      <charset val="238"/>
    </font>
    <font>
      <u/>
      <sz val="12"/>
      <color rgb="FF16355A"/>
      <name val="Tahoma"/>
      <family val="2"/>
      <charset val="238"/>
    </font>
    <font>
      <sz val="14"/>
      <color rgb="FFFF0000"/>
      <name val="Tahoma"/>
      <family val="2"/>
      <charset val="238"/>
    </font>
    <font>
      <sz val="11"/>
      <color rgb="FFFF0000"/>
      <name val="Tahoma"/>
      <family val="2"/>
      <charset val="238"/>
    </font>
    <font>
      <sz val="12"/>
      <color rgb="FF000000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10"/>
      <color rgb="FF000000"/>
      <name val="Tahoma"/>
      <family val="2"/>
      <charset val="238"/>
    </font>
    <font>
      <b/>
      <sz val="36"/>
      <color rgb="FF000000"/>
      <name val="Tahoma"/>
      <family val="2"/>
      <charset val="238"/>
    </font>
    <font>
      <b/>
      <sz val="22"/>
      <color rgb="FF000000"/>
      <name val="Tahoma"/>
      <family val="2"/>
      <charset val="238"/>
    </font>
    <font>
      <sz val="12"/>
      <color rgb="FFFF0000"/>
      <name val="Tahoma"/>
      <family val="2"/>
      <charset val="238"/>
    </font>
    <font>
      <b/>
      <sz val="16"/>
      <color rgb="FF000000"/>
      <name val="Tahoma"/>
      <family val="2"/>
      <charset val="238"/>
    </font>
    <font>
      <b/>
      <vertAlign val="superscript"/>
      <sz val="22"/>
      <color rgb="FF000000"/>
      <name val="Tahoma"/>
      <family val="2"/>
      <charset val="238"/>
    </font>
    <font>
      <b/>
      <sz val="26"/>
      <color rgb="FF000000"/>
      <name val="Tahoma"/>
      <family val="2"/>
      <charset val="238"/>
    </font>
    <font>
      <b/>
      <sz val="14"/>
      <color rgb="FF000000"/>
      <name val="Tahoma"/>
      <family val="2"/>
      <charset val="238"/>
    </font>
    <font>
      <u/>
      <sz val="10"/>
      <color rgb="FF16355A"/>
      <name val="Tahoma"/>
      <family val="2"/>
      <charset val="238"/>
    </font>
    <font>
      <b/>
      <sz val="10"/>
      <color rgb="FF558ED5"/>
      <name val="Tahoma"/>
      <family val="2"/>
      <charset val="238"/>
    </font>
    <font>
      <b/>
      <sz val="10"/>
      <color rgb="FFFF0000"/>
      <name val="Tahoma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11"/>
      <name val="Tahoma"/>
      <family val="2"/>
      <charset val="238"/>
    </font>
    <font>
      <sz val="8"/>
      <color rgb="FF000000"/>
      <name val="Tahoma"/>
      <family val="2"/>
      <charset val="238"/>
    </font>
    <font>
      <sz val="9"/>
      <color rgb="FF262626"/>
      <name val="Tahoma"/>
      <family val="2"/>
      <charset val="238"/>
    </font>
    <font>
      <sz val="10"/>
      <color rgb="FF808080"/>
      <name val="Tahoma"/>
      <family val="2"/>
      <charset val="238"/>
    </font>
    <font>
      <b/>
      <sz val="11"/>
      <color rgb="FF808080"/>
      <name val="Tahoma"/>
      <family val="2"/>
      <charset val="238"/>
    </font>
    <font>
      <u/>
      <sz val="8"/>
      <color rgb="FFFF0000"/>
      <name val="Tahoma"/>
      <family val="2"/>
      <charset val="238"/>
    </font>
    <font>
      <b/>
      <sz val="11"/>
      <color rgb="FFFF0000"/>
      <name val="Tahoma"/>
      <family val="2"/>
      <charset val="238"/>
    </font>
    <font>
      <b/>
      <sz val="20"/>
      <color rgb="FF000000"/>
      <name val="Tahoma"/>
      <family val="2"/>
      <charset val="238"/>
    </font>
    <font>
      <b/>
      <sz val="20"/>
      <color rgb="FFFF0000"/>
      <name val="Tahoma"/>
      <family val="2"/>
      <charset val="238"/>
    </font>
    <font>
      <b/>
      <sz val="24"/>
      <color rgb="FFFFFFFF"/>
      <name val="Tahoma"/>
      <family val="2"/>
      <charset val="238"/>
    </font>
    <font>
      <sz val="9"/>
      <name val="Tahoma"/>
      <family val="2"/>
      <charset val="238"/>
    </font>
    <font>
      <b/>
      <sz val="9"/>
      <name val="Tahoma"/>
      <family val="2"/>
      <charset val="238"/>
    </font>
    <font>
      <sz val="9"/>
      <color rgb="FF000000"/>
      <name val="Tahoma"/>
      <family val="2"/>
      <charset val="238"/>
    </font>
    <font>
      <b/>
      <u/>
      <sz val="9"/>
      <color rgb="FF000000"/>
      <name val="Tahoma"/>
      <family val="2"/>
      <charset val="238"/>
    </font>
    <font>
      <sz val="9"/>
      <color rgb="FFFF0000"/>
      <name val="Tahoma"/>
      <family val="2"/>
      <charset val="238"/>
    </font>
    <font>
      <b/>
      <u/>
      <sz val="11"/>
      <color rgb="FF000000"/>
      <name val="Tahoma"/>
      <family val="2"/>
      <charset val="238"/>
    </font>
    <font>
      <b/>
      <vertAlign val="superscript"/>
      <sz val="24"/>
      <color rgb="FFFFFFFF"/>
      <name val="Tahoma"/>
      <family val="2"/>
      <charset val="238"/>
    </font>
    <font>
      <i/>
      <sz val="10"/>
      <color rgb="FF000000"/>
      <name val="Tahoma"/>
      <family val="2"/>
      <charset val="238"/>
    </font>
    <font>
      <i/>
      <sz val="9"/>
      <color rgb="FF000000"/>
      <name val="Tahoma"/>
      <family val="2"/>
      <charset val="238"/>
    </font>
    <font>
      <u/>
      <sz val="12"/>
      <color rgb="FF558ED5"/>
      <name val="Tahoma"/>
      <family val="2"/>
      <charset val="238"/>
    </font>
    <font>
      <sz val="12"/>
      <color rgb="FF558ED5"/>
      <name val="Tahoma"/>
      <family val="2"/>
      <charset val="238"/>
    </font>
    <font>
      <b/>
      <sz val="16"/>
      <color rgb="FFFFFFFF"/>
      <name val="Tahoma"/>
      <family val="2"/>
      <charset val="238"/>
    </font>
    <font>
      <b/>
      <sz val="12"/>
      <color rgb="FFFFFFFF"/>
      <name val="Tahoma"/>
      <family val="2"/>
      <charset val="238"/>
    </font>
    <font>
      <b/>
      <sz val="11"/>
      <color rgb="FF595959"/>
      <name val="Tahoma"/>
      <family val="2"/>
      <charset val="238"/>
    </font>
    <font>
      <b/>
      <sz val="11"/>
      <color rgb="FF0D0D0D"/>
      <name val="Tahoma"/>
      <family val="2"/>
      <charset val="238"/>
    </font>
    <font>
      <u/>
      <sz val="9"/>
      <color rgb="FF16355A"/>
      <name val="Tahoma"/>
      <family val="2"/>
      <charset val="238"/>
    </font>
    <font>
      <sz val="10"/>
      <color rgb="FFFF0000"/>
      <name val="Tahoma"/>
      <family val="2"/>
      <charset val="238"/>
    </font>
    <font>
      <sz val="11"/>
      <color rgb="FF006100"/>
      <name val="Calibri"/>
      <family val="2"/>
      <charset val="238"/>
    </font>
    <font>
      <sz val="8"/>
      <name val="Tahoma"/>
      <family val="2"/>
      <charset val="238"/>
    </font>
    <font>
      <b/>
      <sz val="12"/>
      <color rgb="FF558ED5"/>
      <name val="Tahoma"/>
      <family val="2"/>
      <charset val="238"/>
    </font>
    <font>
      <b/>
      <sz val="11"/>
      <color rgb="FFFFFFFF"/>
      <name val="Tahoma"/>
      <family val="2"/>
      <charset val="238"/>
    </font>
    <font>
      <sz val="28"/>
      <color rgb="FF000000"/>
      <name val="Tahoma"/>
      <family val="2"/>
      <charset val="238"/>
    </font>
    <font>
      <b/>
      <sz val="16"/>
      <name val="Tahoma"/>
      <family val="2"/>
      <charset val="238"/>
    </font>
    <font>
      <sz val="11"/>
      <color rgb="FF000000"/>
      <name val="Calibri"/>
      <family val="2"/>
      <charset val="1"/>
    </font>
    <font>
      <b/>
      <sz val="28"/>
      <name val="Tahoma"/>
      <family val="2"/>
      <charset val="238"/>
    </font>
    <font>
      <b/>
      <sz val="22"/>
      <name val="Tahoma"/>
      <family val="2"/>
      <charset val="238"/>
    </font>
    <font>
      <b/>
      <sz val="9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28"/>
      <name val="Tahoma"/>
      <family val="2"/>
      <charset val="238"/>
    </font>
    <font>
      <sz val="10"/>
      <color rgb="FF000000"/>
      <name val="Verdana"/>
      <family val="2"/>
      <charset val="238"/>
    </font>
    <font>
      <sz val="11"/>
      <name val="Calibri"/>
      <family val="2"/>
      <charset val="238"/>
    </font>
    <font>
      <b/>
      <sz val="12"/>
      <name val="Tahoma"/>
      <family val="2"/>
      <charset val="238"/>
    </font>
    <font>
      <b/>
      <u/>
      <sz val="12"/>
      <color rgb="FFFF0000"/>
      <name val="Tahoma"/>
      <family val="2"/>
      <charset val="238"/>
    </font>
    <font>
      <i/>
      <sz val="9"/>
      <name val="Tahoma"/>
      <family val="2"/>
      <charset val="238"/>
    </font>
    <font>
      <b/>
      <sz val="28"/>
      <color theme="4"/>
      <name val="Tahoma"/>
      <family val="2"/>
      <charset val="238"/>
    </font>
  </fonts>
  <fills count="54">
    <fill>
      <patternFill patternType="none"/>
    </fill>
    <fill>
      <patternFill patternType="gray125"/>
    </fill>
    <fill>
      <patternFill patternType="solid">
        <fgColor rgb="FFFFFFCC"/>
        <bgColor rgb="FFFEF0CA"/>
      </patternFill>
    </fill>
    <fill>
      <patternFill patternType="solid">
        <fgColor rgb="FFC6EFCE"/>
        <bgColor rgb="FFCDDDAC"/>
      </patternFill>
    </fill>
    <fill>
      <patternFill patternType="solid">
        <fgColor rgb="FFBFBFBF"/>
        <bgColor rgb="FFB2B2B2"/>
      </patternFill>
    </fill>
    <fill>
      <patternFill patternType="solid">
        <fgColor rgb="FF00579A"/>
        <bgColor rgb="FF16355A"/>
      </patternFill>
    </fill>
    <fill>
      <patternFill patternType="solid">
        <fgColor rgb="FFFFFFFF"/>
        <bgColor rgb="FFF2F2F2"/>
      </patternFill>
    </fill>
    <fill>
      <patternFill patternType="solid">
        <fgColor rgb="FFF2F2F2"/>
        <bgColor rgb="FFFFFFFF"/>
      </patternFill>
    </fill>
    <fill>
      <patternFill patternType="solid">
        <fgColor rgb="FFCDDDAC"/>
        <bgColor rgb="FFC3D69B"/>
      </patternFill>
    </fill>
    <fill>
      <patternFill patternType="solid">
        <fgColor rgb="FFAAC6EA"/>
        <bgColor rgb="FFA7C0DE"/>
      </patternFill>
    </fill>
    <fill>
      <patternFill patternType="solid">
        <fgColor rgb="FFFBCAA2"/>
        <bgColor rgb="FFFAC090"/>
      </patternFill>
    </fill>
    <fill>
      <patternFill patternType="solid">
        <fgColor rgb="FFAFA4BD"/>
        <bgColor rgb="FFB3A2C7"/>
      </patternFill>
    </fill>
    <fill>
      <patternFill patternType="solid">
        <fgColor rgb="FFA5D5E2"/>
        <bgColor rgb="FF93CDDD"/>
      </patternFill>
    </fill>
    <fill>
      <patternFill patternType="solid">
        <fgColor rgb="FFA7C0DE"/>
        <bgColor rgb="FFAAC6EA"/>
      </patternFill>
    </fill>
    <fill>
      <patternFill patternType="solid">
        <fgColor rgb="FFFDEEC3"/>
        <bgColor rgb="FFFEF0CA"/>
      </patternFill>
    </fill>
    <fill>
      <patternFill patternType="solid">
        <fgColor rgb="FFDFDFDF"/>
        <bgColor rgb="FFD9D9D9"/>
      </patternFill>
    </fill>
    <fill>
      <patternFill patternType="solid">
        <fgColor rgb="FF77933C"/>
        <bgColor rgb="FF8EB149"/>
      </patternFill>
    </fill>
    <fill>
      <patternFill patternType="solid">
        <fgColor rgb="FFC3D69B"/>
        <bgColor rgb="FFCDDDAC"/>
      </patternFill>
    </fill>
    <fill>
      <patternFill patternType="solid">
        <fgColor rgb="FF3176C9"/>
        <bgColor rgb="FF31859C"/>
      </patternFill>
    </fill>
    <fill>
      <patternFill patternType="solid">
        <fgColor rgb="FFC6D9F1"/>
        <bgColor rgb="FFD9D9D9"/>
      </patternFill>
    </fill>
    <fill>
      <patternFill patternType="solid">
        <fgColor rgb="FFE46C0A"/>
        <bgColor rgb="FFF79646"/>
      </patternFill>
    </fill>
    <fill>
      <patternFill patternType="solid">
        <fgColor rgb="FFFAC090"/>
        <bgColor rgb="FFFBCAA2"/>
      </patternFill>
    </fill>
    <fill>
      <patternFill patternType="solid">
        <fgColor rgb="FF403152"/>
        <bgColor rgb="FF404040"/>
      </patternFill>
    </fill>
    <fill>
      <patternFill patternType="solid">
        <fgColor rgb="FFB3A2C7"/>
        <bgColor rgb="FFAFA4BD"/>
      </patternFill>
    </fill>
    <fill>
      <patternFill patternType="solid">
        <fgColor rgb="FF31859C"/>
        <bgColor rgb="FF3176C9"/>
      </patternFill>
    </fill>
    <fill>
      <patternFill patternType="solid">
        <fgColor rgb="FF93CDDD"/>
        <bgColor rgb="FFA5D5E2"/>
      </patternFill>
    </fill>
    <fill>
      <patternFill patternType="solid">
        <fgColor rgb="FF7F7F7F"/>
        <bgColor rgb="FF808080"/>
      </patternFill>
    </fill>
    <fill>
      <patternFill patternType="solid">
        <fgColor rgb="FFA6A6A6"/>
        <bgColor rgb="FFAFA4BD"/>
      </patternFill>
    </fill>
    <fill>
      <patternFill patternType="solid">
        <fgColor rgb="FF8EB149"/>
        <bgColor rgb="FF9BBB59"/>
      </patternFill>
    </fill>
    <fill>
      <patternFill patternType="solid">
        <fgColor rgb="FFADC773"/>
        <bgColor rgb="FF9BBB59"/>
      </patternFill>
    </fill>
    <fill>
      <patternFill patternType="solid">
        <fgColor rgb="FF558ED5"/>
        <bgColor rgb="FF4BACC6"/>
      </patternFill>
    </fill>
    <fill>
      <patternFill patternType="solid">
        <fgColor rgb="FF8EB4E3"/>
        <bgColor rgb="FFA7C0DE"/>
      </patternFill>
    </fill>
    <fill>
      <patternFill patternType="solid">
        <fgColor rgb="FFF79646"/>
        <bgColor rgb="FFF3B507"/>
      </patternFill>
    </fill>
    <fill>
      <patternFill patternType="solid">
        <fgColor rgb="FF4BACC6"/>
        <bgColor rgb="FF558ED5"/>
      </patternFill>
    </fill>
    <fill>
      <patternFill patternType="solid">
        <fgColor rgb="FF70BDD2"/>
        <bgColor rgb="FF8EB4E3"/>
      </patternFill>
    </fill>
    <fill>
      <patternFill patternType="solid">
        <fgColor rgb="FFF3B507"/>
        <bgColor rgb="FFF79646"/>
      </patternFill>
    </fill>
    <fill>
      <patternFill patternType="solid">
        <fgColor rgb="FFFCDE88"/>
        <bgColor rgb="FFFBCAA2"/>
      </patternFill>
    </fill>
    <fill>
      <patternFill patternType="solid">
        <fgColor rgb="FFFEF0CA"/>
        <bgColor rgb="FFFDEEC3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rgb="FFDFDFDF"/>
      </patternFill>
    </fill>
    <fill>
      <patternFill patternType="solid">
        <fgColor theme="0"/>
        <bgColor rgb="FFFEF0CA"/>
      </patternFill>
    </fill>
    <fill>
      <patternFill patternType="solid">
        <fgColor rgb="FF00B0F0"/>
        <bgColor rgb="FF93CDDD"/>
      </patternFill>
    </fill>
    <fill>
      <patternFill patternType="solid">
        <fgColor rgb="FFFBCAA2"/>
        <bgColor rgb="FFA5D5E2"/>
      </patternFill>
    </fill>
    <fill>
      <patternFill patternType="solid">
        <fgColor rgb="FFF79646"/>
        <bgColor rgb="FF558ED5"/>
      </patternFill>
    </fill>
    <fill>
      <patternFill patternType="solid">
        <fgColor rgb="FFFBCAA2"/>
        <bgColor rgb="FF8EB4E3"/>
      </patternFill>
    </fill>
    <fill>
      <patternFill patternType="solid">
        <fgColor rgb="FF77933C"/>
        <bgColor rgb="FFF79646"/>
      </patternFill>
    </fill>
    <fill>
      <patternFill patternType="solid">
        <fgColor rgb="FF8EB149"/>
        <bgColor rgb="FF558ED5"/>
      </patternFill>
    </fill>
    <fill>
      <patternFill patternType="solid">
        <fgColor rgb="FFADC773"/>
        <bgColor rgb="FF8EB4E3"/>
      </patternFill>
    </fill>
    <fill>
      <patternFill patternType="solid">
        <fgColor rgb="FFC3D69B"/>
        <bgColor rgb="FFA5D5E2"/>
      </patternFill>
    </fill>
    <fill>
      <patternFill patternType="solid">
        <fgColor theme="0"/>
        <bgColor rgb="FF9BBB59"/>
      </patternFill>
    </fill>
    <fill>
      <patternFill patternType="solid">
        <fgColor theme="0"/>
        <bgColor rgb="FFCDDDAC"/>
      </patternFill>
    </fill>
    <fill>
      <patternFill patternType="solid">
        <fgColor theme="0"/>
        <bgColor rgb="FFB2B2B2"/>
      </patternFill>
    </fill>
    <fill>
      <patternFill patternType="solid">
        <fgColor theme="6" tint="0.59999389629810485"/>
        <bgColor rgb="FFFBCAA2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 style="hair">
        <color rgb="FF808080"/>
      </left>
      <right style="hair">
        <color rgb="FF808080"/>
      </right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</borders>
  <cellStyleXfs count="97">
    <xf numFmtId="0" fontId="0" fillId="0" borderId="0"/>
    <xf numFmtId="0" fontId="1" fillId="0" borderId="0" applyBorder="0" applyProtection="0"/>
    <xf numFmtId="0" fontId="1" fillId="0" borderId="0" applyBorder="0" applyProtection="0"/>
    <xf numFmtId="0" fontId="66" fillId="0" borderId="0"/>
    <xf numFmtId="0" fontId="2" fillId="0" borderId="0"/>
    <xf numFmtId="0" fontId="2" fillId="0" borderId="0"/>
    <xf numFmtId="0" fontId="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" fillId="0" borderId="0"/>
    <xf numFmtId="0" fontId="4" fillId="0" borderId="0"/>
    <xf numFmtId="0" fontId="4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" fillId="0" borderId="0"/>
    <xf numFmtId="0" fontId="3" fillId="0" borderId="0"/>
    <xf numFmtId="0" fontId="2" fillId="0" borderId="0"/>
    <xf numFmtId="0" fontId="66" fillId="0" borderId="0"/>
    <xf numFmtId="0" fontId="66" fillId="0" borderId="0"/>
    <xf numFmtId="0" fontId="6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2" borderId="1" applyProtection="0"/>
    <xf numFmtId="0" fontId="60" fillId="3" borderId="0" applyBorder="0" applyProtection="0"/>
    <xf numFmtId="0" fontId="72" fillId="0" borderId="0"/>
    <xf numFmtId="0" fontId="72" fillId="0" borderId="0"/>
    <xf numFmtId="0" fontId="72" fillId="0" borderId="0"/>
  </cellStyleXfs>
  <cellXfs count="512">
    <xf numFmtId="0" fontId="0" fillId="0" borderId="0" xfId="0"/>
    <xf numFmtId="0" fontId="5" fillId="4" borderId="0" xfId="0" applyFont="1" applyFill="1"/>
    <xf numFmtId="0" fontId="6" fillId="4" borderId="0" xfId="0" applyFont="1" applyFill="1" applyAlignment="1">
      <alignment vertical="center"/>
    </xf>
    <xf numFmtId="0" fontId="5" fillId="6" borderId="0" xfId="0" applyFont="1" applyFill="1"/>
    <xf numFmtId="1" fontId="9" fillId="6" borderId="3" xfId="0" applyNumberFormat="1" applyFont="1" applyFill="1" applyBorder="1" applyAlignment="1">
      <alignment vertical="center"/>
    </xf>
    <xf numFmtId="0" fontId="8" fillId="7" borderId="4" xfId="0" applyFont="1" applyFill="1" applyBorder="1" applyAlignment="1">
      <alignment vertical="center"/>
    </xf>
    <xf numFmtId="0" fontId="11" fillId="6" borderId="0" xfId="1" applyFont="1" applyFill="1" applyBorder="1" applyAlignment="1" applyProtection="1">
      <alignment horizontal="center" vertical="center"/>
    </xf>
    <xf numFmtId="0" fontId="12" fillId="6" borderId="0" xfId="0" applyFont="1" applyFill="1" applyAlignment="1">
      <alignment horizontal="right"/>
    </xf>
    <xf numFmtId="1" fontId="13" fillId="6" borderId="0" xfId="0" applyNumberFormat="1" applyFont="1" applyFill="1"/>
    <xf numFmtId="0" fontId="13" fillId="6" borderId="0" xfId="0" applyFont="1" applyFill="1"/>
    <xf numFmtId="0" fontId="12" fillId="4" borderId="0" xfId="0" applyFont="1" applyFill="1"/>
    <xf numFmtId="0" fontId="12" fillId="6" borderId="0" xfId="0" applyFont="1" applyFill="1"/>
    <xf numFmtId="0" fontId="12" fillId="6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16" fillId="4" borderId="0" xfId="0" applyFont="1" applyFill="1"/>
    <xf numFmtId="0" fontId="17" fillId="4" borderId="0" xfId="0" applyFont="1" applyFill="1"/>
    <xf numFmtId="0" fontId="8" fillId="6" borderId="0" xfId="14" applyFont="1" applyFill="1" applyAlignment="1">
      <alignment horizontal="center" vertical="top"/>
    </xf>
    <xf numFmtId="0" fontId="19" fillId="6" borderId="0" xfId="14" applyFont="1" applyFill="1" applyAlignment="1">
      <alignment horizontal="center" vertical="top"/>
    </xf>
    <xf numFmtId="0" fontId="20" fillId="6" borderId="0" xfId="0" applyFont="1" applyFill="1" applyAlignment="1">
      <alignment vertical="top"/>
    </xf>
    <xf numFmtId="0" fontId="20" fillId="0" borderId="0" xfId="0" applyFont="1" applyAlignment="1">
      <alignment vertical="top"/>
    </xf>
    <xf numFmtId="0" fontId="21" fillId="6" borderId="0" xfId="0" applyFont="1" applyFill="1" applyAlignment="1">
      <alignment horizontal="center"/>
    </xf>
    <xf numFmtId="0" fontId="18" fillId="6" borderId="0" xfId="0" applyFont="1" applyFill="1" applyAlignment="1">
      <alignment horizontal="center"/>
    </xf>
    <xf numFmtId="0" fontId="24" fillId="6" borderId="0" xfId="14" applyFont="1" applyFill="1" applyAlignment="1">
      <alignment horizontal="center" vertical="center"/>
    </xf>
    <xf numFmtId="0" fontId="24" fillId="6" borderId="0" xfId="0" applyFont="1" applyFill="1"/>
    <xf numFmtId="0" fontId="19" fillId="4" borderId="0" xfId="0" applyFont="1" applyFill="1"/>
    <xf numFmtId="0" fontId="28" fillId="6" borderId="0" xfId="1" applyFont="1" applyFill="1" applyBorder="1" applyAlignment="1" applyProtection="1">
      <alignment horizontal="right"/>
    </xf>
    <xf numFmtId="0" fontId="29" fillId="6" borderId="0" xfId="0" applyFont="1" applyFill="1"/>
    <xf numFmtId="0" fontId="30" fillId="6" borderId="0" xfId="0" applyFont="1" applyFill="1" applyAlignment="1">
      <alignment horizontal="center"/>
    </xf>
    <xf numFmtId="0" fontId="28" fillId="6" borderId="0" xfId="1" applyFont="1" applyFill="1" applyBorder="1" applyAlignment="1" applyProtection="1">
      <alignment horizontal="left"/>
    </xf>
    <xf numFmtId="0" fontId="32" fillId="6" borderId="0" xfId="0" applyFont="1" applyFill="1"/>
    <xf numFmtId="0" fontId="33" fillId="6" borderId="0" xfId="0" applyFont="1" applyFill="1"/>
    <xf numFmtId="0" fontId="34" fillId="4" borderId="0" xfId="0" applyFont="1" applyFill="1"/>
    <xf numFmtId="0" fontId="20" fillId="4" borderId="0" xfId="0" applyFont="1" applyFill="1"/>
    <xf numFmtId="1" fontId="37" fillId="6" borderId="0" xfId="0" applyNumberFormat="1" applyFont="1" applyFill="1"/>
    <xf numFmtId="0" fontId="37" fillId="6" borderId="0" xfId="0" applyFont="1" applyFill="1"/>
    <xf numFmtId="0" fontId="39" fillId="6" borderId="0" xfId="0" applyFont="1" applyFill="1"/>
    <xf numFmtId="0" fontId="41" fillId="6" borderId="0" xfId="0" applyFont="1" applyFill="1"/>
    <xf numFmtId="0" fontId="34" fillId="6" borderId="0" xfId="0" applyFont="1" applyFill="1"/>
    <xf numFmtId="0" fontId="20" fillId="6" borderId="0" xfId="0" applyFont="1" applyFill="1"/>
    <xf numFmtId="0" fontId="43" fillId="17" borderId="13" xfId="14" applyFont="1" applyFill="1" applyBorder="1" applyAlignment="1">
      <alignment horizontal="center" vertical="center"/>
    </xf>
    <xf numFmtId="164" fontId="43" fillId="17" borderId="13" xfId="14" applyNumberFormat="1" applyFont="1" applyFill="1" applyBorder="1" applyAlignment="1">
      <alignment horizontal="center" vertical="center" wrapText="1"/>
    </xf>
    <xf numFmtId="164" fontId="44" fillId="17" borderId="13" xfId="14" applyNumberFormat="1" applyFont="1" applyFill="1" applyBorder="1" applyAlignment="1">
      <alignment horizontal="center" vertical="center" wrapText="1"/>
    </xf>
    <xf numFmtId="0" fontId="45" fillId="6" borderId="0" xfId="0" applyFont="1" applyFill="1"/>
    <xf numFmtId="0" fontId="47" fillId="4" borderId="0" xfId="0" applyFont="1" applyFill="1"/>
    <xf numFmtId="0" fontId="45" fillId="4" borderId="0" xfId="0" applyFont="1" applyFill="1"/>
    <xf numFmtId="0" fontId="48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5" fillId="4" borderId="0" xfId="5" applyFont="1" applyFill="1"/>
    <xf numFmtId="0" fontId="43" fillId="19" borderId="13" xfId="14" applyFont="1" applyFill="1" applyBorder="1" applyAlignment="1">
      <alignment horizontal="center" vertical="center"/>
    </xf>
    <xf numFmtId="164" fontId="43" fillId="19" borderId="13" xfId="14" applyNumberFormat="1" applyFont="1" applyFill="1" applyBorder="1" applyAlignment="1">
      <alignment horizontal="center" vertical="center" wrapText="1"/>
    </xf>
    <xf numFmtId="164" fontId="44" fillId="19" borderId="13" xfId="14" applyNumberFormat="1" applyFont="1" applyFill="1" applyBorder="1" applyAlignment="1">
      <alignment horizontal="center" vertical="center" wrapText="1"/>
    </xf>
    <xf numFmtId="0" fontId="43" fillId="21" borderId="13" xfId="14" applyFont="1" applyFill="1" applyBorder="1" applyAlignment="1">
      <alignment horizontal="center" vertical="center"/>
    </xf>
    <xf numFmtId="164" fontId="43" fillId="21" borderId="13" xfId="14" applyNumberFormat="1" applyFont="1" applyFill="1" applyBorder="1" applyAlignment="1">
      <alignment horizontal="center" vertical="center" wrapText="1"/>
    </xf>
    <xf numFmtId="164" fontId="44" fillId="21" borderId="13" xfId="14" applyNumberFormat="1" applyFont="1" applyFill="1" applyBorder="1" applyAlignment="1">
      <alignment horizontal="center" vertical="center" wrapText="1"/>
    </xf>
    <xf numFmtId="0" fontId="43" fillId="23" borderId="13" xfId="14" applyFont="1" applyFill="1" applyBorder="1" applyAlignment="1">
      <alignment horizontal="center" vertical="center"/>
    </xf>
    <xf numFmtId="164" fontId="43" fillId="23" borderId="13" xfId="14" applyNumberFormat="1" applyFont="1" applyFill="1" applyBorder="1" applyAlignment="1">
      <alignment horizontal="center" vertical="center" wrapText="1"/>
    </xf>
    <xf numFmtId="164" fontId="44" fillId="23" borderId="13" xfId="14" applyNumberFormat="1" applyFont="1" applyFill="1" applyBorder="1" applyAlignment="1">
      <alignment horizontal="center" vertical="center" wrapText="1"/>
    </xf>
    <xf numFmtId="164" fontId="31" fillId="0" borderId="18" xfId="14" applyNumberFormat="1" applyFont="1" applyBorder="1"/>
    <xf numFmtId="164" fontId="31" fillId="0" borderId="21" xfId="14" applyNumberFormat="1" applyFont="1" applyBorder="1"/>
    <xf numFmtId="0" fontId="20" fillId="6" borderId="0" xfId="86" applyFont="1" applyFill="1"/>
    <xf numFmtId="164" fontId="20" fillId="6" borderId="0" xfId="5" applyNumberFormat="1" applyFont="1" applyFill="1"/>
    <xf numFmtId="164" fontId="32" fillId="6" borderId="0" xfId="14" applyNumberFormat="1" applyFont="1" applyFill="1" applyAlignment="1">
      <alignment horizontal="right"/>
    </xf>
    <xf numFmtId="164" fontId="31" fillId="6" borderId="0" xfId="14" applyNumberFormat="1" applyFont="1" applyFill="1"/>
    <xf numFmtId="0" fontId="50" fillId="6" borderId="0" xfId="0" applyFont="1" applyFill="1" applyAlignment="1">
      <alignment horizontal="center" vertical="center"/>
    </xf>
    <xf numFmtId="0" fontId="43" fillId="25" borderId="13" xfId="14" applyFont="1" applyFill="1" applyBorder="1" applyAlignment="1">
      <alignment horizontal="center" vertical="center"/>
    </xf>
    <xf numFmtId="164" fontId="43" fillId="25" borderId="13" xfId="14" applyNumberFormat="1" applyFont="1" applyFill="1" applyBorder="1" applyAlignment="1">
      <alignment horizontal="center" vertical="center" wrapText="1"/>
    </xf>
    <xf numFmtId="164" fontId="44" fillId="25" borderId="13" xfId="14" applyNumberFormat="1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" vertical="center"/>
    </xf>
    <xf numFmtId="164" fontId="32" fillId="0" borderId="20" xfId="14" applyNumberFormat="1" applyFont="1" applyBorder="1" applyAlignment="1">
      <alignment horizontal="right"/>
    </xf>
    <xf numFmtId="164" fontId="32" fillId="0" borderId="15" xfId="14" applyNumberFormat="1" applyFont="1" applyBorder="1" applyAlignment="1">
      <alignment horizontal="right"/>
    </xf>
    <xf numFmtId="164" fontId="31" fillId="0" borderId="16" xfId="14" applyNumberFormat="1" applyFont="1" applyBorder="1"/>
    <xf numFmtId="164" fontId="32" fillId="0" borderId="12" xfId="14" applyNumberFormat="1" applyFont="1" applyBorder="1" applyAlignment="1">
      <alignment horizontal="right"/>
    </xf>
    <xf numFmtId="164" fontId="20" fillId="4" borderId="0" xfId="0" applyNumberFormat="1" applyFont="1" applyFill="1"/>
    <xf numFmtId="0" fontId="53" fillId="6" borderId="0" xfId="0" applyFont="1" applyFill="1"/>
    <xf numFmtId="164" fontId="43" fillId="17" borderId="15" xfId="14" applyNumberFormat="1" applyFont="1" applyFill="1" applyBorder="1" applyAlignment="1">
      <alignment horizontal="center" vertical="center" wrapText="1"/>
    </xf>
    <xf numFmtId="164" fontId="44" fillId="17" borderId="15" xfId="14" applyNumberFormat="1" applyFont="1" applyFill="1" applyBorder="1" applyAlignment="1">
      <alignment horizontal="center" vertical="center" wrapText="1"/>
    </xf>
    <xf numFmtId="0" fontId="45" fillId="6" borderId="23" xfId="0" applyFont="1" applyFill="1" applyBorder="1"/>
    <xf numFmtId="0" fontId="20" fillId="0" borderId="14" xfId="54" applyFont="1" applyBorder="1"/>
    <xf numFmtId="0" fontId="20" fillId="0" borderId="15" xfId="54" applyFont="1" applyBorder="1"/>
    <xf numFmtId="0" fontId="20" fillId="0" borderId="17" xfId="54" applyFont="1" applyBorder="1"/>
    <xf numFmtId="0" fontId="20" fillId="0" borderId="12" xfId="54" applyFont="1" applyBorder="1"/>
    <xf numFmtId="0" fontId="20" fillId="0" borderId="19" xfId="54" applyFont="1" applyBorder="1"/>
    <xf numFmtId="0" fontId="20" fillId="0" borderId="20" xfId="54" applyFont="1" applyBorder="1"/>
    <xf numFmtId="0" fontId="32" fillId="6" borderId="0" xfId="14" applyFont="1" applyFill="1" applyAlignment="1">
      <alignment horizontal="center"/>
    </xf>
    <xf numFmtId="0" fontId="32" fillId="6" borderId="0" xfId="14" applyFont="1" applyFill="1"/>
    <xf numFmtId="164" fontId="32" fillId="6" borderId="0" xfId="14" applyNumberFormat="1" applyFont="1" applyFill="1"/>
    <xf numFmtId="0" fontId="20" fillId="6" borderId="0" xfId="54" applyFont="1" applyFill="1"/>
    <xf numFmtId="164" fontId="20" fillId="6" borderId="0" xfId="54" applyNumberFormat="1" applyFont="1" applyFill="1"/>
    <xf numFmtId="0" fontId="43" fillId="17" borderId="12" xfId="14" applyFont="1" applyFill="1" applyBorder="1" applyAlignment="1">
      <alignment horizontal="center" vertical="center"/>
    </xf>
    <xf numFmtId="164" fontId="43" fillId="17" borderId="12" xfId="14" applyNumberFormat="1" applyFont="1" applyFill="1" applyBorder="1" applyAlignment="1">
      <alignment horizontal="center" vertical="center" wrapText="1"/>
    </xf>
    <xf numFmtId="164" fontId="44" fillId="17" borderId="12" xfId="14" applyNumberFormat="1" applyFont="1" applyFill="1" applyBorder="1" applyAlignment="1">
      <alignment horizontal="center" vertical="center" wrapText="1"/>
    </xf>
    <xf numFmtId="0" fontId="20" fillId="0" borderId="22" xfId="89" applyFont="1" applyBorder="1"/>
    <xf numFmtId="0" fontId="20" fillId="0" borderId="13" xfId="89" applyFont="1" applyBorder="1"/>
    <xf numFmtId="164" fontId="32" fillId="0" borderId="13" xfId="14" applyNumberFormat="1" applyFont="1" applyBorder="1" applyAlignment="1">
      <alignment horizontal="right"/>
    </xf>
    <xf numFmtId="164" fontId="31" fillId="0" borderId="23" xfId="14" applyNumberFormat="1" applyFont="1" applyBorder="1"/>
    <xf numFmtId="164" fontId="45" fillId="6" borderId="0" xfId="0" applyNumberFormat="1" applyFont="1" applyFill="1"/>
    <xf numFmtId="164" fontId="20" fillId="6" borderId="0" xfId="0" applyNumberFormat="1" applyFont="1" applyFill="1"/>
    <xf numFmtId="0" fontId="20" fillId="0" borderId="12" xfId="43" applyFont="1" applyBorder="1"/>
    <xf numFmtId="0" fontId="20" fillId="0" borderId="14" xfId="0" applyFont="1" applyBorder="1"/>
    <xf numFmtId="0" fontId="20" fillId="0" borderId="15" xfId="0" applyFont="1" applyBorder="1"/>
    <xf numFmtId="0" fontId="20" fillId="0" borderId="17" xfId="0" applyFont="1" applyBorder="1"/>
    <xf numFmtId="0" fontId="20" fillId="0" borderId="19" xfId="0" applyFont="1" applyBorder="1"/>
    <xf numFmtId="0" fontId="20" fillId="0" borderId="20" xfId="0" applyFont="1" applyBorder="1"/>
    <xf numFmtId="0" fontId="61" fillId="6" borderId="0" xfId="14" applyFont="1" applyFill="1" applyAlignment="1">
      <alignment horizontal="center"/>
    </xf>
    <xf numFmtId="164" fontId="20" fillId="6" borderId="0" xfId="43" applyNumberFormat="1" applyFont="1" applyFill="1"/>
    <xf numFmtId="2" fontId="20" fillId="6" borderId="0" xfId="54" applyNumberFormat="1" applyFont="1" applyFill="1"/>
    <xf numFmtId="2" fontId="20" fillId="6" borderId="0" xfId="0" applyNumberFormat="1" applyFont="1" applyFill="1"/>
    <xf numFmtId="0" fontId="43" fillId="31" borderId="13" xfId="14" applyFont="1" applyFill="1" applyBorder="1" applyAlignment="1">
      <alignment horizontal="center" vertical="center"/>
    </xf>
    <xf numFmtId="164" fontId="43" fillId="31" borderId="13" xfId="14" applyNumberFormat="1" applyFont="1" applyFill="1" applyBorder="1" applyAlignment="1">
      <alignment horizontal="center" vertical="center" wrapText="1"/>
    </xf>
    <xf numFmtId="164" fontId="44" fillId="31" borderId="13" xfId="14" applyNumberFormat="1" applyFont="1" applyFill="1" applyBorder="1" applyAlignment="1">
      <alignment horizontal="center" vertical="center" wrapText="1"/>
    </xf>
    <xf numFmtId="0" fontId="20" fillId="0" borderId="14" xfId="5" applyFont="1" applyBorder="1"/>
    <xf numFmtId="0" fontId="20" fillId="0" borderId="15" xfId="5" applyFont="1" applyBorder="1"/>
    <xf numFmtId="0" fontId="20" fillId="0" borderId="17" xfId="14" applyFont="1" applyBorder="1" applyAlignment="1">
      <alignment horizontal="center"/>
    </xf>
    <xf numFmtId="0" fontId="20" fillId="0" borderId="12" xfId="14" applyFont="1" applyBorder="1"/>
    <xf numFmtId="0" fontId="20" fillId="0" borderId="17" xfId="5" applyFont="1" applyBorder="1"/>
    <xf numFmtId="0" fontId="20" fillId="0" borderId="12" xfId="5" applyFont="1" applyBorder="1"/>
    <xf numFmtId="0" fontId="20" fillId="0" borderId="19" xfId="5" applyFont="1" applyBorder="1"/>
    <xf numFmtId="0" fontId="20" fillId="0" borderId="20" xfId="5" applyFont="1" applyBorder="1"/>
    <xf numFmtId="0" fontId="43" fillId="31" borderId="20" xfId="14" applyFont="1" applyFill="1" applyBorder="1" applyAlignment="1">
      <alignment horizontal="center" vertical="center"/>
    </xf>
    <xf numFmtId="164" fontId="43" fillId="31" borderId="20" xfId="14" applyNumberFormat="1" applyFont="1" applyFill="1" applyBorder="1" applyAlignment="1">
      <alignment horizontal="center" vertical="center" wrapText="1"/>
    </xf>
    <xf numFmtId="164" fontId="44" fillId="31" borderId="20" xfId="14" applyNumberFormat="1" applyFont="1" applyFill="1" applyBorder="1" applyAlignment="1">
      <alignment horizontal="center" vertical="center" wrapText="1"/>
    </xf>
    <xf numFmtId="0" fontId="20" fillId="0" borderId="12" xfId="70" applyFont="1" applyBorder="1"/>
    <xf numFmtId="0" fontId="20" fillId="0" borderId="12" xfId="74" applyFont="1" applyBorder="1"/>
    <xf numFmtId="0" fontId="20" fillId="0" borderId="12" xfId="75" applyFont="1" applyBorder="1"/>
    <xf numFmtId="164" fontId="20" fillId="0" borderId="12" xfId="0" applyNumberFormat="1" applyFont="1" applyBorder="1"/>
    <xf numFmtId="0" fontId="20" fillId="0" borderId="12" xfId="0" applyFont="1" applyBorder="1"/>
    <xf numFmtId="0" fontId="20" fillId="0" borderId="12" xfId="76" applyFont="1" applyBorder="1"/>
    <xf numFmtId="0" fontId="20" fillId="0" borderId="12" xfId="79" applyFont="1" applyBorder="1"/>
    <xf numFmtId="0" fontId="20" fillId="0" borderId="12" xfId="83" applyFont="1" applyBorder="1"/>
    <xf numFmtId="0" fontId="20" fillId="0" borderId="12" xfId="84" applyFont="1" applyBorder="1"/>
    <xf numFmtId="0" fontId="20" fillId="0" borderId="12" xfId="85" applyFont="1" applyBorder="1"/>
    <xf numFmtId="164" fontId="61" fillId="6" borderId="0" xfId="14" applyNumberFormat="1" applyFont="1" applyFill="1"/>
    <xf numFmtId="0" fontId="43" fillId="25" borderId="15" xfId="14" applyFont="1" applyFill="1" applyBorder="1" applyAlignment="1">
      <alignment horizontal="center" vertical="center"/>
    </xf>
    <xf numFmtId="164" fontId="43" fillId="25" borderId="15" xfId="14" applyNumberFormat="1" applyFont="1" applyFill="1" applyBorder="1" applyAlignment="1">
      <alignment horizontal="center" vertical="center" wrapText="1"/>
    </xf>
    <xf numFmtId="164" fontId="44" fillId="25" borderId="15" xfId="14" applyNumberFormat="1" applyFont="1" applyFill="1" applyBorder="1" applyAlignment="1">
      <alignment horizontal="center" vertical="center" wrapText="1"/>
    </xf>
    <xf numFmtId="0" fontId="43" fillId="25" borderId="12" xfId="14" applyFont="1" applyFill="1" applyBorder="1" applyAlignment="1">
      <alignment horizontal="center" vertical="center"/>
    </xf>
    <xf numFmtId="164" fontId="43" fillId="25" borderId="12" xfId="14" applyNumberFormat="1" applyFont="1" applyFill="1" applyBorder="1" applyAlignment="1">
      <alignment horizontal="center" vertical="center" wrapText="1"/>
    </xf>
    <xf numFmtId="164" fontId="44" fillId="25" borderId="12" xfId="14" applyNumberFormat="1" applyFont="1" applyFill="1" applyBorder="1" applyAlignment="1">
      <alignment horizontal="center" vertical="center" wrapText="1"/>
    </xf>
    <xf numFmtId="164" fontId="5" fillId="4" borderId="0" xfId="0" applyNumberFormat="1" applyFont="1" applyFill="1"/>
    <xf numFmtId="0" fontId="14" fillId="6" borderId="0" xfId="0" applyFont="1" applyFill="1" applyAlignment="1">
      <alignment horizontal="center"/>
    </xf>
    <xf numFmtId="0" fontId="64" fillId="6" borderId="0" xfId="0" applyFont="1" applyFill="1" applyAlignment="1">
      <alignment horizontal="center"/>
    </xf>
    <xf numFmtId="0" fontId="43" fillId="2" borderId="13" xfId="14" applyFont="1" applyFill="1" applyBorder="1" applyAlignment="1">
      <alignment horizontal="center" vertical="center"/>
    </xf>
    <xf numFmtId="164" fontId="43" fillId="2" borderId="13" xfId="14" applyNumberFormat="1" applyFont="1" applyFill="1" applyBorder="1" applyAlignment="1">
      <alignment horizontal="center" vertical="center" wrapText="1"/>
    </xf>
    <xf numFmtId="164" fontId="44" fillId="2" borderId="13" xfId="14" applyNumberFormat="1" applyFont="1" applyFill="1" applyBorder="1" applyAlignment="1">
      <alignment horizontal="center" vertical="center" wrapText="1"/>
    </xf>
    <xf numFmtId="0" fontId="45" fillId="4" borderId="23" xfId="0" applyFont="1" applyFill="1" applyBorder="1"/>
    <xf numFmtId="164" fontId="5" fillId="6" borderId="0" xfId="0" applyNumberFormat="1" applyFont="1" applyFill="1"/>
    <xf numFmtId="0" fontId="43" fillId="2" borderId="20" xfId="14" applyFont="1" applyFill="1" applyBorder="1" applyAlignment="1">
      <alignment horizontal="center" vertical="center"/>
    </xf>
    <xf numFmtId="164" fontId="43" fillId="2" borderId="20" xfId="14" applyNumberFormat="1" applyFont="1" applyFill="1" applyBorder="1" applyAlignment="1">
      <alignment horizontal="center" vertical="center" wrapText="1"/>
    </xf>
    <xf numFmtId="164" fontId="44" fillId="2" borderId="20" xfId="14" applyNumberFormat="1" applyFont="1" applyFill="1" applyBorder="1" applyAlignment="1">
      <alignment horizontal="center" vertical="center" wrapText="1"/>
    </xf>
    <xf numFmtId="0" fontId="19" fillId="37" borderId="18" xfId="14" applyFont="1" applyFill="1" applyBorder="1" applyAlignment="1">
      <alignment horizontal="center"/>
    </xf>
    <xf numFmtId="0" fontId="19" fillId="37" borderId="25" xfId="14" applyFont="1" applyFill="1" applyBorder="1"/>
    <xf numFmtId="164" fontId="31" fillId="37" borderId="25" xfId="14" applyNumberFormat="1" applyFont="1" applyFill="1" applyBorder="1" applyAlignment="1">
      <alignment horizontal="right"/>
    </xf>
    <xf numFmtId="164" fontId="31" fillId="37" borderId="17" xfId="14" applyNumberFormat="1" applyFont="1" applyFill="1" applyBorder="1"/>
    <xf numFmtId="0" fontId="31" fillId="37" borderId="18" xfId="14" applyFont="1" applyFill="1" applyBorder="1" applyAlignment="1">
      <alignment horizontal="center"/>
    </xf>
    <xf numFmtId="0" fontId="31" fillId="37" borderId="25" xfId="14" applyFont="1" applyFill="1" applyBorder="1"/>
    <xf numFmtId="0" fontId="59" fillId="4" borderId="0" xfId="0" applyFont="1" applyFill="1"/>
    <xf numFmtId="164" fontId="17" fillId="4" borderId="0" xfId="0" applyNumberFormat="1" applyFont="1" applyFill="1"/>
    <xf numFmtId="0" fontId="43" fillId="27" borderId="12" xfId="14" applyFont="1" applyFill="1" applyBorder="1" applyAlignment="1">
      <alignment horizontal="center" vertical="center"/>
    </xf>
    <xf numFmtId="164" fontId="43" fillId="27" borderId="12" xfId="14" applyNumberFormat="1" applyFont="1" applyFill="1" applyBorder="1" applyAlignment="1">
      <alignment horizontal="center" vertical="center" wrapText="1"/>
    </xf>
    <xf numFmtId="164" fontId="44" fillId="27" borderId="12" xfId="14" applyNumberFormat="1" applyFont="1" applyFill="1" applyBorder="1" applyAlignment="1">
      <alignment horizontal="center" vertical="center" wrapText="1"/>
    </xf>
    <xf numFmtId="0" fontId="20" fillId="0" borderId="14" xfId="82" applyFont="1" applyBorder="1"/>
    <xf numFmtId="0" fontId="20" fillId="0" borderId="15" xfId="3" applyFont="1" applyBorder="1"/>
    <xf numFmtId="164" fontId="20" fillId="0" borderId="15" xfId="3" applyNumberFormat="1" applyFont="1" applyBorder="1"/>
    <xf numFmtId="0" fontId="20" fillId="0" borderId="17" xfId="82" applyFont="1" applyBorder="1"/>
    <xf numFmtId="0" fontId="20" fillId="0" borderId="12" xfId="3" applyFont="1" applyBorder="1"/>
    <xf numFmtId="164" fontId="20" fillId="0" borderId="12" xfId="3" applyNumberFormat="1" applyFont="1" applyBorder="1"/>
    <xf numFmtId="0" fontId="20" fillId="0" borderId="19" xfId="14" applyFont="1" applyBorder="1" applyAlignment="1">
      <alignment horizontal="center"/>
    </xf>
    <xf numFmtId="0" fontId="20" fillId="0" borderId="20" xfId="14" applyFont="1" applyBorder="1"/>
    <xf numFmtId="0" fontId="32" fillId="0" borderId="12" xfId="82" applyFont="1" applyBorder="1"/>
    <xf numFmtId="4" fontId="59" fillId="4" borderId="0" xfId="0" applyNumberFormat="1" applyFont="1" applyFill="1"/>
    <xf numFmtId="4" fontId="20" fillId="4" borderId="0" xfId="0" applyNumberFormat="1" applyFont="1" applyFill="1"/>
    <xf numFmtId="0" fontId="20" fillId="0" borderId="12" xfId="82" applyFont="1" applyBorder="1"/>
    <xf numFmtId="0" fontId="5" fillId="6" borderId="0" xfId="80" applyFont="1" applyFill="1"/>
    <xf numFmtId="0" fontId="43" fillId="4" borderId="0" xfId="14" applyFont="1" applyFill="1" applyAlignment="1">
      <alignment horizontal="center" vertical="center"/>
    </xf>
    <xf numFmtId="164" fontId="43" fillId="4" borderId="0" xfId="14" applyNumberFormat="1" applyFont="1" applyFill="1" applyAlignment="1">
      <alignment horizontal="center" vertical="center" wrapText="1"/>
    </xf>
    <xf numFmtId="164" fontId="44" fillId="4" borderId="0" xfId="14" applyNumberFormat="1" applyFont="1" applyFill="1" applyAlignment="1">
      <alignment horizontal="center" vertical="center" wrapText="1"/>
    </xf>
    <xf numFmtId="0" fontId="5" fillId="4" borderId="0" xfId="80" applyFont="1" applyFill="1"/>
    <xf numFmtId="2" fontId="5" fillId="4" borderId="0" xfId="80" applyNumberFormat="1" applyFont="1" applyFill="1"/>
    <xf numFmtId="164" fontId="32" fillId="4" borderId="0" xfId="14" applyNumberFormat="1" applyFont="1" applyFill="1" applyAlignment="1">
      <alignment horizontal="right"/>
    </xf>
    <xf numFmtId="164" fontId="31" fillId="4" borderId="0" xfId="14" applyNumberFormat="1" applyFont="1" applyFill="1"/>
    <xf numFmtId="164" fontId="20" fillId="0" borderId="20" xfId="0" applyNumberFormat="1" applyFont="1" applyBorder="1"/>
    <xf numFmtId="164" fontId="32" fillId="38" borderId="15" xfId="14" applyNumberFormat="1" applyFont="1" applyFill="1" applyBorder="1" applyAlignment="1">
      <alignment horizontal="right"/>
    </xf>
    <xf numFmtId="164" fontId="31" fillId="38" borderId="16" xfId="14" applyNumberFormat="1" applyFont="1" applyFill="1" applyBorder="1"/>
    <xf numFmtId="0" fontId="20" fillId="38" borderId="12" xfId="0" applyFont="1" applyFill="1" applyBorder="1"/>
    <xf numFmtId="164" fontId="32" fillId="38" borderId="12" xfId="14" applyNumberFormat="1" applyFont="1" applyFill="1" applyBorder="1" applyAlignment="1">
      <alignment horizontal="right"/>
    </xf>
    <xf numFmtId="164" fontId="31" fillId="38" borderId="18" xfId="14" applyNumberFormat="1" applyFont="1" applyFill="1" applyBorder="1"/>
    <xf numFmtId="0" fontId="20" fillId="38" borderId="14" xfId="86" applyFont="1" applyFill="1" applyBorder="1"/>
    <xf numFmtId="0" fontId="20" fillId="38" borderId="15" xfId="86" applyFont="1" applyFill="1" applyBorder="1"/>
    <xf numFmtId="0" fontId="20" fillId="38" borderId="17" xfId="86" applyFont="1" applyFill="1" applyBorder="1"/>
    <xf numFmtId="0" fontId="20" fillId="38" borderId="12" xfId="86" applyFont="1" applyFill="1" applyBorder="1"/>
    <xf numFmtId="0" fontId="20" fillId="38" borderId="19" xfId="86" applyFont="1" applyFill="1" applyBorder="1"/>
    <xf numFmtId="0" fontId="20" fillId="38" borderId="20" xfId="86" applyFont="1" applyFill="1" applyBorder="1"/>
    <xf numFmtId="164" fontId="32" fillId="38" borderId="20" xfId="14" applyNumberFormat="1" applyFont="1" applyFill="1" applyBorder="1" applyAlignment="1">
      <alignment horizontal="right"/>
    </xf>
    <xf numFmtId="164" fontId="31" fillId="38" borderId="21" xfId="14" applyNumberFormat="1" applyFont="1" applyFill="1" applyBorder="1"/>
    <xf numFmtId="0" fontId="20" fillId="38" borderId="12" xfId="5" applyFont="1" applyFill="1" applyBorder="1"/>
    <xf numFmtId="164" fontId="31" fillId="38" borderId="12" xfId="14" applyNumberFormat="1" applyFont="1" applyFill="1" applyBorder="1"/>
    <xf numFmtId="0" fontId="20" fillId="39" borderId="12" xfId="33" applyFont="1" applyFill="1" applyBorder="1"/>
    <xf numFmtId="164" fontId="32" fillId="39" borderId="12" xfId="14" applyNumberFormat="1" applyFont="1" applyFill="1" applyBorder="1" applyAlignment="1">
      <alignment horizontal="right"/>
    </xf>
    <xf numFmtId="164" fontId="31" fillId="39" borderId="12" xfId="14" applyNumberFormat="1" applyFont="1" applyFill="1" applyBorder="1"/>
    <xf numFmtId="0" fontId="20" fillId="40" borderId="12" xfId="5" applyFont="1" applyFill="1" applyBorder="1"/>
    <xf numFmtId="164" fontId="32" fillId="40" borderId="12" xfId="14" applyNumberFormat="1" applyFont="1" applyFill="1" applyBorder="1" applyAlignment="1">
      <alignment horizontal="right"/>
    </xf>
    <xf numFmtId="164" fontId="31" fillId="40" borderId="12" xfId="14" applyNumberFormat="1" applyFont="1" applyFill="1" applyBorder="1"/>
    <xf numFmtId="0" fontId="20" fillId="39" borderId="12" xfId="5" applyFont="1" applyFill="1" applyBorder="1"/>
    <xf numFmtId="0" fontId="20" fillId="38" borderId="12" xfId="40" applyFont="1" applyFill="1" applyBorder="1"/>
    <xf numFmtId="0" fontId="20" fillId="0" borderId="14" xfId="43" applyFont="1" applyBorder="1"/>
    <xf numFmtId="0" fontId="20" fillId="0" borderId="15" xfId="43" applyFont="1" applyBorder="1"/>
    <xf numFmtId="0" fontId="20" fillId="0" borderId="17" xfId="43" applyFont="1" applyBorder="1"/>
    <xf numFmtId="0" fontId="20" fillId="0" borderId="15" xfId="70" applyFont="1" applyBorder="1"/>
    <xf numFmtId="0" fontId="20" fillId="0" borderId="20" xfId="70" applyFont="1" applyBorder="1"/>
    <xf numFmtId="0" fontId="20" fillId="0" borderId="14" xfId="74" applyFont="1" applyBorder="1"/>
    <xf numFmtId="0" fontId="20" fillId="0" borderId="15" xfId="74" applyFont="1" applyBorder="1"/>
    <xf numFmtId="0" fontId="20" fillId="0" borderId="17" xfId="74" applyFont="1" applyBorder="1"/>
    <xf numFmtId="0" fontId="20" fillId="0" borderId="19" xfId="74" applyFont="1" applyBorder="1"/>
    <xf numFmtId="0" fontId="20" fillId="0" borderId="20" xfId="74" applyFont="1" applyBorder="1"/>
    <xf numFmtId="0" fontId="20" fillId="0" borderId="14" xfId="75" applyFont="1" applyBorder="1"/>
    <xf numFmtId="0" fontId="20" fillId="0" borderId="15" xfId="75" applyFont="1" applyBorder="1"/>
    <xf numFmtId="0" fontId="20" fillId="0" borderId="17" xfId="75" applyFont="1" applyBorder="1"/>
    <xf numFmtId="0" fontId="20" fillId="0" borderId="19" xfId="75" applyFont="1" applyBorder="1"/>
    <xf numFmtId="0" fontId="20" fillId="0" borderId="20" xfId="75" applyFont="1" applyBorder="1"/>
    <xf numFmtId="164" fontId="20" fillId="0" borderId="15" xfId="0" applyNumberFormat="1" applyFont="1" applyBorder="1"/>
    <xf numFmtId="0" fontId="20" fillId="0" borderId="15" xfId="76" applyFont="1" applyBorder="1"/>
    <xf numFmtId="0" fontId="20" fillId="0" borderId="15" xfId="79" applyFont="1" applyBorder="1"/>
    <xf numFmtId="0" fontId="20" fillId="0" borderId="20" xfId="79" applyFont="1" applyBorder="1"/>
    <xf numFmtId="0" fontId="20" fillId="0" borderId="15" xfId="83" applyFont="1" applyBorder="1"/>
    <xf numFmtId="0" fontId="20" fillId="0" borderId="20" xfId="83" applyFont="1" applyBorder="1"/>
    <xf numFmtId="1" fontId="20" fillId="0" borderId="14" xfId="84" applyNumberFormat="1" applyFont="1" applyBorder="1"/>
    <xf numFmtId="0" fontId="20" fillId="0" borderId="15" xfId="84" applyFont="1" applyBorder="1"/>
    <xf numFmtId="0" fontId="20" fillId="0" borderId="17" xfId="84" applyFont="1" applyBorder="1"/>
    <xf numFmtId="0" fontId="20" fillId="0" borderId="19" xfId="84" applyFont="1" applyBorder="1"/>
    <xf numFmtId="0" fontId="20" fillId="0" borderId="20" xfId="84" applyFont="1" applyBorder="1"/>
    <xf numFmtId="0" fontId="20" fillId="0" borderId="14" xfId="85" applyFont="1" applyBorder="1"/>
    <xf numFmtId="0" fontId="20" fillId="0" borderId="15" xfId="85" applyFont="1" applyBorder="1"/>
    <xf numFmtId="0" fontId="20" fillId="0" borderId="17" xfId="85" applyFont="1" applyBorder="1"/>
    <xf numFmtId="0" fontId="20" fillId="0" borderId="19" xfId="85" applyFont="1" applyBorder="1"/>
    <xf numFmtId="0" fontId="20" fillId="0" borderId="20" xfId="85" applyFont="1" applyBorder="1"/>
    <xf numFmtId="0" fontId="20" fillId="39" borderId="12" xfId="0" applyFont="1" applyFill="1" applyBorder="1"/>
    <xf numFmtId="0" fontId="20" fillId="41" borderId="12" xfId="0" applyFont="1" applyFill="1" applyBorder="1"/>
    <xf numFmtId="164" fontId="32" fillId="41" borderId="12" xfId="14" applyNumberFormat="1" applyFont="1" applyFill="1" applyBorder="1" applyAlignment="1">
      <alignment horizontal="right"/>
    </xf>
    <xf numFmtId="164" fontId="31" fillId="41" borderId="12" xfId="14" applyNumberFormat="1" applyFont="1" applyFill="1" applyBorder="1"/>
    <xf numFmtId="0" fontId="32" fillId="41" borderId="12" xfId="0" applyFont="1" applyFill="1" applyBorder="1"/>
    <xf numFmtId="0" fontId="20" fillId="0" borderId="15" xfId="82" applyFont="1" applyBorder="1"/>
    <xf numFmtId="0" fontId="20" fillId="0" borderId="19" xfId="82" applyFont="1" applyBorder="1"/>
    <xf numFmtId="0" fontId="20" fillId="0" borderId="20" xfId="82" applyFont="1" applyBorder="1"/>
    <xf numFmtId="0" fontId="32" fillId="0" borderId="14" xfId="82" applyFont="1" applyBorder="1"/>
    <xf numFmtId="0" fontId="32" fillId="0" borderId="15" xfId="82" applyFont="1" applyBorder="1"/>
    <xf numFmtId="0" fontId="32" fillId="0" borderId="19" xfId="82" applyFont="1" applyBorder="1"/>
    <xf numFmtId="0" fontId="32" fillId="0" borderId="20" xfId="82" applyFont="1" applyBorder="1"/>
    <xf numFmtId="164" fontId="20" fillId="0" borderId="20" xfId="3" applyNumberFormat="1" applyFont="1" applyBorder="1"/>
    <xf numFmtId="0" fontId="34" fillId="0" borderId="0" xfId="0" applyFont="1"/>
    <xf numFmtId="0" fontId="20" fillId="4" borderId="23" xfId="0" applyFont="1" applyFill="1" applyBorder="1"/>
    <xf numFmtId="0" fontId="32" fillId="4" borderId="0" xfId="0" applyFont="1" applyFill="1"/>
    <xf numFmtId="0" fontId="35" fillId="6" borderId="0" xfId="0" applyFont="1" applyFill="1" applyAlignment="1">
      <alignment horizontal="center"/>
    </xf>
    <xf numFmtId="0" fontId="38" fillId="6" borderId="0" xfId="1" applyFont="1" applyFill="1" applyBorder="1" applyAlignment="1" applyProtection="1">
      <alignment horizontal="center" vertical="center"/>
    </xf>
    <xf numFmtId="0" fontId="15" fillId="6" borderId="0" xfId="1" applyFont="1" applyFill="1" applyBorder="1" applyAlignment="1" applyProtection="1">
      <alignment horizontal="center"/>
    </xf>
    <xf numFmtId="0" fontId="43" fillId="43" borderId="13" xfId="14" applyFont="1" applyFill="1" applyBorder="1" applyAlignment="1">
      <alignment horizontal="center" vertical="center"/>
    </xf>
    <xf numFmtId="164" fontId="43" fillId="43" borderId="13" xfId="14" applyNumberFormat="1" applyFont="1" applyFill="1" applyBorder="1" applyAlignment="1">
      <alignment horizontal="center" vertical="center" wrapText="1"/>
    </xf>
    <xf numFmtId="164" fontId="44" fillId="43" borderId="13" xfId="14" applyNumberFormat="1" applyFont="1" applyFill="1" applyBorder="1" applyAlignment="1">
      <alignment horizontal="center" vertical="center" wrapText="1"/>
    </xf>
    <xf numFmtId="0" fontId="43" fillId="49" borderId="13" xfId="14" applyFont="1" applyFill="1" applyBorder="1" applyAlignment="1">
      <alignment horizontal="center" vertical="center"/>
    </xf>
    <xf numFmtId="164" fontId="43" fillId="49" borderId="13" xfId="14" applyNumberFormat="1" applyFont="1" applyFill="1" applyBorder="1" applyAlignment="1">
      <alignment horizontal="center" vertical="center" wrapText="1"/>
    </xf>
    <xf numFmtId="164" fontId="44" fillId="49" borderId="13" xfId="14" applyNumberFormat="1" applyFont="1" applyFill="1" applyBorder="1" applyAlignment="1">
      <alignment horizontal="center" vertical="center" wrapText="1"/>
    </xf>
    <xf numFmtId="0" fontId="38" fillId="39" borderId="0" xfId="1" applyFont="1" applyFill="1" applyBorder="1" applyAlignment="1" applyProtection="1">
      <alignment horizontal="center" vertical="center"/>
    </xf>
    <xf numFmtId="0" fontId="5" fillId="39" borderId="0" xfId="0" applyFont="1" applyFill="1"/>
    <xf numFmtId="0" fontId="43" fillId="51" borderId="0" xfId="14" applyFont="1" applyFill="1" applyAlignment="1">
      <alignment horizontal="center" vertical="center"/>
    </xf>
    <xf numFmtId="164" fontId="43" fillId="51" borderId="0" xfId="14" applyNumberFormat="1" applyFont="1" applyFill="1" applyAlignment="1">
      <alignment horizontal="center" vertical="center" wrapText="1"/>
    </xf>
    <xf numFmtId="164" fontId="44" fillId="51" borderId="0" xfId="14" applyNumberFormat="1" applyFont="1" applyFill="1" applyAlignment="1">
      <alignment horizontal="center" vertical="center" wrapText="1"/>
    </xf>
    <xf numFmtId="0" fontId="20" fillId="38" borderId="0" xfId="0" applyFont="1" applyFill="1"/>
    <xf numFmtId="164" fontId="20" fillId="38" borderId="0" xfId="0" applyNumberFormat="1" applyFont="1" applyFill="1"/>
    <xf numFmtId="164" fontId="32" fillId="38" borderId="0" xfId="14" applyNumberFormat="1" applyFont="1" applyFill="1" applyAlignment="1">
      <alignment horizontal="right"/>
    </xf>
    <xf numFmtId="164" fontId="31" fillId="38" borderId="0" xfId="14" applyNumberFormat="1" applyFont="1" applyFill="1"/>
    <xf numFmtId="0" fontId="61" fillId="39" borderId="0" xfId="14" applyFont="1" applyFill="1" applyAlignment="1">
      <alignment horizontal="center"/>
    </xf>
    <xf numFmtId="0" fontId="32" fillId="39" borderId="0" xfId="14" applyFont="1" applyFill="1"/>
    <xf numFmtId="164" fontId="61" fillId="39" borderId="0" xfId="14" applyNumberFormat="1" applyFont="1" applyFill="1"/>
    <xf numFmtId="164" fontId="32" fillId="39" borderId="0" xfId="14" applyNumberFormat="1" applyFont="1" applyFill="1" applyAlignment="1">
      <alignment horizontal="right"/>
    </xf>
    <xf numFmtId="164" fontId="31" fillId="39" borderId="0" xfId="14" applyNumberFormat="1" applyFont="1" applyFill="1"/>
    <xf numFmtId="164" fontId="31" fillId="0" borderId="15" xfId="14" applyNumberFormat="1" applyFont="1" applyBorder="1"/>
    <xf numFmtId="164" fontId="31" fillId="0" borderId="12" xfId="14" applyNumberFormat="1" applyFont="1" applyBorder="1"/>
    <xf numFmtId="164" fontId="32" fillId="38" borderId="12" xfId="0" applyNumberFormat="1" applyFont="1" applyFill="1" applyBorder="1"/>
    <xf numFmtId="164" fontId="32" fillId="38" borderId="15" xfId="5" applyNumberFormat="1" applyFont="1" applyFill="1" applyBorder="1"/>
    <xf numFmtId="164" fontId="32" fillId="38" borderId="12" xfId="5" applyNumberFormat="1" applyFont="1" applyFill="1" applyBorder="1"/>
    <xf numFmtId="164" fontId="32" fillId="38" borderId="20" xfId="5" applyNumberFormat="1" applyFont="1" applyFill="1" applyBorder="1"/>
    <xf numFmtId="164" fontId="32" fillId="39" borderId="12" xfId="5" applyNumberFormat="1" applyFont="1" applyFill="1" applyBorder="1"/>
    <xf numFmtId="164" fontId="32" fillId="40" borderId="12" xfId="5" applyNumberFormat="1" applyFont="1" applyFill="1" applyBorder="1"/>
    <xf numFmtId="164" fontId="32" fillId="0" borderId="15" xfId="15" applyNumberFormat="1" applyFont="1" applyBorder="1"/>
    <xf numFmtId="164" fontId="32" fillId="0" borderId="12" xfId="15" applyNumberFormat="1" applyFont="1" applyBorder="1"/>
    <xf numFmtId="164" fontId="32" fillId="0" borderId="20" xfId="15" applyNumberFormat="1" applyFont="1" applyBorder="1"/>
    <xf numFmtId="164" fontId="32" fillId="0" borderId="13" xfId="89" applyNumberFormat="1" applyFont="1" applyBorder="1"/>
    <xf numFmtId="164" fontId="32" fillId="0" borderId="15" xfId="93" applyNumberFormat="1" applyFont="1" applyFill="1" applyBorder="1" applyProtection="1"/>
    <xf numFmtId="164" fontId="32" fillId="0" borderId="12" xfId="93" applyNumberFormat="1" applyFont="1" applyFill="1" applyBorder="1" applyProtection="1"/>
    <xf numFmtId="164" fontId="32" fillId="0" borderId="20" xfId="93" applyNumberFormat="1" applyFont="1" applyFill="1" applyBorder="1" applyProtection="1"/>
    <xf numFmtId="164" fontId="32" fillId="0" borderId="15" xfId="43" applyNumberFormat="1" applyFont="1" applyBorder="1"/>
    <xf numFmtId="164" fontId="32" fillId="0" borderId="12" xfId="43" applyNumberFormat="1" applyFont="1" applyBorder="1"/>
    <xf numFmtId="164" fontId="32" fillId="0" borderId="20" xfId="43" applyNumberFormat="1" applyFont="1" applyBorder="1"/>
    <xf numFmtId="164" fontId="32" fillId="0" borderId="15" xfId="75" applyNumberFormat="1" applyFont="1" applyBorder="1"/>
    <xf numFmtId="164" fontId="32" fillId="0" borderId="12" xfId="75" applyNumberFormat="1" applyFont="1" applyBorder="1"/>
    <xf numFmtId="164" fontId="32" fillId="0" borderId="20" xfId="75" applyNumberFormat="1" applyFont="1" applyBorder="1"/>
    <xf numFmtId="164" fontId="32" fillId="0" borderId="15" xfId="74" applyNumberFormat="1" applyFont="1" applyBorder="1"/>
    <xf numFmtId="164" fontId="32" fillId="0" borderId="12" xfId="74" applyNumberFormat="1" applyFont="1" applyBorder="1"/>
    <xf numFmtId="164" fontId="32" fillId="0" borderId="20" xfId="74" applyNumberFormat="1" applyFont="1" applyBorder="1"/>
    <xf numFmtId="164" fontId="32" fillId="0" borderId="15" xfId="73" applyNumberFormat="1" applyFont="1" applyBorder="1"/>
    <xf numFmtId="164" fontId="32" fillId="0" borderId="12" xfId="73" applyNumberFormat="1" applyFont="1" applyBorder="1"/>
    <xf numFmtId="164" fontId="32" fillId="0" borderId="20" xfId="73" applyNumberFormat="1" applyFont="1" applyBorder="1"/>
    <xf numFmtId="164" fontId="32" fillId="0" borderId="15" xfId="72" applyNumberFormat="1" applyFont="1" applyBorder="1"/>
    <xf numFmtId="164" fontId="32" fillId="0" borderId="12" xfId="72" applyNumberFormat="1" applyFont="1" applyBorder="1"/>
    <xf numFmtId="164" fontId="32" fillId="0" borderId="20" xfId="72" applyNumberFormat="1" applyFont="1" applyBorder="1"/>
    <xf numFmtId="164" fontId="32" fillId="0" borderId="15" xfId="71" applyNumberFormat="1" applyFont="1" applyBorder="1"/>
    <xf numFmtId="164" fontId="32" fillId="0" borderId="12" xfId="71" applyNumberFormat="1" applyFont="1" applyBorder="1"/>
    <xf numFmtId="164" fontId="32" fillId="0" borderId="20" xfId="71" applyNumberFormat="1" applyFont="1" applyBorder="1"/>
    <xf numFmtId="164" fontId="32" fillId="0" borderId="15" xfId="70" applyNumberFormat="1" applyFont="1" applyBorder="1"/>
    <xf numFmtId="164" fontId="32" fillId="0" borderId="12" xfId="70" applyNumberFormat="1" applyFont="1" applyBorder="1"/>
    <xf numFmtId="164" fontId="32" fillId="0" borderId="20" xfId="70" applyNumberFormat="1" applyFont="1" applyBorder="1"/>
    <xf numFmtId="164" fontId="32" fillId="0" borderId="15" xfId="0" applyNumberFormat="1" applyFont="1" applyBorder="1"/>
    <xf numFmtId="164" fontId="32" fillId="0" borderId="12" xfId="0" applyNumberFormat="1" applyFont="1" applyBorder="1"/>
    <xf numFmtId="164" fontId="32" fillId="0" borderId="20" xfId="0" applyNumberFormat="1" applyFont="1" applyBorder="1"/>
    <xf numFmtId="164" fontId="32" fillId="0" borderId="15" xfId="77" applyNumberFormat="1" applyFont="1" applyBorder="1"/>
    <xf numFmtId="164" fontId="32" fillId="0" borderId="12" xfId="77" applyNumberFormat="1" applyFont="1" applyBorder="1"/>
    <xf numFmtId="164" fontId="32" fillId="0" borderId="20" xfId="77" applyNumberFormat="1" applyFont="1" applyBorder="1"/>
    <xf numFmtId="164" fontId="32" fillId="0" borderId="15" xfId="78" applyNumberFormat="1" applyFont="1" applyBorder="1"/>
    <xf numFmtId="164" fontId="32" fillId="0" borderId="12" xfId="78" applyNumberFormat="1" applyFont="1" applyBorder="1"/>
    <xf numFmtId="164" fontId="32" fillId="0" borderId="20" xfId="78" applyNumberFormat="1" applyFont="1" applyBorder="1"/>
    <xf numFmtId="164" fontId="32" fillId="0" borderId="15" xfId="79" applyNumberFormat="1" applyFont="1" applyBorder="1"/>
    <xf numFmtId="164" fontId="32" fillId="0" borderId="12" xfId="79" applyNumberFormat="1" applyFont="1" applyBorder="1"/>
    <xf numFmtId="164" fontId="32" fillId="0" borderId="20" xfId="79" applyNumberFormat="1" applyFont="1" applyBorder="1"/>
    <xf numFmtId="164" fontId="32" fillId="0" borderId="15" xfId="83" applyNumberFormat="1" applyFont="1" applyBorder="1"/>
    <xf numFmtId="164" fontId="32" fillId="0" borderId="12" xfId="83" applyNumberFormat="1" applyFont="1" applyBorder="1"/>
    <xf numFmtId="164" fontId="32" fillId="0" borderId="20" xfId="83" applyNumberFormat="1" applyFont="1" applyBorder="1"/>
    <xf numFmtId="164" fontId="32" fillId="0" borderId="15" xfId="84" applyNumberFormat="1" applyFont="1" applyBorder="1"/>
    <xf numFmtId="164" fontId="32" fillId="0" borderId="12" xfId="84" applyNumberFormat="1" applyFont="1" applyBorder="1"/>
    <xf numFmtId="164" fontId="32" fillId="0" borderId="20" xfId="84" applyNumberFormat="1" applyFont="1" applyBorder="1"/>
    <xf numFmtId="164" fontId="32" fillId="0" borderId="15" xfId="85" applyNumberFormat="1" applyFont="1" applyBorder="1"/>
    <xf numFmtId="164" fontId="32" fillId="0" borderId="12" xfId="85" applyNumberFormat="1" applyFont="1" applyBorder="1"/>
    <xf numFmtId="164" fontId="32" fillId="0" borderId="20" xfId="85" applyNumberFormat="1" applyFont="1" applyBorder="1"/>
    <xf numFmtId="164" fontId="32" fillId="0" borderId="15" xfId="3" applyNumberFormat="1" applyFont="1" applyBorder="1"/>
    <xf numFmtId="164" fontId="32" fillId="0" borderId="20" xfId="3" applyNumberFormat="1" applyFont="1" applyBorder="1"/>
    <xf numFmtId="164" fontId="32" fillId="0" borderId="12" xfId="3" applyNumberFormat="1" applyFont="1" applyBorder="1"/>
    <xf numFmtId="164" fontId="32" fillId="0" borderId="20" xfId="14" applyNumberFormat="1" applyFont="1" applyBorder="1"/>
    <xf numFmtId="164" fontId="32" fillId="41" borderId="12" xfId="0" applyNumberFormat="1" applyFont="1" applyFill="1" applyBorder="1"/>
    <xf numFmtId="164" fontId="32" fillId="39" borderId="12" xfId="0" applyNumberFormat="1" applyFont="1" applyFill="1" applyBorder="1"/>
    <xf numFmtId="0" fontId="67" fillId="6" borderId="0" xfId="0" applyFont="1" applyFill="1" applyAlignment="1">
      <alignment horizontal="center"/>
    </xf>
    <xf numFmtId="0" fontId="71" fillId="6" borderId="0" xfId="0" applyFont="1" applyFill="1" applyAlignment="1">
      <alignment horizontal="center"/>
    </xf>
    <xf numFmtId="0" fontId="32" fillId="39" borderId="12" xfId="0" applyFont="1" applyFill="1" applyBorder="1"/>
    <xf numFmtId="165" fontId="20" fillId="0" borderId="27" xfId="96" applyNumberFormat="1" applyFont="1" applyBorder="1"/>
    <xf numFmtId="0" fontId="20" fillId="52" borderId="0" xfId="0" applyFont="1" applyFill="1"/>
    <xf numFmtId="0" fontId="5" fillId="52" borderId="0" xfId="0" applyFont="1" applyFill="1"/>
    <xf numFmtId="0" fontId="20" fillId="52" borderId="17" xfId="0" applyFont="1" applyFill="1" applyBorder="1"/>
    <xf numFmtId="0" fontId="20" fillId="52" borderId="12" xfId="0" applyFont="1" applyFill="1" applyBorder="1"/>
    <xf numFmtId="0" fontId="20" fillId="52" borderId="19" xfId="0" applyFont="1" applyFill="1" applyBorder="1"/>
    <xf numFmtId="0" fontId="20" fillId="52" borderId="20" xfId="0" applyFont="1" applyFill="1" applyBorder="1"/>
    <xf numFmtId="165" fontId="32" fillId="0" borderId="15" xfId="0" applyNumberFormat="1" applyFont="1" applyBorder="1"/>
    <xf numFmtId="165" fontId="32" fillId="0" borderId="15" xfId="14" applyNumberFormat="1" applyFont="1" applyBorder="1" applyAlignment="1">
      <alignment horizontal="right"/>
    </xf>
    <xf numFmtId="165" fontId="31" fillId="0" borderId="16" xfId="14" applyNumberFormat="1" applyFont="1" applyBorder="1"/>
    <xf numFmtId="165" fontId="32" fillId="0" borderId="12" xfId="0" applyNumberFormat="1" applyFont="1" applyBorder="1"/>
    <xf numFmtId="165" fontId="32" fillId="0" borderId="12" xfId="14" applyNumberFormat="1" applyFont="1" applyBorder="1" applyAlignment="1">
      <alignment horizontal="right"/>
    </xf>
    <xf numFmtId="165" fontId="31" fillId="0" borderId="18" xfId="14" applyNumberFormat="1" applyFont="1" applyBorder="1"/>
    <xf numFmtId="165" fontId="32" fillId="52" borderId="12" xfId="0" applyNumberFormat="1" applyFont="1" applyFill="1" applyBorder="1"/>
    <xf numFmtId="165" fontId="20" fillId="52" borderId="12" xfId="0" applyNumberFormat="1" applyFont="1" applyFill="1" applyBorder="1"/>
    <xf numFmtId="165" fontId="19" fillId="52" borderId="18" xfId="0" applyNumberFormat="1" applyFont="1" applyFill="1" applyBorder="1"/>
    <xf numFmtId="165" fontId="32" fillId="52" borderId="20" xfId="0" applyNumberFormat="1" applyFont="1" applyFill="1" applyBorder="1"/>
    <xf numFmtId="165" fontId="20" fillId="52" borderId="20" xfId="0" applyNumberFormat="1" applyFont="1" applyFill="1" applyBorder="1"/>
    <xf numFmtId="165" fontId="19" fillId="52" borderId="21" xfId="0" applyNumberFormat="1" applyFont="1" applyFill="1" applyBorder="1"/>
    <xf numFmtId="165" fontId="32" fillId="0" borderId="20" xfId="0" applyNumberFormat="1" applyFont="1" applyBorder="1"/>
    <xf numFmtId="165" fontId="32" fillId="0" borderId="20" xfId="14" applyNumberFormat="1" applyFont="1" applyBorder="1" applyAlignment="1">
      <alignment horizontal="right"/>
    </xf>
    <xf numFmtId="165" fontId="31" fillId="0" borderId="21" xfId="14" applyNumberFormat="1" applyFont="1" applyBorder="1"/>
    <xf numFmtId="0" fontId="20" fillId="52" borderId="14" xfId="0" applyFont="1" applyFill="1" applyBorder="1"/>
    <xf numFmtId="0" fontId="20" fillId="52" borderId="15" xfId="0" applyFont="1" applyFill="1" applyBorder="1"/>
    <xf numFmtId="165" fontId="32" fillId="52" borderId="15" xfId="0" applyNumberFormat="1" applyFont="1" applyFill="1" applyBorder="1"/>
    <xf numFmtId="165" fontId="20" fillId="52" borderId="15" xfId="0" applyNumberFormat="1" applyFont="1" applyFill="1" applyBorder="1"/>
    <xf numFmtId="165" fontId="19" fillId="52" borderId="16" xfId="0" applyNumberFormat="1" applyFont="1" applyFill="1" applyBorder="1"/>
    <xf numFmtId="0" fontId="43" fillId="53" borderId="18" xfId="14" applyFont="1" applyFill="1" applyBorder="1" applyAlignment="1">
      <alignment horizontal="center" vertical="center"/>
    </xf>
    <xf numFmtId="164" fontId="43" fillId="53" borderId="25" xfId="14" applyNumberFormat="1" applyFont="1" applyFill="1" applyBorder="1" applyAlignment="1">
      <alignment horizontal="center" vertical="center" wrapText="1"/>
    </xf>
    <xf numFmtId="164" fontId="44" fillId="53" borderId="17" xfId="14" applyNumberFormat="1" applyFont="1" applyFill="1" applyBorder="1" applyAlignment="1">
      <alignment horizontal="center" vertical="center" wrapText="1"/>
    </xf>
    <xf numFmtId="0" fontId="76" fillId="53" borderId="25" xfId="14" applyFont="1" applyFill="1" applyBorder="1" applyAlignment="1">
      <alignment horizontal="left" vertical="center"/>
    </xf>
    <xf numFmtId="0" fontId="5" fillId="38" borderId="0" xfId="0" applyFont="1" applyFill="1"/>
    <xf numFmtId="0" fontId="24" fillId="14" borderId="0" xfId="14" applyFont="1" applyFill="1" applyAlignment="1">
      <alignment horizontal="center"/>
    </xf>
    <xf numFmtId="0" fontId="27" fillId="14" borderId="0" xfId="14" applyFont="1" applyFill="1" applyAlignment="1">
      <alignment horizontal="center"/>
    </xf>
    <xf numFmtId="0" fontId="15" fillId="6" borderId="6" xfId="1" applyFont="1" applyFill="1" applyBorder="1" applyAlignment="1" applyProtection="1">
      <alignment horizontal="center"/>
    </xf>
    <xf numFmtId="0" fontId="20" fillId="6" borderId="0" xfId="0" applyFont="1" applyFill="1" applyAlignment="1">
      <alignment horizontal="center" vertical="center"/>
    </xf>
    <xf numFmtId="0" fontId="14" fillId="6" borderId="0" xfId="0" applyFont="1" applyFill="1" applyAlignment="1">
      <alignment horizontal="center"/>
    </xf>
    <xf numFmtId="0" fontId="27" fillId="15" borderId="0" xfId="14" applyFont="1" applyFill="1" applyAlignment="1">
      <alignment horizontal="center"/>
    </xf>
    <xf numFmtId="0" fontId="15" fillId="6" borderId="8" xfId="1" applyFont="1" applyFill="1" applyBorder="1" applyAlignment="1" applyProtection="1">
      <alignment horizontal="center"/>
    </xf>
    <xf numFmtId="0" fontId="15" fillId="6" borderId="7" xfId="1" applyFont="1" applyFill="1" applyBorder="1" applyAlignment="1" applyProtection="1">
      <alignment horizontal="center"/>
    </xf>
    <xf numFmtId="0" fontId="12" fillId="6" borderId="0" xfId="0" applyFont="1" applyFill="1" applyAlignment="1">
      <alignment horizontal="center"/>
    </xf>
    <xf numFmtId="0" fontId="31" fillId="6" borderId="0" xfId="0" applyFont="1" applyFill="1" applyAlignment="1">
      <alignment horizontal="center" wrapText="1"/>
    </xf>
    <xf numFmtId="0" fontId="19" fillId="0" borderId="0" xfId="0" applyFont="1" applyAlignment="1">
      <alignment horizontal="center"/>
    </xf>
    <xf numFmtId="0" fontId="19" fillId="42" borderId="0" xfId="14" applyFont="1" applyFill="1" applyAlignment="1">
      <alignment horizontal="center" vertical="top"/>
    </xf>
    <xf numFmtId="0" fontId="26" fillId="42" borderId="0" xfId="14" applyFont="1" applyFill="1" applyAlignment="1">
      <alignment horizontal="center"/>
    </xf>
    <xf numFmtId="0" fontId="24" fillId="42" borderId="0" xfId="14" applyFont="1" applyFill="1" applyAlignment="1">
      <alignment horizontal="center" vertical="center"/>
    </xf>
    <xf numFmtId="0" fontId="1" fillId="38" borderId="8" xfId="1" applyFill="1" applyBorder="1" applyAlignment="1" applyProtection="1">
      <alignment horizontal="center"/>
    </xf>
    <xf numFmtId="0" fontId="1" fillId="0" borderId="7" xfId="1" applyBorder="1" applyAlignment="1" applyProtection="1">
      <alignment horizontal="center"/>
    </xf>
    <xf numFmtId="0" fontId="1" fillId="0" borderId="30" xfId="1" applyBorder="1" applyAlignment="1" applyProtection="1">
      <alignment horizontal="center"/>
    </xf>
    <xf numFmtId="0" fontId="1" fillId="0" borderId="0" xfId="1" applyBorder="1" applyAlignment="1" applyProtection="1">
      <alignment horizontal="center"/>
    </xf>
    <xf numFmtId="0" fontId="1" fillId="0" borderId="31" xfId="1" applyBorder="1" applyAlignment="1" applyProtection="1">
      <alignment horizontal="center"/>
    </xf>
    <xf numFmtId="0" fontId="1" fillId="0" borderId="28" xfId="1" applyBorder="1" applyAlignment="1" applyProtection="1">
      <alignment horizontal="center"/>
    </xf>
    <xf numFmtId="0" fontId="1" fillId="0" borderId="11" xfId="1" applyBorder="1" applyAlignment="1" applyProtection="1">
      <alignment horizontal="center"/>
    </xf>
    <xf numFmtId="0" fontId="1" fillId="0" borderId="29" xfId="1" applyBorder="1" applyAlignment="1" applyProtection="1">
      <alignment horizontal="center"/>
    </xf>
    <xf numFmtId="0" fontId="27" fillId="42" borderId="0" xfId="14" applyFont="1" applyFill="1" applyAlignment="1">
      <alignment horizontal="center" vertical="center"/>
    </xf>
    <xf numFmtId="0" fontId="1" fillId="0" borderId="10" xfId="1" applyBorder="1" applyAlignment="1" applyProtection="1">
      <alignment horizontal="center"/>
    </xf>
    <xf numFmtId="0" fontId="19" fillId="12" borderId="0" xfId="14" applyFont="1" applyFill="1" applyAlignment="1">
      <alignment horizontal="center" vertical="top"/>
    </xf>
    <xf numFmtId="0" fontId="26" fillId="12" borderId="0" xfId="14" applyFont="1" applyFill="1" applyAlignment="1">
      <alignment horizontal="center"/>
    </xf>
    <xf numFmtId="0" fontId="27" fillId="12" borderId="0" xfId="14" applyFont="1" applyFill="1" applyAlignment="1">
      <alignment horizontal="center" vertical="center"/>
    </xf>
    <xf numFmtId="0" fontId="18" fillId="12" borderId="11" xfId="14" applyFont="1" applyFill="1" applyBorder="1" applyAlignment="1">
      <alignment horizontal="center" vertical="center"/>
    </xf>
    <xf numFmtId="0" fontId="1" fillId="38" borderId="6" xfId="1" applyFill="1" applyBorder="1" applyAlignment="1" applyProtection="1">
      <alignment horizontal="center"/>
    </xf>
    <xf numFmtId="0" fontId="24" fillId="12" borderId="0" xfId="14" applyFont="1" applyFill="1" applyAlignment="1">
      <alignment horizontal="center" vertical="center"/>
    </xf>
    <xf numFmtId="0" fontId="19" fillId="10" borderId="0" xfId="14" applyFont="1" applyFill="1" applyAlignment="1">
      <alignment horizontal="center" vertical="top"/>
    </xf>
    <xf numFmtId="0" fontId="22" fillId="10" borderId="0" xfId="14" applyFont="1" applyFill="1" applyAlignment="1">
      <alignment horizontal="center"/>
    </xf>
    <xf numFmtId="0" fontId="15" fillId="0" borderId="6" xfId="1" applyFont="1" applyBorder="1" applyAlignment="1" applyProtection="1">
      <alignment horizontal="center"/>
    </xf>
    <xf numFmtId="0" fontId="15" fillId="0" borderId="7" xfId="1" applyFont="1" applyBorder="1" applyAlignment="1" applyProtection="1">
      <alignment horizontal="center"/>
    </xf>
    <xf numFmtId="0" fontId="18" fillId="6" borderId="0" xfId="0" applyFont="1" applyFill="1" applyAlignment="1">
      <alignment horizontal="center"/>
    </xf>
    <xf numFmtId="0" fontId="16" fillId="6" borderId="9" xfId="0" applyFont="1" applyFill="1" applyBorder="1" applyAlignment="1">
      <alignment horizontal="center"/>
    </xf>
    <xf numFmtId="0" fontId="24" fillId="10" borderId="0" xfId="14" applyFont="1" applyFill="1" applyAlignment="1">
      <alignment horizontal="center" vertical="center"/>
    </xf>
    <xf numFmtId="0" fontId="19" fillId="13" borderId="0" xfId="14" applyFont="1" applyFill="1" applyAlignment="1">
      <alignment horizontal="center" vertical="top"/>
    </xf>
    <xf numFmtId="0" fontId="22" fillId="13" borderId="0" xfId="14" applyFont="1" applyFill="1" applyAlignment="1">
      <alignment horizontal="center"/>
    </xf>
    <xf numFmtId="0" fontId="24" fillId="13" borderId="0" xfId="14" applyFont="1" applyFill="1" applyAlignment="1">
      <alignment horizontal="center" vertical="center"/>
    </xf>
    <xf numFmtId="0" fontId="23" fillId="6" borderId="9" xfId="0" applyFont="1" applyFill="1" applyBorder="1" applyAlignment="1">
      <alignment horizontal="center"/>
    </xf>
    <xf numFmtId="0" fontId="24" fillId="8" borderId="0" xfId="14" applyFont="1" applyFill="1" applyAlignment="1">
      <alignment horizontal="center" vertical="center"/>
    </xf>
    <xf numFmtId="0" fontId="8" fillId="11" borderId="7" xfId="14" applyFont="1" applyFill="1" applyBorder="1" applyAlignment="1">
      <alignment horizontal="center" vertical="top"/>
    </xf>
    <xf numFmtId="0" fontId="8" fillId="12" borderId="7" xfId="14" applyFont="1" applyFill="1" applyBorder="1" applyAlignment="1">
      <alignment horizontal="center" vertical="top"/>
    </xf>
    <xf numFmtId="0" fontId="7" fillId="5" borderId="0" xfId="1" applyFont="1" applyFill="1" applyBorder="1" applyAlignment="1" applyProtection="1">
      <alignment horizontal="center"/>
    </xf>
    <xf numFmtId="0" fontId="5" fillId="6" borderId="0" xfId="0" applyFont="1" applyFill="1" applyAlignment="1">
      <alignment horizontal="center" wrapText="1"/>
    </xf>
    <xf numFmtId="0" fontId="8" fillId="7" borderId="2" xfId="0" applyFont="1" applyFill="1" applyBorder="1" applyAlignment="1">
      <alignment horizontal="right" vertical="center"/>
    </xf>
    <xf numFmtId="0" fontId="10" fillId="6" borderId="5" xfId="1" applyFont="1" applyFill="1" applyBorder="1" applyAlignment="1" applyProtection="1">
      <alignment horizontal="center" vertical="center"/>
    </xf>
    <xf numFmtId="0" fontId="15" fillId="0" borderId="10" xfId="1" applyFont="1" applyBorder="1" applyAlignment="1" applyProtection="1">
      <alignment horizontal="center"/>
    </xf>
    <xf numFmtId="0" fontId="9" fillId="6" borderId="0" xfId="14" applyFont="1" applyFill="1" applyAlignment="1">
      <alignment horizontal="center" vertical="center"/>
    </xf>
    <xf numFmtId="0" fontId="1" fillId="0" borderId="6" xfId="1" applyBorder="1" applyAlignment="1" applyProtection="1">
      <alignment horizontal="center"/>
    </xf>
    <xf numFmtId="0" fontId="8" fillId="8" borderId="7" xfId="14" applyFont="1" applyFill="1" applyBorder="1" applyAlignment="1">
      <alignment horizontal="center" vertical="top"/>
    </xf>
    <xf numFmtId="0" fontId="8" fillId="9" borderId="7" xfId="14" applyFont="1" applyFill="1" applyBorder="1" applyAlignment="1">
      <alignment horizontal="center" vertical="top"/>
    </xf>
    <xf numFmtId="0" fontId="8" fillId="10" borderId="7" xfId="14" applyFont="1" applyFill="1" applyBorder="1" applyAlignment="1">
      <alignment horizontal="center" vertical="top"/>
    </xf>
    <xf numFmtId="0" fontId="19" fillId="8" borderId="0" xfId="14" applyFont="1" applyFill="1" applyAlignment="1">
      <alignment horizontal="center" vertical="top"/>
    </xf>
    <xf numFmtId="0" fontId="22" fillId="8" borderId="0" xfId="14" applyFont="1" applyFill="1" applyAlignment="1">
      <alignment horizontal="center"/>
    </xf>
    <xf numFmtId="0" fontId="42" fillId="22" borderId="12" xfId="14" applyFont="1" applyFill="1" applyBorder="1" applyAlignment="1">
      <alignment horizontal="center" vertical="center" wrapText="1"/>
    </xf>
    <xf numFmtId="0" fontId="42" fillId="24" borderId="12" xfId="14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" vertical="center"/>
    </xf>
    <xf numFmtId="0" fontId="40" fillId="6" borderId="0" xfId="14" applyFont="1" applyFill="1" applyAlignment="1">
      <alignment horizontal="center" vertical="center"/>
    </xf>
    <xf numFmtId="0" fontId="42" fillId="16" borderId="12" xfId="14" applyFont="1" applyFill="1" applyBorder="1" applyAlignment="1">
      <alignment horizontal="center" vertical="center" wrapText="1"/>
    </xf>
    <xf numFmtId="0" fontId="46" fillId="6" borderId="0" xfId="0" applyFont="1" applyFill="1" applyAlignment="1">
      <alignment horizontal="center"/>
    </xf>
    <xf numFmtId="0" fontId="42" fillId="18" borderId="12" xfId="14" applyFont="1" applyFill="1" applyBorder="1" applyAlignment="1">
      <alignment horizontal="center" vertical="center" wrapText="1"/>
    </xf>
    <xf numFmtId="0" fontId="42" fillId="20" borderId="12" xfId="14" applyFont="1" applyFill="1" applyBorder="1" applyAlignment="1">
      <alignment horizontal="center" vertical="center" wrapText="1"/>
    </xf>
    <xf numFmtId="0" fontId="35" fillId="6" borderId="0" xfId="0" applyFont="1" applyFill="1" applyAlignment="1">
      <alignment horizontal="center"/>
    </xf>
    <xf numFmtId="0" fontId="36" fillId="6" borderId="0" xfId="0" applyFont="1" applyFill="1"/>
    <xf numFmtId="0" fontId="38" fillId="6" borderId="0" xfId="1" applyFont="1" applyFill="1" applyBorder="1" applyAlignment="1" applyProtection="1">
      <alignment horizontal="center" vertical="center"/>
    </xf>
    <xf numFmtId="0" fontId="67" fillId="0" borderId="0" xfId="0" applyFont="1" applyAlignment="1">
      <alignment horizontal="center"/>
    </xf>
    <xf numFmtId="0" fontId="55" fillId="29" borderId="12" xfId="14" applyFont="1" applyFill="1" applyBorder="1" applyAlignment="1">
      <alignment horizontal="center" vertical="center"/>
    </xf>
    <xf numFmtId="0" fontId="58" fillId="6" borderId="0" xfId="1" applyFont="1" applyFill="1" applyBorder="1" applyAlignment="1" applyProtection="1">
      <alignment horizontal="center"/>
    </xf>
    <xf numFmtId="0" fontId="54" fillId="28" borderId="20" xfId="14" applyFont="1" applyFill="1" applyBorder="1" applyAlignment="1">
      <alignment horizontal="center" vertical="center" wrapText="1"/>
    </xf>
    <xf numFmtId="0" fontId="54" fillId="28" borderId="13" xfId="14" applyFont="1" applyFill="1" applyBorder="1" applyAlignment="1">
      <alignment horizontal="center" vertical="top" wrapText="1"/>
    </xf>
    <xf numFmtId="0" fontId="55" fillId="29" borderId="15" xfId="14" applyFont="1" applyFill="1" applyBorder="1" applyAlignment="1">
      <alignment horizontal="center" vertical="center"/>
    </xf>
    <xf numFmtId="0" fontId="48" fillId="6" borderId="0" xfId="0" applyFont="1" applyFill="1" applyAlignment="1">
      <alignment horizontal="center"/>
    </xf>
    <xf numFmtId="0" fontId="56" fillId="6" borderId="0" xfId="54" applyFont="1" applyFill="1" applyAlignment="1">
      <alignment horizontal="center"/>
    </xf>
    <xf numFmtId="0" fontId="57" fillId="6" borderId="24" xfId="54" applyFont="1" applyFill="1" applyBorder="1" applyAlignment="1">
      <alignment horizontal="center"/>
    </xf>
    <xf numFmtId="0" fontId="50" fillId="6" borderId="0" xfId="0" applyFont="1" applyFill="1" applyAlignment="1">
      <alignment horizontal="center" vertical="center"/>
    </xf>
    <xf numFmtId="0" fontId="54" fillId="28" borderId="13" xfId="14" applyFont="1" applyFill="1" applyBorder="1" applyAlignment="1">
      <alignment horizontal="center" vertical="center" wrapText="1"/>
    </xf>
    <xf numFmtId="0" fontId="40" fillId="6" borderId="0" xfId="0" applyFont="1" applyFill="1" applyAlignment="1">
      <alignment horizontal="center"/>
    </xf>
    <xf numFmtId="0" fontId="52" fillId="6" borderId="0" xfId="1" applyFont="1" applyFill="1" applyBorder="1" applyAlignment="1" applyProtection="1">
      <alignment horizontal="center"/>
    </xf>
    <xf numFmtId="0" fontId="52" fillId="6" borderId="0" xfId="1" applyFont="1" applyFill="1" applyBorder="1" applyAlignment="1" applyProtection="1">
      <alignment horizontal="left"/>
    </xf>
    <xf numFmtId="0" fontId="42" fillId="16" borderId="20" xfId="14" applyFont="1" applyFill="1" applyBorder="1" applyAlignment="1">
      <alignment horizontal="center" vertical="center" wrapText="1"/>
    </xf>
    <xf numFmtId="0" fontId="51" fillId="6" borderId="0" xfId="0" applyFont="1" applyFill="1" applyAlignment="1">
      <alignment horizontal="center"/>
    </xf>
    <xf numFmtId="0" fontId="30" fillId="6" borderId="10" xfId="0" applyFont="1" applyFill="1" applyBorder="1" applyAlignment="1">
      <alignment horizontal="center"/>
    </xf>
    <xf numFmtId="0" fontId="54" fillId="30" borderId="13" xfId="14" applyFont="1" applyFill="1" applyBorder="1" applyAlignment="1">
      <alignment horizontal="center" vertical="top" wrapText="1"/>
    </xf>
    <xf numFmtId="0" fontId="55" fillId="31" borderId="15" xfId="14" applyFont="1" applyFill="1" applyBorder="1" applyAlignment="1">
      <alignment horizontal="center" vertical="center"/>
    </xf>
    <xf numFmtId="0" fontId="55" fillId="31" borderId="12" xfId="14" applyFont="1" applyFill="1" applyBorder="1" applyAlignment="1">
      <alignment horizontal="center" vertical="center"/>
    </xf>
    <xf numFmtId="0" fontId="54" fillId="30" borderId="20" xfId="14" applyFont="1" applyFill="1" applyBorder="1" applyAlignment="1">
      <alignment horizontal="center" vertical="center" wrapText="1"/>
    </xf>
    <xf numFmtId="0" fontId="54" fillId="30" borderId="13" xfId="14" applyFont="1" applyFill="1" applyBorder="1" applyAlignment="1">
      <alignment horizontal="center" vertical="center" wrapText="1"/>
    </xf>
    <xf numFmtId="0" fontId="62" fillId="6" borderId="0" xfId="0" applyFont="1" applyFill="1" applyAlignment="1">
      <alignment horizontal="center"/>
    </xf>
    <xf numFmtId="0" fontId="42" fillId="18" borderId="20" xfId="14" applyFont="1" applyFill="1" applyBorder="1" applyAlignment="1">
      <alignment horizontal="center" vertical="center" wrapText="1"/>
    </xf>
    <xf numFmtId="0" fontId="77" fillId="0" borderId="0" xfId="0" applyFont="1" applyAlignment="1">
      <alignment horizontal="center"/>
    </xf>
    <xf numFmtId="0" fontId="54" fillId="32" borderId="13" xfId="14" applyFont="1" applyFill="1" applyBorder="1" applyAlignment="1">
      <alignment horizontal="center" vertical="top" wrapText="1"/>
    </xf>
    <xf numFmtId="0" fontId="55" fillId="21" borderId="15" xfId="14" applyFont="1" applyFill="1" applyBorder="1" applyAlignment="1">
      <alignment horizontal="center" vertical="center"/>
    </xf>
    <xf numFmtId="0" fontId="55" fillId="21" borderId="12" xfId="14" applyFont="1" applyFill="1" applyBorder="1" applyAlignment="1">
      <alignment horizontal="center" vertical="center"/>
    </xf>
    <xf numFmtId="0" fontId="54" fillId="32" borderId="20" xfId="14" applyFont="1" applyFill="1" applyBorder="1" applyAlignment="1">
      <alignment horizontal="center" vertical="center" wrapText="1"/>
    </xf>
    <xf numFmtId="0" fontId="54" fillId="32" borderId="13" xfId="14" applyFont="1" applyFill="1" applyBorder="1" applyAlignment="1">
      <alignment horizontal="center" vertical="center" wrapText="1"/>
    </xf>
    <xf numFmtId="0" fontId="42" fillId="20" borderId="20" xfId="14" applyFont="1" applyFill="1" applyBorder="1" applyAlignment="1">
      <alignment horizontal="center" vertical="center" wrapText="1"/>
    </xf>
    <xf numFmtId="0" fontId="67" fillId="38" borderId="0" xfId="0" applyFont="1" applyFill="1" applyAlignment="1">
      <alignment horizontal="center"/>
    </xf>
    <xf numFmtId="0" fontId="74" fillId="6" borderId="0" xfId="0" applyFont="1" applyFill="1" applyAlignment="1">
      <alignment horizontal="center"/>
    </xf>
    <xf numFmtId="0" fontId="55" fillId="34" borderId="12" xfId="14" applyFont="1" applyFill="1" applyBorder="1" applyAlignment="1">
      <alignment horizontal="center" vertical="center"/>
    </xf>
    <xf numFmtId="0" fontId="54" fillId="33" borderId="20" xfId="14" applyFont="1" applyFill="1" applyBorder="1" applyAlignment="1">
      <alignment horizontal="center" vertical="center" wrapText="1"/>
    </xf>
    <xf numFmtId="0" fontId="54" fillId="33" borderId="13" xfId="14" applyFont="1" applyFill="1" applyBorder="1" applyAlignment="1">
      <alignment horizontal="center" vertical="top" wrapText="1"/>
    </xf>
    <xf numFmtId="0" fontId="55" fillId="34" borderId="15" xfId="14" applyFont="1" applyFill="1" applyBorder="1" applyAlignment="1">
      <alignment horizontal="center" vertical="center"/>
    </xf>
    <xf numFmtId="0" fontId="42" fillId="24" borderId="20" xfId="14" applyFont="1" applyFill="1" applyBorder="1" applyAlignment="1">
      <alignment horizontal="center" vertical="center" wrapText="1"/>
    </xf>
    <xf numFmtId="0" fontId="54" fillId="33" borderId="13" xfId="14" applyFont="1" applyFill="1" applyBorder="1" applyAlignment="1">
      <alignment horizontal="center" vertical="center" wrapText="1"/>
    </xf>
    <xf numFmtId="0" fontId="55" fillId="50" borderId="0" xfId="14" applyFont="1" applyFill="1" applyAlignment="1">
      <alignment horizontal="center" vertical="center"/>
    </xf>
    <xf numFmtId="0" fontId="54" fillId="47" borderId="21" xfId="14" applyFont="1" applyFill="1" applyBorder="1" applyAlignment="1">
      <alignment horizontal="center" vertical="center" wrapText="1"/>
    </xf>
    <xf numFmtId="0" fontId="54" fillId="47" borderId="26" xfId="14" applyFont="1" applyFill="1" applyBorder="1" applyAlignment="1">
      <alignment horizontal="center" vertical="center" wrapText="1"/>
    </xf>
    <xf numFmtId="0" fontId="54" fillId="47" borderId="19" xfId="14" applyFont="1" applyFill="1" applyBorder="1" applyAlignment="1">
      <alignment horizontal="center" vertical="center" wrapText="1"/>
    </xf>
    <xf numFmtId="0" fontId="55" fillId="48" borderId="16" xfId="14" applyFont="1" applyFill="1" applyBorder="1" applyAlignment="1">
      <alignment horizontal="center" vertical="center"/>
    </xf>
    <xf numFmtId="0" fontId="55" fillId="48" borderId="24" xfId="14" applyFont="1" applyFill="1" applyBorder="1" applyAlignment="1">
      <alignment horizontal="center" vertical="center"/>
    </xf>
    <xf numFmtId="0" fontId="55" fillId="48" borderId="14" xfId="14" applyFont="1" applyFill="1" applyBorder="1" applyAlignment="1">
      <alignment horizontal="center" vertical="center"/>
    </xf>
    <xf numFmtId="0" fontId="55" fillId="48" borderId="12" xfId="14" applyFont="1" applyFill="1" applyBorder="1" applyAlignment="1">
      <alignment horizontal="center" vertical="center"/>
    </xf>
    <xf numFmtId="0" fontId="68" fillId="0" borderId="0" xfId="0" applyFont="1" applyAlignment="1">
      <alignment horizontal="center"/>
    </xf>
    <xf numFmtId="0" fontId="54" fillId="44" borderId="23" xfId="14" applyFont="1" applyFill="1" applyBorder="1" applyAlignment="1">
      <alignment horizontal="center" vertical="center" wrapText="1"/>
    </xf>
    <xf numFmtId="0" fontId="54" fillId="44" borderId="0" xfId="14" applyFont="1" applyFill="1" applyAlignment="1">
      <alignment horizontal="center" vertical="center" wrapText="1"/>
    </xf>
    <xf numFmtId="0" fontId="54" fillId="44" borderId="22" xfId="14" applyFont="1" applyFill="1" applyBorder="1" applyAlignment="1">
      <alignment horizontal="center" vertical="center" wrapText="1"/>
    </xf>
    <xf numFmtId="0" fontId="55" fillId="45" borderId="16" xfId="14" applyFont="1" applyFill="1" applyBorder="1" applyAlignment="1">
      <alignment horizontal="center" vertical="center"/>
    </xf>
    <xf numFmtId="0" fontId="55" fillId="45" borderId="24" xfId="14" applyFont="1" applyFill="1" applyBorder="1" applyAlignment="1">
      <alignment horizontal="center" vertical="center"/>
    </xf>
    <xf numFmtId="0" fontId="55" fillId="45" borderId="14" xfId="14" applyFont="1" applyFill="1" applyBorder="1" applyAlignment="1">
      <alignment horizontal="center" vertical="center"/>
    </xf>
    <xf numFmtId="0" fontId="55" fillId="45" borderId="12" xfId="14" applyFont="1" applyFill="1" applyBorder="1" applyAlignment="1">
      <alignment horizontal="center" vertical="center"/>
    </xf>
    <xf numFmtId="0" fontId="54" fillId="50" borderId="0" xfId="14" applyFont="1" applyFill="1" applyAlignment="1">
      <alignment horizontal="center" vertical="center" wrapText="1"/>
    </xf>
    <xf numFmtId="0" fontId="42" fillId="46" borderId="20" xfId="14" applyFont="1" applyFill="1" applyBorder="1" applyAlignment="1">
      <alignment horizontal="center" vertical="center" wrapText="1"/>
    </xf>
    <xf numFmtId="0" fontId="54" fillId="47" borderId="23" xfId="14" applyFont="1" applyFill="1" applyBorder="1" applyAlignment="1">
      <alignment horizontal="center" vertical="center" wrapText="1"/>
    </xf>
    <xf numFmtId="0" fontId="54" fillId="47" borderId="0" xfId="14" applyFont="1" applyFill="1" applyAlignment="1">
      <alignment horizontal="center" vertical="center" wrapText="1"/>
    </xf>
    <xf numFmtId="0" fontId="54" fillId="47" borderId="22" xfId="14" applyFont="1" applyFill="1" applyBorder="1" applyAlignment="1">
      <alignment horizontal="center" vertical="center" wrapText="1"/>
    </xf>
    <xf numFmtId="0" fontId="68" fillId="38" borderId="0" xfId="0" applyFont="1" applyFill="1" applyAlignment="1">
      <alignment horizontal="center"/>
    </xf>
    <xf numFmtId="0" fontId="73" fillId="0" borderId="0" xfId="0" applyFont="1" applyAlignment="1">
      <alignment horizontal="center"/>
    </xf>
    <xf numFmtId="164" fontId="44" fillId="25" borderId="21" xfId="14" applyNumberFormat="1" applyFont="1" applyFill="1" applyBorder="1" applyAlignment="1">
      <alignment horizontal="center" vertical="center" wrapText="1"/>
    </xf>
    <xf numFmtId="0" fontId="69" fillId="0" borderId="19" xfId="0" applyFont="1" applyBorder="1" applyAlignment="1">
      <alignment horizontal="center" wrapText="1"/>
    </xf>
    <xf numFmtId="0" fontId="70" fillId="0" borderId="16" xfId="0" applyFont="1" applyBorder="1" applyAlignment="1">
      <alignment horizontal="center" wrapText="1"/>
    </xf>
    <xf numFmtId="0" fontId="70" fillId="0" borderId="14" xfId="0" applyFont="1" applyBorder="1" applyAlignment="1">
      <alignment horizontal="center" wrapText="1"/>
    </xf>
    <xf numFmtId="0" fontId="65" fillId="36" borderId="12" xfId="14" applyFont="1" applyFill="1" applyBorder="1" applyAlignment="1">
      <alignment horizontal="center" vertical="center" wrapText="1"/>
    </xf>
    <xf numFmtId="0" fontId="65" fillId="35" borderId="12" xfId="14" applyFont="1" applyFill="1" applyBorder="1" applyAlignment="1">
      <alignment horizontal="center" vertical="center" wrapText="1"/>
    </xf>
    <xf numFmtId="0" fontId="9" fillId="35" borderId="12" xfId="0" applyFont="1" applyFill="1" applyBorder="1" applyAlignment="1">
      <alignment horizontal="center" vertical="center"/>
    </xf>
    <xf numFmtId="0" fontId="54" fillId="26" borderId="20" xfId="14" applyFont="1" applyFill="1" applyBorder="1" applyAlignment="1">
      <alignment horizontal="center" vertical="center" wrapText="1"/>
    </xf>
    <xf numFmtId="0" fontId="46" fillId="4" borderId="0" xfId="0" applyFont="1" applyFill="1" applyAlignment="1">
      <alignment horizontal="center"/>
    </xf>
    <xf numFmtId="0" fontId="54" fillId="26" borderId="12" xfId="14" applyFont="1" applyFill="1" applyBorder="1" applyAlignment="1">
      <alignment horizontal="center" vertical="center" wrapText="1"/>
    </xf>
    <xf numFmtId="0" fontId="54" fillId="4" borderId="0" xfId="14" applyFont="1" applyFill="1" applyAlignment="1">
      <alignment horizontal="center" vertical="center" wrapText="1"/>
    </xf>
  </cellXfs>
  <cellStyles count="97">
    <cellStyle name="Excel Built-in Good" xfId="93" xr:uid="{00000000-0005-0000-0000-000000000000}"/>
    <cellStyle name="Hypertextový odkaz" xfId="1" builtinId="8"/>
    <cellStyle name="Hypertextový odkaz 2" xfId="2" xr:uid="{00000000-0005-0000-0000-000002000000}"/>
    <cellStyle name="Normální" xfId="0" builtinId="0"/>
    <cellStyle name="Normální 10" xfId="3" xr:uid="{00000000-0005-0000-0000-000004000000}"/>
    <cellStyle name="Normální 11" xfId="4" xr:uid="{00000000-0005-0000-0000-000005000000}"/>
    <cellStyle name="Normální 12" xfId="5" xr:uid="{00000000-0005-0000-0000-000006000000}"/>
    <cellStyle name="Normální 13" xfId="6" xr:uid="{00000000-0005-0000-0000-000007000000}"/>
    <cellStyle name="normální 13 2" xfId="7" xr:uid="{00000000-0005-0000-0000-000008000000}"/>
    <cellStyle name="normální 14" xfId="8" xr:uid="{00000000-0005-0000-0000-000009000000}"/>
    <cellStyle name="normální 15" xfId="9" xr:uid="{00000000-0005-0000-0000-00000A000000}"/>
    <cellStyle name="normální 16" xfId="10" xr:uid="{00000000-0005-0000-0000-00000B000000}"/>
    <cellStyle name="normální 17" xfId="11" xr:uid="{00000000-0005-0000-0000-00000C000000}"/>
    <cellStyle name="normální 18" xfId="12" xr:uid="{00000000-0005-0000-0000-00000D000000}"/>
    <cellStyle name="normální 19" xfId="13" xr:uid="{00000000-0005-0000-0000-00000E000000}"/>
    <cellStyle name="Normální 2" xfId="14" xr:uid="{00000000-0005-0000-0000-00000F000000}"/>
    <cellStyle name="Normální 2 2" xfId="15" xr:uid="{00000000-0005-0000-0000-000010000000}"/>
    <cellStyle name="Normální 2 3" xfId="16" xr:uid="{00000000-0005-0000-0000-000011000000}"/>
    <cellStyle name="normální 20" xfId="17" xr:uid="{00000000-0005-0000-0000-000012000000}"/>
    <cellStyle name="normální 21" xfId="18" xr:uid="{00000000-0005-0000-0000-000013000000}"/>
    <cellStyle name="normální 22" xfId="19" xr:uid="{00000000-0005-0000-0000-000014000000}"/>
    <cellStyle name="normální 23" xfId="20" xr:uid="{00000000-0005-0000-0000-000015000000}"/>
    <cellStyle name="normální 24" xfId="21" xr:uid="{00000000-0005-0000-0000-000016000000}"/>
    <cellStyle name="normální 25" xfId="22" xr:uid="{00000000-0005-0000-0000-000017000000}"/>
    <cellStyle name="normální 26" xfId="23" xr:uid="{00000000-0005-0000-0000-000018000000}"/>
    <cellStyle name="normální 27" xfId="24" xr:uid="{00000000-0005-0000-0000-000019000000}"/>
    <cellStyle name="normální 28" xfId="25" xr:uid="{00000000-0005-0000-0000-00001A000000}"/>
    <cellStyle name="normální 29" xfId="26" xr:uid="{00000000-0005-0000-0000-00001B000000}"/>
    <cellStyle name="Normální 3" xfId="27" xr:uid="{00000000-0005-0000-0000-00001C000000}"/>
    <cellStyle name="Normální 3 2" xfId="28" xr:uid="{00000000-0005-0000-0000-00001D000000}"/>
    <cellStyle name="Normální 3 3" xfId="29" xr:uid="{00000000-0005-0000-0000-00001E000000}"/>
    <cellStyle name="normální 30" xfId="30" xr:uid="{00000000-0005-0000-0000-00001F000000}"/>
    <cellStyle name="normální 31" xfId="31" xr:uid="{00000000-0005-0000-0000-000020000000}"/>
    <cellStyle name="normální 32" xfId="32" xr:uid="{00000000-0005-0000-0000-000021000000}"/>
    <cellStyle name="Normální 33" xfId="33" xr:uid="{00000000-0005-0000-0000-000022000000}"/>
    <cellStyle name="Normální 34" xfId="34" xr:uid="{00000000-0005-0000-0000-000023000000}"/>
    <cellStyle name="Normální 35" xfId="35" xr:uid="{00000000-0005-0000-0000-000024000000}"/>
    <cellStyle name="Normální 36" xfId="36" xr:uid="{00000000-0005-0000-0000-000025000000}"/>
    <cellStyle name="Normální 37" xfId="37" xr:uid="{00000000-0005-0000-0000-000026000000}"/>
    <cellStyle name="Normální 38" xfId="38" xr:uid="{00000000-0005-0000-0000-000027000000}"/>
    <cellStyle name="Normální 39" xfId="39" xr:uid="{00000000-0005-0000-0000-000028000000}"/>
    <cellStyle name="Normální 4" xfId="40" xr:uid="{00000000-0005-0000-0000-000029000000}"/>
    <cellStyle name="Normální 4 2" xfId="41" xr:uid="{00000000-0005-0000-0000-00002A000000}"/>
    <cellStyle name="Normální 4 3" xfId="42" xr:uid="{00000000-0005-0000-0000-00002B000000}"/>
    <cellStyle name="Normální 4 4" xfId="43" xr:uid="{00000000-0005-0000-0000-00002C000000}"/>
    <cellStyle name="Normální 40" xfId="44" xr:uid="{00000000-0005-0000-0000-00002D000000}"/>
    <cellStyle name="Normální 41" xfId="45" xr:uid="{00000000-0005-0000-0000-00002E000000}"/>
    <cellStyle name="Normální 42" xfId="46" xr:uid="{00000000-0005-0000-0000-00002F000000}"/>
    <cellStyle name="Normální 43" xfId="47" xr:uid="{00000000-0005-0000-0000-000030000000}"/>
    <cellStyle name="Normální 44" xfId="48" xr:uid="{00000000-0005-0000-0000-000031000000}"/>
    <cellStyle name="Normální 45" xfId="49" xr:uid="{00000000-0005-0000-0000-000032000000}"/>
    <cellStyle name="Normální 46" xfId="50" xr:uid="{00000000-0005-0000-0000-000033000000}"/>
    <cellStyle name="Normální 47" xfId="51" xr:uid="{00000000-0005-0000-0000-000034000000}"/>
    <cellStyle name="Normální 48" xfId="52" xr:uid="{00000000-0005-0000-0000-000035000000}"/>
    <cellStyle name="Normální 49" xfId="53" xr:uid="{00000000-0005-0000-0000-000036000000}"/>
    <cellStyle name="Normální 5" xfId="54" xr:uid="{00000000-0005-0000-0000-000037000000}"/>
    <cellStyle name="Normální 5 2" xfId="55" xr:uid="{00000000-0005-0000-0000-000038000000}"/>
    <cellStyle name="Normální 5 3" xfId="56" xr:uid="{00000000-0005-0000-0000-000039000000}"/>
    <cellStyle name="Normální 50" xfId="57" xr:uid="{00000000-0005-0000-0000-00003A000000}"/>
    <cellStyle name="Normální 51" xfId="58" xr:uid="{00000000-0005-0000-0000-00003B000000}"/>
    <cellStyle name="Normální 52" xfId="59" xr:uid="{00000000-0005-0000-0000-00003C000000}"/>
    <cellStyle name="Normální 53" xfId="60" xr:uid="{00000000-0005-0000-0000-00003D000000}"/>
    <cellStyle name="Normální 54" xfId="61" xr:uid="{00000000-0005-0000-0000-00003E000000}"/>
    <cellStyle name="Normální 55" xfId="62" xr:uid="{00000000-0005-0000-0000-00003F000000}"/>
    <cellStyle name="Normální 56" xfId="63" xr:uid="{00000000-0005-0000-0000-000040000000}"/>
    <cellStyle name="Normální 57" xfId="64" xr:uid="{00000000-0005-0000-0000-000041000000}"/>
    <cellStyle name="Normální 58" xfId="65" xr:uid="{00000000-0005-0000-0000-000042000000}"/>
    <cellStyle name="Normální 59" xfId="66" xr:uid="{00000000-0005-0000-0000-000043000000}"/>
    <cellStyle name="Normální 6" xfId="67" xr:uid="{00000000-0005-0000-0000-000044000000}"/>
    <cellStyle name="Normální 6 2" xfId="68" xr:uid="{00000000-0005-0000-0000-000045000000}"/>
    <cellStyle name="Normální 6 3" xfId="69" xr:uid="{00000000-0005-0000-0000-000046000000}"/>
    <cellStyle name="Normální 60" xfId="70" xr:uid="{00000000-0005-0000-0000-000047000000}"/>
    <cellStyle name="Normální 61" xfId="71" xr:uid="{00000000-0005-0000-0000-000048000000}"/>
    <cellStyle name="Normální 62" xfId="72" xr:uid="{00000000-0005-0000-0000-000049000000}"/>
    <cellStyle name="Normální 63" xfId="73" xr:uid="{00000000-0005-0000-0000-00004A000000}"/>
    <cellStyle name="Normální 64" xfId="74" xr:uid="{00000000-0005-0000-0000-00004B000000}"/>
    <cellStyle name="Normální 65" xfId="75" xr:uid="{00000000-0005-0000-0000-00004C000000}"/>
    <cellStyle name="Normální 66" xfId="76" xr:uid="{00000000-0005-0000-0000-00004D000000}"/>
    <cellStyle name="Normální 67" xfId="77" xr:uid="{00000000-0005-0000-0000-00004E000000}"/>
    <cellStyle name="Normální 68" xfId="78" xr:uid="{00000000-0005-0000-0000-00004F000000}"/>
    <cellStyle name="Normální 69" xfId="79" xr:uid="{00000000-0005-0000-0000-000050000000}"/>
    <cellStyle name="Normální 7" xfId="80" xr:uid="{00000000-0005-0000-0000-000051000000}"/>
    <cellStyle name="Normální 7 2" xfId="81" xr:uid="{00000000-0005-0000-0000-000052000000}"/>
    <cellStyle name="Normální 7 3" xfId="82" xr:uid="{00000000-0005-0000-0000-000053000000}"/>
    <cellStyle name="Normální 70" xfId="83" xr:uid="{00000000-0005-0000-0000-000054000000}"/>
    <cellStyle name="Normální 71" xfId="84" xr:uid="{00000000-0005-0000-0000-000055000000}"/>
    <cellStyle name="Normální 72" xfId="85" xr:uid="{00000000-0005-0000-0000-000056000000}"/>
    <cellStyle name="Normální 73" xfId="94" xr:uid="{00000000-0005-0000-0000-000057000000}"/>
    <cellStyle name="Normální 74" xfId="95" xr:uid="{00000000-0005-0000-0000-000058000000}"/>
    <cellStyle name="Normální 75" xfId="96" xr:uid="{00000000-0005-0000-0000-000059000000}"/>
    <cellStyle name="Normální 8" xfId="86" xr:uid="{00000000-0005-0000-0000-00005A000000}"/>
    <cellStyle name="Normální 8 2" xfId="87" xr:uid="{00000000-0005-0000-0000-00005B000000}"/>
    <cellStyle name="Normální 8 3" xfId="88" xr:uid="{00000000-0005-0000-0000-00005C000000}"/>
    <cellStyle name="Normální 9" xfId="89" xr:uid="{00000000-0005-0000-0000-00005D000000}"/>
    <cellStyle name="Normální 9 2" xfId="90" xr:uid="{00000000-0005-0000-0000-00005E000000}"/>
    <cellStyle name="Normální 9 3" xfId="91" xr:uid="{00000000-0005-0000-0000-00005F000000}"/>
    <cellStyle name="Poznámka 2" xfId="92" xr:uid="{00000000-0005-0000-0000-000060000000}"/>
  </cellStyles>
  <dxfs count="440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rgb="FF000000"/>
        </left>
      </border>
    </dxf>
    <dxf>
      <font>
        <strike val="0"/>
        <outline val="0"/>
        <shadow val="0"/>
        <u val="none"/>
        <vertAlign val="baseline"/>
        <sz val="10"/>
        <color rgb="FF000000"/>
        <name val="Tahoma"/>
        <scheme val="none"/>
      </font>
    </dxf>
    <dxf>
      <border outline="0">
        <right style="thin">
          <color rgb="FF000000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right style="thin">
          <color auto="1"/>
        </right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right style="thin">
          <color auto="1"/>
        </right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outline="0">
        <right style="thin">
          <color auto="1"/>
        </right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</dxf>
    <dxf>
      <font>
        <strike val="0"/>
        <outline val="0"/>
        <shadow val="0"/>
        <u val="none"/>
        <vertAlign val="baseline"/>
        <color auto="1"/>
        <name val="Tahoma"/>
        <scheme val="none"/>
      </font>
      <fill>
        <patternFill patternType="solid"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auto="1"/>
        </left>
        <right/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/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/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/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auto="1"/>
        </left>
        <right/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/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/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/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auto="1"/>
        </left>
        <right style="thin">
          <color auto="1"/>
        </right>
        <vertical style="thin">
          <color auto="1"/>
        </vertic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numFmt numFmtId="164" formatCode="#,##0&quot; Kč&quot;"/>
      <border diagonalUp="0" diagonalDown="0">
        <left style="thin">
          <color auto="1"/>
        </left>
        <right style="thin">
          <color auto="1"/>
        </right>
        <top/>
        <bottom/>
        <vertical/>
        <horizontal/>
      </border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</dxf>
    <dxf>
      <border outline="0">
        <right style="thin">
          <color auto="1"/>
        </right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outline="0">
        <left style="thin">
          <color auto="1"/>
        </left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</dxf>
    <dxf>
      <fill>
        <patternFill>
          <bgColor theme="0"/>
        </patternFill>
      </fill>
      <border outline="0">
        <right style="thin">
          <color auto="1"/>
        </right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ill>
        <patternFill>
          <bgColor theme="0"/>
        </patternFill>
      </fill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fill>
        <patternFill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/>
        </patternFill>
      </fill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ill>
        <patternFill>
          <bgColor theme="0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0"/>
        </patternFill>
      </fill>
    </dxf>
    <dxf>
      <fill>
        <patternFill>
          <bgColor theme="0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indexedColors>
      <rgbColor rgb="FF000000"/>
      <rgbColor rgb="FFFFFFFF"/>
      <rgbColor rgb="FFFF0000"/>
      <rgbColor rgb="FFADC773"/>
      <rgbColor rgb="FF0000FF"/>
      <rgbColor rgb="FFFFFF00"/>
      <rgbColor rgb="FFD9D9D9"/>
      <rgbColor rgb="FFA5D5E2"/>
      <rgbColor rgb="FFC00000"/>
      <rgbColor rgb="FF006100"/>
      <rgbColor rgb="FF000080"/>
      <rgbColor rgb="FF77933C"/>
      <rgbColor rgb="FFA7C0DE"/>
      <rgbColor rgb="FF558ED5"/>
      <rgbColor rgb="FFBFBFBF"/>
      <rgbColor rgb="FF808080"/>
      <rgbColor rgb="FF8EB4E3"/>
      <rgbColor rgb="FF7F7F7F"/>
      <rgbColor rgb="FFFFFFCC"/>
      <rgbColor rgb="FFDCE6F2"/>
      <rgbColor rgb="FFCDDDAC"/>
      <rgbColor rgb="FFFAC090"/>
      <rgbColor rgb="FF00579A"/>
      <rgbColor rgb="FFC6D9F1"/>
      <rgbColor rgb="FF000080"/>
      <rgbColor rgb="FFDFDFDF"/>
      <rgbColor rgb="FFFCDE88"/>
      <rgbColor rgb="FFAAC6EA"/>
      <rgbColor rgb="FFC3D69B"/>
      <rgbColor rgb="FFFEF0CA"/>
      <rgbColor rgb="FF8EB149"/>
      <rgbColor rgb="FF0000FF"/>
      <rgbColor rgb="FF70BDD2"/>
      <rgbColor rgb="FFF2F2F2"/>
      <rgbColor rgb="FFC6EFCE"/>
      <rgbColor rgb="FFFDEEC3"/>
      <rgbColor rgb="FF93CDDD"/>
      <rgbColor rgb="FFE6B9B8"/>
      <rgbColor rgb="FFB3A2C7"/>
      <rgbColor rgb="FFFBCAA2"/>
      <rgbColor rgb="FF3176C9"/>
      <rgbColor rgb="FF4BACC6"/>
      <rgbColor rgb="FF9BBB59"/>
      <rgbColor rgb="FFF3B507"/>
      <rgbColor rgb="FFF79646"/>
      <rgbColor rgb="FFE46C0A"/>
      <rgbColor rgb="FF595959"/>
      <rgbColor rgb="FFA6A6A6"/>
      <rgbColor rgb="FF16355A"/>
      <rgbColor rgb="FF31859C"/>
      <rgbColor rgb="FF0D0D0D"/>
      <rgbColor rgb="FF262626"/>
      <rgbColor rgb="FFB2B2B2"/>
      <rgbColor rgb="FFAFA4BD"/>
      <rgbColor rgb="FF404040"/>
      <rgbColor rgb="FF40315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ADC773"/>
      <color rgb="FFC3D69B"/>
      <color rgb="FF8EB149"/>
      <color rgb="FF77933C"/>
      <color rgb="FFFBCAA2"/>
      <color rgb="FF4BACC6"/>
      <color rgb="FFF796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hyperlink" Target="#OBSAH!I8"/><Relationship Id="rId1" Type="http://schemas.openxmlformats.org/officeDocument/2006/relationships/image" Target="../media/image3.jpe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OBSAH!I8"/><Relationship Id="rId2" Type="http://schemas.openxmlformats.org/officeDocument/2006/relationships/image" Target="../media/image8.jpeg"/><Relationship Id="rId1" Type="http://schemas.openxmlformats.org/officeDocument/2006/relationships/image" Target="../media/image7.jpeg"/><Relationship Id="rId5" Type="http://schemas.openxmlformats.org/officeDocument/2006/relationships/image" Target="../media/image10.jpeg"/><Relationship Id="rId4" Type="http://schemas.openxmlformats.org/officeDocument/2006/relationships/image" Target="../media/image9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jpeg"/><Relationship Id="rId7" Type="http://schemas.openxmlformats.org/officeDocument/2006/relationships/image" Target="../media/image16.jpeg"/><Relationship Id="rId2" Type="http://schemas.openxmlformats.org/officeDocument/2006/relationships/image" Target="../media/image11.jpeg"/><Relationship Id="rId1" Type="http://schemas.openxmlformats.org/officeDocument/2006/relationships/hyperlink" Target="#OBSAH!I8"/><Relationship Id="rId6" Type="http://schemas.openxmlformats.org/officeDocument/2006/relationships/image" Target="../media/image15.jpeg"/><Relationship Id="rId5" Type="http://schemas.openxmlformats.org/officeDocument/2006/relationships/image" Target="../media/image14.jpeg"/><Relationship Id="rId4" Type="http://schemas.openxmlformats.org/officeDocument/2006/relationships/image" Target="../media/image13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jpeg"/><Relationship Id="rId2" Type="http://schemas.openxmlformats.org/officeDocument/2006/relationships/image" Target="../media/image7.jpeg"/><Relationship Id="rId1" Type="http://schemas.openxmlformats.org/officeDocument/2006/relationships/hyperlink" Target="#OBSAH!I8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OBSAH!I8"/><Relationship Id="rId2" Type="http://schemas.openxmlformats.org/officeDocument/2006/relationships/image" Target="../media/image12.jpeg"/><Relationship Id="rId1" Type="http://schemas.openxmlformats.org/officeDocument/2006/relationships/image" Target="../media/image11.jpeg"/><Relationship Id="rId5" Type="http://schemas.openxmlformats.org/officeDocument/2006/relationships/image" Target="../media/image14.jpeg"/><Relationship Id="rId4" Type="http://schemas.openxmlformats.org/officeDocument/2006/relationships/image" Target="../media/image13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jpeg"/><Relationship Id="rId2" Type="http://schemas.openxmlformats.org/officeDocument/2006/relationships/image" Target="../media/image7.jpeg"/><Relationship Id="rId1" Type="http://schemas.openxmlformats.org/officeDocument/2006/relationships/hyperlink" Target="#OBSAH!I8"/><Relationship Id="rId5" Type="http://schemas.openxmlformats.org/officeDocument/2006/relationships/image" Target="../media/image18.jpeg"/><Relationship Id="rId4" Type="http://schemas.openxmlformats.org/officeDocument/2006/relationships/image" Target="../media/image17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OBSAH!I8"/><Relationship Id="rId2" Type="http://schemas.openxmlformats.org/officeDocument/2006/relationships/image" Target="../media/image12.jpeg"/><Relationship Id="rId1" Type="http://schemas.openxmlformats.org/officeDocument/2006/relationships/image" Target="../media/image11.jpeg"/><Relationship Id="rId5" Type="http://schemas.openxmlformats.org/officeDocument/2006/relationships/image" Target="../media/image14.jpeg"/><Relationship Id="rId4" Type="http://schemas.openxmlformats.org/officeDocument/2006/relationships/image" Target="../media/image13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jpeg"/><Relationship Id="rId2" Type="http://schemas.openxmlformats.org/officeDocument/2006/relationships/image" Target="../media/image20.jpeg"/><Relationship Id="rId1" Type="http://schemas.openxmlformats.org/officeDocument/2006/relationships/image" Target="../media/image19.jpeg"/><Relationship Id="rId5" Type="http://schemas.openxmlformats.org/officeDocument/2006/relationships/hyperlink" Target="#OBSAH!I8"/><Relationship Id="rId4" Type="http://schemas.openxmlformats.org/officeDocument/2006/relationships/image" Target="../media/image12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jpeg"/><Relationship Id="rId2" Type="http://schemas.openxmlformats.org/officeDocument/2006/relationships/image" Target="../media/image19.jpeg"/><Relationship Id="rId1" Type="http://schemas.openxmlformats.org/officeDocument/2006/relationships/hyperlink" Target="#OBSAH!I8"/><Relationship Id="rId5" Type="http://schemas.openxmlformats.org/officeDocument/2006/relationships/image" Target="../media/image12.jpeg"/><Relationship Id="rId4" Type="http://schemas.openxmlformats.org/officeDocument/2006/relationships/image" Target="../media/image1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jpeg"/><Relationship Id="rId13" Type="http://schemas.openxmlformats.org/officeDocument/2006/relationships/image" Target="../media/image32.jpeg"/><Relationship Id="rId18" Type="http://schemas.openxmlformats.org/officeDocument/2006/relationships/image" Target="../media/image37.jpeg"/><Relationship Id="rId26" Type="http://schemas.openxmlformats.org/officeDocument/2006/relationships/image" Target="../media/image45.jpeg"/><Relationship Id="rId3" Type="http://schemas.openxmlformats.org/officeDocument/2006/relationships/image" Target="../media/image22.jpeg"/><Relationship Id="rId21" Type="http://schemas.openxmlformats.org/officeDocument/2006/relationships/image" Target="../media/image40.jpeg"/><Relationship Id="rId7" Type="http://schemas.openxmlformats.org/officeDocument/2006/relationships/image" Target="../media/image26.jpeg"/><Relationship Id="rId12" Type="http://schemas.openxmlformats.org/officeDocument/2006/relationships/image" Target="../media/image31.jpeg"/><Relationship Id="rId17" Type="http://schemas.openxmlformats.org/officeDocument/2006/relationships/image" Target="../media/image36.jpeg"/><Relationship Id="rId25" Type="http://schemas.openxmlformats.org/officeDocument/2006/relationships/image" Target="../media/image44.jpeg"/><Relationship Id="rId33" Type="http://schemas.openxmlformats.org/officeDocument/2006/relationships/image" Target="../media/image52.jpeg"/><Relationship Id="rId2" Type="http://schemas.openxmlformats.org/officeDocument/2006/relationships/image" Target="../media/image21.jpeg"/><Relationship Id="rId16" Type="http://schemas.openxmlformats.org/officeDocument/2006/relationships/image" Target="../media/image35.jpeg"/><Relationship Id="rId20" Type="http://schemas.openxmlformats.org/officeDocument/2006/relationships/image" Target="../media/image39.jpeg"/><Relationship Id="rId29" Type="http://schemas.openxmlformats.org/officeDocument/2006/relationships/image" Target="../media/image48.png"/><Relationship Id="rId1" Type="http://schemas.openxmlformats.org/officeDocument/2006/relationships/hyperlink" Target="#OBSAH!I8"/><Relationship Id="rId6" Type="http://schemas.openxmlformats.org/officeDocument/2006/relationships/image" Target="../media/image25.jpeg"/><Relationship Id="rId11" Type="http://schemas.openxmlformats.org/officeDocument/2006/relationships/image" Target="../media/image30.jpeg"/><Relationship Id="rId24" Type="http://schemas.openxmlformats.org/officeDocument/2006/relationships/image" Target="../media/image43.jpeg"/><Relationship Id="rId32" Type="http://schemas.openxmlformats.org/officeDocument/2006/relationships/image" Target="../media/image51.png"/><Relationship Id="rId5" Type="http://schemas.openxmlformats.org/officeDocument/2006/relationships/image" Target="../media/image24.jpeg"/><Relationship Id="rId15" Type="http://schemas.openxmlformats.org/officeDocument/2006/relationships/image" Target="../media/image34.jpeg"/><Relationship Id="rId23" Type="http://schemas.openxmlformats.org/officeDocument/2006/relationships/image" Target="../media/image42.jpeg"/><Relationship Id="rId28" Type="http://schemas.openxmlformats.org/officeDocument/2006/relationships/image" Target="../media/image47.jpeg"/><Relationship Id="rId10" Type="http://schemas.openxmlformats.org/officeDocument/2006/relationships/image" Target="../media/image29.jpeg"/><Relationship Id="rId19" Type="http://schemas.openxmlformats.org/officeDocument/2006/relationships/image" Target="../media/image38.jpeg"/><Relationship Id="rId31" Type="http://schemas.openxmlformats.org/officeDocument/2006/relationships/image" Target="../media/image50.jpeg"/><Relationship Id="rId4" Type="http://schemas.openxmlformats.org/officeDocument/2006/relationships/image" Target="../media/image23.jpeg"/><Relationship Id="rId9" Type="http://schemas.openxmlformats.org/officeDocument/2006/relationships/image" Target="../media/image28.jpeg"/><Relationship Id="rId14" Type="http://schemas.openxmlformats.org/officeDocument/2006/relationships/image" Target="../media/image33.jpeg"/><Relationship Id="rId22" Type="http://schemas.openxmlformats.org/officeDocument/2006/relationships/image" Target="../media/image41.jpeg"/><Relationship Id="rId27" Type="http://schemas.openxmlformats.org/officeDocument/2006/relationships/image" Target="../media/image46.jpeg"/><Relationship Id="rId30" Type="http://schemas.openxmlformats.org/officeDocument/2006/relationships/image" Target="../media/image49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OBSAH!I8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OBSAH!I8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OBSAH!I8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617400</xdr:colOff>
      <xdr:row>0</xdr:row>
      <xdr:rowOff>301321</xdr:rowOff>
    </xdr:from>
    <xdr:to>
      <xdr:col>15</xdr:col>
      <xdr:colOff>15480</xdr:colOff>
      <xdr:row>3</xdr:row>
      <xdr:rowOff>304801</xdr:rowOff>
    </xdr:to>
    <xdr:sp macro="" textlink="">
      <xdr:nvSpPr>
        <xdr:cNvPr id="2" name="CustomShape 1">
          <a:hlinkClick xmlns:r="http://schemas.openxmlformats.org/officeDocument/2006/relationships" r:id="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265100" y="301321"/>
          <a:ext cx="9102694" cy="1287994"/>
        </a:xfrm>
        <a:prstGeom prst="roundRect">
          <a:avLst>
            <a:gd name="adj" fmla="val 4956"/>
          </a:avLst>
        </a:prstGeom>
        <a:noFill/>
        <a:ln w="57240">
          <a:solidFill>
            <a:schemeClr val="accent1">
              <a:lumMod val="7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6</xdr:col>
      <xdr:colOff>74880</xdr:colOff>
      <xdr:row>0</xdr:row>
      <xdr:rowOff>162000</xdr:rowOff>
    </xdr:from>
    <xdr:to>
      <xdr:col>11</xdr:col>
      <xdr:colOff>402840</xdr:colOff>
      <xdr:row>3</xdr:row>
      <xdr:rowOff>20160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145040" y="162000"/>
          <a:ext cx="3801600" cy="1153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13</xdr:col>
      <xdr:colOff>47520</xdr:colOff>
      <xdr:row>1</xdr:row>
      <xdr:rowOff>268920</xdr:rowOff>
    </xdr:from>
    <xdr:to>
      <xdr:col>13</xdr:col>
      <xdr:colOff>637560</xdr:colOff>
      <xdr:row>3</xdr:row>
      <xdr:rowOff>39240</xdr:rowOff>
    </xdr:to>
    <xdr:pic>
      <xdr:nvPicPr>
        <xdr:cNvPr id="4" name="Obrázek 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8980560" y="592560"/>
          <a:ext cx="590040" cy="7419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2</xdr:col>
      <xdr:colOff>428760</xdr:colOff>
      <xdr:row>1</xdr:row>
      <xdr:rowOff>538920</xdr:rowOff>
    </xdr:from>
    <xdr:to>
      <xdr:col>4</xdr:col>
      <xdr:colOff>237960</xdr:colOff>
      <xdr:row>3</xdr:row>
      <xdr:rowOff>199800</xdr:rowOff>
    </xdr:to>
    <xdr:sp macro="" textlink="">
      <xdr:nvSpPr>
        <xdr:cNvPr id="5" name="CustomShape 1">
          <a:hlinkClick xmlns:r="http://schemas.openxmlformats.org/officeDocument/2006/relationships" r:id="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720080" y="862560"/>
          <a:ext cx="1198800" cy="6325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FFFFFF"/>
              </a:solidFill>
              <a:latin typeface="Tahoma"/>
              <a:ea typeface="Tahoma"/>
            </a:rPr>
            <a:t>PLATNOST CENÍKU  </a:t>
          </a:r>
          <a:br/>
          <a:r>
            <a:rPr lang="cs-CZ" sz="900" b="0" strike="noStrike" spc="-1">
              <a:solidFill>
                <a:srgbClr val="FFFFFF"/>
              </a:solidFill>
              <a:latin typeface="Tahoma"/>
              <a:ea typeface="Tahoma"/>
            </a:rPr>
            <a:t>OD </a:t>
          </a:r>
          <a:r>
            <a:rPr lang="cs-CZ" sz="1100" b="0" strike="noStrike" spc="-1">
              <a:solidFill>
                <a:srgbClr val="FFFFFF"/>
              </a:solidFill>
              <a:latin typeface="Tahoma"/>
              <a:ea typeface="Tahoma"/>
            </a:rPr>
            <a:t>1.1.2024</a:t>
          </a:r>
          <a:r>
            <a:rPr lang="cs-CZ" sz="1400" b="0" strike="noStrike" spc="-1">
              <a:solidFill>
                <a:srgbClr val="FFFFFF"/>
              </a:solidFill>
              <a:latin typeface="Tahoma"/>
              <a:ea typeface="Tahoma"/>
            </a:rPr>
            <a:t> </a:t>
          </a:r>
          <a:endParaRPr lang="cs-CZ" sz="1400" b="0" strike="noStrike" spc="-1"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642240</xdr:colOff>
      <xdr:row>19</xdr:row>
      <xdr:rowOff>88920</xdr:rowOff>
    </xdr:from>
    <xdr:to>
      <xdr:col>10</xdr:col>
      <xdr:colOff>633240</xdr:colOff>
      <xdr:row>26</xdr:row>
      <xdr:rowOff>613440</xdr:rowOff>
    </xdr:to>
    <xdr:pic>
      <xdr:nvPicPr>
        <xdr:cNvPr id="5" name="Obrázek 2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778880" y="5450040"/>
          <a:ext cx="2574000" cy="239832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115646</xdr:colOff>
      <xdr:row>29</xdr:row>
      <xdr:rowOff>87085</xdr:rowOff>
    </xdr:from>
    <xdr:to>
      <xdr:col>12</xdr:col>
      <xdr:colOff>553406</xdr:colOff>
      <xdr:row>40</xdr:row>
      <xdr:rowOff>0</xdr:rowOff>
    </xdr:to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6625303" y="8267699"/>
          <a:ext cx="4971660" cy="41810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>
            <a:lnSpc>
              <a:spcPct val="100000"/>
            </a:lnSpc>
          </a:pPr>
          <a:r>
            <a:rPr lang="cs-CZ" sz="1100" b="1" strike="noStrike" spc="-1">
              <a:solidFill>
                <a:srgbClr val="000000"/>
              </a:solidFill>
              <a:latin typeface="Tahoma"/>
              <a:ea typeface="Tahoma"/>
            </a:rPr>
            <a:t>Zkratky: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DT 	- domovní telefon (domácí telefon)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i="1" strike="noStrike" spc="-1">
              <a:solidFill>
                <a:srgbClr val="000000"/>
              </a:solidFill>
              <a:latin typeface="Tahoma"/>
              <a:ea typeface="Tahoma"/>
            </a:rPr>
            <a:t>Systémy DUO (dvoudrát)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AS04 A / V     	- elektronické vyzvánění do sluchátka s možností 	vypnutí vyzvánění od tabla se světelnou indikací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AS04 A 	- elektronické vyzvánění do sluchátka 	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AS04 MB / V 	- elektronické vyzvánění do sluchátka a mechanický 	bzučák (rozlišné vyzvánění od dveří bytu) s možností 	vypnutí vyzvánění od tabla se světelnou indikací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AS04 MB 	- elektronické vyzvánění do sluchátka a mechanický 	bzučák (rozlišné vyzvánění od dveří bytu)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i="1" strike="noStrike" spc="-1">
              <a:solidFill>
                <a:srgbClr val="000000"/>
              </a:solidFill>
              <a:latin typeface="Tahoma"/>
              <a:ea typeface="Tahoma"/>
            </a:rPr>
            <a:t>Systém 4+n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16A-BZ     	- systém 4+n - 8V - s piezosirénou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16A-MB   	- systém 4+n - 8V - s mechanickým brzučákem</a:t>
          </a:r>
          <a:endParaRPr lang="cs-CZ" sz="11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Tahoma"/>
              <a:ea typeface="Tahoma"/>
            </a:rPr>
            <a:t>17A           	- systém 4+n - 12V - elektronické vyzvánění 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7" name="CustomShap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97196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7</xdr:col>
      <xdr:colOff>32709</xdr:colOff>
      <xdr:row>11</xdr:row>
      <xdr:rowOff>137255</xdr:rowOff>
    </xdr:from>
    <xdr:to>
      <xdr:col>10</xdr:col>
      <xdr:colOff>542829</xdr:colOff>
      <xdr:row>20</xdr:row>
      <xdr:rowOff>118895</xdr:rowOff>
    </xdr:to>
    <xdr:pic>
      <xdr:nvPicPr>
        <xdr:cNvPr id="8" name="Obrázek 23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7837766" y="3152598"/>
          <a:ext cx="2453220" cy="2311183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9</xdr:col>
      <xdr:colOff>532080</xdr:colOff>
      <xdr:row>4</xdr:row>
      <xdr:rowOff>27360</xdr:rowOff>
    </xdr:from>
    <xdr:to>
      <xdr:col>12</xdr:col>
      <xdr:colOff>274680</xdr:colOff>
      <xdr:row>11</xdr:row>
      <xdr:rowOff>133088</xdr:rowOff>
    </xdr:to>
    <xdr:pic>
      <xdr:nvPicPr>
        <xdr:cNvPr id="9" name="Obrázek 26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9632537" y="1154031"/>
          <a:ext cx="1685700" cy="19944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202320</xdr:colOff>
      <xdr:row>4</xdr:row>
      <xdr:rowOff>0</xdr:rowOff>
    </xdr:from>
    <xdr:to>
      <xdr:col>7</xdr:col>
      <xdr:colOff>604800</xdr:colOff>
      <xdr:row>11</xdr:row>
      <xdr:rowOff>166928</xdr:rowOff>
    </xdr:to>
    <xdr:pic>
      <xdr:nvPicPr>
        <xdr:cNvPr id="10" name="Obrázek 27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6711977" y="1126671"/>
          <a:ext cx="1697880" cy="205560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0</xdr:colOff>
      <xdr:row>10</xdr:row>
      <xdr:rowOff>168840</xdr:rowOff>
    </xdr:from>
    <xdr:to>
      <xdr:col>12</xdr:col>
      <xdr:colOff>447480</xdr:colOff>
      <xdr:row>11</xdr:row>
      <xdr:rowOff>65160</xdr:rowOff>
    </xdr:to>
    <xdr:sp macro="" textlink="">
      <xdr:nvSpPr>
        <xdr:cNvPr id="11" name="CustomShape 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490800" y="3008520"/>
          <a:ext cx="4968000" cy="258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Calibri"/>
            </a:rPr>
            <a:t>DT Verona Melody video                                           DT Verona Melody audio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92520</xdr:colOff>
      <xdr:row>26</xdr:row>
      <xdr:rowOff>408240</xdr:rowOff>
    </xdr:from>
    <xdr:to>
      <xdr:col>12</xdr:col>
      <xdr:colOff>540000</xdr:colOff>
      <xdr:row>26</xdr:row>
      <xdr:rowOff>663840</xdr:rowOff>
    </xdr:to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6583320" y="7643160"/>
          <a:ext cx="4968000" cy="25560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200" b="0" strike="noStrike" spc="-1">
              <a:solidFill>
                <a:srgbClr val="000000"/>
              </a:solidFill>
              <a:latin typeface="Calibri"/>
            </a:rPr>
            <a:t>Domovní handsfree videotelefon MELODY HF 5.0.</a:t>
          </a:r>
          <a:endParaRPr lang="cs-CZ" sz="12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0</xdr:colOff>
      <xdr:row>19</xdr:row>
      <xdr:rowOff>42120</xdr:rowOff>
    </xdr:from>
    <xdr:to>
      <xdr:col>12</xdr:col>
      <xdr:colOff>447480</xdr:colOff>
      <xdr:row>20</xdr:row>
      <xdr:rowOff>135720</xdr:rowOff>
    </xdr:to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6490800" y="5403240"/>
          <a:ext cx="4968000" cy="2746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Calibri"/>
            </a:rPr>
            <a:t>DT Viola Melody audio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523800</xdr:colOff>
      <xdr:row>29</xdr:row>
      <xdr:rowOff>38160</xdr:rowOff>
    </xdr:from>
    <xdr:to>
      <xdr:col>12</xdr:col>
      <xdr:colOff>352080</xdr:colOff>
      <xdr:row>40</xdr:row>
      <xdr:rowOff>266400</xdr:rowOff>
    </xdr:to>
    <xdr:pic>
      <xdr:nvPicPr>
        <xdr:cNvPr id="14" name="Obrázek 6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930520" y="6848280"/>
          <a:ext cx="2411280" cy="3000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237960</xdr:colOff>
      <xdr:row>29</xdr:row>
      <xdr:rowOff>133200</xdr:rowOff>
    </xdr:from>
    <xdr:to>
      <xdr:col>8</xdr:col>
      <xdr:colOff>437760</xdr:colOff>
      <xdr:row>40</xdr:row>
      <xdr:rowOff>94680</xdr:rowOff>
    </xdr:to>
    <xdr:pic>
      <xdr:nvPicPr>
        <xdr:cNvPr id="15" name="Obrázek 7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707160" y="6943320"/>
          <a:ext cx="2137320" cy="27334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409680</xdr:colOff>
      <xdr:row>40</xdr:row>
      <xdr:rowOff>95400</xdr:rowOff>
    </xdr:from>
    <xdr:to>
      <xdr:col>8</xdr:col>
      <xdr:colOff>85320</xdr:colOff>
      <xdr:row>42</xdr:row>
      <xdr:rowOff>104400</xdr:rowOff>
    </xdr:to>
    <xdr:sp macro="" textlink="">
      <xdr:nvSpPr>
        <xdr:cNvPr id="16" name="CustomShape 1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6878880" y="9677520"/>
          <a:ext cx="1613160" cy="4755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 - AUDIO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600120</xdr:colOff>
      <xdr:row>40</xdr:row>
      <xdr:rowOff>85680</xdr:rowOff>
    </xdr:from>
    <xdr:to>
      <xdr:col>12</xdr:col>
      <xdr:colOff>104400</xdr:colOff>
      <xdr:row>42</xdr:row>
      <xdr:rowOff>132840</xdr:rowOff>
    </xdr:to>
    <xdr:sp macro="" textlink="">
      <xdr:nvSpPr>
        <xdr:cNvPr id="17" name="CustomShape 1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9006840" y="9667800"/>
          <a:ext cx="2087280" cy="5137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 - AUDIO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371520</xdr:colOff>
      <xdr:row>42</xdr:row>
      <xdr:rowOff>95400</xdr:rowOff>
    </xdr:from>
    <xdr:to>
      <xdr:col>12</xdr:col>
      <xdr:colOff>85320</xdr:colOff>
      <xdr:row>46</xdr:row>
      <xdr:rowOff>28440</xdr:rowOff>
    </xdr:to>
    <xdr:sp macro="" textlink="">
      <xdr:nvSpPr>
        <xdr:cNvPr id="18" name="CustomShape 1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6840720" y="10144080"/>
          <a:ext cx="4234320" cy="65700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JE-LI SOUČÁSTÍ TABLA BEZKONTAKTNÍ OTEVÍRAČ DVEŘÍ (popř.BIS), JE TENTO UMÍSTĚN VE JMENOVKOVÉ ČÁSTI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409680</xdr:colOff>
      <xdr:row>61</xdr:row>
      <xdr:rowOff>19080</xdr:rowOff>
    </xdr:from>
    <xdr:to>
      <xdr:col>8</xdr:col>
      <xdr:colOff>85320</xdr:colOff>
      <xdr:row>62</xdr:row>
      <xdr:rowOff>18720</xdr:rowOff>
    </xdr:to>
    <xdr:sp macro="" textlink="">
      <xdr:nvSpPr>
        <xdr:cNvPr id="19" name="CustomShape 1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6878880" y="13753800"/>
          <a:ext cx="1613160" cy="4568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 - VIDEO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600120</xdr:colOff>
      <xdr:row>61</xdr:row>
      <xdr:rowOff>9360</xdr:rowOff>
    </xdr:from>
    <xdr:to>
      <xdr:col>12</xdr:col>
      <xdr:colOff>104400</xdr:colOff>
      <xdr:row>62</xdr:row>
      <xdr:rowOff>37440</xdr:rowOff>
    </xdr:to>
    <xdr:sp macro="" textlink="">
      <xdr:nvSpPr>
        <xdr:cNvPr id="20" name="CustomShape 1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9006840" y="13744080"/>
          <a:ext cx="2087280" cy="4852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 - VIDEO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371520</xdr:colOff>
      <xdr:row>62</xdr:row>
      <xdr:rowOff>95400</xdr:rowOff>
    </xdr:from>
    <xdr:to>
      <xdr:col>12</xdr:col>
      <xdr:colOff>85320</xdr:colOff>
      <xdr:row>64</xdr:row>
      <xdr:rowOff>209520</xdr:rowOff>
    </xdr:to>
    <xdr:sp macro="" textlink="">
      <xdr:nvSpPr>
        <xdr:cNvPr id="21" name="CustomShape 1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6840720" y="14287320"/>
          <a:ext cx="4234320" cy="8571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KAMERA JE UMÍSTĚNA V HORNÍM OKÝNKU NA PRAVÉ STRANĚ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JE-LI SOUČÁSTÍ VIDEO TABLA BEZKONTAKTNÍ OTEVÍRAČ DVEŘÍ (popř.BIS), JE TENTO UMÍSTĚN VE JMENOVKOVÉ ČÁSTI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142920</xdr:colOff>
      <xdr:row>5</xdr:row>
      <xdr:rowOff>0</xdr:rowOff>
    </xdr:from>
    <xdr:to>
      <xdr:col>12</xdr:col>
      <xdr:colOff>485640</xdr:colOff>
      <xdr:row>29</xdr:row>
      <xdr:rowOff>161640</xdr:rowOff>
    </xdr:to>
    <xdr:sp macro="" textlink="">
      <xdr:nvSpPr>
        <xdr:cNvPr id="22" name="CustomShape 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6612120" y="1257120"/>
          <a:ext cx="4863240" cy="57146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MELODY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Nová generace domácí dorozumívací techniky Czechphone® promění jakýkoliv dům v inteligentní a hlavně bezpečné obydlí.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MELODY pomáhá zajistit komunikaci a kontrolovaný vstup do bytových domů včetně interní komunikace mezi dvěma účastníky. MELODY neomezuje vlastníky, ale naopak zamezuje vstup nežádoucím osobám. Integrovaný alarm v každém telefonu a systém propojení kabeláže umožňuje zabezpečit majetek ve všech bytech.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AŽ 250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účastníků,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KAMERY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možnost napojení více kamer,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SCHOPNOST OVLÁDAT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externí zařízení (výtah, osvětlení, atd.),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ALARM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při spuštění alarmu na domácím telefonu může zvonkové  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tablo hlásit, který byt v domě byl napaden,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INDIVIDUÁLNÍ PŘIZPŮSOBENÍ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velké spektrum možností pro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přizpůsobení na míru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PŘÍKLAD VZHLEDU ZVONKOVÝCH TABEL</a:t>
          </a:r>
          <a:endParaRPr lang="cs-CZ" sz="14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23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5</xdr:col>
      <xdr:colOff>324000</xdr:colOff>
      <xdr:row>48</xdr:row>
      <xdr:rowOff>37440</xdr:rowOff>
    </xdr:from>
    <xdr:to>
      <xdr:col>8</xdr:col>
      <xdr:colOff>495000</xdr:colOff>
      <xdr:row>60</xdr:row>
      <xdr:rowOff>120960</xdr:rowOff>
    </xdr:to>
    <xdr:pic>
      <xdr:nvPicPr>
        <xdr:cNvPr id="24" name="Obrázek 9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/>
      </xdr:nvPicPr>
      <xdr:blipFill>
        <a:blip xmlns:r="http://schemas.openxmlformats.org/officeDocument/2006/relationships" r:embed="rId4"/>
        <a:srcRect l="13408" t="4903" r="14601" b="4048"/>
        <a:stretch/>
      </xdr:blipFill>
      <xdr:spPr>
        <a:xfrm>
          <a:off x="6793200" y="11171880"/>
          <a:ext cx="2108520" cy="24933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514440</xdr:colOff>
      <xdr:row>47</xdr:row>
      <xdr:rowOff>114480</xdr:rowOff>
    </xdr:from>
    <xdr:to>
      <xdr:col>12</xdr:col>
      <xdr:colOff>304560</xdr:colOff>
      <xdr:row>61</xdr:row>
      <xdr:rowOff>9360</xdr:rowOff>
    </xdr:to>
    <xdr:pic>
      <xdr:nvPicPr>
        <xdr:cNvPr id="25" name="Obrázek 10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/>
      </xdr:nvPicPr>
      <xdr:blipFill>
        <a:blip xmlns:r="http://schemas.openxmlformats.org/officeDocument/2006/relationships" r:embed="rId5"/>
        <a:srcRect l="11204" t="5095" r="11653" b="10711"/>
        <a:stretch/>
      </xdr:blipFill>
      <xdr:spPr>
        <a:xfrm>
          <a:off x="8921160" y="11068200"/>
          <a:ext cx="2373120" cy="267588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29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399960</xdr:colOff>
      <xdr:row>46</xdr:row>
      <xdr:rowOff>47520</xdr:rowOff>
    </xdr:from>
    <xdr:to>
      <xdr:col>8</xdr:col>
      <xdr:colOff>75600</xdr:colOff>
      <xdr:row>48</xdr:row>
      <xdr:rowOff>142560</xdr:rowOff>
    </xdr:to>
    <xdr:sp macro="" textlink="">
      <xdr:nvSpPr>
        <xdr:cNvPr id="30" name="CustomShape 1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SpPr/>
      </xdr:nvSpPr>
      <xdr:spPr>
        <a:xfrm>
          <a:off x="6869160" y="9982080"/>
          <a:ext cx="1613160" cy="4568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 - AUDIO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590400</xdr:colOff>
      <xdr:row>46</xdr:row>
      <xdr:rowOff>38160</xdr:rowOff>
    </xdr:from>
    <xdr:to>
      <xdr:col>12</xdr:col>
      <xdr:colOff>94680</xdr:colOff>
      <xdr:row>48</xdr:row>
      <xdr:rowOff>161640</xdr:rowOff>
    </xdr:to>
    <xdr:sp macro="" textlink="">
      <xdr:nvSpPr>
        <xdr:cNvPr id="31" name="CustomShape 1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SpPr/>
      </xdr:nvSpPr>
      <xdr:spPr>
        <a:xfrm>
          <a:off x="8997120" y="9972720"/>
          <a:ext cx="2087280" cy="4852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 - AUDIO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361800</xdr:colOff>
      <xdr:row>48</xdr:row>
      <xdr:rowOff>133200</xdr:rowOff>
    </xdr:from>
    <xdr:to>
      <xdr:col>12</xdr:col>
      <xdr:colOff>75600</xdr:colOff>
      <xdr:row>52</xdr:row>
      <xdr:rowOff>123480</xdr:rowOff>
    </xdr:to>
    <xdr:sp macro="" textlink="">
      <xdr:nvSpPr>
        <xdr:cNvPr id="32" name="CustomShape 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SpPr/>
      </xdr:nvSpPr>
      <xdr:spPr>
        <a:xfrm>
          <a:off x="6831000" y="10429560"/>
          <a:ext cx="4234320" cy="7142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JE -LI SOUČÁSTÍ TABLA BEZKONTAKTNÍ OTEVÍRAČ DVEŘÍ (popř.BIS), JE TENTO UMÍSTĚN VE JMENOVKOVÉ ČÁSTI NEBO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V MODULU S OKÝNKEM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 editAs="oneCell">
    <xdr:from>
      <xdr:col>6</xdr:col>
      <xdr:colOff>126360</xdr:colOff>
      <xdr:row>51</xdr:row>
      <xdr:rowOff>50040</xdr:rowOff>
    </xdr:from>
    <xdr:to>
      <xdr:col>7</xdr:col>
      <xdr:colOff>357480</xdr:colOff>
      <xdr:row>62</xdr:row>
      <xdr:rowOff>15840</xdr:rowOff>
    </xdr:to>
    <xdr:pic>
      <xdr:nvPicPr>
        <xdr:cNvPr id="33" name="Obrázek 60">
          <a:extLst>
            <a:ext uri="{FF2B5EF4-FFF2-40B4-BE49-F238E27FC236}">
              <a16:creationId xmlns:a16="http://schemas.microsoft.com/office/drawing/2014/main" id="{00000000-0008-0000-0300-000021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7241400" y="10889280"/>
          <a:ext cx="876960" cy="1956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10</xdr:col>
      <xdr:colOff>9360</xdr:colOff>
      <xdr:row>51</xdr:row>
      <xdr:rowOff>47520</xdr:rowOff>
    </xdr:from>
    <xdr:to>
      <xdr:col>11</xdr:col>
      <xdr:colOff>252720</xdr:colOff>
      <xdr:row>62</xdr:row>
      <xdr:rowOff>16200</xdr:rowOff>
    </xdr:to>
    <xdr:pic>
      <xdr:nvPicPr>
        <xdr:cNvPr id="34" name="Obrázek 61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9707400" y="10886760"/>
          <a:ext cx="889200" cy="19594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409680</xdr:colOff>
      <xdr:row>81</xdr:row>
      <xdr:rowOff>123840</xdr:rowOff>
    </xdr:from>
    <xdr:to>
      <xdr:col>8</xdr:col>
      <xdr:colOff>85320</xdr:colOff>
      <xdr:row>84</xdr:row>
      <xdr:rowOff>37800</xdr:rowOff>
    </xdr:to>
    <xdr:sp macro="" textlink="">
      <xdr:nvSpPr>
        <xdr:cNvPr id="35" name="CustomShape 1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SpPr/>
      </xdr:nvSpPr>
      <xdr:spPr>
        <a:xfrm>
          <a:off x="6878880" y="16325640"/>
          <a:ext cx="1613160" cy="4568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 - VIDEO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8</xdr:col>
      <xdr:colOff>600120</xdr:colOff>
      <xdr:row>81</xdr:row>
      <xdr:rowOff>114480</xdr:rowOff>
    </xdr:from>
    <xdr:to>
      <xdr:col>12</xdr:col>
      <xdr:colOff>104400</xdr:colOff>
      <xdr:row>84</xdr:row>
      <xdr:rowOff>56880</xdr:rowOff>
    </xdr:to>
    <xdr:sp macro="" textlink="">
      <xdr:nvSpPr>
        <xdr:cNvPr id="36" name="CustomShape 1">
          <a:extLst>
            <a:ext uri="{FF2B5EF4-FFF2-40B4-BE49-F238E27FC236}">
              <a16:creationId xmlns:a16="http://schemas.microsoft.com/office/drawing/2014/main" id="{00000000-0008-0000-0300-000024000000}"/>
            </a:ext>
          </a:extLst>
        </xdr:cNvPr>
        <xdr:cNvSpPr/>
      </xdr:nvSpPr>
      <xdr:spPr>
        <a:xfrm>
          <a:off x="9006840" y="16316280"/>
          <a:ext cx="2087280" cy="4852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 - VIDEO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371520</xdr:colOff>
      <xdr:row>84</xdr:row>
      <xdr:rowOff>114480</xdr:rowOff>
    </xdr:from>
    <xdr:to>
      <xdr:col>12</xdr:col>
      <xdr:colOff>85320</xdr:colOff>
      <xdr:row>90</xdr:row>
      <xdr:rowOff>18720</xdr:rowOff>
    </xdr:to>
    <xdr:sp macro="" textlink="">
      <xdr:nvSpPr>
        <xdr:cNvPr id="37" name="CustomShape 1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/>
      </xdr:nvSpPr>
      <xdr:spPr>
        <a:xfrm>
          <a:off x="6840720" y="16859160"/>
          <a:ext cx="4234320" cy="11329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KAMERA JE UMÍSTĚNA V HORNÍM OKÝNKU MODULU NA PRAVÉ STRANĚ HNED VEDLE MODULU S KOMUNIKACÍ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JE-LI SOUČÁSTÍ VIDEO TABLA BEZKONTAKTNÍ OTEVÍRAČ DVEŘÍ (popř.BIS), JE TENTO UMÍSTĚN VE JMENOVKOVÉ ČÁSTI NEBO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000000"/>
              </a:solidFill>
              <a:latin typeface="Tahoma"/>
              <a:ea typeface="Tahoma"/>
            </a:rPr>
            <a:t>V MODULU S OKÝNKEM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466560</xdr:colOff>
      <xdr:row>33</xdr:row>
      <xdr:rowOff>123840</xdr:rowOff>
    </xdr:from>
    <xdr:to>
      <xdr:col>12</xdr:col>
      <xdr:colOff>228240</xdr:colOff>
      <xdr:row>46</xdr:row>
      <xdr:rowOff>95040</xdr:rowOff>
    </xdr:to>
    <xdr:pic>
      <xdr:nvPicPr>
        <xdr:cNvPr id="38" name="Obrázek 7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PicPr/>
      </xdr:nvPicPr>
      <xdr:blipFill>
        <a:blip xmlns:r="http://schemas.openxmlformats.org/officeDocument/2006/relationships" r:embed="rId4"/>
        <a:srcRect l="8661" t="3935" r="7951" b="7152"/>
        <a:stretch/>
      </xdr:blipFill>
      <xdr:spPr>
        <a:xfrm>
          <a:off x="8873280" y="7448400"/>
          <a:ext cx="2344680" cy="2581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171360</xdr:colOff>
      <xdr:row>33</xdr:row>
      <xdr:rowOff>28440</xdr:rowOff>
    </xdr:from>
    <xdr:to>
      <xdr:col>8</xdr:col>
      <xdr:colOff>313920</xdr:colOff>
      <xdr:row>45</xdr:row>
      <xdr:rowOff>75600</xdr:rowOff>
    </xdr:to>
    <xdr:pic>
      <xdr:nvPicPr>
        <xdr:cNvPr id="39" name="Obrázek 9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PicPr/>
      </xdr:nvPicPr>
      <xdr:blipFill>
        <a:blip xmlns:r="http://schemas.openxmlformats.org/officeDocument/2006/relationships" r:embed="rId5"/>
        <a:srcRect l="11757" r="12174" b="3005"/>
        <a:stretch/>
      </xdr:blipFill>
      <xdr:spPr>
        <a:xfrm>
          <a:off x="6640560" y="7353000"/>
          <a:ext cx="2080080" cy="24760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47520</xdr:colOff>
      <xdr:row>66</xdr:row>
      <xdr:rowOff>172080</xdr:rowOff>
    </xdr:from>
    <xdr:to>
      <xdr:col>8</xdr:col>
      <xdr:colOff>609120</xdr:colOff>
      <xdr:row>81</xdr:row>
      <xdr:rowOff>75960</xdr:rowOff>
    </xdr:to>
    <xdr:pic>
      <xdr:nvPicPr>
        <xdr:cNvPr id="40" name="Obrázek 10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PicPr/>
      </xdr:nvPicPr>
      <xdr:blipFill>
        <a:blip xmlns:r="http://schemas.openxmlformats.org/officeDocument/2006/relationships" r:embed="rId6"/>
        <a:srcRect l="7716"/>
        <a:stretch/>
      </xdr:blipFill>
      <xdr:spPr>
        <a:xfrm>
          <a:off x="6516720" y="13726080"/>
          <a:ext cx="2499120" cy="2551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504720</xdr:colOff>
      <xdr:row>67</xdr:row>
      <xdr:rowOff>104760</xdr:rowOff>
    </xdr:from>
    <xdr:to>
      <xdr:col>12</xdr:col>
      <xdr:colOff>209160</xdr:colOff>
      <xdr:row>81</xdr:row>
      <xdr:rowOff>132840</xdr:rowOff>
    </xdr:to>
    <xdr:pic>
      <xdr:nvPicPr>
        <xdr:cNvPr id="41" name="Obrázek 20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PicPr/>
      </xdr:nvPicPr>
      <xdr:blipFill>
        <a:blip xmlns:r="http://schemas.openxmlformats.org/officeDocument/2006/relationships" r:embed="rId7"/>
        <a:srcRect l="9740" t="4262" r="9030" b="9768"/>
        <a:stretch/>
      </xdr:blipFill>
      <xdr:spPr>
        <a:xfrm>
          <a:off x="8911440" y="13839480"/>
          <a:ext cx="2287440" cy="24951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133200</xdr:colOff>
      <xdr:row>5</xdr:row>
      <xdr:rowOff>0</xdr:rowOff>
    </xdr:from>
    <xdr:to>
      <xdr:col>12</xdr:col>
      <xdr:colOff>475920</xdr:colOff>
      <xdr:row>34</xdr:row>
      <xdr:rowOff>28080</xdr:rowOff>
    </xdr:to>
    <xdr:sp macro="" textlink="">
      <xdr:nvSpPr>
        <xdr:cNvPr id="45" name="CustomShape 1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SpPr/>
      </xdr:nvSpPr>
      <xdr:spPr>
        <a:xfrm>
          <a:off x="6602400" y="1257120"/>
          <a:ext cx="4863240" cy="627660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MELODY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Nová generace domácí dorozumívací techniky Czechphone® promění jakýkoliv dům v inteligentní a hlavně bezpečné obydlí.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MELODY pomáhá zajistit komunikaci a kontrolovaný vstup do bytových domů včetně interní komunikace mezi dvěma účastníky. MELODY neomezuje vlastníky, ale naopak zamezuje vstup nežádoucím osobám. Integrovaný alarm v každém telefonu a systém propojení kabeláže umožňuje zabezpečit majetek ve všech bytech.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AŽ 250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účastníků,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KAMERY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možnost napojení více kamer,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SCHOPNOST OVLÁDAT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externí zařízení (výtah, osvětlení, atd.),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ALARM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při spuštění alarmu na domácím telefonu může zvonkové  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tablo hlásit, který byt v domě byl napaden,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INDIVIDUÁLNÍ PŘIZPŮSOBENÍ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velké spektrum možností pro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přizpůsobení na míru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PŘÍKLAD VZHLEDU ZVONKOVÝCH TABEL</a:t>
          </a:r>
          <a:endParaRPr lang="cs-CZ" sz="1400" b="0" strike="noStrike" spc="-1">
            <a:latin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85680</xdr:colOff>
      <xdr:row>18</xdr:row>
      <xdr:rowOff>28440</xdr:rowOff>
    </xdr:from>
    <xdr:to>
      <xdr:col>12</xdr:col>
      <xdr:colOff>523440</xdr:colOff>
      <xdr:row>34</xdr:row>
      <xdr:rowOff>104400</xdr:rowOff>
    </xdr:to>
    <xdr:sp macro="" textlink="">
      <xdr:nvSpPr>
        <xdr:cNvPr id="55" name="CustomShape 1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/>
      </xdr:nvSpPr>
      <xdr:spPr>
        <a:xfrm>
          <a:off x="6554880" y="4743000"/>
          <a:ext cx="4958280" cy="38671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DUOplus</a:t>
          </a:r>
          <a:r>
            <a:rPr lang="cs-CZ" sz="1400" b="1" u="sng" strike="noStrike" spc="-1" baseline="30000">
              <a:solidFill>
                <a:srgbClr val="000000"/>
              </a:solidFill>
              <a:uFillTx/>
              <a:latin typeface="Tahoma"/>
              <a:ea typeface="Tahoma"/>
            </a:rPr>
            <a:t>+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DUOplus+ je dvoudrátový systém s rozšířenou nabídkou funkcí pro uživatele a ještě větší jednoduchostí zapojení při montáží.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využívá nejnovější pokročilé mikroprocesory, které zajišťují technologický pokrok výrobků. Technologie je určena pro všechny typy bytových domů.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 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15</xdr:row>
      <xdr:rowOff>123840</xdr:rowOff>
    </xdr:from>
    <xdr:to>
      <xdr:col>8</xdr:col>
      <xdr:colOff>114120</xdr:colOff>
      <xdr:row>17</xdr:row>
      <xdr:rowOff>228240</xdr:rowOff>
    </xdr:to>
    <xdr:sp macro="" textlink="">
      <xdr:nvSpPr>
        <xdr:cNvPr id="56" name="CustomShape 1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/>
      </xdr:nvSpPr>
      <xdr:spPr>
        <a:xfrm>
          <a:off x="6859800" y="4181400"/>
          <a:ext cx="1661040" cy="4759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28440</xdr:colOff>
      <xdr:row>15</xdr:row>
      <xdr:rowOff>133200</xdr:rowOff>
    </xdr:from>
    <xdr:to>
      <xdr:col>12</xdr:col>
      <xdr:colOff>28080</xdr:colOff>
      <xdr:row>17</xdr:row>
      <xdr:rowOff>228240</xdr:rowOff>
    </xdr:to>
    <xdr:sp macro="" textlink="">
      <xdr:nvSpPr>
        <xdr:cNvPr id="57" name="CustomShape 1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/>
      </xdr:nvSpPr>
      <xdr:spPr>
        <a:xfrm>
          <a:off x="9081000" y="4190760"/>
          <a:ext cx="1936800" cy="4665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58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438120</xdr:colOff>
      <xdr:row>5</xdr:row>
      <xdr:rowOff>0</xdr:rowOff>
    </xdr:from>
    <xdr:to>
      <xdr:col>12</xdr:col>
      <xdr:colOff>151920</xdr:colOff>
      <xdr:row>14</xdr:row>
      <xdr:rowOff>147960</xdr:rowOff>
    </xdr:to>
    <xdr:pic>
      <xdr:nvPicPr>
        <xdr:cNvPr id="59" name="Obrázek 14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PicPr/>
      </xdr:nvPicPr>
      <xdr:blipFill>
        <a:blip xmlns:r="http://schemas.openxmlformats.org/officeDocument/2006/relationships" r:embed="rId2"/>
        <a:srcRect b="2857"/>
        <a:stretch/>
      </xdr:blipFill>
      <xdr:spPr>
        <a:xfrm>
          <a:off x="8844840" y="1257120"/>
          <a:ext cx="2296800" cy="2767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158400</xdr:colOff>
      <xdr:row>5</xdr:row>
      <xdr:rowOff>95400</xdr:rowOff>
    </xdr:from>
    <xdr:to>
      <xdr:col>8</xdr:col>
      <xdr:colOff>237960</xdr:colOff>
      <xdr:row>14</xdr:row>
      <xdr:rowOff>47520</xdr:rowOff>
    </xdr:to>
    <xdr:pic>
      <xdr:nvPicPr>
        <xdr:cNvPr id="60" name="Obrázek 15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6627600" y="1352520"/>
          <a:ext cx="2017080" cy="257148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123840</xdr:colOff>
      <xdr:row>17</xdr:row>
      <xdr:rowOff>9360</xdr:rowOff>
    </xdr:from>
    <xdr:to>
      <xdr:col>12</xdr:col>
      <xdr:colOff>514080</xdr:colOff>
      <xdr:row>82</xdr:row>
      <xdr:rowOff>437760</xdr:rowOff>
    </xdr:to>
    <xdr:sp macro="" textlink="">
      <xdr:nvSpPr>
        <xdr:cNvPr id="63" name="CustomShape 1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SpPr/>
      </xdr:nvSpPr>
      <xdr:spPr>
        <a:xfrm>
          <a:off x="6593040" y="4438440"/>
          <a:ext cx="4910760" cy="127155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DUOplus</a:t>
          </a:r>
          <a:r>
            <a:rPr lang="cs-CZ" sz="1400" b="1" u="sng" strike="noStrike" spc="-1" baseline="30000">
              <a:solidFill>
                <a:srgbClr val="000000"/>
              </a:solidFill>
              <a:uFillTx/>
              <a:latin typeface="Tahoma"/>
              <a:ea typeface="Tahoma"/>
            </a:rPr>
            <a:t>+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DUOplus+ je dvoudrátový systém s rozšířenou nabídkou funkcí pro uživatele a ještě větší jednoduchostí zapojení při montáží.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využívá nejnovější pokročilé mikroprocesory, které zajišťují technologický pokrok výrobků. Technologie je určena pro všechny typy bytových domů.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Umístění čtečky bezkontaktního přístupového systému BIS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v tlačítkových tablech GENOVA - DUO (dvoudrát)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2tl.,4tl.,6tl.,14tl.,26tl.,24tl.,36tl.,34tl.,36tl.,44tl.,46tl.,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MALÁ JMENOVKA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8tl.,10tl.,12tl.,18tl.,20tl.,22tl.,28tl.,30tl.,32tl.,38tl.,40tl.,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 6 TL. BEZ KOMUNIKACE S </a:t>
          </a:r>
          <a:r>
            <a:rPr lang="cs-CZ" sz="900" b="0" i="1" strike="noStrike" spc="-1">
              <a:solidFill>
                <a:srgbClr val="000000"/>
              </a:solidFill>
              <a:latin typeface="Tahoma"/>
              <a:ea typeface="Tahoma"/>
            </a:rPr>
            <a:t>JEDNÍM OKÝNKEM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28440</xdr:colOff>
      <xdr:row>14</xdr:row>
      <xdr:rowOff>66600</xdr:rowOff>
    </xdr:from>
    <xdr:to>
      <xdr:col>12</xdr:col>
      <xdr:colOff>28080</xdr:colOff>
      <xdr:row>16</xdr:row>
      <xdr:rowOff>171000</xdr:rowOff>
    </xdr:to>
    <xdr:sp macro="" textlink="">
      <xdr:nvSpPr>
        <xdr:cNvPr id="64" name="CustomShape 1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SpPr/>
      </xdr:nvSpPr>
      <xdr:spPr>
        <a:xfrm>
          <a:off x="9081000" y="3952800"/>
          <a:ext cx="1936800" cy="46620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14</xdr:row>
      <xdr:rowOff>57240</xdr:rowOff>
    </xdr:from>
    <xdr:to>
      <xdr:col>8</xdr:col>
      <xdr:colOff>114120</xdr:colOff>
      <xdr:row>17</xdr:row>
      <xdr:rowOff>28440</xdr:rowOff>
    </xdr:to>
    <xdr:sp macro="" textlink="">
      <xdr:nvSpPr>
        <xdr:cNvPr id="65" name="CustomShape 1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SpPr/>
      </xdr:nvSpPr>
      <xdr:spPr>
        <a:xfrm>
          <a:off x="6859800" y="3943440"/>
          <a:ext cx="1661040" cy="5140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285840</xdr:colOff>
      <xdr:row>60</xdr:row>
      <xdr:rowOff>76320</xdr:rowOff>
    </xdr:from>
    <xdr:to>
      <xdr:col>9</xdr:col>
      <xdr:colOff>516960</xdr:colOff>
      <xdr:row>71</xdr:row>
      <xdr:rowOff>42120</xdr:rowOff>
    </xdr:to>
    <xdr:pic>
      <xdr:nvPicPr>
        <xdr:cNvPr id="66" name="Obrázek 19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692560" y="12506400"/>
          <a:ext cx="876960" cy="1956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254880</xdr:colOff>
      <xdr:row>44</xdr:row>
      <xdr:rowOff>159480</xdr:rowOff>
    </xdr:from>
    <xdr:to>
      <xdr:col>9</xdr:col>
      <xdr:colOff>498240</xdr:colOff>
      <xdr:row>55</xdr:row>
      <xdr:rowOff>23400</xdr:rowOff>
    </xdr:to>
    <xdr:pic>
      <xdr:nvPicPr>
        <xdr:cNvPr id="67" name="Obrázek 20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8661600" y="9588960"/>
          <a:ext cx="889200" cy="19594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68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44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321840</xdr:colOff>
      <xdr:row>5</xdr:row>
      <xdr:rowOff>38160</xdr:rowOff>
    </xdr:from>
    <xdr:to>
      <xdr:col>12</xdr:col>
      <xdr:colOff>180720</xdr:colOff>
      <xdr:row>14</xdr:row>
      <xdr:rowOff>104400</xdr:rowOff>
    </xdr:to>
    <xdr:pic>
      <xdr:nvPicPr>
        <xdr:cNvPr id="69" name="Obrázek 23">
          <a:extLst>
            <a:ext uri="{FF2B5EF4-FFF2-40B4-BE49-F238E27FC236}">
              <a16:creationId xmlns:a16="http://schemas.microsoft.com/office/drawing/2014/main" id="{00000000-0008-0000-0600-000045000000}"/>
            </a:ext>
          </a:extLst>
        </xdr:cNvPr>
        <xdr:cNvPicPr/>
      </xdr:nvPicPr>
      <xdr:blipFill>
        <a:blip xmlns:r="http://schemas.openxmlformats.org/officeDocument/2006/relationships" r:embed="rId4"/>
        <a:srcRect l="8661" t="3935" r="7951" b="7152"/>
        <a:stretch/>
      </xdr:blipFill>
      <xdr:spPr>
        <a:xfrm>
          <a:off x="8728560" y="1295280"/>
          <a:ext cx="2441880" cy="2695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142920</xdr:colOff>
      <xdr:row>5</xdr:row>
      <xdr:rowOff>0</xdr:rowOff>
    </xdr:from>
    <xdr:to>
      <xdr:col>8</xdr:col>
      <xdr:colOff>285480</xdr:colOff>
      <xdr:row>13</xdr:row>
      <xdr:rowOff>28080</xdr:rowOff>
    </xdr:to>
    <xdr:pic>
      <xdr:nvPicPr>
        <xdr:cNvPr id="70" name="Obrázek 24">
          <a:extLst>
            <a:ext uri="{FF2B5EF4-FFF2-40B4-BE49-F238E27FC236}">
              <a16:creationId xmlns:a16="http://schemas.microsoft.com/office/drawing/2014/main" id="{00000000-0008-0000-0600-000046000000}"/>
            </a:ext>
          </a:extLst>
        </xdr:cNvPr>
        <xdr:cNvPicPr/>
      </xdr:nvPicPr>
      <xdr:blipFill>
        <a:blip xmlns:r="http://schemas.openxmlformats.org/officeDocument/2006/relationships" r:embed="rId5"/>
        <a:srcRect l="11757" r="12174" b="3005"/>
        <a:stretch/>
      </xdr:blipFill>
      <xdr:spPr>
        <a:xfrm>
          <a:off x="6612120" y="1257120"/>
          <a:ext cx="2080080" cy="247608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142920</xdr:colOff>
      <xdr:row>18</xdr:row>
      <xdr:rowOff>28440</xdr:rowOff>
    </xdr:from>
    <xdr:to>
      <xdr:col>12</xdr:col>
      <xdr:colOff>475920</xdr:colOff>
      <xdr:row>53</xdr:row>
      <xdr:rowOff>123480</xdr:rowOff>
    </xdr:to>
    <xdr:sp macro="" textlink="">
      <xdr:nvSpPr>
        <xdr:cNvPr id="73" name="CustomShape 1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SpPr/>
      </xdr:nvSpPr>
      <xdr:spPr>
        <a:xfrm>
          <a:off x="6612120" y="4743000"/>
          <a:ext cx="4853520" cy="75722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 Standard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Dvoudrátový systém DUO Standard je navržen tak, aby splnil potřeby a přání běžných uživatelů. Zvonková tabla i domácí telefony se snadno ovládají, umožňují jednoduchou montáž a při komunikaci zajišťují kvalitní audio přenos.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je plně funkční i na stávajících neporušených rozvodech a je určen především pro komunikaci v bytových domech a větších komerčních objektech.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(volitelný) na čip/kartu,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celoplošné podsvětlení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 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15</xdr:row>
      <xdr:rowOff>123840</xdr:rowOff>
    </xdr:from>
    <xdr:to>
      <xdr:col>8</xdr:col>
      <xdr:colOff>114120</xdr:colOff>
      <xdr:row>17</xdr:row>
      <xdr:rowOff>228240</xdr:rowOff>
    </xdr:to>
    <xdr:sp macro="" textlink="">
      <xdr:nvSpPr>
        <xdr:cNvPr id="74" name="CustomShape 1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SpPr/>
      </xdr:nvSpPr>
      <xdr:spPr>
        <a:xfrm>
          <a:off x="6859800" y="4181400"/>
          <a:ext cx="1661040" cy="4759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28440</xdr:colOff>
      <xdr:row>15</xdr:row>
      <xdr:rowOff>133200</xdr:rowOff>
    </xdr:from>
    <xdr:to>
      <xdr:col>12</xdr:col>
      <xdr:colOff>28080</xdr:colOff>
      <xdr:row>17</xdr:row>
      <xdr:rowOff>228240</xdr:rowOff>
    </xdr:to>
    <xdr:sp macro="" textlink="">
      <xdr:nvSpPr>
        <xdr:cNvPr id="75" name="CustomShape 1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SpPr/>
      </xdr:nvSpPr>
      <xdr:spPr>
        <a:xfrm>
          <a:off x="9081000" y="4190760"/>
          <a:ext cx="1936800" cy="4665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76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476280</xdr:colOff>
      <xdr:row>5</xdr:row>
      <xdr:rowOff>9360</xdr:rowOff>
    </xdr:from>
    <xdr:to>
      <xdr:col>12</xdr:col>
      <xdr:colOff>304560</xdr:colOff>
      <xdr:row>15</xdr:row>
      <xdr:rowOff>123480</xdr:rowOff>
    </xdr:to>
    <xdr:pic>
      <xdr:nvPicPr>
        <xdr:cNvPr id="77" name="Obrázek 12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PicPr/>
      </xdr:nvPicPr>
      <xdr:blipFill>
        <a:blip xmlns:r="http://schemas.openxmlformats.org/officeDocument/2006/relationships" r:embed="rId2"/>
        <a:srcRect b="2857"/>
        <a:stretch/>
      </xdr:blipFill>
      <xdr:spPr>
        <a:xfrm>
          <a:off x="8883000" y="1266480"/>
          <a:ext cx="2411280" cy="29145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190440</xdr:colOff>
      <xdr:row>5</xdr:row>
      <xdr:rowOff>104760</xdr:rowOff>
    </xdr:from>
    <xdr:to>
      <xdr:col>8</xdr:col>
      <xdr:colOff>390240</xdr:colOff>
      <xdr:row>15</xdr:row>
      <xdr:rowOff>37800</xdr:rowOff>
    </xdr:to>
    <xdr:pic>
      <xdr:nvPicPr>
        <xdr:cNvPr id="78" name="Obrázek 13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6659640" y="1361880"/>
          <a:ext cx="2137320" cy="27334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114303</xdr:colOff>
      <xdr:row>93</xdr:row>
      <xdr:rowOff>116697</xdr:rowOff>
    </xdr:from>
    <xdr:to>
      <xdr:col>12</xdr:col>
      <xdr:colOff>565237</xdr:colOff>
      <xdr:row>103</xdr:row>
      <xdr:rowOff>54717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DEC215A6-0891-4FCC-849D-487649CC68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2189" y="21779268"/>
          <a:ext cx="4984834" cy="1810363"/>
        </a:xfrm>
        <a:prstGeom prst="rect">
          <a:avLst/>
        </a:prstGeom>
      </xdr:spPr>
    </xdr:pic>
    <xdr:clientData/>
  </xdr:twoCellAnchor>
  <xdr:twoCellAnchor editAs="oneCell">
    <xdr:from>
      <xdr:col>5</xdr:col>
      <xdr:colOff>122788</xdr:colOff>
      <xdr:row>80</xdr:row>
      <xdr:rowOff>0</xdr:rowOff>
    </xdr:from>
    <xdr:to>
      <xdr:col>12</xdr:col>
      <xdr:colOff>569995</xdr:colOff>
      <xdr:row>92</xdr:row>
      <xdr:rowOff>138472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E0746045-7C97-44F8-BBE2-83CBE7FD70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0674" y="18244457"/>
          <a:ext cx="4981107" cy="337152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142920</xdr:colOff>
      <xdr:row>17</xdr:row>
      <xdr:rowOff>9360</xdr:rowOff>
    </xdr:from>
    <xdr:to>
      <xdr:col>12</xdr:col>
      <xdr:colOff>523440</xdr:colOff>
      <xdr:row>82</xdr:row>
      <xdr:rowOff>256680</xdr:rowOff>
    </xdr:to>
    <xdr:sp macro="" textlink="">
      <xdr:nvSpPr>
        <xdr:cNvPr id="82" name="CustomShape 1">
          <a:extLst>
            <a:ext uri="{FF2B5EF4-FFF2-40B4-BE49-F238E27FC236}">
              <a16:creationId xmlns:a16="http://schemas.microsoft.com/office/drawing/2014/main" id="{00000000-0008-0000-0800-000052000000}"/>
            </a:ext>
          </a:extLst>
        </xdr:cNvPr>
        <xdr:cNvSpPr/>
      </xdr:nvSpPr>
      <xdr:spPr>
        <a:xfrm>
          <a:off x="6612120" y="4438440"/>
          <a:ext cx="4901040" cy="125344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Dvoudrátový systém DUO Standard je navržen tak, aby splnil potřeby a přání běžných uživatelů. Zvonková tabla i domácí telefony se snadno ovládají, umožňují jednoduchou montáž a při komunikaci zajišťují kvalitní audio přenos.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je plně funkční i na stávajících neporušených rozvodech a je určen především pro komunikaci v bytových domech a větších komerčních objektech.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(volitelný) na čip/kartu,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celoplošné podsvětlení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</a:t>
          </a:r>
          <a:br/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br/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Umístění čtečky bezkontaktního přístupového systému BIS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v tlačítkových tablech GENOVA - DUO (dvoudrát)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2tl.,4tl.,6tl.,14tl.,26tl.,24tl.,36tl.,34tl.,36tl.,44tl.,46tl.,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MALÁ JMENOVKA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8tl.,10tl.,12tl.,18tl.,20tl.,22tl.,28tl.,30tl.,32tl.,38tl.,40tl.,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 6 TL. BEZ KOMUNIKACE S JEDNÍM OKÝNKEM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228600</xdr:colOff>
      <xdr:row>58</xdr:row>
      <xdr:rowOff>28440</xdr:rowOff>
    </xdr:from>
    <xdr:to>
      <xdr:col>9</xdr:col>
      <xdr:colOff>459720</xdr:colOff>
      <xdr:row>68</xdr:row>
      <xdr:rowOff>175320</xdr:rowOff>
    </xdr:to>
    <xdr:pic>
      <xdr:nvPicPr>
        <xdr:cNvPr id="83" name="Obrázek 19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635320" y="12096360"/>
          <a:ext cx="876960" cy="1956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226080</xdr:colOff>
      <xdr:row>43</xdr:row>
      <xdr:rowOff>83160</xdr:rowOff>
    </xdr:from>
    <xdr:to>
      <xdr:col>9</xdr:col>
      <xdr:colOff>469440</xdr:colOff>
      <xdr:row>53</xdr:row>
      <xdr:rowOff>23400</xdr:rowOff>
    </xdr:to>
    <xdr:pic>
      <xdr:nvPicPr>
        <xdr:cNvPr id="84" name="Obrázek 20">
          <a:extLst>
            <a:ext uri="{FF2B5EF4-FFF2-40B4-BE49-F238E27FC236}">
              <a16:creationId xmlns:a16="http://schemas.microsoft.com/office/drawing/2014/main" id="{00000000-0008-0000-0800-00005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8632800" y="9227160"/>
          <a:ext cx="889200" cy="19594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85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55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447840</xdr:colOff>
      <xdr:row>5</xdr:row>
      <xdr:rowOff>104760</xdr:rowOff>
    </xdr:from>
    <xdr:to>
      <xdr:col>12</xdr:col>
      <xdr:colOff>209520</xdr:colOff>
      <xdr:row>14</xdr:row>
      <xdr:rowOff>56880</xdr:rowOff>
    </xdr:to>
    <xdr:pic>
      <xdr:nvPicPr>
        <xdr:cNvPr id="86" name="Obrázek 24">
          <a:extLst>
            <a:ext uri="{FF2B5EF4-FFF2-40B4-BE49-F238E27FC236}">
              <a16:creationId xmlns:a16="http://schemas.microsoft.com/office/drawing/2014/main" id="{00000000-0008-0000-0800-000056000000}"/>
            </a:ext>
          </a:extLst>
        </xdr:cNvPr>
        <xdr:cNvPicPr/>
      </xdr:nvPicPr>
      <xdr:blipFill>
        <a:blip xmlns:r="http://schemas.openxmlformats.org/officeDocument/2006/relationships" r:embed="rId4"/>
        <a:srcRect l="8661" t="3935" r="7951" b="7152"/>
        <a:stretch/>
      </xdr:blipFill>
      <xdr:spPr>
        <a:xfrm>
          <a:off x="8854560" y="1361880"/>
          <a:ext cx="2344680" cy="2581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162000</xdr:colOff>
      <xdr:row>5</xdr:row>
      <xdr:rowOff>28440</xdr:rowOff>
    </xdr:from>
    <xdr:to>
      <xdr:col>8</xdr:col>
      <xdr:colOff>304560</xdr:colOff>
      <xdr:row>13</xdr:row>
      <xdr:rowOff>56520</xdr:rowOff>
    </xdr:to>
    <xdr:pic>
      <xdr:nvPicPr>
        <xdr:cNvPr id="87" name="Obrázek 25">
          <a:extLst>
            <a:ext uri="{FF2B5EF4-FFF2-40B4-BE49-F238E27FC236}">
              <a16:creationId xmlns:a16="http://schemas.microsoft.com/office/drawing/2014/main" id="{00000000-0008-0000-0800-000057000000}"/>
            </a:ext>
          </a:extLst>
        </xdr:cNvPr>
        <xdr:cNvPicPr/>
      </xdr:nvPicPr>
      <xdr:blipFill>
        <a:blip xmlns:r="http://schemas.openxmlformats.org/officeDocument/2006/relationships" r:embed="rId5"/>
        <a:srcRect l="11757" r="12174" b="3005"/>
        <a:stretch/>
      </xdr:blipFill>
      <xdr:spPr>
        <a:xfrm>
          <a:off x="6631200" y="1285560"/>
          <a:ext cx="2080080" cy="24760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9</xdr:col>
      <xdr:colOff>28440</xdr:colOff>
      <xdr:row>13</xdr:row>
      <xdr:rowOff>133200</xdr:rowOff>
    </xdr:from>
    <xdr:to>
      <xdr:col>12</xdr:col>
      <xdr:colOff>28080</xdr:colOff>
      <xdr:row>16</xdr:row>
      <xdr:rowOff>104400</xdr:rowOff>
    </xdr:to>
    <xdr:sp macro="" textlink="">
      <xdr:nvSpPr>
        <xdr:cNvPr id="91" name="CustomShape 1">
          <a:extLst>
            <a:ext uri="{FF2B5EF4-FFF2-40B4-BE49-F238E27FC236}">
              <a16:creationId xmlns:a16="http://schemas.microsoft.com/office/drawing/2014/main" id="{00000000-0008-0000-0800-00005B000000}"/>
            </a:ext>
          </a:extLst>
        </xdr:cNvPr>
        <xdr:cNvSpPr/>
      </xdr:nvSpPr>
      <xdr:spPr>
        <a:xfrm>
          <a:off x="9081000" y="3838320"/>
          <a:ext cx="1936800" cy="5140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13</xdr:row>
      <xdr:rowOff>123840</xdr:rowOff>
    </xdr:from>
    <xdr:to>
      <xdr:col>8</xdr:col>
      <xdr:colOff>114120</xdr:colOff>
      <xdr:row>16</xdr:row>
      <xdr:rowOff>104400</xdr:rowOff>
    </xdr:to>
    <xdr:sp macro="" textlink="">
      <xdr:nvSpPr>
        <xdr:cNvPr id="92" name="CustomShape 1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SpPr/>
      </xdr:nvSpPr>
      <xdr:spPr>
        <a:xfrm>
          <a:off x="6859800" y="3828960"/>
          <a:ext cx="1661040" cy="52344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352440</xdr:colOff>
      <xdr:row>17</xdr:row>
      <xdr:rowOff>9360</xdr:rowOff>
    </xdr:from>
    <xdr:to>
      <xdr:col>12</xdr:col>
      <xdr:colOff>275760</xdr:colOff>
      <xdr:row>72</xdr:row>
      <xdr:rowOff>37440</xdr:rowOff>
    </xdr:to>
    <xdr:sp macro="" textlink="">
      <xdr:nvSpPr>
        <xdr:cNvPr id="93" name="CustomShape 1">
          <a:extLst>
            <a:ext uri="{FF2B5EF4-FFF2-40B4-BE49-F238E27FC236}">
              <a16:creationId xmlns:a16="http://schemas.microsoft.com/office/drawing/2014/main" id="{00000000-0008-0000-0900-00005D000000}"/>
            </a:ext>
          </a:extLst>
        </xdr:cNvPr>
        <xdr:cNvSpPr/>
      </xdr:nvSpPr>
      <xdr:spPr>
        <a:xfrm>
          <a:off x="6821640" y="4428720"/>
          <a:ext cx="4443840" cy="102009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Umístění čtečky bezkontaktního přístupového systému BIS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v tlačítkových tablech GENOVA - DUO (dvoudrát)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2tl.,4tl.,6tl.,14tl.,26tl.,24tl.,36tl.,34tl.,36tl.,44tl.,46tl.,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MALÁ JMENOVKA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8tl.,10tl.,12tl.,18tl.,20tl.,22tl.,28tl.,30tl.,32tl.,38tl.,40tl.,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 6 TL. BEZ KOMUNIKACE S JEDNÍM OKÝNKEM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133200</xdr:colOff>
      <xdr:row>4</xdr:row>
      <xdr:rowOff>47520</xdr:rowOff>
    </xdr:from>
    <xdr:to>
      <xdr:col>12</xdr:col>
      <xdr:colOff>583920</xdr:colOff>
      <xdr:row>16</xdr:row>
      <xdr:rowOff>54360</xdr:rowOff>
    </xdr:to>
    <xdr:pic>
      <xdr:nvPicPr>
        <xdr:cNvPr id="94" name="Obrázek 14">
          <a:extLst>
            <a:ext uri="{FF2B5EF4-FFF2-40B4-BE49-F238E27FC236}">
              <a16:creationId xmlns:a16="http://schemas.microsoft.com/office/drawing/2014/main" id="{00000000-0008-0000-0900-00005E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539920" y="1114200"/>
          <a:ext cx="3033720" cy="3178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142920</xdr:colOff>
      <xdr:row>3</xdr:row>
      <xdr:rowOff>188280</xdr:rowOff>
    </xdr:from>
    <xdr:to>
      <xdr:col>8</xdr:col>
      <xdr:colOff>313920</xdr:colOff>
      <xdr:row>14</xdr:row>
      <xdr:rowOff>55800</xdr:rowOff>
    </xdr:to>
    <xdr:pic>
      <xdr:nvPicPr>
        <xdr:cNvPr id="95" name="Obrázek 16">
          <a:extLst>
            <a:ext uri="{FF2B5EF4-FFF2-40B4-BE49-F238E27FC236}">
              <a16:creationId xmlns:a16="http://schemas.microsoft.com/office/drawing/2014/main" id="{00000000-0008-0000-0900-00005F000000}"/>
            </a:ext>
          </a:extLst>
        </xdr:cNvPr>
        <xdr:cNvPicPr/>
      </xdr:nvPicPr>
      <xdr:blipFill>
        <a:blip xmlns:r="http://schemas.openxmlformats.org/officeDocument/2006/relationships" r:embed="rId2"/>
        <a:srcRect l="15132" r="16147"/>
        <a:stretch/>
      </xdr:blipFill>
      <xdr:spPr>
        <a:xfrm>
          <a:off x="6612120" y="1064520"/>
          <a:ext cx="2108520" cy="28677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9</xdr:col>
      <xdr:colOff>28440</xdr:colOff>
      <xdr:row>13</xdr:row>
      <xdr:rowOff>133200</xdr:rowOff>
    </xdr:from>
    <xdr:to>
      <xdr:col>12</xdr:col>
      <xdr:colOff>28080</xdr:colOff>
      <xdr:row>16</xdr:row>
      <xdr:rowOff>104400</xdr:rowOff>
    </xdr:to>
    <xdr:sp macro="" textlink="">
      <xdr:nvSpPr>
        <xdr:cNvPr id="96" name="CustomShape 1">
          <a:extLst>
            <a:ext uri="{FF2B5EF4-FFF2-40B4-BE49-F238E27FC236}">
              <a16:creationId xmlns:a16="http://schemas.microsoft.com/office/drawing/2014/main" id="{00000000-0008-0000-0900-000060000000}"/>
            </a:ext>
          </a:extLst>
        </xdr:cNvPr>
        <xdr:cNvSpPr/>
      </xdr:nvSpPr>
      <xdr:spPr>
        <a:xfrm>
          <a:off x="9081000" y="3828600"/>
          <a:ext cx="1936800" cy="5140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13</xdr:row>
      <xdr:rowOff>123840</xdr:rowOff>
    </xdr:from>
    <xdr:to>
      <xdr:col>8</xdr:col>
      <xdr:colOff>114120</xdr:colOff>
      <xdr:row>16</xdr:row>
      <xdr:rowOff>95040</xdr:rowOff>
    </xdr:to>
    <xdr:sp macro="" textlink="">
      <xdr:nvSpPr>
        <xdr:cNvPr id="97" name="CustomShape 1">
          <a:extLst>
            <a:ext uri="{FF2B5EF4-FFF2-40B4-BE49-F238E27FC236}">
              <a16:creationId xmlns:a16="http://schemas.microsoft.com/office/drawing/2014/main" id="{00000000-0008-0000-0900-000061000000}"/>
            </a:ext>
          </a:extLst>
        </xdr:cNvPr>
        <xdr:cNvSpPr/>
      </xdr:nvSpPr>
      <xdr:spPr>
        <a:xfrm>
          <a:off x="6859800" y="3819240"/>
          <a:ext cx="1661040" cy="5140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247680</xdr:colOff>
      <xdr:row>36</xdr:row>
      <xdr:rowOff>38160</xdr:rowOff>
    </xdr:from>
    <xdr:to>
      <xdr:col>9</xdr:col>
      <xdr:colOff>478800</xdr:colOff>
      <xdr:row>46</xdr:row>
      <xdr:rowOff>146880</xdr:rowOff>
    </xdr:to>
    <xdr:pic>
      <xdr:nvPicPr>
        <xdr:cNvPr id="98" name="Obrázek 19">
          <a:extLst>
            <a:ext uri="{FF2B5EF4-FFF2-40B4-BE49-F238E27FC236}">
              <a16:creationId xmlns:a16="http://schemas.microsoft.com/office/drawing/2014/main" id="{00000000-0008-0000-0900-000062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8654400" y="7896240"/>
          <a:ext cx="876960" cy="2137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235800</xdr:colOff>
      <xdr:row>21</xdr:row>
      <xdr:rowOff>169200</xdr:rowOff>
    </xdr:from>
    <xdr:to>
      <xdr:col>9</xdr:col>
      <xdr:colOff>479160</xdr:colOff>
      <xdr:row>32</xdr:row>
      <xdr:rowOff>137880</xdr:rowOff>
    </xdr:to>
    <xdr:pic>
      <xdr:nvPicPr>
        <xdr:cNvPr id="99" name="Obrázek 20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8642520" y="5312520"/>
          <a:ext cx="889200" cy="195948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00" name="CustomShape 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64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11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6F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352440</xdr:colOff>
      <xdr:row>17</xdr:row>
      <xdr:rowOff>9360</xdr:rowOff>
    </xdr:from>
    <xdr:to>
      <xdr:col>12</xdr:col>
      <xdr:colOff>275760</xdr:colOff>
      <xdr:row>72</xdr:row>
      <xdr:rowOff>37440</xdr:rowOff>
    </xdr:to>
    <xdr:sp macro="" textlink="">
      <xdr:nvSpPr>
        <xdr:cNvPr id="112" name="CustomShape 1">
          <a:extLst>
            <a:ext uri="{FF2B5EF4-FFF2-40B4-BE49-F238E27FC236}">
              <a16:creationId xmlns:a16="http://schemas.microsoft.com/office/drawing/2014/main" id="{00000000-0008-0000-0C00-000070000000}"/>
            </a:ext>
          </a:extLst>
        </xdr:cNvPr>
        <xdr:cNvSpPr/>
      </xdr:nvSpPr>
      <xdr:spPr>
        <a:xfrm>
          <a:off x="6821640" y="4428720"/>
          <a:ext cx="4443840" cy="102009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Umístění čtečky bezkontaktního přístupového systému BIS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v tlačítkových tablech GENOVA - DUO (dvoudrát)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2tl.,4tl.,6tl.,14tl.,26tl.,24tl.,36tl.,34tl.,36tl.,44tl.,46tl.,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MALÁ JMENOVKA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8tl.,10tl.,12tl.,18tl.,20tl.,22tl.,28tl.,30tl.,32tl.,38tl.,40tl., ... atd.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i="1" strike="noStrike" spc="-1">
              <a:solidFill>
                <a:srgbClr val="000000"/>
              </a:solidFill>
              <a:latin typeface="Tahoma"/>
              <a:ea typeface="Tahoma"/>
            </a:rPr>
            <a:t>MODUL  6 TL. BEZ KOMUNIKACE S JEDNÍM OKÝNKEM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133200</xdr:colOff>
      <xdr:row>4</xdr:row>
      <xdr:rowOff>47520</xdr:rowOff>
    </xdr:from>
    <xdr:to>
      <xdr:col>12</xdr:col>
      <xdr:colOff>583920</xdr:colOff>
      <xdr:row>16</xdr:row>
      <xdr:rowOff>54360</xdr:rowOff>
    </xdr:to>
    <xdr:pic>
      <xdr:nvPicPr>
        <xdr:cNvPr id="113" name="Obrázek 26">
          <a:extLst>
            <a:ext uri="{FF2B5EF4-FFF2-40B4-BE49-F238E27FC236}">
              <a16:creationId xmlns:a16="http://schemas.microsoft.com/office/drawing/2014/main" id="{00000000-0008-0000-0C00-000071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8539920" y="1114200"/>
          <a:ext cx="3033720" cy="3178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142920</xdr:colOff>
      <xdr:row>3</xdr:row>
      <xdr:rowOff>188280</xdr:rowOff>
    </xdr:from>
    <xdr:to>
      <xdr:col>8</xdr:col>
      <xdr:colOff>313920</xdr:colOff>
      <xdr:row>14</xdr:row>
      <xdr:rowOff>55800</xdr:rowOff>
    </xdr:to>
    <xdr:pic>
      <xdr:nvPicPr>
        <xdr:cNvPr id="114" name="Obrázek 27">
          <a:extLst>
            <a:ext uri="{FF2B5EF4-FFF2-40B4-BE49-F238E27FC236}">
              <a16:creationId xmlns:a16="http://schemas.microsoft.com/office/drawing/2014/main" id="{00000000-0008-0000-0C00-000072000000}"/>
            </a:ext>
          </a:extLst>
        </xdr:cNvPr>
        <xdr:cNvPicPr/>
      </xdr:nvPicPr>
      <xdr:blipFill>
        <a:blip xmlns:r="http://schemas.openxmlformats.org/officeDocument/2006/relationships" r:embed="rId3"/>
        <a:srcRect l="15132" r="16147"/>
        <a:stretch/>
      </xdr:blipFill>
      <xdr:spPr>
        <a:xfrm>
          <a:off x="6612120" y="1064520"/>
          <a:ext cx="2108520" cy="28677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9</xdr:col>
      <xdr:colOff>28440</xdr:colOff>
      <xdr:row>13</xdr:row>
      <xdr:rowOff>133200</xdr:rowOff>
    </xdr:from>
    <xdr:to>
      <xdr:col>12</xdr:col>
      <xdr:colOff>28080</xdr:colOff>
      <xdr:row>16</xdr:row>
      <xdr:rowOff>132840</xdr:rowOff>
    </xdr:to>
    <xdr:sp macro="" textlink="">
      <xdr:nvSpPr>
        <xdr:cNvPr id="115" name="CustomShape 1">
          <a:extLst>
            <a:ext uri="{FF2B5EF4-FFF2-40B4-BE49-F238E27FC236}">
              <a16:creationId xmlns:a16="http://schemas.microsoft.com/office/drawing/2014/main" id="{00000000-0008-0000-0C00-000073000000}"/>
            </a:ext>
          </a:extLst>
        </xdr:cNvPr>
        <xdr:cNvSpPr/>
      </xdr:nvSpPr>
      <xdr:spPr>
        <a:xfrm>
          <a:off x="9081000" y="3828600"/>
          <a:ext cx="1936800" cy="5425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DO RÁMKU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390600</xdr:colOff>
      <xdr:row>13</xdr:row>
      <xdr:rowOff>123840</xdr:rowOff>
    </xdr:from>
    <xdr:to>
      <xdr:col>8</xdr:col>
      <xdr:colOff>114120</xdr:colOff>
      <xdr:row>16</xdr:row>
      <xdr:rowOff>180720</xdr:rowOff>
    </xdr:to>
    <xdr:sp macro="" textlink="">
      <xdr:nvSpPr>
        <xdr:cNvPr id="116" name="CustomShape 1">
          <a:extLst>
            <a:ext uri="{FF2B5EF4-FFF2-40B4-BE49-F238E27FC236}">
              <a16:creationId xmlns:a16="http://schemas.microsoft.com/office/drawing/2014/main" id="{00000000-0008-0000-0C00-000074000000}"/>
            </a:ext>
          </a:extLst>
        </xdr:cNvPr>
        <xdr:cNvSpPr/>
      </xdr:nvSpPr>
      <xdr:spPr>
        <a:xfrm>
          <a:off x="6859800" y="3819240"/>
          <a:ext cx="1661040" cy="59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ZVONKOVÉ TABLO          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1" strike="noStrike" spc="-1">
              <a:solidFill>
                <a:srgbClr val="000000"/>
              </a:solidFill>
              <a:latin typeface="Tahoma"/>
              <a:ea typeface="Tahoma"/>
            </a:rPr>
            <a:t>VE STŘÍŠCE</a:t>
          </a:r>
          <a:endParaRPr lang="cs-CZ" sz="900" b="0" strike="noStrike" spc="-1">
            <a:latin typeface="Times New Roman"/>
          </a:endParaRPr>
        </a:p>
      </xdr:txBody>
    </xdr:sp>
    <xdr:clientData/>
  </xdr:twoCellAnchor>
  <xdr:twoCellAnchor editAs="oneCell">
    <xdr:from>
      <xdr:col>8</xdr:col>
      <xdr:colOff>171360</xdr:colOff>
      <xdr:row>36</xdr:row>
      <xdr:rowOff>38160</xdr:rowOff>
    </xdr:from>
    <xdr:to>
      <xdr:col>9</xdr:col>
      <xdr:colOff>402480</xdr:colOff>
      <xdr:row>46</xdr:row>
      <xdr:rowOff>146880</xdr:rowOff>
    </xdr:to>
    <xdr:pic>
      <xdr:nvPicPr>
        <xdr:cNvPr id="117" name="Obrázek 30">
          <a:extLst>
            <a:ext uri="{FF2B5EF4-FFF2-40B4-BE49-F238E27FC236}">
              <a16:creationId xmlns:a16="http://schemas.microsoft.com/office/drawing/2014/main" id="{00000000-0008-0000-0C00-000075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8578080" y="7896240"/>
          <a:ext cx="876960" cy="2137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159480</xdr:colOff>
      <xdr:row>22</xdr:row>
      <xdr:rowOff>16560</xdr:rowOff>
    </xdr:from>
    <xdr:to>
      <xdr:col>9</xdr:col>
      <xdr:colOff>402840</xdr:colOff>
      <xdr:row>32</xdr:row>
      <xdr:rowOff>166320</xdr:rowOff>
    </xdr:to>
    <xdr:pic>
      <xdr:nvPicPr>
        <xdr:cNvPr id="118" name="Obrázek 31">
          <a:extLst>
            <a:ext uri="{FF2B5EF4-FFF2-40B4-BE49-F238E27FC236}">
              <a16:creationId xmlns:a16="http://schemas.microsoft.com/office/drawing/2014/main" id="{00000000-0008-0000-0C00-000076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8566200" y="5340960"/>
          <a:ext cx="889200" cy="195948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29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81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5</xdr:col>
      <xdr:colOff>95400</xdr:colOff>
      <xdr:row>69</xdr:row>
      <xdr:rowOff>358560</xdr:rowOff>
    </xdr:from>
    <xdr:to>
      <xdr:col>7</xdr:col>
      <xdr:colOff>160920</xdr:colOff>
      <xdr:row>73</xdr:row>
      <xdr:rowOff>97920</xdr:rowOff>
    </xdr:to>
    <xdr:pic>
      <xdr:nvPicPr>
        <xdr:cNvPr id="130" name="Obrázek 39">
          <a:extLst>
            <a:ext uri="{FF2B5EF4-FFF2-40B4-BE49-F238E27FC236}">
              <a16:creationId xmlns:a16="http://schemas.microsoft.com/office/drawing/2014/main" id="{00000000-0008-0000-0F00-000082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6564600" y="739440"/>
          <a:ext cx="1357200" cy="13107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578520</xdr:colOff>
      <xdr:row>69</xdr:row>
      <xdr:rowOff>373680</xdr:rowOff>
    </xdr:from>
    <xdr:to>
      <xdr:col>9</xdr:col>
      <xdr:colOff>34560</xdr:colOff>
      <xdr:row>73</xdr:row>
      <xdr:rowOff>111600</xdr:rowOff>
    </xdr:to>
    <xdr:pic>
      <xdr:nvPicPr>
        <xdr:cNvPr id="131" name="Obrázek 40">
          <a:extLst>
            <a:ext uri="{FF2B5EF4-FFF2-40B4-BE49-F238E27FC236}">
              <a16:creationId xmlns:a16="http://schemas.microsoft.com/office/drawing/2014/main" id="{00000000-0008-0000-0F00-000083000000}"/>
            </a:ext>
          </a:extLst>
        </xdr:cNvPr>
        <xdr:cNvPicPr/>
      </xdr:nvPicPr>
      <xdr:blipFill>
        <a:blip xmlns:r="http://schemas.openxmlformats.org/officeDocument/2006/relationships" r:embed="rId3"/>
        <a:stretch/>
      </xdr:blipFill>
      <xdr:spPr>
        <a:xfrm>
          <a:off x="7693560" y="754560"/>
          <a:ext cx="1393560" cy="1309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90360</xdr:colOff>
      <xdr:row>73</xdr:row>
      <xdr:rowOff>39240</xdr:rowOff>
    </xdr:from>
    <xdr:to>
      <xdr:col>7</xdr:col>
      <xdr:colOff>154440</xdr:colOff>
      <xdr:row>77</xdr:row>
      <xdr:rowOff>140759</xdr:rowOff>
    </xdr:to>
    <xdr:pic>
      <xdr:nvPicPr>
        <xdr:cNvPr id="132" name="Obrázek 41">
          <a:extLst>
            <a:ext uri="{FF2B5EF4-FFF2-40B4-BE49-F238E27FC236}">
              <a16:creationId xmlns:a16="http://schemas.microsoft.com/office/drawing/2014/main" id="{00000000-0008-0000-0F00-000084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6559560" y="1991520"/>
          <a:ext cx="1355760" cy="13114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573840</xdr:colOff>
      <xdr:row>73</xdr:row>
      <xdr:rowOff>46440</xdr:rowOff>
    </xdr:from>
    <xdr:to>
      <xdr:col>9</xdr:col>
      <xdr:colOff>28080</xdr:colOff>
      <xdr:row>77</xdr:row>
      <xdr:rowOff>147959</xdr:rowOff>
    </xdr:to>
    <xdr:pic>
      <xdr:nvPicPr>
        <xdr:cNvPr id="133" name="Obrázek 42">
          <a:extLst>
            <a:ext uri="{FF2B5EF4-FFF2-40B4-BE49-F238E27FC236}">
              <a16:creationId xmlns:a16="http://schemas.microsoft.com/office/drawing/2014/main" id="{00000000-0008-0000-0F00-000085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7688880" y="1998720"/>
          <a:ext cx="1391760" cy="13114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590400</xdr:colOff>
      <xdr:row>70</xdr:row>
      <xdr:rowOff>152280</xdr:rowOff>
    </xdr:from>
    <xdr:to>
      <xdr:col>10</xdr:col>
      <xdr:colOff>513720</xdr:colOff>
      <xdr:row>77</xdr:row>
      <xdr:rowOff>75959</xdr:rowOff>
    </xdr:to>
    <xdr:pic>
      <xdr:nvPicPr>
        <xdr:cNvPr id="134" name="Obrázek 43">
          <a:extLst>
            <a:ext uri="{FF2B5EF4-FFF2-40B4-BE49-F238E27FC236}">
              <a16:creationId xmlns:a16="http://schemas.microsoft.com/office/drawing/2014/main" id="{00000000-0008-0000-0F00-000086000000}"/>
            </a:ext>
          </a:extLst>
        </xdr:cNvPr>
        <xdr:cNvPicPr/>
      </xdr:nvPicPr>
      <xdr:blipFill>
        <a:blip xmlns:r="http://schemas.openxmlformats.org/officeDocument/2006/relationships" r:embed="rId6"/>
        <a:srcRect l="10737" r="13410"/>
        <a:stretch/>
      </xdr:blipFill>
      <xdr:spPr>
        <a:xfrm>
          <a:off x="8997120" y="1028520"/>
          <a:ext cx="1214640" cy="2209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10</xdr:col>
      <xdr:colOff>590400</xdr:colOff>
      <xdr:row>70</xdr:row>
      <xdr:rowOff>159480</xdr:rowOff>
    </xdr:from>
    <xdr:to>
      <xdr:col>12</xdr:col>
      <xdr:colOff>437760</xdr:colOff>
      <xdr:row>77</xdr:row>
      <xdr:rowOff>83159</xdr:rowOff>
    </xdr:to>
    <xdr:pic>
      <xdr:nvPicPr>
        <xdr:cNvPr id="135" name="Obrázek 44">
          <a:extLst>
            <a:ext uri="{FF2B5EF4-FFF2-40B4-BE49-F238E27FC236}">
              <a16:creationId xmlns:a16="http://schemas.microsoft.com/office/drawing/2014/main" id="{00000000-0008-0000-0F00-000087000000}"/>
            </a:ext>
          </a:extLst>
        </xdr:cNvPr>
        <xdr:cNvPicPr/>
      </xdr:nvPicPr>
      <xdr:blipFill>
        <a:blip xmlns:r="http://schemas.openxmlformats.org/officeDocument/2006/relationships" r:embed="rId7"/>
        <a:srcRect l="14078" r="15152"/>
        <a:stretch/>
      </xdr:blipFill>
      <xdr:spPr>
        <a:xfrm>
          <a:off x="10288440" y="1035720"/>
          <a:ext cx="1139040" cy="2209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61920</xdr:colOff>
      <xdr:row>79</xdr:row>
      <xdr:rowOff>69120</xdr:rowOff>
    </xdr:from>
    <xdr:to>
      <xdr:col>7</xdr:col>
      <xdr:colOff>145080</xdr:colOff>
      <xdr:row>85</xdr:row>
      <xdr:rowOff>93240</xdr:rowOff>
    </xdr:to>
    <xdr:pic>
      <xdr:nvPicPr>
        <xdr:cNvPr id="136" name="Obrázek 45">
          <a:extLst>
            <a:ext uri="{FF2B5EF4-FFF2-40B4-BE49-F238E27FC236}">
              <a16:creationId xmlns:a16="http://schemas.microsoft.com/office/drawing/2014/main" id="{00000000-0008-0000-0F00-000088000000}"/>
            </a:ext>
          </a:extLst>
        </xdr:cNvPr>
        <xdr:cNvPicPr/>
      </xdr:nvPicPr>
      <xdr:blipFill>
        <a:blip xmlns:r="http://schemas.openxmlformats.org/officeDocument/2006/relationships" r:embed="rId8"/>
        <a:stretch/>
      </xdr:blipFill>
      <xdr:spPr>
        <a:xfrm>
          <a:off x="6531120" y="3593160"/>
          <a:ext cx="1374840" cy="13291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545040</xdr:colOff>
      <xdr:row>79</xdr:row>
      <xdr:rowOff>57240</xdr:rowOff>
    </xdr:from>
    <xdr:to>
      <xdr:col>9</xdr:col>
      <xdr:colOff>18720</xdr:colOff>
      <xdr:row>85</xdr:row>
      <xdr:rowOff>81360</xdr:rowOff>
    </xdr:to>
    <xdr:pic>
      <xdr:nvPicPr>
        <xdr:cNvPr id="137" name="Obrázek 46">
          <a:extLst>
            <a:ext uri="{FF2B5EF4-FFF2-40B4-BE49-F238E27FC236}">
              <a16:creationId xmlns:a16="http://schemas.microsoft.com/office/drawing/2014/main" id="{00000000-0008-0000-0F00-000089000000}"/>
            </a:ext>
          </a:extLst>
        </xdr:cNvPr>
        <xdr:cNvPicPr/>
      </xdr:nvPicPr>
      <xdr:blipFill>
        <a:blip xmlns:r="http://schemas.openxmlformats.org/officeDocument/2006/relationships" r:embed="rId9"/>
        <a:stretch/>
      </xdr:blipFill>
      <xdr:spPr>
        <a:xfrm>
          <a:off x="7660080" y="3581280"/>
          <a:ext cx="1411200" cy="13291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56880</xdr:colOff>
      <xdr:row>84</xdr:row>
      <xdr:rowOff>226080</xdr:rowOff>
    </xdr:from>
    <xdr:to>
      <xdr:col>7</xdr:col>
      <xdr:colOff>138240</xdr:colOff>
      <xdr:row>91</xdr:row>
      <xdr:rowOff>183241</xdr:rowOff>
    </xdr:to>
    <xdr:pic>
      <xdr:nvPicPr>
        <xdr:cNvPr id="138" name="Obrázek 47">
          <a:extLst>
            <a:ext uri="{FF2B5EF4-FFF2-40B4-BE49-F238E27FC236}">
              <a16:creationId xmlns:a16="http://schemas.microsoft.com/office/drawing/2014/main" id="{00000000-0008-0000-0F00-00008A000000}"/>
            </a:ext>
          </a:extLst>
        </xdr:cNvPr>
        <xdr:cNvPicPr/>
      </xdr:nvPicPr>
      <xdr:blipFill>
        <a:blip xmlns:r="http://schemas.openxmlformats.org/officeDocument/2006/relationships" r:embed="rId10"/>
        <a:stretch/>
      </xdr:blipFill>
      <xdr:spPr>
        <a:xfrm>
          <a:off x="6526080" y="4769280"/>
          <a:ext cx="1373040" cy="13287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6</xdr:col>
      <xdr:colOff>540360</xdr:colOff>
      <xdr:row>84</xdr:row>
      <xdr:rowOff>252360</xdr:rowOff>
    </xdr:from>
    <xdr:to>
      <xdr:col>9</xdr:col>
      <xdr:colOff>12240</xdr:colOff>
      <xdr:row>92</xdr:row>
      <xdr:rowOff>19081</xdr:rowOff>
    </xdr:to>
    <xdr:pic>
      <xdr:nvPicPr>
        <xdr:cNvPr id="139" name="Obrázek 48">
          <a:extLst>
            <a:ext uri="{FF2B5EF4-FFF2-40B4-BE49-F238E27FC236}">
              <a16:creationId xmlns:a16="http://schemas.microsoft.com/office/drawing/2014/main" id="{00000000-0008-0000-0F00-00008B000000}"/>
            </a:ext>
          </a:extLst>
        </xdr:cNvPr>
        <xdr:cNvPicPr/>
      </xdr:nvPicPr>
      <xdr:blipFill>
        <a:blip xmlns:r="http://schemas.openxmlformats.org/officeDocument/2006/relationships" r:embed="rId11"/>
        <a:stretch/>
      </xdr:blipFill>
      <xdr:spPr>
        <a:xfrm>
          <a:off x="7655400" y="4795560"/>
          <a:ext cx="1409400" cy="13287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8</xdr:col>
      <xdr:colOff>509400</xdr:colOff>
      <xdr:row>80</xdr:row>
      <xdr:rowOff>95400</xdr:rowOff>
    </xdr:from>
    <xdr:to>
      <xdr:col>11</xdr:col>
      <xdr:colOff>21240</xdr:colOff>
      <xdr:row>91</xdr:row>
      <xdr:rowOff>128160</xdr:rowOff>
    </xdr:to>
    <xdr:pic>
      <xdr:nvPicPr>
        <xdr:cNvPr id="140" name="Obrázek 49">
          <a:extLst>
            <a:ext uri="{FF2B5EF4-FFF2-40B4-BE49-F238E27FC236}">
              <a16:creationId xmlns:a16="http://schemas.microsoft.com/office/drawing/2014/main" id="{00000000-0008-0000-0F00-00008C000000}"/>
            </a:ext>
          </a:extLst>
        </xdr:cNvPr>
        <xdr:cNvPicPr/>
      </xdr:nvPicPr>
      <xdr:blipFill>
        <a:blip xmlns:r="http://schemas.openxmlformats.org/officeDocument/2006/relationships" r:embed="rId12"/>
        <a:stretch/>
      </xdr:blipFill>
      <xdr:spPr>
        <a:xfrm>
          <a:off x="8916120" y="3800520"/>
          <a:ext cx="1449000" cy="2242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10</xdr:col>
      <xdr:colOff>459360</xdr:colOff>
      <xdr:row>80</xdr:row>
      <xdr:rowOff>93600</xdr:rowOff>
    </xdr:from>
    <xdr:to>
      <xdr:col>12</xdr:col>
      <xdr:colOff>580680</xdr:colOff>
      <xdr:row>91</xdr:row>
      <xdr:rowOff>125640</xdr:rowOff>
    </xdr:to>
    <xdr:pic>
      <xdr:nvPicPr>
        <xdr:cNvPr id="141" name="Obrázek 50">
          <a:extLst>
            <a:ext uri="{FF2B5EF4-FFF2-40B4-BE49-F238E27FC236}">
              <a16:creationId xmlns:a16="http://schemas.microsoft.com/office/drawing/2014/main" id="{00000000-0008-0000-0F00-00008D000000}"/>
            </a:ext>
          </a:extLst>
        </xdr:cNvPr>
        <xdr:cNvPicPr/>
      </xdr:nvPicPr>
      <xdr:blipFill>
        <a:blip xmlns:r="http://schemas.openxmlformats.org/officeDocument/2006/relationships" r:embed="rId13"/>
        <a:stretch/>
      </xdr:blipFill>
      <xdr:spPr>
        <a:xfrm>
          <a:off x="10157400" y="3798720"/>
          <a:ext cx="1413000" cy="22417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370065</xdr:colOff>
      <xdr:row>19</xdr:row>
      <xdr:rowOff>16327</xdr:rowOff>
    </xdr:from>
    <xdr:to>
      <xdr:col>7</xdr:col>
      <xdr:colOff>293346</xdr:colOff>
      <xdr:row>24</xdr:row>
      <xdr:rowOff>2409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209E6A-8B7D-49E3-85C1-D77BD39A5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951" y="5845627"/>
          <a:ext cx="1218681" cy="1123639"/>
        </a:xfrm>
        <a:prstGeom prst="rect">
          <a:avLst/>
        </a:prstGeom>
      </xdr:spPr>
    </xdr:pic>
    <xdr:clientData/>
  </xdr:twoCellAnchor>
  <xdr:twoCellAnchor editAs="oneCell">
    <xdr:from>
      <xdr:col>8</xdr:col>
      <xdr:colOff>266481</xdr:colOff>
      <xdr:row>19</xdr:row>
      <xdr:rowOff>15993</xdr:rowOff>
    </xdr:from>
    <xdr:to>
      <xdr:col>10</xdr:col>
      <xdr:colOff>190528</xdr:colOff>
      <xdr:row>24</xdr:row>
      <xdr:rowOff>1137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3801455-97AB-47F0-8C82-6465A529FB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7467" y="5845293"/>
          <a:ext cx="1219447" cy="1122701"/>
        </a:xfrm>
        <a:prstGeom prst="rect">
          <a:avLst/>
        </a:prstGeom>
      </xdr:spPr>
    </xdr:pic>
    <xdr:clientData/>
  </xdr:twoCellAnchor>
  <xdr:twoCellAnchor editAs="oneCell">
    <xdr:from>
      <xdr:col>5</xdr:col>
      <xdr:colOff>372022</xdr:colOff>
      <xdr:row>25</xdr:row>
      <xdr:rowOff>19810</xdr:rowOff>
    </xdr:from>
    <xdr:to>
      <xdr:col>7</xdr:col>
      <xdr:colOff>295302</xdr:colOff>
      <xdr:row>30</xdr:row>
      <xdr:rowOff>5125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41A384E0-D005-49E4-A4DC-1F4D4314C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9908" y="7177167"/>
          <a:ext cx="1218680" cy="1122872"/>
        </a:xfrm>
        <a:prstGeom prst="rect">
          <a:avLst/>
        </a:prstGeom>
      </xdr:spPr>
    </xdr:pic>
    <xdr:clientData/>
  </xdr:twoCellAnchor>
  <xdr:twoCellAnchor editAs="oneCell">
    <xdr:from>
      <xdr:col>8</xdr:col>
      <xdr:colOff>265812</xdr:colOff>
      <xdr:row>25</xdr:row>
      <xdr:rowOff>17034</xdr:rowOff>
    </xdr:from>
    <xdr:to>
      <xdr:col>10</xdr:col>
      <xdr:colOff>191549</xdr:colOff>
      <xdr:row>30</xdr:row>
      <xdr:rowOff>2350</xdr:rowOff>
    </xdr:to>
    <xdr:pic>
      <xdr:nvPicPr>
        <xdr:cNvPr id="9" name="Obrázek 8">
          <a:extLst>
            <a:ext uri="{FF2B5EF4-FFF2-40B4-BE49-F238E27FC236}">
              <a16:creationId xmlns:a16="http://schemas.microsoft.com/office/drawing/2014/main" id="{1DE1DD3E-2E94-4913-A33A-C9870F1C7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6798" y="7174391"/>
          <a:ext cx="1221137" cy="1122873"/>
        </a:xfrm>
        <a:prstGeom prst="rect">
          <a:avLst/>
        </a:prstGeom>
      </xdr:spPr>
    </xdr:pic>
    <xdr:clientData/>
  </xdr:twoCellAnchor>
  <xdr:twoCellAnchor editAs="oneCell">
    <xdr:from>
      <xdr:col>5</xdr:col>
      <xdr:colOff>370980</xdr:colOff>
      <xdr:row>31</xdr:row>
      <xdr:rowOff>20639</xdr:rowOff>
    </xdr:from>
    <xdr:to>
      <xdr:col>7</xdr:col>
      <xdr:colOff>295948</xdr:colOff>
      <xdr:row>36</xdr:row>
      <xdr:rowOff>8394</xdr:rowOff>
    </xdr:to>
    <xdr:pic>
      <xdr:nvPicPr>
        <xdr:cNvPr id="11" name="Obrázek 10">
          <a:extLst>
            <a:ext uri="{FF2B5EF4-FFF2-40B4-BE49-F238E27FC236}">
              <a16:creationId xmlns:a16="http://schemas.microsoft.com/office/drawing/2014/main" id="{D13C8665-08AD-45E5-A03D-A6802A885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866" y="8506053"/>
          <a:ext cx="1220368" cy="1125312"/>
        </a:xfrm>
        <a:prstGeom prst="rect">
          <a:avLst/>
        </a:prstGeom>
      </xdr:spPr>
    </xdr:pic>
    <xdr:clientData/>
  </xdr:twoCellAnchor>
  <xdr:twoCellAnchor editAs="oneCell">
    <xdr:from>
      <xdr:col>8</xdr:col>
      <xdr:colOff>265140</xdr:colOff>
      <xdr:row>31</xdr:row>
      <xdr:rowOff>18803</xdr:rowOff>
    </xdr:from>
    <xdr:to>
      <xdr:col>10</xdr:col>
      <xdr:colOff>190877</xdr:colOff>
      <xdr:row>36</xdr:row>
      <xdr:rowOff>6559</xdr:rowOff>
    </xdr:to>
    <xdr:pic>
      <xdr:nvPicPr>
        <xdr:cNvPr id="13" name="Obrázek 12">
          <a:extLst>
            <a:ext uri="{FF2B5EF4-FFF2-40B4-BE49-F238E27FC236}">
              <a16:creationId xmlns:a16="http://schemas.microsoft.com/office/drawing/2014/main" id="{9BA73643-216E-4858-8425-7C7FF1465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6126" y="8504217"/>
          <a:ext cx="1221137" cy="1125313"/>
        </a:xfrm>
        <a:prstGeom prst="rect">
          <a:avLst/>
        </a:prstGeom>
      </xdr:spPr>
    </xdr:pic>
    <xdr:clientData/>
  </xdr:twoCellAnchor>
  <xdr:twoCellAnchor editAs="oneCell">
    <xdr:from>
      <xdr:col>7</xdr:col>
      <xdr:colOff>83623</xdr:colOff>
      <xdr:row>53</xdr:row>
      <xdr:rowOff>24456</xdr:rowOff>
    </xdr:from>
    <xdr:to>
      <xdr:col>11</xdr:col>
      <xdr:colOff>576943</xdr:colOff>
      <xdr:row>69</xdr:row>
      <xdr:rowOff>9332</xdr:rowOff>
    </xdr:to>
    <xdr:pic>
      <xdr:nvPicPr>
        <xdr:cNvPr id="15" name="Obrázek 14">
          <a:extLst>
            <a:ext uri="{FF2B5EF4-FFF2-40B4-BE49-F238E27FC236}">
              <a16:creationId xmlns:a16="http://schemas.microsoft.com/office/drawing/2014/main" id="{ED66BDD5-9612-414E-AAD5-0BCF9538B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66909" y="16505427"/>
          <a:ext cx="3084120" cy="3588047"/>
        </a:xfrm>
        <a:prstGeom prst="rect">
          <a:avLst/>
        </a:prstGeom>
      </xdr:spPr>
    </xdr:pic>
    <xdr:clientData/>
  </xdr:twoCellAnchor>
  <xdr:twoCellAnchor editAs="oneCell">
    <xdr:from>
      <xdr:col>5</xdr:col>
      <xdr:colOff>359625</xdr:colOff>
      <xdr:row>53</xdr:row>
      <xdr:rowOff>5444</xdr:rowOff>
    </xdr:from>
    <xdr:to>
      <xdr:col>7</xdr:col>
      <xdr:colOff>166827</xdr:colOff>
      <xdr:row>57</xdr:row>
      <xdr:rowOff>74361</xdr:rowOff>
    </xdr:to>
    <xdr:pic>
      <xdr:nvPicPr>
        <xdr:cNvPr id="17" name="Obrázek 16">
          <a:extLst>
            <a:ext uri="{FF2B5EF4-FFF2-40B4-BE49-F238E27FC236}">
              <a16:creationId xmlns:a16="http://schemas.microsoft.com/office/drawing/2014/main" id="{D138BC17-0A98-456B-86EC-5FA15D51C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47511" y="16867415"/>
          <a:ext cx="1102602" cy="1015974"/>
        </a:xfrm>
        <a:prstGeom prst="rect">
          <a:avLst/>
        </a:prstGeom>
      </xdr:spPr>
    </xdr:pic>
    <xdr:clientData/>
  </xdr:twoCellAnchor>
  <xdr:twoCellAnchor editAs="oneCell">
    <xdr:from>
      <xdr:col>5</xdr:col>
      <xdr:colOff>373552</xdr:colOff>
      <xdr:row>58</xdr:row>
      <xdr:rowOff>22132</xdr:rowOff>
    </xdr:from>
    <xdr:to>
      <xdr:col>7</xdr:col>
      <xdr:colOff>180754</xdr:colOff>
      <xdr:row>62</xdr:row>
      <xdr:rowOff>90356</xdr:rowOff>
    </xdr:to>
    <xdr:pic>
      <xdr:nvPicPr>
        <xdr:cNvPr id="19" name="Obrázek 18">
          <a:extLst>
            <a:ext uri="{FF2B5EF4-FFF2-40B4-BE49-F238E27FC236}">
              <a16:creationId xmlns:a16="http://schemas.microsoft.com/office/drawing/2014/main" id="{BAC8281B-954F-4C4A-A113-FD0FEC05C0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61438" y="18021661"/>
          <a:ext cx="1102602" cy="1015281"/>
        </a:xfrm>
        <a:prstGeom prst="rect">
          <a:avLst/>
        </a:prstGeom>
      </xdr:spPr>
    </xdr:pic>
    <xdr:clientData/>
  </xdr:twoCellAnchor>
  <xdr:twoCellAnchor editAs="oneCell">
    <xdr:from>
      <xdr:col>5</xdr:col>
      <xdr:colOff>371153</xdr:colOff>
      <xdr:row>63</xdr:row>
      <xdr:rowOff>8844</xdr:rowOff>
    </xdr:from>
    <xdr:to>
      <xdr:col>7</xdr:col>
      <xdr:colOff>178355</xdr:colOff>
      <xdr:row>67</xdr:row>
      <xdr:rowOff>77068</xdr:rowOff>
    </xdr:to>
    <xdr:pic>
      <xdr:nvPicPr>
        <xdr:cNvPr id="21" name="Obrázek 20">
          <a:extLst>
            <a:ext uri="{FF2B5EF4-FFF2-40B4-BE49-F238E27FC236}">
              <a16:creationId xmlns:a16="http://schemas.microsoft.com/office/drawing/2014/main" id="{AFDA69D0-03E3-49F2-9BD6-92A134745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9039" y="19145930"/>
          <a:ext cx="1102602" cy="1015281"/>
        </a:xfrm>
        <a:prstGeom prst="rect">
          <a:avLst/>
        </a:prstGeom>
      </xdr:spPr>
    </xdr:pic>
    <xdr:clientData/>
  </xdr:twoCellAnchor>
  <xdr:twoCellAnchor editAs="oneCell">
    <xdr:from>
      <xdr:col>5</xdr:col>
      <xdr:colOff>42180</xdr:colOff>
      <xdr:row>38</xdr:row>
      <xdr:rowOff>22758</xdr:rowOff>
    </xdr:from>
    <xdr:to>
      <xdr:col>7</xdr:col>
      <xdr:colOff>570544</xdr:colOff>
      <xdr:row>43</xdr:row>
      <xdr:rowOff>161759</xdr:rowOff>
    </xdr:to>
    <xdr:pic>
      <xdr:nvPicPr>
        <xdr:cNvPr id="23" name="Obrázek 22">
          <a:extLst>
            <a:ext uri="{FF2B5EF4-FFF2-40B4-BE49-F238E27FC236}">
              <a16:creationId xmlns:a16="http://schemas.microsoft.com/office/drawing/2014/main" id="{976A2372-5698-4F90-BCA8-9293A4D77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30066" y="10146472"/>
          <a:ext cx="1823764" cy="1679330"/>
        </a:xfrm>
        <a:prstGeom prst="rect">
          <a:avLst/>
        </a:prstGeom>
      </xdr:spPr>
    </xdr:pic>
    <xdr:clientData/>
  </xdr:twoCellAnchor>
  <xdr:twoCellAnchor editAs="oneCell">
    <xdr:from>
      <xdr:col>5</xdr:col>
      <xdr:colOff>50667</xdr:colOff>
      <xdr:row>45</xdr:row>
      <xdr:rowOff>31243</xdr:rowOff>
    </xdr:from>
    <xdr:to>
      <xdr:col>7</xdr:col>
      <xdr:colOff>579031</xdr:colOff>
      <xdr:row>50</xdr:row>
      <xdr:rowOff>170245</xdr:rowOff>
    </xdr:to>
    <xdr:pic>
      <xdr:nvPicPr>
        <xdr:cNvPr id="25" name="Obrázek 24">
          <a:extLst>
            <a:ext uri="{FF2B5EF4-FFF2-40B4-BE49-F238E27FC236}">
              <a16:creationId xmlns:a16="http://schemas.microsoft.com/office/drawing/2014/main" id="{23DEBFD9-78FE-4594-A752-BE14B6A18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38553" y="13997614"/>
          <a:ext cx="1823764" cy="1679330"/>
        </a:xfrm>
        <a:prstGeom prst="rect">
          <a:avLst/>
        </a:prstGeom>
      </xdr:spPr>
    </xdr:pic>
    <xdr:clientData/>
  </xdr:twoCellAnchor>
  <xdr:twoCellAnchor editAs="oneCell">
    <xdr:from>
      <xdr:col>8</xdr:col>
      <xdr:colOff>24095</xdr:colOff>
      <xdr:row>38</xdr:row>
      <xdr:rowOff>23227</xdr:rowOff>
    </xdr:from>
    <xdr:to>
      <xdr:col>10</xdr:col>
      <xdr:colOff>552458</xdr:colOff>
      <xdr:row>43</xdr:row>
      <xdr:rowOff>163374</xdr:rowOff>
    </xdr:to>
    <xdr:pic>
      <xdr:nvPicPr>
        <xdr:cNvPr id="29" name="Obrázek 28">
          <a:extLst>
            <a:ext uri="{FF2B5EF4-FFF2-40B4-BE49-F238E27FC236}">
              <a16:creationId xmlns:a16="http://schemas.microsoft.com/office/drawing/2014/main" id="{1B62DC6A-C1C0-43DC-828F-B59B3A2CE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5081" y="10146941"/>
          <a:ext cx="1823763" cy="1680476"/>
        </a:xfrm>
        <a:prstGeom prst="rect">
          <a:avLst/>
        </a:prstGeom>
      </xdr:spPr>
    </xdr:pic>
    <xdr:clientData/>
  </xdr:twoCellAnchor>
  <xdr:twoCellAnchor editAs="oneCell">
    <xdr:from>
      <xdr:col>8</xdr:col>
      <xdr:colOff>27140</xdr:colOff>
      <xdr:row>45</xdr:row>
      <xdr:rowOff>31715</xdr:rowOff>
    </xdr:from>
    <xdr:to>
      <xdr:col>10</xdr:col>
      <xdr:colOff>555503</xdr:colOff>
      <xdr:row>50</xdr:row>
      <xdr:rowOff>171863</xdr:rowOff>
    </xdr:to>
    <xdr:pic>
      <xdr:nvPicPr>
        <xdr:cNvPr id="31" name="Obrázek 30">
          <a:extLst>
            <a:ext uri="{FF2B5EF4-FFF2-40B4-BE49-F238E27FC236}">
              <a16:creationId xmlns:a16="http://schemas.microsoft.com/office/drawing/2014/main" id="{15A635FC-7704-44A8-8B2E-318263D49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8126" y="13998086"/>
          <a:ext cx="1823763" cy="1680476"/>
        </a:xfrm>
        <a:prstGeom prst="rect">
          <a:avLst/>
        </a:prstGeom>
      </xdr:spPr>
    </xdr:pic>
    <xdr:clientData/>
  </xdr:twoCellAnchor>
  <xdr:twoCellAnchor editAs="oneCell">
    <xdr:from>
      <xdr:col>5</xdr:col>
      <xdr:colOff>200429</xdr:colOff>
      <xdr:row>7</xdr:row>
      <xdr:rowOff>320169</xdr:rowOff>
    </xdr:from>
    <xdr:to>
      <xdr:col>6</xdr:col>
      <xdr:colOff>412047</xdr:colOff>
      <xdr:row>11</xdr:row>
      <xdr:rowOff>138111</xdr:rowOff>
    </xdr:to>
    <xdr:pic>
      <xdr:nvPicPr>
        <xdr:cNvPr id="144" name="Obrázek 143">
          <a:extLst>
            <a:ext uri="{FF2B5EF4-FFF2-40B4-BE49-F238E27FC236}">
              <a16:creationId xmlns:a16="http://schemas.microsoft.com/office/drawing/2014/main" id="{BCEB593F-47CB-4B43-8454-C597B1873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8315" y="2459212"/>
          <a:ext cx="859318" cy="1031699"/>
        </a:xfrm>
        <a:prstGeom prst="rect">
          <a:avLst/>
        </a:prstGeom>
      </xdr:spPr>
    </xdr:pic>
    <xdr:clientData/>
  </xdr:twoCellAnchor>
  <xdr:twoCellAnchor editAs="oneCell">
    <xdr:from>
      <xdr:col>9</xdr:col>
      <xdr:colOff>257098</xdr:colOff>
      <xdr:row>7</xdr:row>
      <xdr:rowOff>448235</xdr:rowOff>
    </xdr:from>
    <xdr:to>
      <xdr:col>9</xdr:col>
      <xdr:colOff>584498</xdr:colOff>
      <xdr:row>10</xdr:row>
      <xdr:rowOff>179299</xdr:rowOff>
    </xdr:to>
    <xdr:pic>
      <xdr:nvPicPr>
        <xdr:cNvPr id="150" name="Obrázek 149">
          <a:extLst>
            <a:ext uri="{FF2B5EF4-FFF2-40B4-BE49-F238E27FC236}">
              <a16:creationId xmlns:a16="http://schemas.microsoft.com/office/drawing/2014/main" id="{66A5B9E8-C1F0-4332-B99F-37DC4A49D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5784" y="2587278"/>
          <a:ext cx="327400" cy="754321"/>
        </a:xfrm>
        <a:prstGeom prst="rect">
          <a:avLst/>
        </a:prstGeom>
      </xdr:spPr>
    </xdr:pic>
    <xdr:clientData/>
  </xdr:twoCellAnchor>
  <xdr:twoCellAnchor editAs="oneCell">
    <xdr:from>
      <xdr:col>5</xdr:col>
      <xdr:colOff>199953</xdr:colOff>
      <xdr:row>11</xdr:row>
      <xdr:rowOff>123390</xdr:rowOff>
    </xdr:from>
    <xdr:to>
      <xdr:col>6</xdr:col>
      <xdr:colOff>411571</xdr:colOff>
      <xdr:row>16</xdr:row>
      <xdr:rowOff>13971</xdr:rowOff>
    </xdr:to>
    <xdr:pic>
      <xdr:nvPicPr>
        <xdr:cNvPr id="55" name="Obrázek 54">
          <a:extLst>
            <a:ext uri="{FF2B5EF4-FFF2-40B4-BE49-F238E27FC236}">
              <a16:creationId xmlns:a16="http://schemas.microsoft.com/office/drawing/2014/main" id="{86E7DAFE-2037-437B-9954-1D4DBD2DB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7839" y="3476190"/>
          <a:ext cx="859318" cy="1028138"/>
        </a:xfrm>
        <a:prstGeom prst="rect">
          <a:avLst/>
        </a:prstGeom>
      </xdr:spPr>
    </xdr:pic>
    <xdr:clientData/>
  </xdr:twoCellAnchor>
  <xdr:twoCellAnchor editAs="oneCell">
    <xdr:from>
      <xdr:col>6</xdr:col>
      <xdr:colOff>568785</xdr:colOff>
      <xdr:row>11</xdr:row>
      <xdr:rowOff>32784</xdr:rowOff>
    </xdr:from>
    <xdr:to>
      <xdr:col>8</xdr:col>
      <xdr:colOff>411969</xdr:colOff>
      <xdr:row>16</xdr:row>
      <xdr:rowOff>55018</xdr:rowOff>
    </xdr:to>
    <xdr:pic>
      <xdr:nvPicPr>
        <xdr:cNvPr id="56" name="Obrázek 55">
          <a:extLst>
            <a:ext uri="{FF2B5EF4-FFF2-40B4-BE49-F238E27FC236}">
              <a16:creationId xmlns:a16="http://schemas.microsoft.com/office/drawing/2014/main" id="{3135C396-46EE-445D-8405-1B00A2FB58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4371" y="3385584"/>
          <a:ext cx="1138584" cy="1159791"/>
        </a:xfrm>
        <a:prstGeom prst="rect">
          <a:avLst/>
        </a:prstGeom>
      </xdr:spPr>
    </xdr:pic>
    <xdr:clientData/>
  </xdr:twoCellAnchor>
  <xdr:twoCellAnchor editAs="oneCell">
    <xdr:from>
      <xdr:col>9</xdr:col>
      <xdr:colOff>256622</xdr:colOff>
      <xdr:row>12</xdr:row>
      <xdr:rowOff>61556</xdr:rowOff>
    </xdr:from>
    <xdr:to>
      <xdr:col>9</xdr:col>
      <xdr:colOff>584022</xdr:colOff>
      <xdr:row>15</xdr:row>
      <xdr:rowOff>52957</xdr:rowOff>
    </xdr:to>
    <xdr:pic>
      <xdr:nvPicPr>
        <xdr:cNvPr id="57" name="Obrázek 56">
          <a:extLst>
            <a:ext uri="{FF2B5EF4-FFF2-40B4-BE49-F238E27FC236}">
              <a16:creationId xmlns:a16="http://schemas.microsoft.com/office/drawing/2014/main" id="{7A408324-C4B7-457B-9847-7C638C9353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5308" y="3604856"/>
          <a:ext cx="327400" cy="747958"/>
        </a:xfrm>
        <a:prstGeom prst="rect">
          <a:avLst/>
        </a:prstGeom>
      </xdr:spPr>
    </xdr:pic>
    <xdr:clientData/>
  </xdr:twoCellAnchor>
  <xdr:twoCellAnchor editAs="oneCell">
    <xdr:from>
      <xdr:col>6</xdr:col>
      <xdr:colOff>602801</xdr:colOff>
      <xdr:row>7</xdr:row>
      <xdr:rowOff>238891</xdr:rowOff>
    </xdr:from>
    <xdr:to>
      <xdr:col>8</xdr:col>
      <xdr:colOff>402773</xdr:colOff>
      <xdr:row>11</xdr:row>
      <xdr:rowOff>139958</xdr:rowOff>
    </xdr:to>
    <xdr:pic>
      <xdr:nvPicPr>
        <xdr:cNvPr id="146" name="Obrázek 145">
          <a:extLst>
            <a:ext uri="{FF2B5EF4-FFF2-40B4-BE49-F238E27FC236}">
              <a16:creationId xmlns:a16="http://schemas.microsoft.com/office/drawing/2014/main" id="{7A94E35F-4CF2-4A7C-AAA8-D9BF7670D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8387" y="2377934"/>
          <a:ext cx="1095372" cy="11148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42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8E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43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8F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44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ulka1720" displayName="Tabulka1720" ref="A37:E40" headerRowCount="0" totalsRowShown="0" headerRowDxfId="439" dataDxfId="438" tableBorderDxfId="437" totalsRowBorderDxfId="436">
  <tableColumns count="5">
    <tableColumn id="1" xr3:uid="{00000000-0010-0000-0000-000001000000}" name="Sloupec1" dataDxfId="435"/>
    <tableColumn id="2" xr3:uid="{00000000-0010-0000-0000-000002000000}" name="Sloupec2" dataDxfId="434"/>
    <tableColumn id="3" xr3:uid="{00000000-0010-0000-0000-000003000000}" name="Sloupec3" dataDxfId="433"/>
    <tableColumn id="4" xr3:uid="{00000000-0010-0000-0000-000004000000}" name="Sloupec4" dataDxfId="432"/>
    <tableColumn id="5" xr3:uid="{00000000-0010-0000-0000-000005000000}" name="Sloupec5" dataDxfId="431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ulka174114" displayName="Tabulka174114" ref="A11:E12" headerRowCount="0" totalsRowShown="0" headerRowDxfId="430" dataDxfId="429">
  <tableColumns count="5">
    <tableColumn id="1" xr3:uid="{00000000-0010-0000-0100-000001000000}" name="Sloupec1" dataDxfId="428"/>
    <tableColumn id="2" xr3:uid="{00000000-0010-0000-0100-000002000000}" name="Sloupec2" dataDxfId="427"/>
    <tableColumn id="3" xr3:uid="{00000000-0010-0000-0100-000003000000}" name="Sloupec3" dataDxfId="426"/>
    <tableColumn id="4" xr3:uid="{00000000-0010-0000-0100-000004000000}" name="Sloupec4" dataDxfId="425"/>
    <tableColumn id="5" xr3:uid="{00000000-0010-0000-0100-000005000000}" name="Sloupec5" dataDxfId="424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2000000}" name="Tabulka17415" displayName="Tabulka17415" ref="A9:E10" headerRowCount="0" totalsRowShown="0" headerRowDxfId="423" dataDxfId="422">
  <tableColumns count="5">
    <tableColumn id="1" xr3:uid="{00000000-0010-0000-0200-000001000000}" name="Sloupec1" dataDxfId="421"/>
    <tableColumn id="2" xr3:uid="{00000000-0010-0000-0200-000002000000}" name="Sloupec2" dataDxfId="420"/>
    <tableColumn id="3" xr3:uid="{00000000-0010-0000-0200-000003000000}" name="Sloupec3" dataDxfId="419"/>
    <tableColumn id="4" xr3:uid="{00000000-0010-0000-0200-000004000000}" name="Sloupec4" dataDxfId="418">
      <calculatedColumnFormula>(OBSAH!$J$6/100)*Tabulka17415[[#This Row],[Sloupec3]]</calculatedColumnFormula>
    </tableColumn>
    <tableColumn id="5" xr3:uid="{00000000-0010-0000-0200-000005000000}" name="Sloupec5" dataDxfId="417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00000000-000C-0000-FFFF-FFFF03000000}" name="Tabulka4214" displayName="Tabulka4214" ref="A17:E17" headerRowCount="0" totalsRowShown="0" headerRowDxfId="416" dataDxfId="415">
  <tableColumns count="5">
    <tableColumn id="1" xr3:uid="{00000000-0010-0000-0300-000001000000}" name="Sloupec1" dataDxfId="414"/>
    <tableColumn id="2" xr3:uid="{00000000-0010-0000-0300-000002000000}" name="Sloupec2" dataDxfId="413"/>
    <tableColumn id="3" xr3:uid="{00000000-0010-0000-0300-000003000000}" name="Sloupec3" dataDxfId="412"/>
    <tableColumn id="4" xr3:uid="{00000000-0010-0000-0300-000004000000}" name="Sloupec4" dataDxfId="411">
      <calculatedColumnFormula>(OBSAH!$J$6/100)*Tabulka4214[[#This Row],[Sloupec3]]</calculatedColumnFormula>
    </tableColumn>
    <tableColumn id="5" xr3:uid="{00000000-0010-0000-0300-000005000000}" name="Sloupec5" dataDxfId="410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00000000-000C-0000-FFFF-FFFF04000000}" name="Tabulka425" displayName="Tabulka425" ref="A18:E18" headerRowCount="0" totalsRowShown="0" headerRowDxfId="409" dataDxfId="408">
  <tableColumns count="5">
    <tableColumn id="1" xr3:uid="{00000000-0010-0000-0400-000001000000}" name="Sloupec1" dataDxfId="407"/>
    <tableColumn id="2" xr3:uid="{00000000-0010-0000-0400-000002000000}" name="Sloupec2" dataDxfId="406"/>
    <tableColumn id="3" xr3:uid="{00000000-0010-0000-0400-000003000000}" name="Sloupec3" dataDxfId="405"/>
    <tableColumn id="4" xr3:uid="{00000000-0010-0000-0400-000004000000}" name="Sloupec4" dataDxfId="404">
      <calculatedColumnFormula>(OBSAH!$J$6/100)*Tabulka425[[#This Row],[Sloupec3]]</calculatedColumnFormula>
    </tableColumn>
    <tableColumn id="5" xr3:uid="{00000000-0010-0000-0400-000005000000}" name="Sloupec5" dataDxfId="403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00000000-000C-0000-FFFF-FFFF05000000}" name="Tabulka45" displayName="Tabulka45" ref="A29:E32" headerRowCount="0" totalsRowShown="0" headerRowDxfId="402" dataDxfId="401" tableBorderDxfId="400">
  <tableColumns count="5">
    <tableColumn id="1" xr3:uid="{00000000-0010-0000-0500-000001000000}" name="Sloupec1" dataDxfId="399"/>
    <tableColumn id="2" xr3:uid="{00000000-0010-0000-0500-000002000000}" name="Sloupec2" dataDxfId="398"/>
    <tableColumn id="3" xr3:uid="{00000000-0010-0000-0500-000003000000}" name="Sloupec3" dataDxfId="397"/>
    <tableColumn id="4" xr3:uid="{00000000-0010-0000-0500-000004000000}" name="Sloupec4" dataDxfId="396"/>
    <tableColumn id="5" xr3:uid="{00000000-0010-0000-0500-000005000000}" name="Sloupec5" dataDxfId="395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00000000-000C-0000-FFFF-FFFF06000000}" name="Tabulka4615" displayName="Tabulka4615" ref="A23:E23" headerRowCount="0" totalsRowShown="0" headerRowDxfId="394" dataDxfId="393">
  <tableColumns count="5">
    <tableColumn id="1" xr3:uid="{00000000-0010-0000-0600-000001000000}" name="Sloupec1" dataDxfId="392"/>
    <tableColumn id="2" xr3:uid="{00000000-0010-0000-0600-000002000000}" name="Sloupec2" dataDxfId="391"/>
    <tableColumn id="3" xr3:uid="{00000000-0010-0000-0600-000003000000}" name="Sloupec3" dataDxfId="390"/>
    <tableColumn id="4" xr3:uid="{00000000-0010-0000-0600-000004000000}" name="Sloupec4" dataDxfId="389">
      <calculatedColumnFormula>(OBSAH!$J$6/100)*Tabulka4615[[#This Row],[Sloupec3]]</calculatedColumnFormula>
    </tableColumn>
    <tableColumn id="5" xr3:uid="{00000000-0010-0000-0600-000005000000}" name="Sloupec5" dataDxfId="388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00000000-000C-0000-FFFF-FFFF07000000}" name="Tabulka462818" displayName="Tabulka462818" ref="A24:E24" headerRowCount="0" totalsRowShown="0" headerRowDxfId="387" dataDxfId="386">
  <tableColumns count="5">
    <tableColumn id="1" xr3:uid="{00000000-0010-0000-0700-000001000000}" name="Sloupec1" dataDxfId="385"/>
    <tableColumn id="2" xr3:uid="{00000000-0010-0000-0700-000002000000}" name="Sloupec2" dataDxfId="384"/>
    <tableColumn id="3" xr3:uid="{00000000-0010-0000-0700-000003000000}" name="Sloupec3" dataDxfId="383"/>
    <tableColumn id="4" xr3:uid="{00000000-0010-0000-0700-000004000000}" name="Sloupec4" dataDxfId="382">
      <calculatedColumnFormula>(OBSAH!$J$6/100)*Tabulka462818[[#This Row],[Sloupec3]]</calculatedColumnFormula>
    </tableColumn>
    <tableColumn id="5" xr3:uid="{00000000-0010-0000-0700-000005000000}" name="Sloupec5" dataDxfId="381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8000000}" name="Tabulka201012" displayName="Tabulka201012" ref="A10:E16" headerRowCount="0" totalsRowShown="0" headerRowDxfId="380" tableBorderDxfId="379" totalsRowBorderDxfId="378">
  <tableColumns count="5">
    <tableColumn id="1" xr3:uid="{00000000-0010-0000-0800-000001000000}" name="Sloupec1" dataDxfId="377"/>
    <tableColumn id="2" xr3:uid="{00000000-0010-0000-0800-000002000000}" name="Sloupec2" dataDxfId="376"/>
    <tableColumn id="3" xr3:uid="{00000000-0010-0000-0800-000003000000}" name="Sloupec3" dataDxfId="375"/>
    <tableColumn id="4" xr3:uid="{00000000-0010-0000-0800-000004000000}" name="Sloupec4" dataDxfId="374"/>
    <tableColumn id="5" xr3:uid="{00000000-0010-0000-0800-000005000000}" name="Sloupec5" dataDxfId="373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9000000}" name="Tabulka20101416" displayName="Tabulka20101416" ref="A42:E48" headerRowCount="0" totalsRowShown="0" tableBorderDxfId="372">
  <tableColumns count="5">
    <tableColumn id="1" xr3:uid="{00000000-0010-0000-0900-000001000000}" name="Sloupec1"/>
    <tableColumn id="2" xr3:uid="{00000000-0010-0000-0900-000002000000}" name="Sloupec2" dataDxfId="371"/>
    <tableColumn id="3" xr3:uid="{00000000-0010-0000-0900-000003000000}" name="Sloupec3" dataDxfId="370"/>
    <tableColumn id="4" xr3:uid="{00000000-0010-0000-0900-000004000000}" name="Sloupec4" dataDxfId="369"/>
    <tableColumn id="5" xr3:uid="{00000000-0010-0000-0900-000005000000}" name="Sloupec5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A000000}" name="Tabulka2010141625" displayName="Tabulka2010141625" ref="A66:E72" headerRowCount="0" totalsRowShown="0" tableBorderDxfId="368">
  <tableColumns count="5">
    <tableColumn id="1" xr3:uid="{00000000-0010-0000-0A00-000001000000}" name="Sloupec1"/>
    <tableColumn id="2" xr3:uid="{00000000-0010-0000-0A00-000002000000}" name="Sloupec2" dataDxfId="367"/>
    <tableColumn id="3" xr3:uid="{00000000-0010-0000-0A00-000003000000}" name="Sloupec3" dataDxfId="366"/>
    <tableColumn id="4" xr3:uid="{00000000-0010-0000-0A00-000004000000}" name="Sloupec4" dataDxfId="365"/>
    <tableColumn id="5" xr3:uid="{00000000-0010-0000-0A00-000005000000}" name="Sloupec5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B000000}" name="Tabulka2010141680" displayName="Tabulka2010141680" ref="A90:E96" headerRowCount="0" totalsRowShown="0" tableBorderDxfId="364">
  <tableColumns count="5">
    <tableColumn id="1" xr3:uid="{00000000-0010-0000-0B00-000001000000}" name="Sloupec1"/>
    <tableColumn id="2" xr3:uid="{00000000-0010-0000-0B00-000002000000}" name="Sloupec2" dataDxfId="363"/>
    <tableColumn id="3" xr3:uid="{00000000-0010-0000-0B00-000003000000}" name="Sloupec3" dataDxfId="362"/>
    <tableColumn id="4" xr3:uid="{00000000-0010-0000-0B00-000004000000}" name="Sloupec4" dataDxfId="361"/>
    <tableColumn id="5" xr3:uid="{00000000-0010-0000-0B00-000005000000}" name="Sloupec5"/>
  </tableColumns>
  <tableStyleInfo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2" xr:uid="{00000000-000C-0000-FFFF-FFFF0C000000}" name="Tabulka211113" displayName="Tabulka211113" ref="A20:E26" headerRowCount="0" totalsRowShown="0" tableBorderDxfId="360">
  <tableColumns count="5">
    <tableColumn id="1" xr3:uid="{00000000-0010-0000-0C00-000001000000}" name="Sloupec1"/>
    <tableColumn id="2" xr3:uid="{00000000-0010-0000-0C00-000002000000}" name="Sloupec2" dataDxfId="359"/>
    <tableColumn id="3" xr3:uid="{00000000-0010-0000-0C00-000003000000}" name="Sloupec3" dataDxfId="358"/>
    <tableColumn id="4" xr3:uid="{00000000-0010-0000-0C00-000004000000}" name="Sloupec4" dataDxfId="357"/>
    <tableColumn id="5" xr3:uid="{00000000-0010-0000-0C00-000005000000}" name="Sloupec5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4" xr:uid="{00000000-000C-0000-FFFF-FFFF0D000000}" name="Tabulka21111517" displayName="Tabulka21111517" ref="A52:E58" headerRowCount="0" totalsRowShown="0" tableBorderDxfId="356">
  <tableColumns count="5">
    <tableColumn id="1" xr3:uid="{00000000-0010-0000-0D00-000001000000}" name="Sloupec1"/>
    <tableColumn id="2" xr3:uid="{00000000-0010-0000-0D00-000002000000}" name="Sloupec2" dataDxfId="355"/>
    <tableColumn id="3" xr3:uid="{00000000-0010-0000-0D00-000003000000}" name="Sloupec3" dataDxfId="354"/>
    <tableColumn id="4" xr3:uid="{00000000-0010-0000-0D00-000004000000}" name="Sloupec4" dataDxfId="353"/>
    <tableColumn id="5" xr3:uid="{00000000-0010-0000-0D00-000005000000}" name="Sloupec5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5" xr:uid="{00000000-000C-0000-FFFF-FFFF0E000000}" name="Tabulka2111151768" displayName="Tabulka2111151768" ref="A76:E82" headerRowCount="0" totalsRowShown="0" tableBorderDxfId="352">
  <tableColumns count="5">
    <tableColumn id="1" xr3:uid="{00000000-0010-0000-0E00-000001000000}" name="Sloupec1"/>
    <tableColumn id="2" xr3:uid="{00000000-0010-0000-0E00-000002000000}" name="Sloupec2" dataDxfId="351"/>
    <tableColumn id="3" xr3:uid="{00000000-0010-0000-0E00-000003000000}" name="Sloupec3" dataDxfId="350"/>
    <tableColumn id="4" xr3:uid="{00000000-0010-0000-0E00-000004000000}" name="Sloupec4" dataDxfId="349"/>
    <tableColumn id="5" xr3:uid="{00000000-0010-0000-0E00-000005000000}" name="Sloupec5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7" xr:uid="{00000000-000C-0000-FFFF-FFFF0F000000}" name="Tabulka2111151781" displayName="Tabulka2111151781" ref="A100:E106" headerRowCount="0" totalsRowShown="0" tableBorderDxfId="348">
  <tableColumns count="5">
    <tableColumn id="1" xr3:uid="{00000000-0010-0000-0F00-000001000000}" name="Sloupec1"/>
    <tableColumn id="2" xr3:uid="{00000000-0010-0000-0F00-000002000000}" name="Sloupec2" dataDxfId="347"/>
    <tableColumn id="3" xr3:uid="{00000000-0010-0000-0F00-000003000000}" name="Sloupec3" dataDxfId="346"/>
    <tableColumn id="4" xr3:uid="{00000000-0010-0000-0F00-000004000000}" name="Sloupec4" dataDxfId="345"/>
    <tableColumn id="5" xr3:uid="{00000000-0010-0000-0F00-000005000000}" name="Sloupec5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00000000-000C-0000-FFFF-FFFF10000000}" name="Tabulka37" displayName="Tabulka37" ref="A35:E35" headerRowCount="0" totalsRowShown="0" tableBorderDxfId="344">
  <tableColumns count="5">
    <tableColumn id="1" xr3:uid="{00000000-0010-0000-1000-000001000000}" name="Sloupec1"/>
    <tableColumn id="2" xr3:uid="{00000000-0010-0000-1000-000002000000}" name="Sloupec2" dataDxfId="343"/>
    <tableColumn id="3" xr3:uid="{00000000-0010-0000-1000-000003000000}" name="Sloupec3" dataDxfId="342"/>
    <tableColumn id="4" xr3:uid="{00000000-0010-0000-1000-000004000000}" name="Sloupec4" dataDxfId="341"/>
    <tableColumn id="5" xr3:uid="{00000000-0010-0000-1000-000005000000}" name="Sloupec5"/>
  </tableColumns>
  <tableStyleInfo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11000000}" name="Tabulka20101288" displayName="Tabulka20101288" ref="A10:E42" headerRowCount="0" totalsRowShown="0" headerRowDxfId="340" tableBorderDxfId="339" totalsRowBorderDxfId="338">
  <tableColumns count="5">
    <tableColumn id="1" xr3:uid="{00000000-0010-0000-1100-000001000000}" name="Sloupec1" dataDxfId="337"/>
    <tableColumn id="2" xr3:uid="{00000000-0010-0000-1100-000002000000}" name="Sloupec2" dataDxfId="336"/>
    <tableColumn id="3" xr3:uid="{00000000-0010-0000-1100-000003000000}" name="Sloupec3" dataDxfId="335"/>
    <tableColumn id="4" xr3:uid="{00000000-0010-0000-1100-000004000000}" name="Sloupec4" dataDxfId="334"/>
    <tableColumn id="5" xr3:uid="{00000000-0010-0000-1100-000005000000}" name="Sloupec5" dataDxfId="333"/>
  </tableColumns>
  <tableStyleInfo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12000000}" name="Tabulka201014162589" displayName="Tabulka201014162589" ref="A168:E198" headerRowCount="0" totalsRowShown="0" tableBorderDxfId="332">
  <tableColumns count="5">
    <tableColumn id="1" xr3:uid="{00000000-0010-0000-1200-000001000000}" name="Sloupec1"/>
    <tableColumn id="2" xr3:uid="{00000000-0010-0000-1200-000002000000}" name="Sloupec2" dataDxfId="331"/>
    <tableColumn id="3" xr3:uid="{00000000-0010-0000-1200-000003000000}" name="Sloupec3" dataDxfId="330"/>
    <tableColumn id="4" xr3:uid="{00000000-0010-0000-1200-000004000000}" name="Sloupec4" dataDxfId="329"/>
    <tableColumn id="5" xr3:uid="{00000000-0010-0000-1200-000005000000}" name="Sloupec5"/>
  </tableColumns>
  <tableStyleInfo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13000000}" name="Tabulka201014168091" displayName="Tabulka201014168091" ref="A240:E269" headerRowCount="0" totalsRowShown="0" tableBorderDxfId="328">
  <tableColumns count="5">
    <tableColumn id="1" xr3:uid="{00000000-0010-0000-1300-000001000000}" name="Sloupec1"/>
    <tableColumn id="2" xr3:uid="{00000000-0010-0000-1300-000002000000}" name="Sloupec2" dataDxfId="327"/>
    <tableColumn id="3" xr3:uid="{00000000-0010-0000-1300-000003000000}" name="Sloupec3" dataDxfId="326"/>
    <tableColumn id="4" xr3:uid="{00000000-0010-0000-1300-000004000000}" name="Sloupec4" dataDxfId="325"/>
    <tableColumn id="5" xr3:uid="{00000000-0010-0000-1300-000005000000}" name="Sloupec5"/>
  </tableColumns>
  <tableStyleInfo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14000000}" name="Tabulka2010141686" displayName="Tabulka2010141686" ref="A96:E126" headerRowCount="0" totalsRowShown="0" tableBorderDxfId="324">
  <tableColumns count="5">
    <tableColumn id="1" xr3:uid="{00000000-0010-0000-1400-000001000000}" name="Sloupec1"/>
    <tableColumn id="2" xr3:uid="{00000000-0010-0000-1400-000002000000}" name="Sloupec2" dataDxfId="323"/>
    <tableColumn id="3" xr3:uid="{00000000-0010-0000-1400-000003000000}" name="Sloupec3" dataDxfId="322"/>
    <tableColumn id="4" xr3:uid="{00000000-0010-0000-1400-000004000000}" name="Sloupec4" dataDxfId="321"/>
    <tableColumn id="5" xr3:uid="{00000000-0010-0000-1400-000005000000}" name="Sloupec5"/>
  </tableColumns>
  <tableStyleInfo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3" xr:uid="{00000000-000C-0000-FFFF-FFFF15000000}" name="Tabulka21111382" displayName="Tabulka21111382" ref="A46:E78" headerRowCount="0" totalsRowShown="0" tableBorderDxfId="320">
  <tableColumns count="5">
    <tableColumn id="1" xr3:uid="{00000000-0010-0000-1500-000001000000}" name="Sloupec1"/>
    <tableColumn id="2" xr3:uid="{00000000-0010-0000-1500-000002000000}" name="Sloupec2" dataDxfId="319"/>
    <tableColumn id="3" xr3:uid="{00000000-0010-0000-1500-000003000000}" name="Sloupec3" dataDxfId="318"/>
    <tableColumn id="4" xr3:uid="{00000000-0010-0000-1500-000004000000}" name="Sloupec4" dataDxfId="317"/>
    <tableColumn id="5" xr3:uid="{00000000-0010-0000-1500-000005000000}" name="Sloupec5"/>
  </tableColumns>
  <tableStyleInfo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6" xr:uid="{00000000-000C-0000-FFFF-FFFF16000000}" name="Tabulka211115176890" displayName="Tabulka211115176890" ref="A202:E232" headerRowCount="0" totalsRowShown="0" tableBorderDxfId="316">
  <tableColumns count="5">
    <tableColumn id="1" xr3:uid="{00000000-0010-0000-1600-000001000000}" name="Sloupec1"/>
    <tableColumn id="2" xr3:uid="{00000000-0010-0000-1600-000002000000}" name="Sloupec2" dataDxfId="315"/>
    <tableColumn id="3" xr3:uid="{00000000-0010-0000-1600-000003000000}" name="Sloupec3" dataDxfId="314"/>
    <tableColumn id="4" xr3:uid="{00000000-0010-0000-1600-000004000000}" name="Sloupec4" dataDxfId="313"/>
    <tableColumn id="5" xr3:uid="{00000000-0010-0000-1600-000005000000}" name="Sloupec5"/>
  </tableColumns>
  <tableStyleInfo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00000000-000C-0000-FFFF-FFFF17000000}" name="Tabulka211115178192" displayName="Tabulka211115178192" ref="A273:E302" headerRowCount="0" totalsRowShown="0" tableBorderDxfId="312">
  <tableColumns count="5">
    <tableColumn id="1" xr3:uid="{00000000-0010-0000-1700-000001000000}" name="Sloupec1"/>
    <tableColumn id="2" xr3:uid="{00000000-0010-0000-1700-000002000000}" name="Sloupec2" dataDxfId="311"/>
    <tableColumn id="3" xr3:uid="{00000000-0010-0000-1700-000003000000}" name="Sloupec3" dataDxfId="310"/>
    <tableColumn id="4" xr3:uid="{00000000-0010-0000-1700-000004000000}" name="Sloupec4" dataDxfId="309"/>
    <tableColumn id="5" xr3:uid="{00000000-0010-0000-1700-000005000000}" name="Sloupec5"/>
  </tableColumns>
  <tableStyleInfo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9" xr:uid="{00000000-000C-0000-FFFF-FFFF18000000}" name="Tabulka2111151787" displayName="Tabulka2111151787" ref="A130:E160" headerRowCount="0" totalsRowShown="0" tableBorderDxfId="308">
  <tableColumns count="5">
    <tableColumn id="1" xr3:uid="{00000000-0010-0000-1800-000001000000}" name="Sloupec1"/>
    <tableColumn id="2" xr3:uid="{00000000-0010-0000-1800-000002000000}" name="Sloupec2" dataDxfId="307"/>
    <tableColumn id="3" xr3:uid="{00000000-0010-0000-1800-000003000000}" name="Sloupec3" dataDxfId="306"/>
    <tableColumn id="4" xr3:uid="{00000000-0010-0000-1800-000004000000}" name="Sloupec4" dataDxfId="305"/>
    <tableColumn id="5" xr3:uid="{00000000-0010-0000-1800-000005000000}" name="Sloupec5"/>
  </tableColumns>
  <tableStyleInfo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00000000-000C-0000-FFFF-FFFF19000000}" name="Tabulka37118" displayName="Tabulka37118" ref="A89:E89" headerRowCount="0" totalsRowShown="0" tableBorderDxfId="304">
  <tableColumns count="5">
    <tableColumn id="1" xr3:uid="{00000000-0010-0000-1900-000001000000}" name="Sloupec1"/>
    <tableColumn id="2" xr3:uid="{00000000-0010-0000-1900-000002000000}" name="Sloupec2" dataDxfId="303"/>
    <tableColumn id="3" xr3:uid="{00000000-0010-0000-1900-000003000000}" name="Sloupec3" dataDxfId="302" dataCellStyle="Normální 9"/>
    <tableColumn id="4" xr3:uid="{00000000-0010-0000-1900-000004000000}" name="Sloupec4" dataDxfId="301"/>
    <tableColumn id="5" xr3:uid="{00000000-0010-0000-1900-000005000000}" name="Sloupec5"/>
  </tableColumns>
  <tableStyleInfo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A000000}" name="Tabulka20101451" displayName="Tabulka20101451" ref="A34:E40" headerRowCount="0" totalsRowShown="0" headerRowDxfId="300" tableBorderDxfId="299" totalsRowBorderDxfId="298">
  <tableColumns count="5">
    <tableColumn id="1" xr3:uid="{00000000-0010-0000-1A00-000001000000}" name="Sloupec1" dataDxfId="297"/>
    <tableColumn id="2" xr3:uid="{00000000-0010-0000-1A00-000002000000}" name="Sloupec2" dataDxfId="296"/>
    <tableColumn id="3" xr3:uid="{00000000-0010-0000-1A00-000003000000}" name="Sloupec3" dataDxfId="295"/>
    <tableColumn id="4" xr3:uid="{00000000-0010-0000-1A00-000004000000}" name="Sloupec4" dataDxfId="294"/>
    <tableColumn id="5" xr3:uid="{00000000-0010-0000-1A00-000005000000}" name="Sloupec5" dataDxfId="293"/>
  </tableColumns>
  <tableStyleInfo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B000000}" name="Tabulka201014516" displayName="Tabulka201014516" ref="A58:E64" headerRowCount="0" totalsRowShown="0" tableBorderDxfId="292">
  <tableColumns count="5">
    <tableColumn id="1" xr3:uid="{00000000-0010-0000-1B00-000001000000}" name="Sloupec1"/>
    <tableColumn id="2" xr3:uid="{00000000-0010-0000-1B00-000002000000}" name="Sloupec2" dataDxfId="291"/>
    <tableColumn id="3" xr3:uid="{00000000-0010-0000-1B00-000003000000}" name="Sloupec3" dataDxfId="290"/>
    <tableColumn id="4" xr3:uid="{00000000-0010-0000-1B00-000004000000}" name="Sloupec4" dataDxfId="289"/>
    <tableColumn id="5" xr3:uid="{00000000-0010-0000-1B00-000005000000}" name="Sloupec5"/>
  </tableColumns>
  <tableStyleInfo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C000000}" name="Tabulka201049" displayName="Tabulka201049" ref="A10:E16" headerRowCount="0" totalsRowShown="0" tableBorderDxfId="288">
  <tableColumns count="5">
    <tableColumn id="1" xr3:uid="{00000000-0010-0000-1C00-000001000000}" name="Sloupec1"/>
    <tableColumn id="2" xr3:uid="{00000000-0010-0000-1C00-000002000000}" name="Sloupec2" dataDxfId="287"/>
    <tableColumn id="3" xr3:uid="{00000000-0010-0000-1C00-000003000000}" name="Sloupec3" dataDxfId="286"/>
    <tableColumn id="4" xr3:uid="{00000000-0010-0000-1C00-000004000000}" name="Sloupec4" dataDxfId="285"/>
    <tableColumn id="5" xr3:uid="{00000000-0010-0000-1C00-000005000000}" name="Sloupec5"/>
  </tableColumns>
  <tableStyleInfo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0" xr:uid="{00000000-000C-0000-FFFF-FFFF1D000000}" name="Tabulka21111552" displayName="Tabulka21111552" ref="A44:E50" headerRowCount="0" totalsRowShown="0" tableBorderDxfId="284">
  <tableColumns count="5">
    <tableColumn id="1" xr3:uid="{00000000-0010-0000-1D00-000001000000}" name="Sloupec1"/>
    <tableColumn id="2" xr3:uid="{00000000-0010-0000-1D00-000002000000}" name="Sloupec2" dataDxfId="283"/>
    <tableColumn id="3" xr3:uid="{00000000-0010-0000-1D00-000003000000}" name="Sloupec3" dataDxfId="282"/>
    <tableColumn id="4" xr3:uid="{00000000-0010-0000-1D00-000004000000}" name="Sloupec4" dataDxfId="281"/>
    <tableColumn id="5" xr3:uid="{00000000-0010-0000-1D00-000005000000}" name="Sloupec5"/>
  </tableColumns>
  <tableStyleInfo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00000000-000C-0000-FFFF-FFFF1E000000}" name="Tabulka211115527" displayName="Tabulka211115527" ref="A68:E74" headerRowCount="0" totalsRowShown="0" tableBorderDxfId="280">
  <tableColumns count="5">
    <tableColumn id="1" xr3:uid="{00000000-0010-0000-1E00-000001000000}" name="Sloupec1"/>
    <tableColumn id="2" xr3:uid="{00000000-0010-0000-1E00-000002000000}" name="Sloupec2" dataDxfId="279"/>
    <tableColumn id="3" xr3:uid="{00000000-0010-0000-1E00-000003000000}" name="Sloupec3" dataDxfId="278"/>
    <tableColumn id="4" xr3:uid="{00000000-0010-0000-1E00-000004000000}" name="Sloupec4" dataDxfId="277"/>
    <tableColumn id="5" xr3:uid="{00000000-0010-0000-1E00-000005000000}" name="Sloupec5"/>
  </tableColumns>
  <tableStyleInfo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00000000-000C-0000-FFFF-FFFF1F000000}" name="Tabulka211150" displayName="Tabulka211150" ref="A20:E26" headerRowCount="0" totalsRowShown="0" tableBorderDxfId="276">
  <tableColumns count="5">
    <tableColumn id="1" xr3:uid="{00000000-0010-0000-1F00-000001000000}" name="Sloupec1"/>
    <tableColumn id="2" xr3:uid="{00000000-0010-0000-1F00-000002000000}" name="Sloupec2" dataDxfId="275"/>
    <tableColumn id="3" xr3:uid="{00000000-0010-0000-1F00-000003000000}" name="Sloupec3" dataDxfId="274"/>
    <tableColumn id="4" xr3:uid="{00000000-0010-0000-1F00-000004000000}" name="Sloupec4" dataDxfId="273"/>
    <tableColumn id="5" xr3:uid="{00000000-0010-0000-1F00-000005000000}" name="Sloupec5"/>
  </tableColumns>
  <tableStyleInfo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20000000}" name="Tabulka20107953" displayName="Tabulka20107953" ref="A10:E42" headerRowCount="0" totalsRowShown="0" headerRowDxfId="272" tableBorderDxfId="271" totalsRowBorderDxfId="270">
  <tableColumns count="5">
    <tableColumn id="1" xr3:uid="{00000000-0010-0000-2000-000001000000}" name="Sloupec1" dataDxfId="269"/>
    <tableColumn id="2" xr3:uid="{00000000-0010-0000-2000-000002000000}" name="Sloupec2" dataDxfId="268"/>
    <tableColumn id="3" xr3:uid="{00000000-0010-0000-2000-000003000000}" name="Sloupec3" dataDxfId="267"/>
    <tableColumn id="4" xr3:uid="{00000000-0010-0000-2000-000004000000}" name="Sloupec4" dataDxfId="266"/>
    <tableColumn id="5" xr3:uid="{00000000-0010-0000-2000-000005000000}" name="Sloupec5" dataDxfId="265"/>
  </tableColumns>
  <tableStyleInfo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8" xr:uid="{00000000-000C-0000-FFFF-FFFF21000000}" name="Tabulka2010798354" displayName="Tabulka2010798354" ref="A46:E78" headerRowCount="0" totalsRowShown="0" tableBorderDxfId="264">
  <tableColumns count="5">
    <tableColumn id="1" xr3:uid="{00000000-0010-0000-2100-000001000000}" name="Sloupec1"/>
    <tableColumn id="2" xr3:uid="{00000000-0010-0000-2100-000002000000}" name="Sloupec2" dataDxfId="263"/>
    <tableColumn id="3" xr3:uid="{00000000-0010-0000-2100-000003000000}" name="Sloupec3" dataDxfId="262"/>
    <tableColumn id="4" xr3:uid="{00000000-0010-0000-2100-000004000000}" name="Sloupec4" dataDxfId="261"/>
    <tableColumn id="5" xr3:uid="{00000000-0010-0000-2100-000005000000}" name="Sloupec5"/>
  </tableColumns>
  <tableStyleInfo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" xr:uid="{00000000-000C-0000-FFFF-FFFF22000000}" name="Tabulka201079838556" displayName="Tabulka201079838556" ref="A120:E150" headerRowCount="0" totalsRowShown="0" tableBorderDxfId="260">
  <tableColumns count="5">
    <tableColumn id="1" xr3:uid="{00000000-0010-0000-2200-000001000000}" name="Sloupec1"/>
    <tableColumn id="2" xr3:uid="{00000000-0010-0000-2200-000002000000}" name="Sloupec2" dataDxfId="259"/>
    <tableColumn id="3" xr3:uid="{00000000-0010-0000-2200-000003000000}" name="Sloupec3" dataDxfId="258"/>
    <tableColumn id="4" xr3:uid="{00000000-0010-0000-2200-000004000000}" name="Sloupec4" dataDxfId="257"/>
    <tableColumn id="5" xr3:uid="{00000000-0010-0000-2200-000005000000}" name="Sloupec5"/>
  </tableColumns>
  <tableStyleInfo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1" xr:uid="{00000000-000C-0000-FFFF-FFFF23000000}" name="Tabulka2010798385563" displayName="Tabulka2010798385563" ref="A192:E222" headerRowCount="0" totalsRowShown="0" tableBorderDxfId="256">
  <tableColumns count="5">
    <tableColumn id="1" xr3:uid="{00000000-0010-0000-2300-000001000000}" name="Sloupec1"/>
    <tableColumn id="2" xr3:uid="{00000000-0010-0000-2300-000002000000}" name="Sloupec2" dataDxfId="255"/>
    <tableColumn id="3" xr3:uid="{00000000-0010-0000-2300-000003000000}" name="Sloupec3" dataDxfId="254"/>
    <tableColumn id="4" xr3:uid="{00000000-0010-0000-2300-000004000000}" name="Sloupec4" dataDxfId="253"/>
    <tableColumn id="5" xr3:uid="{00000000-0010-0000-2300-000005000000}" name="Sloupec5"/>
  </tableColumns>
  <tableStyleInfo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6" xr:uid="{00000000-000C-0000-FFFF-FFFF24000000}" name="Tabulka2010798455" displayName="Tabulka2010798455" ref="A86:E116" headerRowCount="0" totalsRowShown="0" tableBorderDxfId="252">
  <tableColumns count="5">
    <tableColumn id="1" xr3:uid="{00000000-0010-0000-2400-000001000000}" name="Sloupec1"/>
    <tableColumn id="2" xr3:uid="{00000000-0010-0000-2400-000002000000}" name="Sloupec2" dataDxfId="251"/>
    <tableColumn id="3" xr3:uid="{00000000-0010-0000-2400-000003000000}" name="Sloupec3" dataDxfId="250"/>
    <tableColumn id="4" xr3:uid="{00000000-0010-0000-2400-000004000000}" name="Sloupec4" dataDxfId="249"/>
    <tableColumn id="5" xr3:uid="{00000000-0010-0000-2400-000005000000}" name="Sloupec5"/>
  </tableColumns>
  <tableStyleInfo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7" xr:uid="{00000000-000C-0000-FFFF-FFFF25000000}" name="Tabulka20107984552" displayName="Tabulka20107984552" ref="A158:E188" headerRowCount="0" totalsRowShown="0" tableBorderDxfId="248">
  <tableColumns count="5">
    <tableColumn id="1" xr3:uid="{00000000-0010-0000-2500-000001000000}" name="Sloupec1"/>
    <tableColumn id="2" xr3:uid="{00000000-0010-0000-2500-000002000000}" name="Sloupec2" dataDxfId="247"/>
    <tableColumn id="3" xr3:uid="{00000000-0010-0000-2500-000003000000}" name="Sloupec3" dataDxfId="246"/>
    <tableColumn id="4" xr3:uid="{00000000-0010-0000-2500-000004000000}" name="Sloupec4" dataDxfId="245"/>
    <tableColumn id="5" xr3:uid="{00000000-0010-0000-2500-000005000000}" name="Sloupec5"/>
  </tableColumns>
  <tableStyleInfo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26000000}" name="Tabulka2010145159" displayName="Tabulka2010145159" ref="A34:E40" headerRowCount="0" totalsRowShown="0" headerRowDxfId="244" tableBorderDxfId="243" totalsRowBorderDxfId="242">
  <tableColumns count="5">
    <tableColumn id="1" xr3:uid="{00000000-0010-0000-2600-000001000000}" name="Sloupec1" dataDxfId="241"/>
    <tableColumn id="2" xr3:uid="{00000000-0010-0000-2600-000002000000}" name="Sloupec2" dataDxfId="240"/>
    <tableColumn id="3" xr3:uid="{00000000-0010-0000-2600-000003000000}" name="Sloupec3" dataDxfId="239"/>
    <tableColumn id="4" xr3:uid="{00000000-0010-0000-2600-000004000000}" name="Sloupec4" dataDxfId="238"/>
    <tableColumn id="5" xr3:uid="{00000000-0010-0000-2600-000005000000}" name="Sloupec5" dataDxfId="237"/>
  </tableColumns>
  <tableStyleInfo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27000000}" name="Tabulka20101451598" displayName="Tabulka20101451598" ref="A58:E64" headerRowCount="0" totalsRowShown="0" tableBorderDxfId="236">
  <tableColumns count="5">
    <tableColumn id="1" xr3:uid="{00000000-0010-0000-2700-000001000000}" name="Sloupec1"/>
    <tableColumn id="2" xr3:uid="{00000000-0010-0000-2700-000002000000}" name="Sloupec2" dataDxfId="235"/>
    <tableColumn id="3" xr3:uid="{00000000-0010-0000-2700-000003000000}" name="Sloupec3" dataDxfId="234"/>
    <tableColumn id="4" xr3:uid="{00000000-0010-0000-2700-000004000000}" name="Sloupec4" dataDxfId="233"/>
    <tableColumn id="5" xr3:uid="{00000000-0010-0000-2700-000005000000}" name="Sloupec5"/>
  </tableColumns>
  <tableStyleInfo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28000000}" name="Tabulka20104957" displayName="Tabulka20104957" ref="A10:E16" headerRowCount="0" totalsRowShown="0" tableBorderDxfId="232">
  <tableColumns count="5">
    <tableColumn id="1" xr3:uid="{00000000-0010-0000-2800-000001000000}" name="Sloupec1"/>
    <tableColumn id="2" xr3:uid="{00000000-0010-0000-2800-000002000000}" name="Sloupec2" dataDxfId="231"/>
    <tableColumn id="3" xr3:uid="{00000000-0010-0000-2800-000003000000}" name="Sloupec3" dataDxfId="230"/>
    <tableColumn id="4" xr3:uid="{00000000-0010-0000-2800-000004000000}" name="Sloupec4" dataDxfId="229"/>
    <tableColumn id="5" xr3:uid="{00000000-0010-0000-2800-000005000000}" name="Sloupec5"/>
  </tableColumns>
  <tableStyleInfo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1" xr:uid="{00000000-000C-0000-FFFF-FFFF29000000}" name="Tabulka2111155260" displayName="Tabulka2111155260" ref="A44:E50" headerRowCount="0" totalsRowShown="0" tableBorderDxfId="228">
  <tableColumns count="5">
    <tableColumn id="1" xr3:uid="{00000000-0010-0000-2900-000001000000}" name="Sloupec1"/>
    <tableColumn id="2" xr3:uid="{00000000-0010-0000-2900-000002000000}" name="Sloupec2" dataDxfId="227"/>
    <tableColumn id="3" xr3:uid="{00000000-0010-0000-2900-000003000000}" name="Sloupec3" dataDxfId="226"/>
    <tableColumn id="4" xr3:uid="{00000000-0010-0000-2900-000004000000}" name="Sloupec4" dataDxfId="225"/>
    <tableColumn id="5" xr3:uid="{00000000-0010-0000-2900-000005000000}" name="Sloupec5"/>
  </tableColumns>
  <tableStyleInfo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2" xr:uid="{00000000-000C-0000-FFFF-FFFF2A000000}" name="Tabulka21111552609" displayName="Tabulka21111552609" ref="A68:E74" headerRowCount="0" totalsRowShown="0" tableBorderDxfId="224">
  <tableColumns count="5">
    <tableColumn id="1" xr3:uid="{00000000-0010-0000-2A00-000001000000}" name="Sloupec1"/>
    <tableColumn id="2" xr3:uid="{00000000-0010-0000-2A00-000002000000}" name="Sloupec2" dataDxfId="223"/>
    <tableColumn id="3" xr3:uid="{00000000-0010-0000-2A00-000003000000}" name="Sloupec3" dataDxfId="222"/>
    <tableColumn id="4" xr3:uid="{00000000-0010-0000-2A00-000004000000}" name="Sloupec4" dataDxfId="221"/>
    <tableColumn id="5" xr3:uid="{00000000-0010-0000-2A00-000005000000}" name="Sloupec5"/>
  </tableColumns>
  <tableStyleInfo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00000000-000C-0000-FFFF-FFFF2B000000}" name="Tabulka21115058" displayName="Tabulka21115058" ref="A20:E26" headerRowCount="0" totalsRowShown="0" tableBorderDxfId="220">
  <tableColumns count="5">
    <tableColumn id="1" xr3:uid="{00000000-0010-0000-2B00-000001000000}" name="Sloupec1"/>
    <tableColumn id="2" xr3:uid="{00000000-0010-0000-2B00-000002000000}" name="Sloupec2" dataDxfId="219"/>
    <tableColumn id="3" xr3:uid="{00000000-0010-0000-2B00-000003000000}" name="Sloupec3" dataDxfId="218"/>
    <tableColumn id="4" xr3:uid="{00000000-0010-0000-2B00-000004000000}" name="Sloupec4" dataDxfId="217"/>
    <tableColumn id="5" xr3:uid="{00000000-0010-0000-2B00-000005000000}" name="Sloupec5"/>
  </tableColumns>
  <tableStyleInfo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2C000000}" name="Tabulka201049577" displayName="Tabulka201049577" ref="A86:E102" headerRowCount="0" totalsRowShown="0" headerRowDxfId="216" tableBorderDxfId="215" totalsRowBorderDxfId="214">
  <tableColumns count="5">
    <tableColumn id="1" xr3:uid="{00000000-0010-0000-2C00-000001000000}" name="Sloupec1" dataDxfId="213"/>
    <tableColumn id="2" xr3:uid="{00000000-0010-0000-2C00-000002000000}" name="Sloupec2" dataDxfId="212"/>
    <tableColumn id="3" xr3:uid="{00000000-0010-0000-2C00-000003000000}" name="Sloupec3" dataDxfId="211"/>
    <tableColumn id="4" xr3:uid="{00000000-0010-0000-2C00-000004000000}" name="Sloupec4" dataDxfId="210">
      <calculatedColumnFormula>(OBSAH!$J$6/100)*Tabulka201049577[[#This Row],[Sloupec3]]</calculatedColumnFormula>
    </tableColumn>
    <tableColumn id="5" xr3:uid="{00000000-0010-0000-2C00-000005000000}" name="Sloupec5" dataDxfId="209">
      <calculatedColumnFormula>Tabulka201049577[[#This Row],[Sloupec3]]-Tabulka201049577[[#This Row],[Sloupec4]]</calculatedColumnFormula>
    </tableColumn>
  </tableColumns>
  <tableStyleInfo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2D000000}" name="Tabulka2010795361" displayName="Tabulka2010795361" ref="A10:E42" headerRowCount="0" totalsRowShown="0" headerRowDxfId="208" tableBorderDxfId="207" totalsRowBorderDxfId="206">
  <tableColumns count="5">
    <tableColumn id="1" xr3:uid="{00000000-0010-0000-2D00-000001000000}" name="Sloupec1" dataDxfId="205"/>
    <tableColumn id="2" xr3:uid="{00000000-0010-0000-2D00-000002000000}" name="Sloupec2" dataDxfId="204"/>
    <tableColumn id="3" xr3:uid="{00000000-0010-0000-2D00-000003000000}" name="Sloupec3" dataDxfId="203"/>
    <tableColumn id="4" xr3:uid="{00000000-0010-0000-2D00-000004000000}" name="Sloupec4" dataDxfId="202"/>
    <tableColumn id="5" xr3:uid="{00000000-0010-0000-2D00-000005000000}" name="Sloupec5" dataDxfId="201"/>
  </tableColumns>
  <tableStyleInfo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9" xr:uid="{00000000-000C-0000-FFFF-FFFF2E000000}" name="Tabulka201079835462" displayName="Tabulka201079835462" ref="A46:E78" headerRowCount="0" totalsRowShown="0" tableBorderDxfId="200">
  <tableColumns count="5">
    <tableColumn id="1" xr3:uid="{00000000-0010-0000-2E00-000001000000}" name="Sloupec1"/>
    <tableColumn id="2" xr3:uid="{00000000-0010-0000-2E00-000002000000}" name="Sloupec2" dataDxfId="199"/>
    <tableColumn id="3" xr3:uid="{00000000-0010-0000-2E00-000003000000}" name="Sloupec3" dataDxfId="198"/>
    <tableColumn id="4" xr3:uid="{00000000-0010-0000-2E00-000004000000}" name="Sloupec4" dataDxfId="197"/>
    <tableColumn id="5" xr3:uid="{00000000-0010-0000-2E00-000005000000}" name="Sloupec5"/>
  </tableColumns>
  <tableStyleInfo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2" xr:uid="{00000000-000C-0000-FFFF-FFFF2F000000}" name="Tabulka20107983855664" displayName="Tabulka20107983855664" ref="A120:E150" headerRowCount="0" totalsRowShown="0" tableBorderDxfId="196">
  <tableColumns count="5">
    <tableColumn id="1" xr3:uid="{00000000-0010-0000-2F00-000001000000}" name="Sloupec1"/>
    <tableColumn id="2" xr3:uid="{00000000-0010-0000-2F00-000002000000}" name="Sloupec2" dataDxfId="195"/>
    <tableColumn id="3" xr3:uid="{00000000-0010-0000-2F00-000003000000}" name="Sloupec3" dataDxfId="194"/>
    <tableColumn id="4" xr3:uid="{00000000-0010-0000-2F00-000004000000}" name="Sloupec4" dataDxfId="193"/>
    <tableColumn id="5" xr3:uid="{00000000-0010-0000-2F00-000005000000}" name="Sloupec5"/>
  </tableColumns>
  <tableStyleInfo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3" xr:uid="{00000000-000C-0000-FFFF-FFFF30000000}" name="Tabulka2010798385566411" displayName="Tabulka2010798385566411" ref="A192:E222" headerRowCount="0" totalsRowShown="0" tableBorderDxfId="192">
  <tableColumns count="5">
    <tableColumn id="1" xr3:uid="{00000000-0010-0000-3000-000001000000}" name="Sloupec1"/>
    <tableColumn id="2" xr3:uid="{00000000-0010-0000-3000-000002000000}" name="Sloupec2" dataDxfId="191"/>
    <tableColumn id="3" xr3:uid="{00000000-0010-0000-3000-000003000000}" name="Sloupec3" dataDxfId="190"/>
    <tableColumn id="4" xr3:uid="{00000000-0010-0000-3000-000004000000}" name="Sloupec4" dataDxfId="189"/>
    <tableColumn id="5" xr3:uid="{00000000-0010-0000-3000-000005000000}" name="Sloupec5"/>
  </tableColumns>
  <tableStyleInfo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8" xr:uid="{00000000-000C-0000-FFFF-FFFF31000000}" name="Tabulka201079845563" displayName="Tabulka201079845563" ref="A86:E116" headerRowCount="0" totalsRowShown="0" tableBorderDxfId="188">
  <tableColumns count="5">
    <tableColumn id="1" xr3:uid="{00000000-0010-0000-3100-000001000000}" name="Sloupec1"/>
    <tableColumn id="2" xr3:uid="{00000000-0010-0000-3100-000002000000}" name="Sloupec2" dataDxfId="187"/>
    <tableColumn id="3" xr3:uid="{00000000-0010-0000-3100-000003000000}" name="Sloupec3" dataDxfId="186"/>
    <tableColumn id="4" xr3:uid="{00000000-0010-0000-3100-000004000000}" name="Sloupec4" dataDxfId="185"/>
    <tableColumn id="5" xr3:uid="{00000000-0010-0000-3100-000005000000}" name="Sloupec5"/>
  </tableColumns>
  <tableStyleInfo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9" xr:uid="{00000000-000C-0000-FFFF-FFFF32000000}" name="Tabulka20107984556310" displayName="Tabulka20107984556310" ref="A158:E188" headerRowCount="0" totalsRowShown="0" tableBorderDxfId="184">
  <tableColumns count="5">
    <tableColumn id="1" xr3:uid="{00000000-0010-0000-3200-000001000000}" name="Sloupec1"/>
    <tableColumn id="2" xr3:uid="{00000000-0010-0000-3200-000002000000}" name="Sloupec2" dataDxfId="183"/>
    <tableColumn id="3" xr3:uid="{00000000-0010-0000-3200-000003000000}" name="Sloupec3" dataDxfId="182"/>
    <tableColumn id="4" xr3:uid="{00000000-0010-0000-3200-000004000000}" name="Sloupec4" dataDxfId="181"/>
    <tableColumn id="5" xr3:uid="{00000000-0010-0000-3200-000005000000}" name="Sloupec5"/>
  </tableColumns>
  <tableStyleInfo showFirstColumn="0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33000000}" name="Tabulka2010794" displayName="Tabulka2010794" ref="A10:E42" headerRowCount="0" totalsRowShown="0" headerRowDxfId="180" tableBorderDxfId="179" totalsRowBorderDxfId="178">
  <tableColumns count="5">
    <tableColumn id="1" xr3:uid="{00000000-0010-0000-3300-000001000000}" name="Sloupec1" dataDxfId="177"/>
    <tableColumn id="2" xr3:uid="{00000000-0010-0000-3300-000002000000}" name="Sloupec2" dataDxfId="176"/>
    <tableColumn id="3" xr3:uid="{00000000-0010-0000-3300-000003000000}" name="Sloupec3" dataDxfId="175"/>
    <tableColumn id="4" xr3:uid="{00000000-0010-0000-3300-000004000000}" name="Sloupec4" dataDxfId="174"/>
    <tableColumn id="5" xr3:uid="{00000000-0010-0000-3300-000005000000}" name="Sloupec5" dataDxfId="173"/>
  </tableColumns>
  <tableStyleInfo showFirstColumn="0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00000000-000C-0000-FFFF-FFFF34000000}" name="Tabulka201079496" displayName="Tabulka201079496" ref="A46:E78" headerRowCount="0" totalsRowShown="0" tableBorderDxfId="172">
  <tableColumns count="5">
    <tableColumn id="1" xr3:uid="{00000000-0010-0000-3400-000001000000}" name="Sloupec1"/>
    <tableColumn id="2" xr3:uid="{00000000-0010-0000-3400-000002000000}" name="Sloupec2" dataDxfId="171"/>
    <tableColumn id="3" xr3:uid="{00000000-0010-0000-3400-000003000000}" name="Sloupec3" dataDxfId="170"/>
    <tableColumn id="4" xr3:uid="{00000000-0010-0000-3400-000004000000}" name="Sloupec4" dataDxfId="169"/>
    <tableColumn id="5" xr3:uid="{00000000-0010-0000-3400-000005000000}" name="Sloupec5"/>
  </tableColumns>
  <tableStyleInfo showFirstColumn="0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4" xr:uid="{00000000-000C-0000-FFFF-FFFF35000000}" name="Tabulka201079838595" displayName="Tabulka201079838595" ref="A119:E149" headerRowCount="0" totalsRowShown="0" tableBorderDxfId="168">
  <tableColumns count="5">
    <tableColumn id="1" xr3:uid="{00000000-0010-0000-3500-000001000000}" name="Sloupec1"/>
    <tableColumn id="2" xr3:uid="{00000000-0010-0000-3500-000002000000}" name="Sloupec2" dataDxfId="167"/>
    <tableColumn id="3" xr3:uid="{00000000-0010-0000-3500-000003000000}" name="Sloupec3" dataDxfId="166"/>
    <tableColumn id="4" xr3:uid="{00000000-0010-0000-3500-000004000000}" name="Sloupec4" dataDxfId="165"/>
    <tableColumn id="5" xr3:uid="{00000000-0010-0000-3500-000005000000}" name="Sloupec5"/>
  </tableColumns>
  <tableStyleInfo showFirstColumn="0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0" xr:uid="{00000000-000C-0000-FFFF-FFFF36000000}" name="Tabulka2010798494" displayName="Tabulka2010798494" ref="A85:E115" headerRowCount="0" totalsRowShown="0" tableBorderDxfId="164">
  <tableColumns count="5">
    <tableColumn id="1" xr3:uid="{00000000-0010-0000-3600-000001000000}" name="Sloupec1"/>
    <tableColumn id="2" xr3:uid="{00000000-0010-0000-3600-000002000000}" name="Sloupec2" dataDxfId="163"/>
    <tableColumn id="3" xr3:uid="{00000000-0010-0000-3600-000003000000}" name="Sloupec3" dataDxfId="162"/>
    <tableColumn id="4" xr3:uid="{00000000-0010-0000-3600-000004000000}" name="Sloupec4" dataDxfId="161"/>
    <tableColumn id="5" xr3:uid="{00000000-0010-0000-3600-000005000000}" name="Sloupec5"/>
  </tableColumns>
  <tableStyleInfo showFirstColumn="0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37000000}" name="Tabulka2010794100" displayName="Tabulka2010794100" ref="A10:E42" headerRowCount="0" totalsRowShown="0" headerRowDxfId="160" tableBorderDxfId="159" totalsRowBorderDxfId="158">
  <tableColumns count="5">
    <tableColumn id="1" xr3:uid="{00000000-0010-0000-3700-000001000000}" name="Sloupec1" dataDxfId="157"/>
    <tableColumn id="2" xr3:uid="{00000000-0010-0000-3700-000002000000}" name="Sloupec2" dataDxfId="156"/>
    <tableColumn id="3" xr3:uid="{00000000-0010-0000-3700-000003000000}" name="Sloupec3" dataDxfId="155"/>
    <tableColumn id="4" xr3:uid="{00000000-0010-0000-3700-000004000000}" name="Sloupec4" dataDxfId="154"/>
    <tableColumn id="5" xr3:uid="{00000000-0010-0000-3700-000005000000}" name="Sloupec5" dataDxfId="153"/>
  </tableColumns>
  <tableStyleInfo showFirstColumn="0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38000000}" name="Tabulka20107949699" displayName="Tabulka20107949699" ref="A46:E78" headerRowCount="0" totalsRowShown="0" tableBorderDxfId="152">
  <tableColumns count="5">
    <tableColumn id="1" xr3:uid="{00000000-0010-0000-3800-000001000000}" name="Sloupec1"/>
    <tableColumn id="2" xr3:uid="{00000000-0010-0000-3800-000002000000}" name="Sloupec2" dataDxfId="151"/>
    <tableColumn id="3" xr3:uid="{00000000-0010-0000-3800-000003000000}" name="Sloupec3" dataDxfId="150"/>
    <tableColumn id="4" xr3:uid="{00000000-0010-0000-3800-000004000000}" name="Sloupec4" dataDxfId="149"/>
    <tableColumn id="5" xr3:uid="{00000000-0010-0000-3800-000005000000}" name="Sloupec5"/>
  </tableColumns>
  <tableStyleInfo showFirstColumn="0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5" xr:uid="{00000000-000C-0000-FFFF-FFFF39000000}" name="Tabulka20107983859598" displayName="Tabulka20107983859598" ref="A119:E149" headerRowCount="0" totalsRowShown="0" tableBorderDxfId="148">
  <tableColumns count="5">
    <tableColumn id="1" xr3:uid="{00000000-0010-0000-3900-000001000000}" name="Sloupec1"/>
    <tableColumn id="2" xr3:uid="{00000000-0010-0000-3900-000002000000}" name="Sloupec2" dataDxfId="147"/>
    <tableColumn id="3" xr3:uid="{00000000-0010-0000-3900-000003000000}" name="Sloupec3" dataDxfId="146"/>
    <tableColumn id="4" xr3:uid="{00000000-0010-0000-3900-000004000000}" name="Sloupec4" dataDxfId="145"/>
    <tableColumn id="5" xr3:uid="{00000000-0010-0000-3900-000005000000}" name="Sloupec5"/>
  </tableColumns>
  <tableStyleInfo showFirstColumn="0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1" xr:uid="{00000000-000C-0000-FFFF-FFFF3A000000}" name="Tabulka201079849497" displayName="Tabulka201079849497" ref="A85:E115" headerRowCount="0" totalsRowShown="0" tableBorderDxfId="144">
  <tableColumns count="5">
    <tableColumn id="1" xr3:uid="{00000000-0010-0000-3A00-000001000000}" name="Sloupec1"/>
    <tableColumn id="2" xr3:uid="{00000000-0010-0000-3A00-000002000000}" name="Sloupec2" dataDxfId="143"/>
    <tableColumn id="3" xr3:uid="{00000000-0010-0000-3A00-000003000000}" name="Sloupec3" dataDxfId="142"/>
    <tableColumn id="4" xr3:uid="{00000000-0010-0000-3A00-000004000000}" name="Sloupec4" dataDxfId="141"/>
    <tableColumn id="5" xr3:uid="{00000000-0010-0000-3A00-000005000000}" name="Sloupec5"/>
  </tableColumns>
  <tableStyleInfo showFirstColumn="0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3B000000}" name="Tabulka2010794104116127" displayName="Tabulka2010794104116127" ref="A77:E82" headerRowCount="0" totalsRowShown="0" headerRowDxfId="140" tableBorderDxfId="139" totalsRowBorderDxfId="138">
  <tableColumns count="5">
    <tableColumn id="1" xr3:uid="{00000000-0010-0000-3B00-000001000000}" name="Sloupec1" dataDxfId="137"/>
    <tableColumn id="2" xr3:uid="{00000000-0010-0000-3B00-000002000000}" name="Sloupec2" dataDxfId="136"/>
    <tableColumn id="3" xr3:uid="{00000000-0010-0000-3B00-000003000000}" name="Sloupec3" dataDxfId="135"/>
    <tableColumn id="4" xr3:uid="{00000000-0010-0000-3B00-000004000000}" name="Sloupec4" dataDxfId="134"/>
    <tableColumn id="5" xr3:uid="{00000000-0010-0000-3B00-000005000000}" name="Sloupec5" dataDxfId="133"/>
  </tableColumns>
  <tableStyleInfo showFirstColumn="0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3C000000}" name="Tabulka201079496103115122" displayName="Tabulka201079496103115122" ref="A86:E91" headerRowCount="0" totalsRowShown="0" tableBorderDxfId="132">
  <tableColumns count="5">
    <tableColumn id="1" xr3:uid="{00000000-0010-0000-3C00-000001000000}" name="Sloupec1"/>
    <tableColumn id="2" xr3:uid="{00000000-0010-0000-3C00-000002000000}" name="Sloupec2"/>
    <tableColumn id="3" xr3:uid="{00000000-0010-0000-3C00-000003000000}" name="Sloupec3"/>
    <tableColumn id="4" xr3:uid="{00000000-0010-0000-3C00-000004000000}" name="Sloupec4"/>
    <tableColumn id="5" xr3:uid="{00000000-0010-0000-3C00-000005000000}" name="Sloupec5"/>
  </tableColumns>
  <tableStyleInfo showFirstColumn="0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3D000000}" name="Tabulka2010794104116127711" displayName="Tabulka2010794104116127711" ref="A22:E23" headerRowCount="0" totalsRowShown="0" headerRowDxfId="131" tableBorderDxfId="130" totalsRowBorderDxfId="129">
  <tableColumns count="5">
    <tableColumn id="1" xr3:uid="{00000000-0010-0000-3D00-000001000000}" name="Sloupec1" dataDxfId="128"/>
    <tableColumn id="2" xr3:uid="{00000000-0010-0000-3D00-000002000000}" name="Sloupec2" dataDxfId="127"/>
    <tableColumn id="3" xr3:uid="{00000000-0010-0000-3D00-000003000000}" name="Sloupec3" dataDxfId="126"/>
    <tableColumn id="4" xr3:uid="{00000000-0010-0000-3D00-000004000000}" name="Sloupec4" dataDxfId="125">
      <calculatedColumnFormula>(OBSAH!$J$6/100)*Tabulka2010794104116127711[[#This Row],[Sloupec3]]</calculatedColumnFormula>
    </tableColumn>
    <tableColumn id="5" xr3:uid="{00000000-0010-0000-3D00-000005000000}" name="Sloupec5" dataDxfId="124">
      <calculatedColumnFormula>Tabulka2010794104116127711[[#This Row],[Sloupec3]]-Tabulka2010794104116127711[[#This Row],[Sloupec4]]</calculatedColumnFormula>
    </tableColumn>
  </tableColumns>
  <tableStyleInfo showFirstColumn="0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3E000000}" name="Tabulka20107949610311512226" displayName="Tabulka20107949610311512226" ref="A28:E29" headerRowCount="0" totalsRowShown="0" headerRowDxfId="123" tableBorderDxfId="122">
  <tableColumns count="5">
    <tableColumn id="1" xr3:uid="{00000000-0010-0000-3E00-000001000000}" name="Sloupec1" dataDxfId="121"/>
    <tableColumn id="2" xr3:uid="{00000000-0010-0000-3E00-000002000000}" name="Sloupec2" dataDxfId="120"/>
    <tableColumn id="3" xr3:uid="{00000000-0010-0000-3E00-000003000000}" name="Sloupec3" dataDxfId="119"/>
    <tableColumn id="4" xr3:uid="{00000000-0010-0000-3E00-000004000000}" name="Sloupec4" dataDxfId="118">
      <calculatedColumnFormula>(OBSAH!$J$6/100)*Tabulka20107949610311512226[[#This Row],[Sloupec3]]</calculatedColumnFormula>
    </tableColumn>
    <tableColumn id="5" xr3:uid="{00000000-0010-0000-3E00-000005000000}" name="Sloupec5" dataDxfId="117">
      <calculatedColumnFormula>Tabulka20107949610311512226[[#This Row],[Sloupec3]]-Tabulka20107949610311512226[[#This Row],[Sloupec4]]</calculatedColumnFormula>
    </tableColumn>
  </tableColumns>
  <tableStyleInfo showFirstColumn="0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3F000000}" name="Tabulka2010794961031151222629" displayName="Tabulka2010794961031151222629" ref="A34:E35" headerRowCount="0" totalsRowShown="0" headerRowDxfId="116" tableBorderDxfId="115">
  <tableColumns count="5">
    <tableColumn id="1" xr3:uid="{00000000-0010-0000-3F00-000001000000}" name="Sloupec1" dataDxfId="114"/>
    <tableColumn id="2" xr3:uid="{00000000-0010-0000-3F00-000002000000}" name="Sloupec2" dataDxfId="113"/>
    <tableColumn id="3" xr3:uid="{00000000-0010-0000-3F00-000003000000}" name="Sloupec3" dataDxfId="112"/>
    <tableColumn id="4" xr3:uid="{00000000-0010-0000-3F00-000004000000}" name="Sloupec4" dataDxfId="111">
      <calculatedColumnFormula>(OBSAH!$J$6/100)*Tabulka2010794961031151222629[[#This Row],[Sloupec3]]</calculatedColumnFormula>
    </tableColumn>
    <tableColumn id="5" xr3:uid="{00000000-0010-0000-3F00-000005000000}" name="Sloupec5" dataDxfId="110">
      <calculatedColumnFormula>Tabulka2010794961031151222629[[#This Row],[Sloupec3]]-Tabulka2010794961031151222629[[#This Row],[Sloupec4]]</calculatedColumnFormula>
    </tableColumn>
  </tableColumns>
  <tableStyleInfo showFirstColumn="0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00000000-000C-0000-FFFF-FFFF40000000}" name="Tabulka201079410411612771147" displayName="Tabulka201079410411612771147" ref="A42:E43" headerRowCount="0" totalsRowShown="0" headerRowDxfId="109" tableBorderDxfId="108" totalsRowBorderDxfId="107">
  <tableColumns count="5">
    <tableColumn id="1" xr3:uid="{00000000-0010-0000-4000-000001000000}" name="Sloupec1" dataDxfId="106"/>
    <tableColumn id="2" xr3:uid="{00000000-0010-0000-4000-000002000000}" name="Sloupec2" dataDxfId="105"/>
    <tableColumn id="3" xr3:uid="{00000000-0010-0000-4000-000003000000}" name="Sloupec3" dataDxfId="104"/>
    <tableColumn id="4" xr3:uid="{00000000-0010-0000-4000-000004000000}" name="Sloupec4" dataDxfId="103">
      <calculatedColumnFormula>(OBSAH!$J$6/100)*Tabulka201079410411612771147[[#This Row],[Sloupec3]]</calculatedColumnFormula>
    </tableColumn>
    <tableColumn id="5" xr3:uid="{00000000-0010-0000-4000-000005000000}" name="Sloupec5" dataDxfId="102">
      <calculatedColumnFormula>Tabulka201079410411612771147[[#This Row],[Sloupec3]]-Tabulka201079410411612771147[[#This Row],[Sloupec4]]</calculatedColumnFormula>
    </tableColumn>
  </tableColumns>
  <tableStyleInfo showFirstColumn="0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00000000-000C-0000-FFFF-FFFF41000000}" name="Tabulka20107941041161277114794" displayName="Tabulka20107941041161277114794" ref="A56:E56" headerRowCount="0" totalsRowShown="0" headerRowDxfId="101" tableBorderDxfId="100" totalsRowBorderDxfId="99">
  <tableColumns count="5">
    <tableColumn id="1" xr3:uid="{00000000-0010-0000-4100-000001000000}" name="Sloupec1" dataDxfId="98"/>
    <tableColumn id="2" xr3:uid="{00000000-0010-0000-4100-000002000000}" name="Sloupec2" dataDxfId="97"/>
    <tableColumn id="3" xr3:uid="{00000000-0010-0000-4100-000003000000}" name="Sloupec3" dataDxfId="96"/>
    <tableColumn id="4" xr3:uid="{00000000-0010-0000-4100-000004000000}" name="Sloupec4" dataDxfId="95">
      <calculatedColumnFormula>(OBSAH!$J$6/100)*Tabulka20107941041161277114794[[#This Row],[Sloupec3]]</calculatedColumnFormula>
    </tableColumn>
    <tableColumn id="5" xr3:uid="{00000000-0010-0000-4100-000005000000}" name="Sloupec5" dataDxfId="94">
      <calculatedColumnFormula>Tabulka20107941041161277114794[[#This Row],[Sloupec3]]-Tabulka20107941041161277114794[[#This Row],[Sloupec4]]</calculatedColumnFormula>
    </tableColumn>
  </tableColumns>
  <tableStyleInfo showFirstColumn="0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00000000-000C-0000-FFFF-FFFF42000000}" name="Tabulka201079496103115122264895" displayName="Tabulka201079496103115122264895" ref="A61:E61" headerRowCount="0" totalsRowShown="0" headerRowDxfId="93" tableBorderDxfId="92">
  <tableColumns count="5">
    <tableColumn id="1" xr3:uid="{00000000-0010-0000-4200-000001000000}" name="Sloupec1" dataDxfId="91"/>
    <tableColumn id="2" xr3:uid="{00000000-0010-0000-4200-000002000000}" name="Sloupec2" dataDxfId="90"/>
    <tableColumn id="3" xr3:uid="{00000000-0010-0000-4200-000003000000}" name="Sloupec3" dataDxfId="89"/>
    <tableColumn id="4" xr3:uid="{00000000-0010-0000-4200-000004000000}" name="Sloupec4" dataDxfId="88">
      <calculatedColumnFormula>(OBSAH!$J$6/100)*Tabulka201079496103115122264895[[#This Row],[Sloupec3]]</calculatedColumnFormula>
    </tableColumn>
    <tableColumn id="5" xr3:uid="{00000000-0010-0000-4200-000005000000}" name="Sloupec5" dataDxfId="87">
      <calculatedColumnFormula>Tabulka201079496103115122264895[[#This Row],[Sloupec3]]-Tabulka201079496103115122264895[[#This Row],[Sloupec4]]</calculatedColumnFormula>
    </tableColumn>
  </tableColumns>
  <tableStyleInfo showFirstColumn="0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00000000-000C-0000-FFFF-FFFF43000000}" name="Tabulka20107949610311512226294996" displayName="Tabulka20107949610311512226294996" ref="A66:E66" headerRowCount="0" totalsRowShown="0" headerRowDxfId="86" tableBorderDxfId="85">
  <tableColumns count="5">
    <tableColumn id="1" xr3:uid="{00000000-0010-0000-4300-000001000000}" name="Sloupec1" dataDxfId="84"/>
    <tableColumn id="2" xr3:uid="{00000000-0010-0000-4300-000002000000}" name="Sloupec2" dataDxfId="83"/>
    <tableColumn id="3" xr3:uid="{00000000-0010-0000-4300-000003000000}" name="Sloupec3" dataDxfId="82"/>
    <tableColumn id="4" xr3:uid="{00000000-0010-0000-4300-000004000000}" name="Sloupec4" dataDxfId="81">
      <calculatedColumnFormula>(OBSAH!$J$6/100)*Tabulka20107949610311512226294996[[#This Row],[Sloupec3]]</calculatedColumnFormula>
    </tableColumn>
    <tableColumn id="5" xr3:uid="{00000000-0010-0000-4300-000005000000}" name="Sloupec5" dataDxfId="80">
      <calculatedColumnFormula>Tabulka20107949610311512226294996[[#This Row],[Sloupec3]]-Tabulka20107949610311512226294996[[#This Row],[Sloupec4]]</calculatedColumnFormula>
    </tableColumn>
  </tableColumns>
  <tableStyleInfo showFirstColumn="0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44000000}" name="Tabulka20107941041161277114727" displayName="Tabulka20107941041161277114727" ref="A49:E50" headerRowCount="0" totalsRowShown="0" headerRowDxfId="79" tableBorderDxfId="78" totalsRowBorderDxfId="77">
  <tableColumns count="5">
    <tableColumn id="1" xr3:uid="{00000000-0010-0000-4400-000001000000}" name="Sloupec1" dataDxfId="76"/>
    <tableColumn id="2" xr3:uid="{00000000-0010-0000-4400-000002000000}" name="Sloupec2" dataDxfId="75"/>
    <tableColumn id="3" xr3:uid="{00000000-0010-0000-4400-000003000000}" name="Sloupec3" dataDxfId="74"/>
    <tableColumn id="4" xr3:uid="{00000000-0010-0000-4400-000004000000}" name="Sloupec4" dataDxfId="73">
      <calculatedColumnFormula>(OBSAH!$J$6/100)*Tabulka20107941041161277114727[[#This Row],[Sloupec3]]</calculatedColumnFormula>
    </tableColumn>
    <tableColumn id="5" xr3:uid="{00000000-0010-0000-4400-000005000000}" name="Sloupec5" dataDxfId="72">
      <calculatedColumnFormula>Tabulka20107941041161277114727[[#This Row],[Sloupec3]]-Tabulka20107941041161277114727[[#This Row],[Sloupec4]]</calculatedColumnFormula>
    </tableColumn>
  </tableColumns>
  <tableStyleInfo showFirstColumn="0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00000000-000C-0000-FFFF-FFFF45000000}" name="Tabulka20107941041161271391433772" displayName="Tabulka20107941041161271391433772" ref="A31:E41" headerRowCount="0" totalsRowShown="0">
  <tableColumns count="5">
    <tableColumn id="1" xr3:uid="{00000000-0010-0000-4500-000001000000}" name="Sloupec1"/>
    <tableColumn id="2" xr3:uid="{00000000-0010-0000-4500-000002000000}" name="Sloupec2"/>
    <tableColumn id="3" xr3:uid="{00000000-0010-0000-4500-000003000000}" name="Sloupec3"/>
    <tableColumn id="4" xr3:uid="{00000000-0010-0000-4500-000004000000}" name="Sloupec4"/>
    <tableColumn id="5" xr3:uid="{00000000-0010-0000-4500-000005000000}" name="Sloupec5"/>
  </tableColumns>
  <tableStyleInfo showFirstColumn="0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00000000-000C-0000-FFFF-FFFF46000000}" name="Tabulka20107941041161271391436674" displayName="Tabulka20107941041161271391436674" ref="A10:E11" headerRowCount="0" totalsRowShown="0" headerRowDxfId="71" dataDxfId="70">
  <tableColumns count="5">
    <tableColumn id="1" xr3:uid="{00000000-0010-0000-4600-000001000000}" name="Sloupec1" dataDxfId="69"/>
    <tableColumn id="2" xr3:uid="{00000000-0010-0000-4600-000002000000}" name="Sloupec2" dataDxfId="68"/>
    <tableColumn id="3" xr3:uid="{00000000-0010-0000-4600-000003000000}" name="Sloupec3" dataDxfId="67"/>
    <tableColumn id="4" xr3:uid="{00000000-0010-0000-4600-000004000000}" name="Sloupec4" dataDxfId="66"/>
    <tableColumn id="5" xr3:uid="{00000000-0010-0000-4600-000005000000}" name="Sloupec5" dataDxfId="65"/>
  </tableColumns>
  <tableStyleInfo showFirstColumn="0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00000000-000C-0000-FFFF-FFFF47000000}" name="Tabulka2010794104116127139143667478" displayName="Tabulka2010794104116127139143667478" ref="A18:E18" headerRowCount="0" totalsRowShown="0" headerRowDxfId="64" dataDxfId="63">
  <tableColumns count="5">
    <tableColumn id="1" xr3:uid="{00000000-0010-0000-4700-000001000000}" name="Sloupec1" dataDxfId="62"/>
    <tableColumn id="2" xr3:uid="{00000000-0010-0000-4700-000002000000}" name="Sloupec2" dataDxfId="61"/>
    <tableColumn id="3" xr3:uid="{00000000-0010-0000-4700-000003000000}" name="Sloupec3" dataDxfId="60"/>
    <tableColumn id="4" xr3:uid="{00000000-0010-0000-4700-000004000000}" name="Sloupec4" dataDxfId="59"/>
    <tableColumn id="5" xr3:uid="{00000000-0010-0000-4700-000005000000}" name="Sloupec5" dataDxfId="58"/>
  </tableColumns>
  <tableStyleInfo showFirstColumn="0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00000000-000C-0000-FFFF-FFFF48000000}" name="Tabulka201079410411612713914366747883" displayName="Tabulka201079410411612713914366747883" ref="A24:E24" headerRowCount="0" totalsRowShown="0" headerRowDxfId="57" dataDxfId="56">
  <tableColumns count="5">
    <tableColumn id="1" xr3:uid="{00000000-0010-0000-4800-000001000000}" name="Sloupec1" dataDxfId="55"/>
    <tableColumn id="2" xr3:uid="{00000000-0010-0000-4800-000002000000}" name="Sloupec2" dataDxfId="54"/>
    <tableColumn id="3" xr3:uid="{00000000-0010-0000-4800-000003000000}" name="Sloupec3" dataDxfId="53"/>
    <tableColumn id="4" xr3:uid="{00000000-0010-0000-4800-000004000000}" name="Sloupec4" dataDxfId="52"/>
    <tableColumn id="5" xr3:uid="{00000000-0010-0000-4800-000005000000}" name="Sloupec5" dataDxfId="51"/>
  </tableColumns>
  <tableStyleInfo showFirstColumn="0" showLastColumn="0" showRowStripes="1" showColumnStripes="0"/>
</table>
</file>

<file path=xl/tables/table7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49000000}" name="Tabulka2010794961031151221381426573" displayName="Tabulka2010794961031151221381426573" ref="A12:E13" headerRowCount="0" totalsRowShown="0" headerRowDxfId="50" dataDxfId="49">
  <tableColumns count="5">
    <tableColumn id="1" xr3:uid="{00000000-0010-0000-4900-000001000000}" name="Sloupec1" dataDxfId="48"/>
    <tableColumn id="2" xr3:uid="{00000000-0010-0000-4900-000002000000}" name="Sloupec2" dataDxfId="47"/>
    <tableColumn id="3" xr3:uid="{00000000-0010-0000-4900-000003000000}" name="Sloupec3" dataDxfId="46"/>
    <tableColumn id="4" xr3:uid="{00000000-0010-0000-4900-000004000000}" name="Sloupec4" dataDxfId="45"/>
    <tableColumn id="5" xr3:uid="{00000000-0010-0000-4900-000005000000}" name="Sloupec5" dataDxfId="44"/>
  </tableColumns>
  <tableStyleInfo showFirstColumn="0" showLastColumn="0" showRowStripes="1" showColumnStripes="0"/>
</table>
</file>

<file path=xl/tables/table7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4A000000}" name="Tabulka201079496103115122138142657377" displayName="Tabulka201079496103115122138142657377" ref="A19:E19" headerRowCount="0" totalsRowShown="0" headerRowDxfId="43" dataDxfId="42">
  <tableColumns count="5">
    <tableColumn id="1" xr3:uid="{00000000-0010-0000-4A00-000001000000}" name="Sloupec1" dataDxfId="41"/>
    <tableColumn id="2" xr3:uid="{00000000-0010-0000-4A00-000002000000}" name="Sloupec2" dataDxfId="40"/>
    <tableColumn id="3" xr3:uid="{00000000-0010-0000-4A00-000003000000}" name="Sloupec3" dataDxfId="39"/>
    <tableColumn id="4" xr3:uid="{00000000-0010-0000-4A00-000004000000}" name="Sloupec4" dataDxfId="38"/>
    <tableColumn id="5" xr3:uid="{00000000-0010-0000-4A00-000005000000}" name="Sloupec5" dataDxfId="37"/>
  </tableColumns>
  <tableStyleInfo showFirstColumn="0" showLastColumn="0" showRowStripes="1" showColumnStripes="0"/>
</table>
</file>

<file path=xl/tables/table7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4B000000}" name="Tabulka20107949610311512213814265737779" displayName="Tabulka20107949610311512213814265737779" ref="A25:E25" headerRowCount="0" totalsRowShown="0" headerRowDxfId="36" dataDxfId="35">
  <tableColumns count="5">
    <tableColumn id="1" xr3:uid="{00000000-0010-0000-4B00-000001000000}" name="Sloupec1" dataDxfId="34"/>
    <tableColumn id="2" xr3:uid="{00000000-0010-0000-4B00-000002000000}" name="Sloupec2" dataDxfId="33"/>
    <tableColumn id="3" xr3:uid="{00000000-0010-0000-4B00-000003000000}" name="Sloupec3" dataDxfId="32"/>
    <tableColumn id="4" xr3:uid="{00000000-0010-0000-4B00-000004000000}" name="Sloupec4" dataDxfId="31"/>
    <tableColumn id="5" xr3:uid="{00000000-0010-0000-4B00-000005000000}" name="Sloupec5" dataDxfId="30"/>
  </tableColumns>
  <tableStyleInfo showFirstColumn="0" showLastColumn="0" showRowStripes="1" showColumnStripes="0"/>
</table>
</file>

<file path=xl/tables/table7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00000000-000C-0000-FFFF-FFFF4C000000}" name="Tabulka201079410411612713914123" displayName="Tabulka201079410411612713914123" ref="A20:E23" headerRowCount="0" totalsRowShown="0" headerRowDxfId="29" tableBorderDxfId="28" totalsRowBorderDxfId="27">
  <tableColumns count="5">
    <tableColumn id="1" xr3:uid="{00000000-0010-0000-4C00-000001000000}" name="Sloupec1" dataDxfId="26"/>
    <tableColumn id="2" xr3:uid="{00000000-0010-0000-4C00-000002000000}" name="Sloupec2" dataDxfId="25"/>
    <tableColumn id="3" xr3:uid="{00000000-0010-0000-4C00-000003000000}" name="Sloupec3" dataDxfId="24"/>
    <tableColumn id="4" xr3:uid="{00000000-0010-0000-4C00-000004000000}" name="Sloupec4" dataDxfId="23"/>
    <tableColumn id="5" xr3:uid="{00000000-0010-0000-4C00-000005000000}" name="Sloupec5" dataDxfId="22"/>
  </tableColumns>
  <tableStyleInfo showFirstColumn="0" showLastColumn="0" showRowStripes="1" showColumnStripes="0"/>
</table>
</file>

<file path=xl/tables/table7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00000000-000C-0000-FFFF-FFFF4D000000}" name="Tabulka201079410411612713921" displayName="Tabulka201079410411612713921" ref="A8:E14" headerRowCount="0" totalsRowShown="0" tableBorderDxfId="21">
  <tableColumns count="5">
    <tableColumn id="1" xr3:uid="{00000000-0010-0000-4D00-000001000000}" name="Sloupec1"/>
    <tableColumn id="2" xr3:uid="{00000000-0010-0000-4D00-000002000000}" name="Sloupec2" dataDxfId="20"/>
    <tableColumn id="3" xr3:uid="{00000000-0010-0000-4D00-000003000000}" name="Sloupec3" dataDxfId="19"/>
    <tableColumn id="4" xr3:uid="{00000000-0010-0000-4D00-000004000000}" name="Sloupec4" dataDxfId="18"/>
    <tableColumn id="5" xr3:uid="{00000000-0010-0000-4D00-000005000000}" name="Sloupec5"/>
  </tableColumns>
  <tableStyleInfo showFirstColumn="0" showLastColumn="0" showRowStripes="1" showColumnStripes="0"/>
</table>
</file>

<file path=xl/tables/table7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00000000-000C-0000-FFFF-FFFF4E000000}" name="Tabulka20107941041161271392124" displayName="Tabulka20107941041161271392124" ref="A29:E36" headerRowCount="0" totalsRowShown="0" tableBorderDxfId="17">
  <tableColumns count="5">
    <tableColumn id="1" xr3:uid="{00000000-0010-0000-4E00-000001000000}" name="Sloupec1"/>
    <tableColumn id="2" xr3:uid="{00000000-0010-0000-4E00-000002000000}" name="Sloupec2" dataDxfId="16"/>
    <tableColumn id="3" xr3:uid="{00000000-0010-0000-4E00-000003000000}" name="Sloupec3" dataDxfId="15"/>
    <tableColumn id="4" xr3:uid="{00000000-0010-0000-4E00-000004000000}" name="Sloupec4" dataDxfId="14"/>
    <tableColumn id="5" xr3:uid="{00000000-0010-0000-4E00-000005000000}" name="Sloupec5"/>
  </tableColumns>
  <tableStyleInfo showFirstColumn="0" showLastColumn="0" showRowStripes="1" showColumnStripes="0"/>
</table>
</file>

<file path=xl/tables/table8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00000000-000C-0000-FFFF-FFFF4F000000}" name="Tabulka20107941041161271392127" displayName="Tabulka20107941041161271392127" ref="A42:E43" headerRowCount="0" totalsRowShown="0" tableBorderDxfId="13">
  <tableColumns count="5">
    <tableColumn id="1" xr3:uid="{00000000-0010-0000-4F00-000001000000}" name="Sloupec1"/>
    <tableColumn id="2" xr3:uid="{00000000-0010-0000-4F00-000002000000}" name="Sloupec2" dataDxfId="12"/>
    <tableColumn id="3" xr3:uid="{00000000-0010-0000-4F00-000003000000}" name="Sloupec3" dataDxfId="11"/>
    <tableColumn id="4" xr3:uid="{00000000-0010-0000-4F00-000004000000}" name="Sloupec4" dataDxfId="10"/>
    <tableColumn id="5" xr3:uid="{00000000-0010-0000-4F00-000005000000}" name="Sloupec5"/>
  </tableColumns>
  <tableStyleInfo showFirstColumn="0" showLastColumn="0" showRowStripes="1" showColumnStripes="0"/>
</table>
</file>

<file path=xl/tables/table8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00000000-000C-0000-FFFF-FFFF50000000}" name="Tabulka2010794104116127139141233036" displayName="Tabulka2010794104116127139141233036" ref="A33:E35" headerRowCount="0" totalsRowShown="0" headerRowDxfId="9" tableBorderDxfId="8" totalsRowBorderDxfId="7">
  <tableColumns count="5">
    <tableColumn id="1" xr3:uid="{00000000-0010-0000-5000-000001000000}" name="Sloupec1" dataDxfId="6"/>
    <tableColumn id="2" xr3:uid="{00000000-0010-0000-5000-000002000000}" name="Sloupec2" dataDxfId="5"/>
    <tableColumn id="3" xr3:uid="{00000000-0010-0000-5000-000003000000}" name="Sloupec3" dataDxfId="4"/>
    <tableColumn id="4" xr3:uid="{00000000-0010-0000-5000-000004000000}" name="Sloupec4" dataDxfId="3"/>
    <tableColumn id="5" xr3:uid="{00000000-0010-0000-5000-000005000000}" name="Sloupec5" dataDxfId="2"/>
  </tableColumns>
  <tableStyleInfo showFirstColumn="0" showLastColumn="0" showRowStripes="1" showColumnStripes="0"/>
</table>
</file>

<file path=xl/tables/table8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00000000-000C-0000-FFFF-FFFF51000000}" name="Tabulka20107941041161271392129" displayName="Tabulka20107941041161271392129" ref="A8:E16" headerRowCount="0" totalsRowShown="0" tableBorderDxfId="1">
  <sortState xmlns:xlrd2="http://schemas.microsoft.com/office/spreadsheetml/2017/richdata2" ref="A8:E16">
    <sortCondition descending="1" ref="A8:A16"/>
  </sortState>
  <tableColumns count="5">
    <tableColumn id="1" xr3:uid="{00000000-0010-0000-5100-000001000000}" name="Sloupec1"/>
    <tableColumn id="2" xr3:uid="{00000000-0010-0000-5100-000002000000}" name="Sloupec2"/>
    <tableColumn id="3" xr3:uid="{00000000-0010-0000-5100-000003000000}" name="Sloupec3"/>
    <tableColumn id="4" xr3:uid="{00000000-0010-0000-5100-000004000000}" name="Sloupec4"/>
    <tableColumn id="5" xr3:uid="{00000000-0010-0000-5100-000005000000}" name="Sloupec5"/>
  </tableColumns>
  <tableStyleInfo showFirstColumn="0" showLastColumn="0" showRowStripes="1" showColumnStripes="0"/>
</table>
</file>

<file path=xl/tables/table8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00000000-000C-0000-FFFF-FFFF52000000}" name="Tabulka2010794104116127139212935" displayName="Tabulka2010794104116127139212935" ref="A22:E27" headerRowCount="0" totalsRowShown="0" tableBorderDxfId="0">
  <tableColumns count="5">
    <tableColumn id="1" xr3:uid="{00000000-0010-0000-5200-000001000000}" name="Sloupec1"/>
    <tableColumn id="2" xr3:uid="{00000000-0010-0000-5200-000002000000}" name="Sloupec2"/>
    <tableColumn id="3" xr3:uid="{00000000-0010-0000-5200-000003000000}" name="Sloupec3"/>
    <tableColumn id="4" xr3:uid="{00000000-0010-0000-5200-000004000000}" name="Sloupec4"/>
    <tableColumn id="5" xr3:uid="{00000000-0010-0000-5200-000005000000}" name="Sloupec5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zechphone.cz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4.xml"/><Relationship Id="rId3" Type="http://schemas.openxmlformats.org/officeDocument/2006/relationships/table" Target="../tables/table9.xml"/><Relationship Id="rId7" Type="http://schemas.openxmlformats.org/officeDocument/2006/relationships/table" Target="../tables/table1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table" Target="../tables/table12.xml"/><Relationship Id="rId11" Type="http://schemas.openxmlformats.org/officeDocument/2006/relationships/table" Target="../tables/table17.xml"/><Relationship Id="rId5" Type="http://schemas.openxmlformats.org/officeDocument/2006/relationships/table" Target="../tables/table11.xml"/><Relationship Id="rId10" Type="http://schemas.openxmlformats.org/officeDocument/2006/relationships/table" Target="../tables/table16.xml"/><Relationship Id="rId4" Type="http://schemas.openxmlformats.org/officeDocument/2006/relationships/table" Target="../tables/table10.xml"/><Relationship Id="rId9" Type="http://schemas.openxmlformats.org/officeDocument/2006/relationships/table" Target="../tables/table15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table" Target="../tables/table23.xml"/><Relationship Id="rId3" Type="http://schemas.openxmlformats.org/officeDocument/2006/relationships/table" Target="../tables/table18.xml"/><Relationship Id="rId7" Type="http://schemas.openxmlformats.org/officeDocument/2006/relationships/table" Target="../tables/table22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21.xml"/><Relationship Id="rId11" Type="http://schemas.openxmlformats.org/officeDocument/2006/relationships/table" Target="../tables/table26.xml"/><Relationship Id="rId5" Type="http://schemas.openxmlformats.org/officeDocument/2006/relationships/table" Target="../tables/table20.xml"/><Relationship Id="rId10" Type="http://schemas.openxmlformats.org/officeDocument/2006/relationships/table" Target="../tables/table25.xml"/><Relationship Id="rId4" Type="http://schemas.openxmlformats.org/officeDocument/2006/relationships/table" Target="../tables/table19.xml"/><Relationship Id="rId9" Type="http://schemas.openxmlformats.org/officeDocument/2006/relationships/table" Target="../tables/table2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8.xml"/><Relationship Id="rId7" Type="http://schemas.openxmlformats.org/officeDocument/2006/relationships/table" Target="../tables/table32.xml"/><Relationship Id="rId2" Type="http://schemas.openxmlformats.org/officeDocument/2006/relationships/table" Target="../tables/table27.xml"/><Relationship Id="rId1" Type="http://schemas.openxmlformats.org/officeDocument/2006/relationships/drawing" Target="../drawings/drawing5.xml"/><Relationship Id="rId6" Type="http://schemas.openxmlformats.org/officeDocument/2006/relationships/table" Target="../tables/table31.xml"/><Relationship Id="rId5" Type="http://schemas.openxmlformats.org/officeDocument/2006/relationships/table" Target="../tables/table30.xml"/><Relationship Id="rId4" Type="http://schemas.openxmlformats.org/officeDocument/2006/relationships/table" Target="../tables/table29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4.xml"/><Relationship Id="rId7" Type="http://schemas.openxmlformats.org/officeDocument/2006/relationships/table" Target="../tables/table38.xml"/><Relationship Id="rId2" Type="http://schemas.openxmlformats.org/officeDocument/2006/relationships/table" Target="../tables/table33.xml"/><Relationship Id="rId1" Type="http://schemas.openxmlformats.org/officeDocument/2006/relationships/drawing" Target="../drawings/drawing6.xml"/><Relationship Id="rId6" Type="http://schemas.openxmlformats.org/officeDocument/2006/relationships/table" Target="../tables/table37.xml"/><Relationship Id="rId5" Type="http://schemas.openxmlformats.org/officeDocument/2006/relationships/table" Target="../tables/table36.xml"/><Relationship Id="rId4" Type="http://schemas.openxmlformats.org/officeDocument/2006/relationships/table" Target="../tables/table35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table" Target="../tables/table44.xml"/><Relationship Id="rId3" Type="http://schemas.openxmlformats.org/officeDocument/2006/relationships/table" Target="../tables/table39.xml"/><Relationship Id="rId7" Type="http://schemas.openxmlformats.org/officeDocument/2006/relationships/table" Target="../tables/table43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42.xml"/><Relationship Id="rId5" Type="http://schemas.openxmlformats.org/officeDocument/2006/relationships/table" Target="../tables/table41.xml"/><Relationship Id="rId4" Type="http://schemas.openxmlformats.org/officeDocument/2006/relationships/table" Target="../tables/table40.xml"/><Relationship Id="rId9" Type="http://schemas.openxmlformats.org/officeDocument/2006/relationships/table" Target="../tables/table4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7.xml"/><Relationship Id="rId7" Type="http://schemas.openxmlformats.org/officeDocument/2006/relationships/table" Target="../tables/table51.xml"/><Relationship Id="rId2" Type="http://schemas.openxmlformats.org/officeDocument/2006/relationships/table" Target="../tables/table46.xml"/><Relationship Id="rId1" Type="http://schemas.openxmlformats.org/officeDocument/2006/relationships/drawing" Target="../drawings/drawing8.xml"/><Relationship Id="rId6" Type="http://schemas.openxmlformats.org/officeDocument/2006/relationships/table" Target="../tables/table50.xml"/><Relationship Id="rId5" Type="http://schemas.openxmlformats.org/officeDocument/2006/relationships/table" Target="../tables/table49.xml"/><Relationship Id="rId4" Type="http://schemas.openxmlformats.org/officeDocument/2006/relationships/table" Target="../tables/table4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3.xml"/><Relationship Id="rId2" Type="http://schemas.openxmlformats.org/officeDocument/2006/relationships/table" Target="../tables/table52.xml"/><Relationship Id="rId1" Type="http://schemas.openxmlformats.org/officeDocument/2006/relationships/drawing" Target="../drawings/drawing9.xml"/><Relationship Id="rId5" Type="http://schemas.openxmlformats.org/officeDocument/2006/relationships/table" Target="../tables/table55.xml"/><Relationship Id="rId4" Type="http://schemas.openxmlformats.org/officeDocument/2006/relationships/table" Target="../tables/table54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7.xml"/><Relationship Id="rId2" Type="http://schemas.openxmlformats.org/officeDocument/2006/relationships/table" Target="../tables/table56.xml"/><Relationship Id="rId1" Type="http://schemas.openxmlformats.org/officeDocument/2006/relationships/drawing" Target="../drawings/drawing10.xml"/><Relationship Id="rId5" Type="http://schemas.openxmlformats.org/officeDocument/2006/relationships/table" Target="../tables/table59.xml"/><Relationship Id="rId4" Type="http://schemas.openxmlformats.org/officeDocument/2006/relationships/table" Target="../tables/table58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5.xml"/><Relationship Id="rId3" Type="http://schemas.openxmlformats.org/officeDocument/2006/relationships/table" Target="../tables/table60.xml"/><Relationship Id="rId7" Type="http://schemas.openxmlformats.org/officeDocument/2006/relationships/table" Target="../tables/table64.xml"/><Relationship Id="rId12" Type="http://schemas.openxmlformats.org/officeDocument/2006/relationships/table" Target="../tables/table69.x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6.bin"/><Relationship Id="rId6" Type="http://schemas.openxmlformats.org/officeDocument/2006/relationships/table" Target="../tables/table63.xml"/><Relationship Id="rId11" Type="http://schemas.openxmlformats.org/officeDocument/2006/relationships/table" Target="../tables/table68.xml"/><Relationship Id="rId5" Type="http://schemas.openxmlformats.org/officeDocument/2006/relationships/table" Target="../tables/table62.xml"/><Relationship Id="rId10" Type="http://schemas.openxmlformats.org/officeDocument/2006/relationships/table" Target="../tables/table67.xml"/><Relationship Id="rId4" Type="http://schemas.openxmlformats.org/officeDocument/2006/relationships/table" Target="../tables/table61.xml"/><Relationship Id="rId9" Type="http://schemas.openxmlformats.org/officeDocument/2006/relationships/table" Target="../tables/table66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5.xml"/><Relationship Id="rId3" Type="http://schemas.openxmlformats.org/officeDocument/2006/relationships/table" Target="../tables/table70.xml"/><Relationship Id="rId7" Type="http://schemas.openxmlformats.org/officeDocument/2006/relationships/table" Target="../tables/table74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7.bin"/><Relationship Id="rId6" Type="http://schemas.openxmlformats.org/officeDocument/2006/relationships/table" Target="../tables/table73.xml"/><Relationship Id="rId5" Type="http://schemas.openxmlformats.org/officeDocument/2006/relationships/table" Target="../tables/table72.xml"/><Relationship Id="rId4" Type="http://schemas.openxmlformats.org/officeDocument/2006/relationships/table" Target="../tables/table71.xml"/><Relationship Id="rId9" Type="http://schemas.openxmlformats.org/officeDocument/2006/relationships/table" Target="../tables/table76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7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Relationship Id="rId6" Type="http://schemas.openxmlformats.org/officeDocument/2006/relationships/table" Target="../tables/table80.xml"/><Relationship Id="rId5" Type="http://schemas.openxmlformats.org/officeDocument/2006/relationships/table" Target="../tables/table79.xml"/><Relationship Id="rId4" Type="http://schemas.openxmlformats.org/officeDocument/2006/relationships/table" Target="../tables/table78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2.xml"/><Relationship Id="rId2" Type="http://schemas.openxmlformats.org/officeDocument/2006/relationships/table" Target="../tables/table81.xml"/><Relationship Id="rId1" Type="http://schemas.openxmlformats.org/officeDocument/2006/relationships/drawing" Target="../drawings/drawing14.xml"/><Relationship Id="rId4" Type="http://schemas.openxmlformats.org/officeDocument/2006/relationships/table" Target="../tables/table8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132"/>
  <sheetViews>
    <sheetView tabSelected="1" zoomScaleNormal="100" workbookViewId="0">
      <pane ySplit="7" topLeftCell="A8" activePane="bottomLeft" state="frozen"/>
      <selection activeCell="B1" sqref="B1"/>
      <selection pane="bottomLeft" activeCell="J6" sqref="J6"/>
    </sheetView>
  </sheetViews>
  <sheetFormatPr defaultRowHeight="14.6" x14ac:dyDescent="0.4"/>
  <cols>
    <col min="1" max="2" width="9.15234375" style="1" customWidth="1"/>
    <col min="3" max="15" width="9.84375" style="1" customWidth="1"/>
    <col min="16" max="1025" width="9.15234375" style="1" customWidth="1"/>
  </cols>
  <sheetData>
    <row r="1" spans="2:16" ht="25.5" customHeight="1" x14ac:dyDescent="0.4">
      <c r="B1" s="2"/>
    </row>
    <row r="2" spans="2:16" ht="51.75" customHeight="1" x14ac:dyDescent="0.4">
      <c r="C2" s="416" t="s">
        <v>0</v>
      </c>
      <c r="D2" s="416"/>
      <c r="E2" s="416"/>
      <c r="F2" s="416"/>
      <c r="G2" s="416"/>
      <c r="H2" s="416"/>
      <c r="I2" s="416"/>
      <c r="J2" s="416"/>
      <c r="K2" s="416"/>
      <c r="L2" s="416"/>
      <c r="M2" s="416"/>
      <c r="N2" s="416"/>
      <c r="O2" s="416"/>
    </row>
    <row r="3" spans="2:16" ht="24.75" customHeight="1" x14ac:dyDescent="0.4">
      <c r="C3" s="416"/>
      <c r="D3" s="416"/>
      <c r="E3" s="416"/>
      <c r="F3" s="416"/>
      <c r="G3" s="416"/>
      <c r="H3" s="416"/>
      <c r="I3" s="416"/>
      <c r="J3" s="416"/>
      <c r="K3" s="416"/>
      <c r="L3" s="416"/>
      <c r="M3" s="416"/>
      <c r="N3" s="416"/>
      <c r="O3" s="416"/>
    </row>
    <row r="4" spans="2:16" ht="25.4" customHeight="1" x14ac:dyDescent="0.4">
      <c r="C4" s="416"/>
      <c r="D4" s="416"/>
      <c r="E4" s="416"/>
      <c r="F4" s="416"/>
      <c r="G4" s="416"/>
      <c r="H4" s="416"/>
      <c r="I4" s="416"/>
      <c r="J4" s="416"/>
      <c r="K4" s="416"/>
      <c r="L4" s="416"/>
      <c r="M4" s="416"/>
      <c r="N4" s="416"/>
      <c r="O4" s="416"/>
    </row>
    <row r="5" spans="2:16" ht="23.25" customHeight="1" x14ac:dyDescent="0.4"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2:16" ht="30" customHeight="1" x14ac:dyDescent="0.4">
      <c r="C6" s="3"/>
      <c r="D6" s="417"/>
      <c r="E6" s="417"/>
      <c r="F6" s="3"/>
      <c r="G6" s="418" t="s">
        <v>1</v>
      </c>
      <c r="H6" s="418"/>
      <c r="I6" s="418"/>
      <c r="J6" s="4">
        <v>0</v>
      </c>
      <c r="K6" s="5" t="s">
        <v>2</v>
      </c>
      <c r="L6" s="3"/>
      <c r="M6" s="3"/>
      <c r="N6" s="3"/>
      <c r="O6" s="3"/>
    </row>
    <row r="7" spans="2:16" ht="30" customHeight="1" x14ac:dyDescent="0.4">
      <c r="C7" s="3"/>
      <c r="D7" s="3"/>
      <c r="E7" s="3"/>
      <c r="F7" s="3"/>
      <c r="G7" s="3"/>
      <c r="H7" s="419" t="s">
        <v>3</v>
      </c>
      <c r="I7" s="419"/>
      <c r="J7" s="419"/>
      <c r="K7" s="3"/>
      <c r="L7" s="3"/>
      <c r="M7" s="3"/>
      <c r="N7" s="3"/>
      <c r="O7" s="3"/>
    </row>
    <row r="8" spans="2:16" ht="12" customHeight="1" x14ac:dyDescent="0.4">
      <c r="C8" s="3"/>
      <c r="D8" s="3"/>
      <c r="E8" s="3"/>
      <c r="F8" s="3"/>
      <c r="G8" s="3"/>
      <c r="H8" s="6"/>
      <c r="I8" s="6"/>
      <c r="J8" s="6"/>
      <c r="K8" s="3"/>
      <c r="L8" s="3"/>
      <c r="M8" s="3"/>
      <c r="N8" s="3"/>
      <c r="O8" s="3"/>
    </row>
    <row r="9" spans="2:16" ht="22.3" x14ac:dyDescent="0.5">
      <c r="C9" s="3"/>
      <c r="D9" s="3"/>
      <c r="E9" s="3"/>
      <c r="F9" s="3"/>
      <c r="G9" s="7"/>
      <c r="H9" s="7"/>
      <c r="I9" s="7"/>
      <c r="J9" s="8"/>
      <c r="K9" s="9"/>
      <c r="L9" s="3"/>
      <c r="M9" s="3"/>
      <c r="N9" s="3"/>
      <c r="O9" s="3"/>
    </row>
    <row r="10" spans="2:16" ht="33.9" x14ac:dyDescent="0.7">
      <c r="C10" s="3"/>
      <c r="D10" s="376" t="s">
        <v>4</v>
      </c>
      <c r="E10" s="376"/>
      <c r="F10" s="376"/>
      <c r="G10" s="376"/>
      <c r="H10" s="376"/>
      <c r="I10" s="376"/>
      <c r="J10" s="376"/>
      <c r="K10" s="376"/>
      <c r="L10" s="376"/>
      <c r="M10" s="376"/>
      <c r="N10" s="376"/>
      <c r="O10" s="3"/>
    </row>
    <row r="11" spans="2:16" s="10" customFormat="1" ht="22.3" x14ac:dyDescent="0.4">
      <c r="C11" s="11"/>
      <c r="D11" s="421" t="s">
        <v>5</v>
      </c>
      <c r="E11" s="421"/>
      <c r="F11" s="421"/>
      <c r="G11" s="421"/>
      <c r="H11" s="421"/>
      <c r="I11" s="421"/>
      <c r="J11" s="421"/>
      <c r="K11" s="421"/>
      <c r="L11" s="421"/>
      <c r="M11" s="421"/>
      <c r="N11" s="421"/>
      <c r="O11" s="11"/>
    </row>
    <row r="12" spans="2:16" s="10" customFormat="1" ht="18.45" x14ac:dyDescent="0.5">
      <c r="C12" s="11"/>
      <c r="D12" s="12"/>
      <c r="E12" s="404" t="s">
        <v>6</v>
      </c>
      <c r="F12" s="404"/>
      <c r="G12" s="404"/>
      <c r="H12" s="422" t="s">
        <v>7</v>
      </c>
      <c r="I12" s="422"/>
      <c r="J12" s="422"/>
      <c r="K12" s="422" t="s">
        <v>8</v>
      </c>
      <c r="L12" s="422"/>
      <c r="M12" s="422"/>
      <c r="N12" s="13"/>
      <c r="O12" s="11"/>
      <c r="P12" s="14"/>
    </row>
    <row r="13" spans="2:16" ht="19.5" customHeight="1" x14ac:dyDescent="0.4">
      <c r="C13" s="3"/>
      <c r="D13" s="3"/>
      <c r="E13" s="423"/>
      <c r="F13" s="423"/>
      <c r="G13" s="423"/>
      <c r="H13" s="424"/>
      <c r="I13" s="424"/>
      <c r="J13" s="424"/>
      <c r="K13" s="425"/>
      <c r="L13" s="425"/>
      <c r="M13" s="425"/>
      <c r="N13" s="3"/>
      <c r="O13" s="3"/>
      <c r="P13" s="15"/>
    </row>
    <row r="14" spans="2:16" ht="19.5" customHeight="1" x14ac:dyDescent="0.4">
      <c r="C14" s="3"/>
      <c r="D14" s="3"/>
      <c r="E14" s="16"/>
      <c r="F14" s="21"/>
      <c r="G14" s="21"/>
      <c r="H14" s="16"/>
      <c r="I14" s="21"/>
      <c r="J14" s="21"/>
      <c r="K14" s="16"/>
      <c r="L14" s="21"/>
      <c r="M14" s="21"/>
      <c r="N14" s="3"/>
      <c r="O14" s="3"/>
    </row>
    <row r="15" spans="2:16" ht="19.5" customHeight="1" x14ac:dyDescent="0.5">
      <c r="C15" s="3"/>
      <c r="D15" s="12"/>
      <c r="E15" s="422" t="s">
        <v>9</v>
      </c>
      <c r="F15" s="422"/>
      <c r="G15" s="422"/>
      <c r="H15" s="371"/>
      <c r="I15" s="371"/>
      <c r="J15" s="371"/>
      <c r="K15" s="422" t="s">
        <v>10</v>
      </c>
      <c r="L15" s="422"/>
      <c r="M15" s="422"/>
      <c r="N15" s="13"/>
      <c r="O15" s="3"/>
    </row>
    <row r="16" spans="2:16" ht="19.5" customHeight="1" x14ac:dyDescent="0.4">
      <c r="C16" s="3"/>
      <c r="D16" s="3"/>
      <c r="E16" s="414"/>
      <c r="F16" s="414"/>
      <c r="G16" s="414"/>
      <c r="H16" s="371"/>
      <c r="I16" s="371"/>
      <c r="J16" s="371"/>
      <c r="K16" s="415"/>
      <c r="L16" s="415"/>
      <c r="M16" s="415"/>
      <c r="N16" s="3"/>
      <c r="O16" s="3"/>
    </row>
    <row r="17" spans="3:15" ht="19.5" customHeight="1" x14ac:dyDescent="0.4">
      <c r="C17" s="3"/>
      <c r="D17" s="3"/>
      <c r="E17" s="17"/>
      <c r="F17" s="3"/>
      <c r="G17" s="3"/>
      <c r="H17" s="17"/>
      <c r="I17" s="3"/>
      <c r="J17" s="3"/>
      <c r="K17" s="17"/>
      <c r="L17" s="3"/>
      <c r="M17" s="3"/>
      <c r="N17" s="3"/>
      <c r="O17" s="3"/>
    </row>
    <row r="18" spans="3:15" ht="19.5" customHeight="1" x14ac:dyDescent="0.4">
      <c r="C18" s="3"/>
      <c r="D18" s="3"/>
      <c r="E18" s="17"/>
      <c r="F18" s="3"/>
      <c r="G18" s="3"/>
      <c r="H18" s="17"/>
      <c r="I18" s="3"/>
      <c r="J18" s="3"/>
      <c r="K18" s="17"/>
      <c r="L18" s="3"/>
      <c r="M18" s="3"/>
      <c r="N18" s="3"/>
      <c r="O18" s="3"/>
    </row>
    <row r="19" spans="3:15" ht="15" customHeight="1" x14ac:dyDescent="0.4">
      <c r="C19" s="3"/>
      <c r="D19" s="3"/>
      <c r="E19" s="17"/>
      <c r="F19" s="18"/>
      <c r="G19" s="18"/>
      <c r="H19" s="18"/>
      <c r="I19" s="18"/>
      <c r="J19" s="18"/>
      <c r="K19" s="18"/>
      <c r="L19" s="18"/>
      <c r="M19" s="18"/>
      <c r="N19" s="18"/>
      <c r="O19" s="19"/>
    </row>
    <row r="20" spans="3:15" ht="33.9" x14ac:dyDescent="0.7">
      <c r="C20" s="3"/>
      <c r="D20" s="376" t="s">
        <v>11</v>
      </c>
      <c r="E20" s="376"/>
      <c r="F20" s="376"/>
      <c r="G20" s="376"/>
      <c r="H20" s="376"/>
      <c r="I20" s="376"/>
      <c r="J20" s="376"/>
      <c r="K20" s="376"/>
      <c r="L20" s="376"/>
      <c r="M20" s="376"/>
      <c r="N20" s="376"/>
      <c r="O20" s="3"/>
    </row>
    <row r="21" spans="3:15" ht="15" customHeight="1" x14ac:dyDescent="0.9">
      <c r="C21" s="3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3"/>
    </row>
    <row r="22" spans="3:15" x14ac:dyDescent="0.4">
      <c r="C22" s="426"/>
      <c r="D22" s="426"/>
      <c r="E22" s="426"/>
      <c r="F22" s="426"/>
      <c r="G22" s="426"/>
      <c r="H22" s="426"/>
      <c r="I22" s="426"/>
      <c r="J22" s="426"/>
      <c r="K22" s="426"/>
      <c r="L22" s="426"/>
      <c r="M22" s="426"/>
      <c r="N22" s="426"/>
      <c r="O22" s="426"/>
    </row>
    <row r="23" spans="3:15" ht="27" x14ac:dyDescent="0.6">
      <c r="C23" s="427" t="s">
        <v>12</v>
      </c>
      <c r="D23" s="427"/>
      <c r="E23" s="427"/>
      <c r="F23" s="427"/>
      <c r="G23" s="427"/>
      <c r="H23" s="427"/>
      <c r="I23" s="427"/>
      <c r="J23" s="427"/>
      <c r="K23" s="427"/>
      <c r="L23" s="427"/>
      <c r="M23" s="427"/>
      <c r="N23" s="427"/>
      <c r="O23" s="427"/>
    </row>
    <row r="24" spans="3:15" ht="30" customHeight="1" x14ac:dyDescent="0.4">
      <c r="C24" s="426" t="s">
        <v>13</v>
      </c>
      <c r="D24" s="426"/>
      <c r="E24" s="426"/>
      <c r="F24" s="426"/>
      <c r="G24" s="426"/>
      <c r="H24" s="426"/>
      <c r="I24" s="426"/>
      <c r="J24" s="426"/>
      <c r="K24" s="426"/>
      <c r="L24" s="426"/>
      <c r="M24" s="426"/>
      <c r="N24" s="426"/>
      <c r="O24" s="426"/>
    </row>
    <row r="25" spans="3:15" ht="17.600000000000001" x14ac:dyDescent="0.4">
      <c r="C25" s="11"/>
      <c r="D25" s="374" t="s">
        <v>14</v>
      </c>
      <c r="E25" s="374"/>
      <c r="F25" s="374"/>
      <c r="G25" s="374"/>
      <c r="H25" s="374"/>
      <c r="I25" s="374"/>
      <c r="J25" s="374"/>
      <c r="K25" s="374"/>
      <c r="L25" s="374"/>
      <c r="M25" s="374"/>
      <c r="N25" s="374"/>
      <c r="O25" s="11"/>
    </row>
    <row r="26" spans="3:15" ht="17.600000000000001" x14ac:dyDescent="0.4">
      <c r="C26" s="11"/>
      <c r="D26" s="378" t="s">
        <v>15</v>
      </c>
      <c r="E26" s="378"/>
      <c r="F26" s="378"/>
      <c r="G26" s="378"/>
      <c r="H26" s="378"/>
      <c r="I26" s="378"/>
      <c r="J26" s="378"/>
      <c r="K26" s="378"/>
      <c r="L26" s="378"/>
      <c r="M26" s="378"/>
      <c r="N26" s="378"/>
      <c r="O26" s="11"/>
    </row>
    <row r="27" spans="3:15" ht="17.600000000000001" x14ac:dyDescent="0.4">
      <c r="C27" s="11"/>
      <c r="D27" s="378" t="s">
        <v>16</v>
      </c>
      <c r="E27" s="378"/>
      <c r="F27" s="378"/>
      <c r="G27" s="378"/>
      <c r="H27" s="378"/>
      <c r="I27" s="378"/>
      <c r="J27" s="378"/>
      <c r="K27" s="378"/>
      <c r="L27" s="378"/>
      <c r="M27" s="378"/>
      <c r="N27" s="378"/>
      <c r="O27" s="11"/>
    </row>
    <row r="28" spans="3:15" ht="17.600000000000001" x14ac:dyDescent="0.4">
      <c r="C28" s="11"/>
      <c r="D28" s="379" t="s">
        <v>17</v>
      </c>
      <c r="E28" s="379"/>
      <c r="F28" s="379"/>
      <c r="G28" s="379"/>
      <c r="H28" s="379"/>
      <c r="I28" s="379"/>
      <c r="J28" s="379"/>
      <c r="K28" s="379"/>
      <c r="L28" s="379"/>
      <c r="M28" s="379"/>
      <c r="N28" s="379"/>
      <c r="O28" s="11"/>
    </row>
    <row r="29" spans="3:15" ht="17.600000000000001" x14ac:dyDescent="0.4">
      <c r="C29" s="11"/>
      <c r="D29" s="406"/>
      <c r="E29" s="406"/>
      <c r="F29" s="406"/>
      <c r="G29" s="406"/>
      <c r="H29" s="406"/>
      <c r="I29" s="406"/>
      <c r="J29" s="406"/>
      <c r="K29" s="406"/>
      <c r="L29" s="406"/>
      <c r="M29" s="406"/>
      <c r="N29" s="406"/>
      <c r="O29" s="11"/>
    </row>
    <row r="30" spans="3:15" ht="17.600000000000001" x14ac:dyDescent="0.4">
      <c r="C30" s="11"/>
      <c r="D30" s="374" t="s">
        <v>18</v>
      </c>
      <c r="E30" s="374"/>
      <c r="F30" s="374"/>
      <c r="G30" s="374"/>
      <c r="H30" s="374"/>
      <c r="I30" s="374"/>
      <c r="J30" s="374"/>
      <c r="K30" s="374"/>
      <c r="L30" s="374"/>
      <c r="M30" s="374"/>
      <c r="N30" s="374"/>
      <c r="O30" s="11"/>
    </row>
    <row r="31" spans="3:15" ht="17.600000000000001" x14ac:dyDescent="0.4">
      <c r="C31" s="11"/>
      <c r="D31" s="378" t="s">
        <v>19</v>
      </c>
      <c r="E31" s="378"/>
      <c r="F31" s="378"/>
      <c r="G31" s="378"/>
      <c r="H31" s="378"/>
      <c r="I31" s="378"/>
      <c r="J31" s="378"/>
      <c r="K31" s="378"/>
      <c r="L31" s="378"/>
      <c r="M31" s="378"/>
      <c r="N31" s="378"/>
      <c r="O31" s="11"/>
    </row>
    <row r="32" spans="3:15" ht="17.600000000000001" x14ac:dyDescent="0.4">
      <c r="C32" s="11"/>
      <c r="D32" s="378" t="s">
        <v>20</v>
      </c>
      <c r="E32" s="378"/>
      <c r="F32" s="378"/>
      <c r="G32" s="378"/>
      <c r="H32" s="378"/>
      <c r="I32" s="378"/>
      <c r="J32" s="378"/>
      <c r="K32" s="378"/>
      <c r="L32" s="378"/>
      <c r="M32" s="378"/>
      <c r="N32" s="378"/>
      <c r="O32" s="11"/>
    </row>
    <row r="33" spans="3:15" ht="17.600000000000001" x14ac:dyDescent="0.4">
      <c r="C33" s="11"/>
      <c r="D33" s="379" t="s">
        <v>21</v>
      </c>
      <c r="E33" s="379"/>
      <c r="F33" s="379"/>
      <c r="G33" s="379"/>
      <c r="H33" s="379"/>
      <c r="I33" s="379"/>
      <c r="J33" s="379"/>
      <c r="K33" s="379"/>
      <c r="L33" s="379"/>
      <c r="M33" s="379"/>
      <c r="N33" s="379"/>
      <c r="O33" s="11"/>
    </row>
    <row r="34" spans="3:15" ht="17.600000000000001" x14ac:dyDescent="0.4">
      <c r="C34" s="11"/>
      <c r="D34" s="412"/>
      <c r="E34" s="412"/>
      <c r="F34" s="412"/>
      <c r="G34" s="412"/>
      <c r="H34" s="412"/>
      <c r="I34" s="412"/>
      <c r="J34" s="412"/>
      <c r="K34" s="412"/>
      <c r="L34" s="412"/>
      <c r="M34" s="412"/>
      <c r="N34" s="412"/>
      <c r="O34" s="11"/>
    </row>
    <row r="35" spans="3:15" ht="24" customHeight="1" x14ac:dyDescent="0.4">
      <c r="C35" s="413"/>
      <c r="D35" s="413"/>
      <c r="E35" s="413"/>
      <c r="F35" s="413"/>
      <c r="G35" s="413"/>
      <c r="H35" s="413"/>
      <c r="I35" s="413"/>
      <c r="J35" s="413"/>
      <c r="K35" s="413"/>
      <c r="L35" s="413"/>
      <c r="M35" s="413"/>
      <c r="N35" s="413"/>
      <c r="O35" s="413"/>
    </row>
    <row r="36" spans="3:15" ht="15" customHeight="1" x14ac:dyDescent="0.4">
      <c r="C36" s="22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3:15" ht="15" customHeight="1" x14ac:dyDescent="0.4">
      <c r="C37" s="22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3:15" ht="15" customHeight="1" x14ac:dyDescent="0.4">
      <c r="C38" s="3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3"/>
    </row>
    <row r="39" spans="3:15" x14ac:dyDescent="0.4">
      <c r="C39" s="409"/>
      <c r="D39" s="409"/>
      <c r="E39" s="409"/>
      <c r="F39" s="409"/>
      <c r="G39" s="409"/>
      <c r="H39" s="409"/>
      <c r="I39" s="409"/>
      <c r="J39" s="409"/>
      <c r="K39" s="409"/>
      <c r="L39" s="409"/>
      <c r="M39" s="409"/>
      <c r="N39" s="409"/>
      <c r="O39" s="409"/>
    </row>
    <row r="40" spans="3:15" ht="30.45" x14ac:dyDescent="0.6">
      <c r="C40" s="410" t="s">
        <v>22</v>
      </c>
      <c r="D40" s="410"/>
      <c r="E40" s="410"/>
      <c r="F40" s="410"/>
      <c r="G40" s="410"/>
      <c r="H40" s="410"/>
      <c r="I40" s="410"/>
      <c r="J40" s="410"/>
      <c r="K40" s="410"/>
      <c r="L40" s="410"/>
      <c r="M40" s="410"/>
      <c r="N40" s="410"/>
      <c r="O40" s="410"/>
    </row>
    <row r="41" spans="3:15" ht="30" customHeight="1" x14ac:dyDescent="0.4">
      <c r="C41" s="409" t="s">
        <v>23</v>
      </c>
      <c r="D41" s="409"/>
      <c r="E41" s="409"/>
      <c r="F41" s="409"/>
      <c r="G41" s="409"/>
      <c r="H41" s="409"/>
      <c r="I41" s="409"/>
      <c r="J41" s="409"/>
      <c r="K41" s="409"/>
      <c r="L41" s="409"/>
      <c r="M41" s="409"/>
      <c r="N41" s="409"/>
      <c r="O41" s="409"/>
    </row>
    <row r="42" spans="3:15" ht="17.600000000000001" x14ac:dyDescent="0.4">
      <c r="C42" s="11"/>
      <c r="D42" s="374" t="s">
        <v>14</v>
      </c>
      <c r="E42" s="374"/>
      <c r="F42" s="374"/>
      <c r="G42" s="374"/>
      <c r="H42" s="374"/>
      <c r="I42" s="374"/>
      <c r="J42" s="374"/>
      <c r="K42" s="374"/>
      <c r="L42" s="374"/>
      <c r="M42" s="374"/>
      <c r="N42" s="374"/>
      <c r="O42" s="11"/>
    </row>
    <row r="43" spans="3:15" ht="17.600000000000001" x14ac:dyDescent="0.4">
      <c r="C43" s="11"/>
      <c r="D43" s="379" t="s">
        <v>1405</v>
      </c>
      <c r="E43" s="379"/>
      <c r="F43" s="379"/>
      <c r="G43" s="379"/>
      <c r="H43" s="379"/>
      <c r="I43" s="379"/>
      <c r="J43" s="379"/>
      <c r="K43" s="379"/>
      <c r="L43" s="379"/>
      <c r="M43" s="379"/>
      <c r="N43" s="379"/>
      <c r="O43" s="11"/>
    </row>
    <row r="44" spans="3:15" ht="17.600000000000001" x14ac:dyDescent="0.4">
      <c r="C44" s="11"/>
      <c r="D44" s="406"/>
      <c r="E44" s="406"/>
      <c r="F44" s="406"/>
      <c r="G44" s="406"/>
      <c r="H44" s="406"/>
      <c r="I44" s="406"/>
      <c r="J44" s="406"/>
      <c r="K44" s="406"/>
      <c r="L44" s="406"/>
      <c r="M44" s="406"/>
      <c r="N44" s="406"/>
      <c r="O44" s="11"/>
    </row>
    <row r="45" spans="3:15" ht="17.600000000000001" x14ac:dyDescent="0.4">
      <c r="C45" s="11"/>
      <c r="D45" s="374" t="s">
        <v>18</v>
      </c>
      <c r="E45" s="374"/>
      <c r="F45" s="374"/>
      <c r="G45" s="374"/>
      <c r="H45" s="374"/>
      <c r="I45" s="374"/>
      <c r="J45" s="374"/>
      <c r="K45" s="374"/>
      <c r="L45" s="374"/>
      <c r="M45" s="374"/>
      <c r="N45" s="374"/>
      <c r="O45" s="11"/>
    </row>
    <row r="46" spans="3:15" ht="17.600000000000001" x14ac:dyDescent="0.4">
      <c r="C46" s="11"/>
      <c r="D46" s="379" t="s">
        <v>1406</v>
      </c>
      <c r="E46" s="379"/>
      <c r="F46" s="379"/>
      <c r="G46" s="379"/>
      <c r="H46" s="379"/>
      <c r="I46" s="379"/>
      <c r="J46" s="379"/>
      <c r="K46" s="379"/>
      <c r="L46" s="379"/>
      <c r="M46" s="379"/>
      <c r="N46" s="379"/>
      <c r="O46" s="11"/>
    </row>
    <row r="47" spans="3:15" ht="17.600000000000001" x14ac:dyDescent="0.4">
      <c r="C47" s="11"/>
      <c r="D47" s="407"/>
      <c r="E47" s="407"/>
      <c r="F47" s="407"/>
      <c r="G47" s="407"/>
      <c r="H47" s="407"/>
      <c r="I47" s="407"/>
      <c r="J47" s="407"/>
      <c r="K47" s="407"/>
      <c r="L47" s="407"/>
      <c r="M47" s="407"/>
      <c r="N47" s="407"/>
      <c r="O47" s="11"/>
    </row>
    <row r="48" spans="3:15" ht="24" customHeight="1" x14ac:dyDescent="0.4">
      <c r="C48" s="411"/>
      <c r="D48" s="411"/>
      <c r="E48" s="411"/>
      <c r="F48" s="411"/>
      <c r="G48" s="411"/>
      <c r="H48" s="411"/>
      <c r="I48" s="411"/>
      <c r="J48" s="411"/>
      <c r="K48" s="411"/>
      <c r="L48" s="411"/>
      <c r="M48" s="411"/>
      <c r="N48" s="411"/>
      <c r="O48" s="411"/>
    </row>
    <row r="49" spans="3:15" ht="15" customHeight="1" x14ac:dyDescent="0.9">
      <c r="C49" s="3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3"/>
    </row>
    <row r="50" spans="3:15" ht="15" customHeight="1" x14ac:dyDescent="0.9">
      <c r="C50" s="3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3"/>
    </row>
    <row r="51" spans="3:15" ht="15" customHeight="1" x14ac:dyDescent="0.9">
      <c r="C51" s="3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3"/>
    </row>
    <row r="52" spans="3:15" x14ac:dyDescent="0.4">
      <c r="C52" s="402"/>
      <c r="D52" s="402"/>
      <c r="E52" s="402"/>
      <c r="F52" s="402"/>
      <c r="G52" s="402"/>
      <c r="H52" s="402"/>
      <c r="I52" s="402"/>
      <c r="J52" s="402"/>
      <c r="K52" s="402"/>
      <c r="L52" s="402"/>
      <c r="M52" s="402"/>
      <c r="N52" s="402"/>
      <c r="O52" s="402"/>
    </row>
    <row r="53" spans="3:15" ht="27" x14ac:dyDescent="0.6">
      <c r="C53" s="403" t="s">
        <v>25</v>
      </c>
      <c r="D53" s="403"/>
      <c r="E53" s="403"/>
      <c r="F53" s="403"/>
      <c r="G53" s="403"/>
      <c r="H53" s="403"/>
      <c r="I53" s="403"/>
      <c r="J53" s="403"/>
      <c r="K53" s="403"/>
      <c r="L53" s="403"/>
      <c r="M53" s="403"/>
      <c r="N53" s="403"/>
      <c r="O53" s="403"/>
    </row>
    <row r="54" spans="3:15" ht="30" customHeight="1" x14ac:dyDescent="0.4">
      <c r="C54" s="402" t="s">
        <v>26</v>
      </c>
      <c r="D54" s="402"/>
      <c r="E54" s="402"/>
      <c r="F54" s="402"/>
      <c r="G54" s="402"/>
      <c r="H54" s="402"/>
      <c r="I54" s="402"/>
      <c r="J54" s="402"/>
      <c r="K54" s="402"/>
      <c r="L54" s="402"/>
      <c r="M54" s="402"/>
      <c r="N54" s="402"/>
      <c r="O54" s="402"/>
    </row>
    <row r="55" spans="3:15" ht="17.600000000000001" x14ac:dyDescent="0.4">
      <c r="C55" s="11"/>
      <c r="D55" s="404" t="s">
        <v>14</v>
      </c>
      <c r="E55" s="404"/>
      <c r="F55" s="404"/>
      <c r="G55" s="404"/>
      <c r="H55" s="404"/>
      <c r="I55" s="404"/>
      <c r="J55" s="404"/>
      <c r="K55" s="404"/>
      <c r="L55" s="404"/>
      <c r="M55" s="404"/>
      <c r="N55" s="404"/>
      <c r="O55" s="11"/>
    </row>
    <row r="56" spans="3:15" ht="17.600000000000001" x14ac:dyDescent="0.4">
      <c r="C56" s="11"/>
      <c r="D56" s="405" t="s">
        <v>1405</v>
      </c>
      <c r="E56" s="405"/>
      <c r="F56" s="405"/>
      <c r="G56" s="405"/>
      <c r="H56" s="405"/>
      <c r="I56" s="405"/>
      <c r="J56" s="405"/>
      <c r="K56" s="405"/>
      <c r="L56" s="405"/>
      <c r="M56" s="405"/>
      <c r="N56" s="405"/>
      <c r="O56" s="11"/>
    </row>
    <row r="57" spans="3:15" ht="17.600000000000001" x14ac:dyDescent="0.4">
      <c r="C57" s="11"/>
      <c r="D57" s="253"/>
      <c r="E57" s="253"/>
      <c r="F57" s="253"/>
      <c r="G57" s="253"/>
      <c r="H57" s="253"/>
      <c r="I57" s="253"/>
      <c r="J57" s="253"/>
      <c r="K57" s="253"/>
      <c r="L57" s="253"/>
      <c r="M57" s="253"/>
      <c r="N57" s="253"/>
      <c r="O57" s="11"/>
    </row>
    <row r="58" spans="3:15" ht="17.600000000000001" x14ac:dyDescent="0.4">
      <c r="C58" s="11"/>
      <c r="D58" s="420" t="s">
        <v>1404</v>
      </c>
      <c r="E58" s="420"/>
      <c r="F58" s="420"/>
      <c r="G58" s="420"/>
      <c r="H58" s="420"/>
      <c r="I58" s="420"/>
      <c r="J58" s="420"/>
      <c r="K58" s="420"/>
      <c r="L58" s="420"/>
      <c r="M58" s="420"/>
      <c r="N58" s="420"/>
      <c r="O58" s="11"/>
    </row>
    <row r="59" spans="3:15" ht="17.600000000000001" x14ac:dyDescent="0.4">
      <c r="C59" s="11"/>
      <c r="D59" s="406"/>
      <c r="E59" s="406"/>
      <c r="F59" s="406"/>
      <c r="G59" s="406"/>
      <c r="H59" s="406"/>
      <c r="I59" s="406"/>
      <c r="J59" s="406"/>
      <c r="K59" s="406"/>
      <c r="L59" s="406"/>
      <c r="M59" s="406"/>
      <c r="N59" s="406"/>
      <c r="O59" s="11"/>
    </row>
    <row r="60" spans="3:15" ht="17.600000000000001" x14ac:dyDescent="0.4">
      <c r="C60" s="11"/>
      <c r="D60" s="374" t="s">
        <v>18</v>
      </c>
      <c r="E60" s="374"/>
      <c r="F60" s="374"/>
      <c r="G60" s="374"/>
      <c r="H60" s="374"/>
      <c r="I60" s="374"/>
      <c r="J60" s="374"/>
      <c r="K60" s="374"/>
      <c r="L60" s="374"/>
      <c r="M60" s="374"/>
      <c r="N60" s="374"/>
      <c r="O60" s="11"/>
    </row>
    <row r="61" spans="3:15" ht="17.600000000000001" x14ac:dyDescent="0.4">
      <c r="C61" s="11"/>
      <c r="D61" s="379" t="s">
        <v>24</v>
      </c>
      <c r="E61" s="379"/>
      <c r="F61" s="379"/>
      <c r="G61" s="379"/>
      <c r="H61" s="379"/>
      <c r="I61" s="379"/>
      <c r="J61" s="379"/>
      <c r="K61" s="379"/>
      <c r="L61" s="379"/>
      <c r="M61" s="379"/>
      <c r="N61" s="379"/>
      <c r="O61" s="11"/>
    </row>
    <row r="62" spans="3:15" ht="17.600000000000001" x14ac:dyDescent="0.4">
      <c r="C62" s="11"/>
      <c r="D62" s="407"/>
      <c r="E62" s="407"/>
      <c r="F62" s="407"/>
      <c r="G62" s="407"/>
      <c r="H62" s="407"/>
      <c r="I62" s="407"/>
      <c r="J62" s="407"/>
      <c r="K62" s="407"/>
      <c r="L62" s="407"/>
      <c r="M62" s="407"/>
      <c r="N62" s="407"/>
      <c r="O62" s="11"/>
    </row>
    <row r="63" spans="3:15" ht="24" customHeight="1" x14ac:dyDescent="0.4">
      <c r="C63" s="408"/>
      <c r="D63" s="408"/>
      <c r="E63" s="408"/>
      <c r="F63" s="408"/>
      <c r="G63" s="408"/>
      <c r="H63" s="408"/>
      <c r="I63" s="408"/>
      <c r="J63" s="408"/>
      <c r="K63" s="408"/>
      <c r="L63" s="408"/>
      <c r="M63" s="408"/>
      <c r="N63" s="408"/>
      <c r="O63" s="408"/>
    </row>
    <row r="64" spans="3:15" ht="15" customHeight="1" x14ac:dyDescent="0.4">
      <c r="C64" s="22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3:15" ht="15" customHeight="1" x14ac:dyDescent="0.4">
      <c r="C65" s="22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3:15" ht="15" customHeight="1" x14ac:dyDescent="0.4">
      <c r="C66" s="3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3"/>
    </row>
    <row r="67" spans="3:15" ht="15" customHeight="1" x14ac:dyDescent="0.4">
      <c r="C67" s="396"/>
      <c r="D67" s="396"/>
      <c r="E67" s="396"/>
      <c r="F67" s="396"/>
      <c r="G67" s="396"/>
      <c r="H67" s="396"/>
      <c r="I67" s="396"/>
      <c r="J67" s="396"/>
      <c r="K67" s="396"/>
      <c r="L67" s="396"/>
      <c r="M67" s="396"/>
      <c r="N67" s="396"/>
      <c r="O67" s="396"/>
    </row>
    <row r="68" spans="3:15" ht="30" customHeight="1" x14ac:dyDescent="0.7">
      <c r="C68" s="397" t="s">
        <v>27</v>
      </c>
      <c r="D68" s="397"/>
      <c r="E68" s="397"/>
      <c r="F68" s="397"/>
      <c r="G68" s="397"/>
      <c r="H68" s="397"/>
      <c r="I68" s="397"/>
      <c r="J68" s="397"/>
      <c r="K68" s="397"/>
      <c r="L68" s="397"/>
      <c r="M68" s="397"/>
      <c r="N68" s="397"/>
      <c r="O68" s="397"/>
    </row>
    <row r="69" spans="3:15" ht="30" customHeight="1" x14ac:dyDescent="0.4">
      <c r="C69" s="396" t="s">
        <v>28</v>
      </c>
      <c r="D69" s="396"/>
      <c r="E69" s="396"/>
      <c r="F69" s="396"/>
      <c r="G69" s="396"/>
      <c r="H69" s="396"/>
      <c r="I69" s="396"/>
      <c r="J69" s="396"/>
      <c r="K69" s="396"/>
      <c r="L69" s="396"/>
      <c r="M69" s="396"/>
      <c r="N69" s="396"/>
      <c r="O69" s="396"/>
    </row>
    <row r="70" spans="3:15" ht="7.5" customHeight="1" x14ac:dyDescent="0.45">
      <c r="C70" s="3"/>
      <c r="D70" s="22"/>
      <c r="E70" s="22"/>
      <c r="F70" s="22"/>
      <c r="G70" s="22"/>
      <c r="H70" s="22"/>
      <c r="I70" s="23"/>
      <c r="J70" s="23"/>
      <c r="K70" s="23"/>
      <c r="L70" s="23"/>
      <c r="M70" s="23"/>
      <c r="N70" s="23"/>
      <c r="O70" s="3"/>
    </row>
    <row r="71" spans="3:15" ht="15" customHeight="1" x14ac:dyDescent="0.4">
      <c r="C71" s="3"/>
      <c r="D71" s="398" t="s">
        <v>29</v>
      </c>
      <c r="E71" s="398"/>
      <c r="F71" s="398"/>
      <c r="G71" s="398"/>
      <c r="H71" s="398"/>
      <c r="I71" s="398"/>
      <c r="J71" s="398"/>
      <c r="K71" s="398"/>
      <c r="L71" s="398"/>
      <c r="M71" s="398"/>
      <c r="N71" s="398"/>
      <c r="O71" s="3"/>
    </row>
    <row r="72" spans="3:15" ht="15" x14ac:dyDescent="0.4">
      <c r="C72" s="3"/>
      <c r="D72" s="399" t="s">
        <v>30</v>
      </c>
      <c r="E72" s="399"/>
      <c r="F72" s="399"/>
      <c r="G72" s="399"/>
      <c r="H72" s="399"/>
      <c r="I72" s="399"/>
      <c r="J72" s="399"/>
      <c r="K72" s="399"/>
      <c r="L72" s="399"/>
      <c r="M72" s="399"/>
      <c r="N72" s="399"/>
      <c r="O72" s="3"/>
    </row>
    <row r="73" spans="3:15" s="10" customFormat="1" ht="17.600000000000001" x14ac:dyDescent="0.4">
      <c r="C73" s="11"/>
      <c r="D73" s="374" t="s">
        <v>18</v>
      </c>
      <c r="E73" s="374"/>
      <c r="F73" s="374"/>
      <c r="G73" s="374"/>
      <c r="H73" s="374"/>
      <c r="I73" s="374"/>
      <c r="J73" s="374"/>
      <c r="K73" s="374"/>
      <c r="L73" s="374"/>
      <c r="M73" s="374"/>
      <c r="N73" s="374"/>
      <c r="O73" s="11"/>
    </row>
    <row r="74" spans="3:15" s="10" customFormat="1" ht="17.600000000000001" x14ac:dyDescent="0.4">
      <c r="C74" s="11"/>
      <c r="D74" s="379" t="s">
        <v>24</v>
      </c>
      <c r="E74" s="379"/>
      <c r="F74" s="379"/>
      <c r="G74" s="379"/>
      <c r="H74" s="379"/>
      <c r="I74" s="379"/>
      <c r="J74" s="379"/>
      <c r="K74" s="379"/>
      <c r="L74" s="379"/>
      <c r="M74" s="379"/>
      <c r="N74" s="379"/>
      <c r="O74" s="11"/>
    </row>
    <row r="75" spans="3:15" s="10" customFormat="1" ht="17.600000000000001" x14ac:dyDescent="0.4">
      <c r="C75" s="1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11"/>
    </row>
    <row r="76" spans="3:15" ht="15" customHeight="1" x14ac:dyDescent="0.4">
      <c r="C76" s="3"/>
      <c r="D76" s="398" t="s">
        <v>31</v>
      </c>
      <c r="E76" s="398"/>
      <c r="F76" s="398"/>
      <c r="G76" s="398"/>
      <c r="H76" s="398"/>
      <c r="I76" s="398"/>
      <c r="J76" s="398"/>
      <c r="K76" s="398"/>
      <c r="L76" s="398"/>
      <c r="M76" s="398"/>
      <c r="N76" s="398"/>
      <c r="O76" s="3"/>
    </row>
    <row r="77" spans="3:15" ht="15" customHeight="1" x14ac:dyDescent="0.4">
      <c r="C77" s="3"/>
      <c r="D77" s="399" t="s">
        <v>30</v>
      </c>
      <c r="E77" s="399"/>
      <c r="F77" s="399"/>
      <c r="G77" s="399"/>
      <c r="H77" s="399"/>
      <c r="I77" s="399"/>
      <c r="J77" s="399"/>
      <c r="K77" s="399"/>
      <c r="L77" s="399"/>
      <c r="M77" s="399"/>
      <c r="N77" s="399"/>
      <c r="O77" s="3"/>
    </row>
    <row r="78" spans="3:15" s="10" customFormat="1" ht="17.600000000000001" x14ac:dyDescent="0.4">
      <c r="C78" s="11"/>
      <c r="D78" s="374" t="s">
        <v>18</v>
      </c>
      <c r="E78" s="374"/>
      <c r="F78" s="374"/>
      <c r="G78" s="374"/>
      <c r="H78" s="374"/>
      <c r="I78" s="374"/>
      <c r="J78" s="374"/>
      <c r="K78" s="374"/>
      <c r="L78" s="374"/>
      <c r="M78" s="374"/>
      <c r="N78" s="374"/>
      <c r="O78" s="11"/>
    </row>
    <row r="79" spans="3:15" s="10" customFormat="1" ht="17.600000000000001" x14ac:dyDescent="0.4">
      <c r="C79" s="11"/>
      <c r="D79" s="379" t="s">
        <v>24</v>
      </c>
      <c r="E79" s="379"/>
      <c r="F79" s="379"/>
      <c r="G79" s="379"/>
      <c r="H79" s="379"/>
      <c r="I79" s="379"/>
      <c r="J79" s="379"/>
      <c r="K79" s="379"/>
      <c r="L79" s="379"/>
      <c r="M79" s="379"/>
      <c r="N79" s="379"/>
      <c r="O79" s="11"/>
    </row>
    <row r="80" spans="3:15" s="10" customFormat="1" ht="17.600000000000001" x14ac:dyDescent="0.4">
      <c r="C80" s="11"/>
      <c r="D80" s="253"/>
      <c r="E80" s="253"/>
      <c r="F80" s="253"/>
      <c r="G80" s="253"/>
      <c r="H80" s="253"/>
      <c r="I80" s="253"/>
      <c r="J80" s="253"/>
      <c r="K80" s="253"/>
      <c r="L80" s="253"/>
      <c r="M80" s="253"/>
      <c r="N80" s="253"/>
      <c r="O80" s="11"/>
    </row>
    <row r="81" spans="3:15" s="10" customFormat="1" ht="24" customHeight="1" x14ac:dyDescent="0.4">
      <c r="C81" s="401"/>
      <c r="D81" s="401"/>
      <c r="E81" s="401"/>
      <c r="F81" s="401"/>
      <c r="G81" s="401"/>
      <c r="H81" s="401"/>
      <c r="I81" s="401"/>
      <c r="J81" s="401"/>
      <c r="K81" s="401"/>
      <c r="L81" s="401"/>
      <c r="M81" s="401"/>
      <c r="N81" s="401"/>
      <c r="O81" s="401"/>
    </row>
    <row r="82" spans="3:15" s="10" customFormat="1" ht="17.600000000000001" x14ac:dyDescent="0.4">
      <c r="C82" s="1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11"/>
    </row>
    <row r="83" spans="3:15" s="10" customFormat="1" ht="17.600000000000001" x14ac:dyDescent="0.4">
      <c r="C83" s="11"/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1"/>
      <c r="O83" s="11"/>
    </row>
    <row r="84" spans="3:15" s="10" customFormat="1" ht="17.600000000000001" x14ac:dyDescent="0.4">
      <c r="C84" s="1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11"/>
    </row>
    <row r="85" spans="3:15" s="10" customFormat="1" ht="15" customHeight="1" x14ac:dyDescent="0.4">
      <c r="C85" s="383"/>
      <c r="D85" s="383"/>
      <c r="E85" s="383"/>
      <c r="F85" s="383"/>
      <c r="G85" s="383"/>
      <c r="H85" s="383"/>
      <c r="I85" s="383"/>
      <c r="J85" s="383"/>
      <c r="K85" s="383"/>
      <c r="L85" s="383"/>
      <c r="M85" s="383"/>
      <c r="N85" s="383"/>
      <c r="O85" s="383"/>
    </row>
    <row r="86" spans="3:15" s="10" customFormat="1" ht="30" customHeight="1" x14ac:dyDescent="0.7">
      <c r="C86" s="384" t="s">
        <v>1346</v>
      </c>
      <c r="D86" s="384"/>
      <c r="E86" s="384"/>
      <c r="F86" s="384"/>
      <c r="G86" s="384"/>
      <c r="H86" s="384"/>
      <c r="I86" s="384"/>
      <c r="J86" s="384"/>
      <c r="K86" s="384"/>
      <c r="L86" s="384"/>
      <c r="M86" s="384"/>
      <c r="N86" s="384"/>
      <c r="O86" s="384"/>
    </row>
    <row r="87" spans="3:15" s="10" customFormat="1" ht="21" customHeight="1" x14ac:dyDescent="0.4">
      <c r="C87" s="383"/>
      <c r="D87" s="383"/>
      <c r="E87" s="383"/>
      <c r="F87" s="383"/>
      <c r="G87" s="383"/>
      <c r="H87" s="383"/>
      <c r="I87" s="383"/>
      <c r="J87" s="383"/>
      <c r="K87" s="383"/>
      <c r="L87" s="383"/>
      <c r="M87" s="383"/>
      <c r="N87" s="383"/>
      <c r="O87" s="383"/>
    </row>
    <row r="88" spans="3:15" s="10" customFormat="1" ht="7.4" customHeight="1" x14ac:dyDescent="0.4">
      <c r="C88" s="1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11"/>
    </row>
    <row r="89" spans="3:15" ht="30" customHeight="1" x14ac:dyDescent="0.4">
      <c r="C89" s="3"/>
      <c r="D89" s="394" t="s">
        <v>1344</v>
      </c>
      <c r="E89" s="394"/>
      <c r="F89" s="394"/>
      <c r="G89" s="394"/>
      <c r="H89" s="394"/>
      <c r="I89" s="394"/>
      <c r="J89" s="394"/>
      <c r="K89" s="394"/>
      <c r="L89" s="394"/>
      <c r="M89" s="394"/>
      <c r="N89" s="394"/>
      <c r="O89" s="3"/>
    </row>
    <row r="90" spans="3:15" s="10" customFormat="1" ht="18.45" x14ac:dyDescent="0.5">
      <c r="C90" s="11"/>
      <c r="D90" s="400" t="s">
        <v>1375</v>
      </c>
      <c r="E90" s="400"/>
      <c r="F90" s="400"/>
      <c r="G90" s="400"/>
      <c r="H90" s="400"/>
      <c r="I90" s="400"/>
      <c r="J90" s="400"/>
      <c r="K90" s="400"/>
      <c r="L90" s="400"/>
      <c r="M90" s="400"/>
      <c r="N90" s="400"/>
      <c r="O90" s="11"/>
    </row>
    <row r="91" spans="3:15" s="10" customFormat="1" ht="18.45" x14ac:dyDescent="0.5">
      <c r="C91" s="11"/>
      <c r="D91" s="386" t="s">
        <v>1376</v>
      </c>
      <c r="E91" s="386"/>
      <c r="F91" s="386"/>
      <c r="G91" s="386"/>
      <c r="H91" s="386"/>
      <c r="I91" s="386"/>
      <c r="J91" s="386"/>
      <c r="K91" s="386"/>
      <c r="L91" s="386"/>
      <c r="M91" s="386"/>
      <c r="N91" s="386"/>
      <c r="O91" s="11"/>
    </row>
    <row r="92" spans="3:15" s="10" customFormat="1" ht="18.45" x14ac:dyDescent="0.5">
      <c r="C92" s="11"/>
      <c r="D92" s="387" t="s">
        <v>1377</v>
      </c>
      <c r="E92" s="387"/>
      <c r="F92" s="387"/>
      <c r="G92" s="387"/>
      <c r="H92" s="387"/>
      <c r="I92" s="387"/>
      <c r="J92" s="387"/>
      <c r="K92" s="387"/>
      <c r="L92" s="387"/>
      <c r="M92" s="387"/>
      <c r="N92" s="387"/>
      <c r="O92" s="11"/>
    </row>
    <row r="93" spans="3:15" s="10" customFormat="1" ht="17.600000000000001" x14ac:dyDescent="0.4">
      <c r="C93" s="11"/>
      <c r="D93" s="253"/>
      <c r="E93" s="253"/>
      <c r="F93" s="253"/>
      <c r="G93" s="253"/>
      <c r="H93" s="253"/>
      <c r="I93" s="253"/>
      <c r="J93" s="253"/>
      <c r="K93" s="253"/>
      <c r="L93" s="253"/>
      <c r="M93" s="253"/>
      <c r="N93" s="253"/>
      <c r="O93" s="11"/>
    </row>
    <row r="94" spans="3:15" s="10" customFormat="1" ht="30" customHeight="1" x14ac:dyDescent="0.4">
      <c r="C94" s="11"/>
      <c r="D94" s="394" t="s">
        <v>1343</v>
      </c>
      <c r="E94" s="394"/>
      <c r="F94" s="394"/>
      <c r="G94" s="394"/>
      <c r="H94" s="394"/>
      <c r="I94" s="394"/>
      <c r="J94" s="394"/>
      <c r="K94" s="394"/>
      <c r="L94" s="394"/>
      <c r="M94" s="394"/>
      <c r="N94" s="394"/>
      <c r="O94" s="11"/>
    </row>
    <row r="95" spans="3:15" s="10" customFormat="1" ht="18.45" x14ac:dyDescent="0.5">
      <c r="C95" s="11"/>
      <c r="D95" s="395" t="s">
        <v>1345</v>
      </c>
      <c r="E95" s="395"/>
      <c r="F95" s="395"/>
      <c r="G95" s="395"/>
      <c r="H95" s="395"/>
      <c r="I95" s="395"/>
      <c r="J95" s="395"/>
      <c r="K95" s="395"/>
      <c r="L95" s="395"/>
      <c r="M95" s="395"/>
      <c r="N95" s="395"/>
      <c r="O95" s="11"/>
    </row>
    <row r="96" spans="3:15" s="10" customFormat="1" ht="17.600000000000001" x14ac:dyDescent="0.4"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</row>
    <row r="97" spans="3:15" ht="24" customHeight="1" x14ac:dyDescent="0.4">
      <c r="C97" s="385"/>
      <c r="D97" s="385"/>
      <c r="E97" s="385"/>
      <c r="F97" s="385"/>
      <c r="G97" s="385"/>
      <c r="H97" s="385"/>
      <c r="I97" s="385"/>
      <c r="J97" s="385"/>
      <c r="K97" s="385"/>
      <c r="L97" s="385"/>
      <c r="M97" s="385"/>
      <c r="N97" s="385"/>
      <c r="O97" s="385"/>
    </row>
    <row r="98" spans="3:15" ht="15" customHeight="1" x14ac:dyDescent="0.4">
      <c r="C98" s="22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3:15" ht="15" customHeight="1" x14ac:dyDescent="0.4">
      <c r="C99" s="22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3:15" ht="15" customHeight="1" x14ac:dyDescent="0.4"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3:15" ht="17.600000000000001" x14ac:dyDescent="0.4">
      <c r="C101" s="373"/>
      <c r="D101" s="373"/>
      <c r="E101" s="373"/>
      <c r="F101" s="373"/>
      <c r="G101" s="373"/>
      <c r="H101" s="373"/>
      <c r="I101" s="373"/>
      <c r="J101" s="373"/>
      <c r="K101" s="373"/>
      <c r="L101" s="373"/>
      <c r="M101" s="373"/>
      <c r="N101" s="373"/>
      <c r="O101" s="373"/>
    </row>
    <row r="102" spans="3:15" ht="19.75" x14ac:dyDescent="0.45">
      <c r="C102" s="372" t="s">
        <v>33</v>
      </c>
      <c r="D102" s="372"/>
      <c r="E102" s="372"/>
      <c r="F102" s="372"/>
      <c r="G102" s="372"/>
      <c r="H102" s="372"/>
      <c r="I102" s="372"/>
      <c r="J102" s="372"/>
      <c r="K102" s="372"/>
      <c r="L102" s="372"/>
      <c r="M102" s="372"/>
      <c r="N102" s="372"/>
      <c r="O102" s="372"/>
    </row>
    <row r="103" spans="3:15" ht="17.600000000000001" x14ac:dyDescent="0.4">
      <c r="C103" s="373"/>
      <c r="D103" s="373"/>
      <c r="E103" s="373"/>
      <c r="F103" s="373"/>
      <c r="G103" s="373"/>
      <c r="H103" s="373"/>
      <c r="I103" s="373"/>
      <c r="J103" s="373"/>
      <c r="K103" s="373"/>
      <c r="L103" s="373"/>
      <c r="M103" s="373"/>
      <c r="N103" s="373"/>
      <c r="O103" s="373"/>
    </row>
    <row r="104" spans="3:15" s="10" customFormat="1" ht="17.600000000000001" x14ac:dyDescent="0.4">
      <c r="C104" s="11"/>
      <c r="D104" s="374" t="s">
        <v>34</v>
      </c>
      <c r="E104" s="374"/>
      <c r="F104" s="374"/>
      <c r="G104" s="374"/>
      <c r="H104" s="374"/>
      <c r="I104" s="374"/>
      <c r="J104" s="374"/>
      <c r="K104" s="374"/>
      <c r="L104" s="374"/>
      <c r="M104" s="374"/>
      <c r="N104" s="374"/>
      <c r="O104" s="11"/>
    </row>
    <row r="105" spans="3:15" s="10" customFormat="1" ht="18.45" x14ac:dyDescent="0.5">
      <c r="C105" s="11"/>
      <c r="D105" s="387" t="s">
        <v>35</v>
      </c>
      <c r="E105" s="387"/>
      <c r="F105" s="387"/>
      <c r="G105" s="387"/>
      <c r="H105" s="387"/>
      <c r="I105" s="387"/>
      <c r="J105" s="387"/>
      <c r="K105" s="387"/>
      <c r="L105" s="387"/>
      <c r="M105" s="387"/>
      <c r="N105" s="387"/>
      <c r="O105" s="11"/>
    </row>
    <row r="106" spans="3:15" s="10" customFormat="1" ht="17.600000000000001" x14ac:dyDescent="0.4"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</row>
    <row r="107" spans="3:15" ht="24" customHeight="1" x14ac:dyDescent="0.4">
      <c r="C107" s="373"/>
      <c r="D107" s="373"/>
      <c r="E107" s="373"/>
      <c r="F107" s="373"/>
      <c r="G107" s="373"/>
      <c r="H107" s="373"/>
      <c r="I107" s="373"/>
      <c r="J107" s="373"/>
      <c r="K107" s="373"/>
      <c r="L107" s="373"/>
      <c r="M107" s="373"/>
      <c r="N107" s="373"/>
      <c r="O107" s="373"/>
    </row>
    <row r="108" spans="3:15" ht="15" customHeight="1" x14ac:dyDescent="0.4">
      <c r="C108" s="3"/>
      <c r="D108" s="3"/>
      <c r="E108" s="17"/>
      <c r="F108" s="3"/>
      <c r="G108" s="3"/>
      <c r="H108" s="17"/>
      <c r="I108" s="3"/>
      <c r="J108" s="3"/>
      <c r="K108" s="17"/>
      <c r="L108" s="3"/>
      <c r="M108" s="3"/>
      <c r="N108" s="3"/>
      <c r="O108" s="3"/>
    </row>
    <row r="109" spans="3:15" ht="15" customHeight="1" x14ac:dyDescent="0.4">
      <c r="C109" s="3"/>
      <c r="D109" s="3"/>
      <c r="E109" s="17"/>
      <c r="F109" s="18"/>
      <c r="G109" s="18"/>
      <c r="H109" s="18"/>
      <c r="I109" s="18"/>
      <c r="J109" s="18"/>
      <c r="K109" s="18"/>
      <c r="L109" s="18"/>
      <c r="M109" s="18"/>
      <c r="N109" s="18"/>
      <c r="O109" s="19"/>
    </row>
    <row r="110" spans="3:15" ht="33.9" x14ac:dyDescent="0.7">
      <c r="C110" s="3"/>
      <c r="D110" s="376" t="s">
        <v>36</v>
      </c>
      <c r="E110" s="376"/>
      <c r="F110" s="376"/>
      <c r="G110" s="376"/>
      <c r="H110" s="376"/>
      <c r="I110" s="376"/>
      <c r="J110" s="376"/>
      <c r="K110" s="376"/>
      <c r="L110" s="376"/>
      <c r="M110" s="376"/>
      <c r="N110" s="376"/>
      <c r="O110" s="3"/>
    </row>
    <row r="111" spans="3:15" ht="17.600000000000001" x14ac:dyDescent="0.4">
      <c r="C111" s="377"/>
      <c r="D111" s="377"/>
      <c r="E111" s="377"/>
      <c r="F111" s="377"/>
      <c r="G111" s="377"/>
      <c r="H111" s="377"/>
      <c r="I111" s="377"/>
      <c r="J111" s="377"/>
      <c r="K111" s="377"/>
      <c r="L111" s="377"/>
      <c r="M111" s="377"/>
      <c r="N111" s="377"/>
      <c r="O111" s="377"/>
    </row>
    <row r="112" spans="3:15" ht="17.600000000000001" x14ac:dyDescent="0.4">
      <c r="C112" s="11"/>
      <c r="D112" s="374" t="s">
        <v>37</v>
      </c>
      <c r="E112" s="374"/>
      <c r="F112" s="374"/>
      <c r="G112" s="374"/>
      <c r="H112" s="374"/>
      <c r="I112" s="374"/>
      <c r="J112" s="374"/>
      <c r="K112" s="374"/>
      <c r="L112" s="374"/>
      <c r="M112" s="374"/>
      <c r="N112" s="374"/>
      <c r="O112" s="11"/>
    </row>
    <row r="113" spans="2:16" ht="17.600000000000001" x14ac:dyDescent="0.4">
      <c r="C113" s="11"/>
      <c r="D113" s="378" t="s">
        <v>38</v>
      </c>
      <c r="E113" s="378"/>
      <c r="F113" s="378"/>
      <c r="G113" s="378"/>
      <c r="H113" s="378"/>
      <c r="I113" s="378"/>
      <c r="J113" s="378"/>
      <c r="K113" s="378"/>
      <c r="L113" s="378"/>
      <c r="M113" s="378"/>
      <c r="N113" s="378"/>
      <c r="O113" s="11"/>
    </row>
    <row r="114" spans="2:16" ht="18.45" x14ac:dyDescent="0.5">
      <c r="C114" s="11"/>
      <c r="D114" s="388" t="s">
        <v>39</v>
      </c>
      <c r="E114" s="389"/>
      <c r="F114" s="389"/>
      <c r="G114" s="389"/>
      <c r="H114" s="389"/>
      <c r="I114" s="389"/>
      <c r="J114" s="389"/>
      <c r="K114" s="389"/>
      <c r="L114" s="389"/>
      <c r="M114" s="389"/>
      <c r="N114" s="390"/>
      <c r="O114" s="11"/>
    </row>
    <row r="115" spans="2:16" ht="18.45" x14ac:dyDescent="0.5">
      <c r="C115" s="11"/>
      <c r="D115" s="391" t="s">
        <v>40</v>
      </c>
      <c r="E115" s="392"/>
      <c r="F115" s="392"/>
      <c r="G115" s="392"/>
      <c r="H115" s="392"/>
      <c r="I115" s="392"/>
      <c r="J115" s="392"/>
      <c r="K115" s="392"/>
      <c r="L115" s="392"/>
      <c r="M115" s="392"/>
      <c r="N115" s="393"/>
      <c r="O115" s="11"/>
    </row>
    <row r="116" spans="2:16" ht="17.600000000000001" x14ac:dyDescent="0.4"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</row>
    <row r="117" spans="2:16" ht="17.600000000000001" x14ac:dyDescent="0.4">
      <c r="C117" s="377"/>
      <c r="D117" s="377"/>
      <c r="E117" s="377"/>
      <c r="F117" s="377"/>
      <c r="G117" s="377"/>
      <c r="H117" s="377"/>
      <c r="I117" s="377"/>
      <c r="J117" s="377"/>
      <c r="K117" s="377"/>
      <c r="L117" s="377"/>
      <c r="M117" s="377"/>
      <c r="N117" s="377"/>
      <c r="O117" s="377"/>
    </row>
    <row r="118" spans="2:16" x14ac:dyDescent="0.4">
      <c r="C118" s="3"/>
      <c r="D118" s="3"/>
      <c r="E118" s="17"/>
      <c r="F118" s="3"/>
      <c r="G118" s="3"/>
      <c r="H118" s="17"/>
      <c r="I118" s="3"/>
      <c r="J118" s="3"/>
      <c r="K118" s="17"/>
      <c r="L118" s="3"/>
      <c r="M118" s="3"/>
      <c r="N118" s="3"/>
      <c r="O118" s="3"/>
    </row>
    <row r="119" spans="2:16" x14ac:dyDescent="0.4">
      <c r="C119" s="3"/>
      <c r="D119" s="3"/>
      <c r="E119" s="17"/>
      <c r="F119" s="18"/>
      <c r="G119" s="18"/>
      <c r="H119" s="18"/>
      <c r="I119" s="18"/>
      <c r="J119" s="18"/>
      <c r="K119" s="18"/>
      <c r="L119" s="18"/>
      <c r="M119" s="18"/>
      <c r="N119" s="18"/>
      <c r="O119" s="19"/>
    </row>
    <row r="120" spans="2:16" ht="33.9" x14ac:dyDescent="0.7">
      <c r="C120" s="3"/>
      <c r="D120" s="376" t="s">
        <v>41</v>
      </c>
      <c r="E120" s="376"/>
      <c r="F120" s="376"/>
      <c r="G120" s="376"/>
      <c r="H120" s="376"/>
      <c r="I120" s="376"/>
      <c r="J120" s="376"/>
      <c r="K120" s="376"/>
      <c r="L120" s="376"/>
      <c r="M120" s="376"/>
      <c r="N120" s="376"/>
      <c r="O120" s="3"/>
    </row>
    <row r="121" spans="2:16" ht="17.600000000000001" x14ac:dyDescent="0.4">
      <c r="C121" s="377"/>
      <c r="D121" s="377"/>
      <c r="E121" s="377"/>
      <c r="F121" s="377"/>
      <c r="G121" s="377"/>
      <c r="H121" s="377"/>
      <c r="I121" s="377"/>
      <c r="J121" s="377"/>
      <c r="K121" s="377"/>
      <c r="L121" s="377"/>
      <c r="M121" s="377"/>
      <c r="N121" s="377"/>
      <c r="O121" s="377"/>
    </row>
    <row r="122" spans="2:16" ht="17.600000000000001" x14ac:dyDescent="0.4">
      <c r="C122" s="11"/>
      <c r="D122" s="374" t="s">
        <v>42</v>
      </c>
      <c r="E122" s="374"/>
      <c r="F122" s="374"/>
      <c r="G122" s="374"/>
      <c r="H122" s="374"/>
      <c r="I122" s="374"/>
      <c r="J122" s="374"/>
      <c r="K122" s="374"/>
      <c r="L122" s="374"/>
      <c r="M122" s="374"/>
      <c r="N122" s="374"/>
      <c r="O122" s="11"/>
    </row>
    <row r="123" spans="2:16" ht="17.600000000000001" x14ac:dyDescent="0.4">
      <c r="C123" s="11"/>
      <c r="D123" s="378" t="s">
        <v>43</v>
      </c>
      <c r="E123" s="378"/>
      <c r="F123" s="378"/>
      <c r="G123" s="378"/>
      <c r="H123" s="378"/>
      <c r="I123" s="378"/>
      <c r="J123" s="378"/>
      <c r="K123" s="378"/>
      <c r="L123" s="378"/>
      <c r="M123" s="378"/>
      <c r="N123" s="378"/>
      <c r="O123" s="11"/>
    </row>
    <row r="124" spans="2:16" ht="17.600000000000001" x14ac:dyDescent="0.4">
      <c r="C124" s="11"/>
      <c r="D124" s="379" t="s">
        <v>44</v>
      </c>
      <c r="E124" s="379"/>
      <c r="F124" s="379"/>
      <c r="G124" s="379"/>
      <c r="H124" s="379"/>
      <c r="I124" s="379"/>
      <c r="J124" s="379"/>
      <c r="K124" s="379"/>
      <c r="L124" s="379"/>
      <c r="M124" s="379"/>
      <c r="N124" s="379"/>
      <c r="O124" s="11"/>
    </row>
    <row r="125" spans="2:16" ht="17.600000000000001" x14ac:dyDescent="0.4"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</row>
    <row r="126" spans="2:16" ht="17.600000000000001" x14ac:dyDescent="0.4">
      <c r="C126" s="377"/>
      <c r="D126" s="377"/>
      <c r="E126" s="377"/>
      <c r="F126" s="377"/>
      <c r="G126" s="377"/>
      <c r="H126" s="377"/>
      <c r="I126" s="377"/>
      <c r="J126" s="377"/>
      <c r="K126" s="377"/>
      <c r="L126" s="377"/>
      <c r="M126" s="377"/>
      <c r="N126" s="377"/>
      <c r="O126" s="377"/>
    </row>
    <row r="127" spans="2:16" ht="17.600000000000001" x14ac:dyDescent="0.4">
      <c r="C127" s="11"/>
      <c r="D127" s="380"/>
      <c r="E127" s="380"/>
      <c r="F127" s="380"/>
      <c r="G127" s="380"/>
      <c r="H127" s="380"/>
      <c r="I127" s="380"/>
      <c r="J127" s="380"/>
      <c r="K127" s="380"/>
      <c r="L127" s="380"/>
      <c r="M127" s="380"/>
      <c r="N127" s="380"/>
      <c r="O127" s="11"/>
    </row>
    <row r="128" spans="2:16" x14ac:dyDescent="0.4">
      <c r="B128" s="24"/>
      <c r="C128" s="25" t="s">
        <v>45</v>
      </c>
      <c r="D128" s="26"/>
      <c r="E128" s="26"/>
      <c r="F128" s="26"/>
      <c r="G128" s="26"/>
      <c r="H128" s="26"/>
      <c r="I128" s="27" t="s">
        <v>46</v>
      </c>
      <c r="J128" s="26"/>
      <c r="K128" s="26"/>
      <c r="L128" s="26"/>
      <c r="M128" s="26"/>
      <c r="N128" s="26"/>
      <c r="O128" s="28" t="s">
        <v>47</v>
      </c>
      <c r="P128" s="24"/>
    </row>
    <row r="129" spans="3:15" ht="13.75" customHeight="1" x14ac:dyDescent="0.4">
      <c r="C129" s="381" t="s">
        <v>48</v>
      </c>
      <c r="D129" s="381"/>
      <c r="E129" s="381"/>
      <c r="F129" s="381"/>
      <c r="G129" s="381"/>
      <c r="H129" s="381"/>
      <c r="I129" s="381"/>
      <c r="J129" s="381"/>
      <c r="K129" s="381"/>
      <c r="L129" s="381"/>
      <c r="M129" s="381"/>
      <c r="N129" s="381"/>
      <c r="O129" s="381"/>
    </row>
    <row r="130" spans="3:15" ht="14.25" customHeight="1" x14ac:dyDescent="0.4">
      <c r="C130" s="382" t="s">
        <v>49</v>
      </c>
      <c r="D130" s="382"/>
      <c r="E130" s="382"/>
      <c r="F130" s="382"/>
      <c r="G130" s="382"/>
      <c r="H130" s="382"/>
      <c r="I130" s="382"/>
      <c r="J130" s="382"/>
      <c r="K130" s="382"/>
      <c r="L130" s="382"/>
      <c r="M130" s="382"/>
      <c r="N130" s="382"/>
      <c r="O130" s="382"/>
    </row>
    <row r="131" spans="3:15" x14ac:dyDescent="0.4">
      <c r="C131" s="29"/>
      <c r="D131" s="29"/>
      <c r="E131" s="375" t="s">
        <v>50</v>
      </c>
      <c r="F131" s="375"/>
      <c r="G131" s="375"/>
      <c r="H131" s="375"/>
      <c r="I131" s="375"/>
      <c r="J131" s="375"/>
      <c r="K131" s="375"/>
      <c r="L131" s="375"/>
      <c r="M131" s="375"/>
      <c r="N131" s="29"/>
      <c r="O131" s="29"/>
    </row>
    <row r="132" spans="3:15" x14ac:dyDescent="0.4">
      <c r="C132" s="30"/>
      <c r="D132" s="30"/>
      <c r="E132" s="30"/>
      <c r="F132" s="30"/>
      <c r="G132" s="30"/>
      <c r="H132" s="30"/>
      <c r="I132" s="27" t="s">
        <v>46</v>
      </c>
      <c r="J132" s="30"/>
      <c r="K132" s="30"/>
      <c r="L132" s="30"/>
      <c r="M132" s="30"/>
      <c r="N132" s="30"/>
      <c r="O132" s="30"/>
    </row>
  </sheetData>
  <sheetProtection formatCells="0" formatColumns="0" formatRows="0" insertColumns="0" insertRows="0" insertHyperlinks="0" deleteColumns="0" deleteRows="0" sort="0" autoFilter="0" pivotTables="0"/>
  <protectedRanges>
    <protectedRange sqref="J6" name="Sleva_1"/>
  </protectedRanges>
  <mergeCells count="97">
    <mergeCell ref="D58:N58"/>
    <mergeCell ref="D11:N11"/>
    <mergeCell ref="E12:G12"/>
    <mergeCell ref="H12:J12"/>
    <mergeCell ref="K12:M12"/>
    <mergeCell ref="E13:G13"/>
    <mergeCell ref="H13:J13"/>
    <mergeCell ref="K13:M13"/>
    <mergeCell ref="D20:N20"/>
    <mergeCell ref="C22:O22"/>
    <mergeCell ref="C23:O23"/>
    <mergeCell ref="C24:O24"/>
    <mergeCell ref="D25:N25"/>
    <mergeCell ref="E15:G15"/>
    <mergeCell ref="K15:M15"/>
    <mergeCell ref="E16:G16"/>
    <mergeCell ref="K16:M16"/>
    <mergeCell ref="D31:N31"/>
    <mergeCell ref="D32:N32"/>
    <mergeCell ref="C2:O4"/>
    <mergeCell ref="D6:E6"/>
    <mergeCell ref="G6:I6"/>
    <mergeCell ref="H7:J7"/>
    <mergeCell ref="D10:N10"/>
    <mergeCell ref="D33:N33"/>
    <mergeCell ref="D34:N34"/>
    <mergeCell ref="C35:O35"/>
    <mergeCell ref="D26:N26"/>
    <mergeCell ref="D27:N27"/>
    <mergeCell ref="D28:N28"/>
    <mergeCell ref="D29:N29"/>
    <mergeCell ref="D30:N30"/>
    <mergeCell ref="D44:N44"/>
    <mergeCell ref="D45:N45"/>
    <mergeCell ref="D46:N46"/>
    <mergeCell ref="D47:N47"/>
    <mergeCell ref="C48:O48"/>
    <mergeCell ref="C39:O39"/>
    <mergeCell ref="C40:O40"/>
    <mergeCell ref="C41:O41"/>
    <mergeCell ref="D42:N42"/>
    <mergeCell ref="D43:N43"/>
    <mergeCell ref="D59:N59"/>
    <mergeCell ref="D60:N60"/>
    <mergeCell ref="D61:N61"/>
    <mergeCell ref="D62:N62"/>
    <mergeCell ref="C63:O63"/>
    <mergeCell ref="C52:O52"/>
    <mergeCell ref="C53:O53"/>
    <mergeCell ref="C54:O54"/>
    <mergeCell ref="D55:N55"/>
    <mergeCell ref="D56:N56"/>
    <mergeCell ref="D94:N94"/>
    <mergeCell ref="D95:N95"/>
    <mergeCell ref="C67:O67"/>
    <mergeCell ref="C68:O68"/>
    <mergeCell ref="C69:O69"/>
    <mergeCell ref="D71:N71"/>
    <mergeCell ref="D72:N72"/>
    <mergeCell ref="D73:N73"/>
    <mergeCell ref="D74:N74"/>
    <mergeCell ref="D76:N76"/>
    <mergeCell ref="D77:N77"/>
    <mergeCell ref="D78:N78"/>
    <mergeCell ref="D79:N79"/>
    <mergeCell ref="D89:N89"/>
    <mergeCell ref="D90:N90"/>
    <mergeCell ref="C81:O81"/>
    <mergeCell ref="C85:O85"/>
    <mergeCell ref="C86:O86"/>
    <mergeCell ref="C87:O87"/>
    <mergeCell ref="C117:O117"/>
    <mergeCell ref="C111:O111"/>
    <mergeCell ref="C101:O101"/>
    <mergeCell ref="C97:O97"/>
    <mergeCell ref="D91:N91"/>
    <mergeCell ref="D92:N92"/>
    <mergeCell ref="D112:N112"/>
    <mergeCell ref="D113:N113"/>
    <mergeCell ref="D114:N114"/>
    <mergeCell ref="D115:N115"/>
    <mergeCell ref="D105:N105"/>
    <mergeCell ref="C107:O107"/>
    <mergeCell ref="D110:N110"/>
    <mergeCell ref="C102:O102"/>
    <mergeCell ref="C103:O103"/>
    <mergeCell ref="D104:N104"/>
    <mergeCell ref="E131:M131"/>
    <mergeCell ref="D120:N120"/>
    <mergeCell ref="C121:O121"/>
    <mergeCell ref="D122:N122"/>
    <mergeCell ref="D123:N123"/>
    <mergeCell ref="D124:N124"/>
    <mergeCell ref="C126:O126"/>
    <mergeCell ref="D127:N127"/>
    <mergeCell ref="C129:O129"/>
    <mergeCell ref="C130:O130"/>
  </mergeCells>
  <hyperlinks>
    <hyperlink ref="C2" r:id="rId1" xr:uid="{00000000-0004-0000-0000-000000000000}"/>
    <hyperlink ref="H7" location="OBSAH!I128" display="PŘEJÍT NA UPOZORNĚNÍ" xr:uid="{00000000-0004-0000-0000-000001000000}"/>
    <hyperlink ref="E12" location="'DOMOVNÍ TELEFONY'!A7" display="PRO SYS. MELODY" xr:uid="{00000000-0004-0000-0000-000002000000}"/>
    <hyperlink ref="H12" location="'DOMOVNÍ TELEFONY'!A13" display="PRO SYS. DUO plus+" xr:uid="{00000000-0004-0000-0000-000003000000}"/>
    <hyperlink ref="K12" location="'DOMOVNÍ TELEFONY'!A18" display="PRO SYS. DUO Standard" xr:uid="{00000000-0004-0000-0000-000004000000}"/>
    <hyperlink ref="E15" location="'DOMOVNÍ TELEFONY'!A23" display="PRO SYS. DUO" xr:uid="{00000000-0004-0000-0000-000005000000}"/>
    <hyperlink ref="K15" location="'DOMOVNÍ TELEFONY'!A30" display="PRO SYS. 4+N" xr:uid="{00000000-0004-0000-0000-000006000000}"/>
    <hyperlink ref="D25" location="'MELODY GENOVA S KLÁVESNICÍ'!A7" display="TABLA GENOVA S KLÁVESNICÍ" xr:uid="{00000000-0004-0000-0000-000007000000}"/>
    <hyperlink ref="D26" location="'MELODY GENOVA S KLÁVESNICÍ'!A39" display="TABLA GENOVA S KLÁVESNICÍ A BEZKONTAKTNÍM OTEVÍRAČEM DVEŘÍ (BOD)" xr:uid="{00000000-0004-0000-0000-000008000000}"/>
    <hyperlink ref="D27" location="'MELODY GENOVA S KLÁVESNICÍ'!A63" display="TABLA GENOVA S KLÁVESNICÍ A KAMEROU" xr:uid="{00000000-0004-0000-0000-000009000000}"/>
    <hyperlink ref="D28" location="'MELODY GENOVA S KLÁVESNICÍ'!A87" display="TABLA GENOVA S KLÁVESNICÍ, KAMEROU A BEZKONTAKTNÍM OTEVÍRAČEM DVEŘÍ (BOD)" xr:uid="{00000000-0004-0000-0000-00000A000000}"/>
    <hyperlink ref="D30" location="'MELODY GENOVA S TLAČÍTKY'!A7" display="TABLA GENOVA S TLAČÍTKY" xr:uid="{00000000-0004-0000-0000-00000B000000}"/>
    <hyperlink ref="D31" location="'MELODY GENOVA S KLÁVESNICÍ'!A85" display="TABLA GENOVA S TLAČÍTKY A BEZKONTAKTNÍM OTEVÍRAČEM DVEŘÍ (BOD)" xr:uid="{00000000-0004-0000-0000-00000C000000}"/>
    <hyperlink ref="D32" location="'MELODY GENOVA S TLAČÍTKY'!A175" display="TABLA GENOVA S TLAČÍTKY A KAMEROU" xr:uid="{00000000-0004-0000-0000-00000D000000}"/>
    <hyperlink ref="D33" location="'MELODY GENOVA S TLAČÍTKY'!A229" display="TABLA GENOVA S TLAČÍTKY, KAMEROU A BEZKONTAKTNÍM OTEVÍRAČEM DVEŘÍ (BOD)" xr:uid="{00000000-0004-0000-0000-00000E000000}"/>
    <hyperlink ref="D42" location="'DUO plus+ GENOVA S KLÁVESNICÍ'!A7" display="TABLA GENOVA S KLÁVESNICÍ" xr:uid="{00000000-0004-0000-0000-00000F000000}"/>
    <hyperlink ref="D43" location="'DUO plus+ GENOVA S KLÁVESNICÍ'!A31" display="TABLA GENOVA S KLÁVESNICÍ A BEZKONTAKTNÍM PŘÍSTUPOVÝM SYSTÉMEM (BIS)" xr:uid="{00000000-0004-0000-0000-000010000000}"/>
    <hyperlink ref="D45" location="'DUO plus+ GENOVA S TLAČÍTKY'!A7" display="TABLA GENOVA S TLAČÍTKY" xr:uid="{00000000-0004-0000-0000-000011000000}"/>
    <hyperlink ref="D46" location="'DUO plus+ GENOVA S TLAČÍTKY'!A83" display="TABLA GENOVA S TLAČÍTKY A BEZKONTAKTNÍM PŘÍSTUPOVÝM SYSTÉMEM (BIS)" xr:uid="{00000000-0004-0000-0000-000012000000}"/>
    <hyperlink ref="D55" location="'DUO Standard GENOVA S KLÁVES.'!A7" display="TABLA GENOVA S KLÁVESNICÍ" xr:uid="{00000000-0004-0000-0000-000013000000}"/>
    <hyperlink ref="D56" location="'DUO Standard GENOVA S KLÁVES.'!A31" display="TABLA GENOVA S KLÁVESNICÍ A BEZKONTAKTNÍM PŘÍSTUPOVÝM SYSTÉMEM (BIS)" xr:uid="{00000000-0004-0000-0000-000014000000}"/>
    <hyperlink ref="D60" location="'DUO Standard GENOVA S TLAČÍTKY'!A7" display="TABLA GENOVA S TLAČÍTKY" xr:uid="{00000000-0004-0000-0000-000015000000}"/>
    <hyperlink ref="D61" location="'DUO Standard GENOVA S TLAČÍTKY'!A83" display="TABLA GENOVA S TLAČÍTKY A BEZKONTAKTNÍM PŘÍSTUPOVÝM SYSTÉMEM (BIS)" xr:uid="{00000000-0004-0000-0000-000016000000}"/>
    <hyperlink ref="D73" location="'4+N-05-17 GENOVA S TLAČÍTKY'!A7" display="TABLA GENOVA S TLAČÍTKY" xr:uid="{00000000-0004-0000-0000-000017000000}"/>
    <hyperlink ref="D74" location="'4+N-05-17 GENOVA S TLAČÍTKY'!A82" display="TABLA GENOVA S TLAČÍTKY A BEZKONTAKTNÍM PŘÍSTUPOVÝM SYSTÉMEM (BIS)" xr:uid="{00000000-0004-0000-0000-000018000000}"/>
    <hyperlink ref="D78" location="'4+N-05-16 GENOVA S TLAČÍTKY'!A7" display="TABLA GENOVA S TLAČÍTKY" xr:uid="{00000000-0004-0000-0000-000019000000}"/>
    <hyperlink ref="D104" location="'PŘÍSTUPOVÉ SYSTÉMY'!A6" display="SAMOSTATNÝ VSTUP (GENOVA) - PS2" xr:uid="{00000000-0004-0000-0000-00001A000000}"/>
    <hyperlink ref="D105" location="'PŘÍSTUPOVÉ SYSTÉMY - SAM.VSTUPY'!A52" display="ČIPY A PŘÍSLUŠENSTVÍ K PŘÍSTUPOVÝM SYSTÉMŮM" xr:uid="{00000000-0004-0000-0000-00001B000000}"/>
    <hyperlink ref="D112" location="'DOPLŇKY K TABLŮM A TELEFONŮM'!A6" display="MONTÁŽNÍ KRABICE (MK) PRO TABLA GENOVA V RÁMKU (DO ZDI)" xr:uid="{00000000-0004-0000-0000-00001C000000}"/>
    <hyperlink ref="D113" location="'DOPLŇKY K TABLŮM A TELEFONŮM'!A18" display="MONTÁŽNÍ KRABICE (RZ) PRO TABLA V PŮVODNÍM DESIGNU V RÁMKU (DO ZDI)" xr:uid="{00000000-0004-0000-0000-00001D000000}"/>
    <hyperlink ref="D114" location="'DOPLŇKY K TABLŮM A TELEFONŮM'!A31" display="LÍMCE PROTI DEŠTI PRO TABLA DO ZDI (V RÁMKU)" xr:uid="{00000000-0004-0000-0000-00001E000000}"/>
    <hyperlink ref="D115" location="'DOPLŇKY K TABLŮM A TELEFONŮM'!A44" display="KONFIGURÁTORY SYSTÉMŮ" xr:uid="{00000000-0004-0000-0000-00001F000000}"/>
    <hyperlink ref="D122" location="'VŠE DO ROZVADĚČŮ A STOUPAČEK'!A6" display="NAPÁJECÍ MODULY" xr:uid="{00000000-0004-0000-0000-000020000000}"/>
    <hyperlink ref="D123" location="'VŠE DO ROZVADĚČŮ A STOUPAČEK'!A21" display="DISTRIBUTORY A ELEKTRONIKA PRO SYSTÉM MELODY" xr:uid="{00000000-0004-0000-0000-000021000000}"/>
    <hyperlink ref="D124" location="'VŠE DO ROZVADĚČŮ A STOUPAČEK'!A31" display="OSTATNÍ ELEKTRONIKA" xr:uid="{00000000-0004-0000-0000-000022000000}"/>
    <hyperlink ref="C128" location="OBSAH!I8" display="NAHORU ˄" xr:uid="{00000000-0004-0000-0000-000023000000}"/>
    <hyperlink ref="O128" location="OBSAH!I8" display="˄ NAHORU " xr:uid="{00000000-0004-0000-0000-000024000000}"/>
    <hyperlink ref="H12:J12" location="'DOMOVNÍ TELEFONY'!A15" display="PRO SYS. DUO plus+" xr:uid="{00000000-0004-0000-0000-000025000000}"/>
    <hyperlink ref="K12:M12" location="'DOMOVNÍ TELEFONY'!A21" display="PRO SYS. DUO Standard" xr:uid="{00000000-0004-0000-0000-000026000000}"/>
    <hyperlink ref="E15:G15" location="'DOMOVNÍ TELEFONY'!A27" display="PRO SYS. DUO" xr:uid="{00000000-0004-0000-0000-000027000000}"/>
    <hyperlink ref="K15:M15" location="'DOMOVNÍ TELEFONY'!A35" display="PRO SYS. 4+N" xr:uid="{00000000-0004-0000-0000-000028000000}"/>
    <hyperlink ref="D79" location="'4+N-05-16 GENOVA S TLAČÍTKY'!A82" display="TABLA GENOVA S TLAČÍTKY A BEZKONTAKTNÍM PŘÍSTUPOVÝM SYSTÉMEM (BIS)" xr:uid="{00000000-0004-0000-0000-000029000000}"/>
    <hyperlink ref="D95" location="'ZVONKOVÁ TL. BEZ KOMUNIKACE'!A7" display="TABLA DESIGN KLASIK" xr:uid="{00000000-0004-0000-0000-00002A000000}"/>
    <hyperlink ref="D90" location="'MELODY GENOVA S KLÁVESNICÍ'!A7" display="TABLA GENOVA S KLÁVESNICÍ" xr:uid="{00000000-0004-0000-0000-00002B000000}"/>
    <hyperlink ref="D91" location="'MELODY GENOVA S KLÁVESNICÍ'!A39" display="TABLA GENOVA S KLÁVESNICÍ A BEZKONTAKTNÍM OTEVÍRAČEM DVEŘÍ (BOD)" xr:uid="{00000000-0004-0000-0000-00002C000000}"/>
    <hyperlink ref="D92" location="'MELODY GENOVA S KLÁVESNICÍ'!A87" display="TABLA GENOVA S KLÁVESNICÍ, KAMEROU A BEZKONTAKTNÍM OTEVÍRAČEM DVEŘÍ (BOD)" xr:uid="{00000000-0004-0000-0000-00002D000000}"/>
    <hyperlink ref="D90:N90" location="'SADY A TLAČÍTKA BEZ KOM.'!A7" display="SYSTÉM 4+N: 1U" xr:uid="{00000000-0004-0000-0000-00002E000000}"/>
    <hyperlink ref="D91:N91" location="'SADY A TLAČÍTKA BEZ KOM.'!A18" display="SYSTÉM DUO STANDARD" xr:uid="{00000000-0004-0000-0000-00002F000000}"/>
    <hyperlink ref="D92:N92" location="'SADY A TLAČÍTKA BEZ KOM.'!A38" display="SYSTÉM MELODY" xr:uid="{00000000-0004-0000-0000-000030000000}"/>
    <hyperlink ref="D95:N95" location="'SADY A TLAČÍTKA BEZ KOM.'!A73" display="TLAČÍTKA - DESIGN KLASIK" xr:uid="{00000000-0004-0000-0000-000031000000}"/>
    <hyperlink ref="D105:N105" location="'PŘÍSTUPOVÉ SYSTÉMY'!A36" display="ČIPY A PŘÍSLUŠENSTVÍ K PŘÍSTUPOVÝM SYSTÉMŮM" xr:uid="{00000000-0004-0000-0000-000032000000}"/>
    <hyperlink ref="D58" location="'DUO Standard GENOVA S KLÁVES.'!A31" display="TABLA GENOVA S KLÁVESNICÍ A BEZKONTAKTNÍM PŘÍSTUPOVÝM SYSTÉMEM (BIS)" xr:uid="{00000000-0004-0000-0000-000033000000}"/>
    <hyperlink ref="D55:N55" location="'DUO St. GEN. a FlatLine S KLÁV.'!A7" display="TABLA GENOVA S KLÁVESNICÍ" xr:uid="{00000000-0004-0000-0000-000034000000}"/>
    <hyperlink ref="D56:N56" location="OBSAH!A30" display="TABLA GENOVA S KLÁVESNICÍ A BEZKONTAKTNÍM PŘÍSTUPOVÝM SYSTÉMEM (BIS)" xr:uid="{00000000-0004-0000-0000-000035000000}"/>
    <hyperlink ref="D58:N58" location="'DUO St. GEN. a FlatLine S KLÁV.'!A78" display="TABLA FLATLINE S KLÁVESNICÍ A BEZKONTAKTNÍM OTEVÍRAČEM DVEŘÍ (BOD) + KOMPONENTY: NOVINKA" xr:uid="{00000000-0004-0000-0000-000036000000}"/>
    <hyperlink ref="D115:N115" location="'DOPLŇKY K TABLŮM A TELEFONŮM'!A40" display="KONFIGURÁTORY SYSTÉMŮ" xr:uid="{00000000-0004-0000-0000-000037000000}"/>
    <hyperlink ref="D114:N114" location="'DOPLŇKY K TABLŮM A TELEFONŮM'!A27" display="LÍMCE PROTI DEŠTI PRO TABLA DO ZDI (V RÁMKU)" xr:uid="{00000000-0004-0000-0000-000038000000}"/>
  </hyperlinks>
  <pageMargins left="0.23611111111111099" right="0.23611111111111099" top="0.74791666666666701" bottom="0.74791666666666701" header="0.51180555555555496" footer="0.51180555555555496"/>
  <pageSetup paperSize="9" scale="63" firstPageNumber="0" fitToHeight="0" orientation="portrait" horizontalDpi="4294967293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E6B9B8"/>
    <pageSetUpPr fitToPage="1"/>
  </sheetPr>
  <dimension ref="A1:AMK49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1" customWidth="1"/>
    <col min="2" max="2" width="44.69140625" style="32" customWidth="1"/>
    <col min="3" max="3" width="10.3046875" style="32" customWidth="1"/>
    <col min="4" max="4" width="10.3046875" style="1" customWidth="1"/>
    <col min="5" max="5" width="15.69140625" style="1" customWidth="1"/>
    <col min="6" max="1025" width="9.15234375" style="1" customWidth="1"/>
  </cols>
  <sheetData>
    <row r="1" spans="1:18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8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8" ht="33.9" x14ac:dyDescent="0.7">
      <c r="A3" s="439" t="s">
        <v>4</v>
      </c>
      <c r="B3" s="439"/>
      <c r="C3" s="439"/>
      <c r="D3" s="439"/>
      <c r="E3" s="439"/>
      <c r="F3" s="35"/>
      <c r="G3" s="3"/>
      <c r="H3" s="3"/>
      <c r="I3" s="3"/>
      <c r="J3" s="3"/>
      <c r="K3" s="3"/>
      <c r="L3" s="3"/>
      <c r="M3" s="3"/>
    </row>
    <row r="4" spans="1:18" ht="24.9" x14ac:dyDescent="0.55000000000000004">
      <c r="A4" s="431" t="s">
        <v>54</v>
      </c>
      <c r="B4" s="431"/>
      <c r="C4" s="431"/>
      <c r="D4" s="431"/>
      <c r="E4" s="431"/>
      <c r="F4" s="36"/>
      <c r="G4" s="36"/>
      <c r="H4" s="36"/>
      <c r="I4" s="36"/>
      <c r="J4" s="36"/>
      <c r="K4" s="36"/>
      <c r="L4" s="3"/>
      <c r="M4" s="3"/>
    </row>
    <row r="5" spans="1:18" ht="15" customHeight="1" x14ac:dyDescent="0.4">
      <c r="A5" s="37"/>
      <c r="B5" s="38"/>
      <c r="C5" s="38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8" ht="15" customHeight="1" x14ac:dyDescent="0.4">
      <c r="A6" s="37"/>
      <c r="B6" s="38"/>
      <c r="C6" s="38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8" ht="54" customHeight="1" x14ac:dyDescent="0.4">
      <c r="A7" s="432" t="s">
        <v>55</v>
      </c>
      <c r="B7" s="432"/>
      <c r="C7" s="432"/>
      <c r="D7" s="432"/>
      <c r="E7" s="432"/>
      <c r="F7" s="3"/>
      <c r="G7" s="3"/>
      <c r="H7" s="3"/>
      <c r="I7" s="3"/>
      <c r="J7" s="3"/>
      <c r="K7" s="3"/>
      <c r="L7" s="3"/>
      <c r="M7" s="3"/>
      <c r="N7" s="15"/>
    </row>
    <row r="8" spans="1:18" s="44" customFormat="1" ht="22.4" customHeight="1" x14ac:dyDescent="0.25">
      <c r="A8" s="39" t="s">
        <v>56</v>
      </c>
      <c r="B8" s="39" t="s">
        <v>57</v>
      </c>
      <c r="C8" s="40" t="s">
        <v>58</v>
      </c>
      <c r="D8" s="40" t="s">
        <v>59</v>
      </c>
      <c r="E8" s="41" t="s">
        <v>60</v>
      </c>
      <c r="F8" s="42"/>
      <c r="G8" s="433"/>
      <c r="H8" s="433"/>
      <c r="I8" s="433"/>
      <c r="J8" s="433"/>
      <c r="K8" s="433"/>
      <c r="L8" s="433"/>
      <c r="M8" s="42"/>
      <c r="N8" s="43"/>
    </row>
    <row r="9" spans="1:18" ht="14.25" customHeight="1" x14ac:dyDescent="0.4">
      <c r="A9" s="189">
        <v>4004004933</v>
      </c>
      <c r="B9" s="189" t="s">
        <v>61</v>
      </c>
      <c r="C9" s="278">
        <v>1978</v>
      </c>
      <c r="D9" s="184">
        <f>(OBSAH!$J$6/100)*Tabulka17415[[#This Row],[Sloupec3]]</f>
        <v>0</v>
      </c>
      <c r="E9" s="195">
        <f>Tabulka17415[[#This Row],[Sloupec3]]-Tabulka17415[[#This Row],[Sloupec4]]</f>
        <v>1978</v>
      </c>
      <c r="F9" s="3"/>
      <c r="G9" s="45"/>
      <c r="H9" s="46"/>
      <c r="I9" s="46"/>
      <c r="J9" s="46"/>
      <c r="K9" s="46"/>
      <c r="L9" s="46"/>
      <c r="M9" s="3"/>
    </row>
    <row r="10" spans="1:18" ht="14.25" customHeight="1" x14ac:dyDescent="0.4">
      <c r="A10" s="189">
        <v>4004005734</v>
      </c>
      <c r="B10" s="189" t="s">
        <v>62</v>
      </c>
      <c r="C10" s="278">
        <v>6276</v>
      </c>
      <c r="D10" s="184">
        <f>(OBSAH!$J$6/100)*Tabulka17415[[#This Row],[Sloupec3]]</f>
        <v>0</v>
      </c>
      <c r="E10" s="195">
        <f>Tabulka17415[[#This Row],[Sloupec3]]-Tabulka17415[[#This Row],[Sloupec4]]</f>
        <v>6276</v>
      </c>
      <c r="F10" s="3"/>
      <c r="G10" s="3"/>
      <c r="H10" s="3"/>
      <c r="I10" s="3"/>
      <c r="J10" s="3"/>
      <c r="K10" s="3"/>
      <c r="L10" s="3"/>
      <c r="M10" s="3"/>
      <c r="P10" s="47"/>
      <c r="Q10" s="47"/>
      <c r="R10" s="47"/>
    </row>
    <row r="11" spans="1:18" ht="14.25" customHeight="1" x14ac:dyDescent="0.4">
      <c r="A11" s="189">
        <v>4004005721</v>
      </c>
      <c r="B11" s="189" t="s">
        <v>63</v>
      </c>
      <c r="C11" s="278">
        <v>1619</v>
      </c>
      <c r="D11" s="184">
        <f>(OBSAH!$J$6/100)*Tabulka174114[[#This Row],[Sloupec3]]</f>
        <v>0</v>
      </c>
      <c r="E11" s="195">
        <f>Tabulka174114[[#This Row],[Sloupec3]]-Tabulka174114[[#This Row],[Sloupec4]]</f>
        <v>1619</v>
      </c>
      <c r="F11" s="3"/>
      <c r="G11" s="3"/>
      <c r="H11" s="3"/>
      <c r="I11" s="3"/>
      <c r="J11" s="3"/>
      <c r="K11" s="3"/>
      <c r="L11" s="3"/>
      <c r="M11" s="3"/>
      <c r="P11" s="47"/>
      <c r="Q11" s="47"/>
      <c r="R11" s="47"/>
    </row>
    <row r="12" spans="1:18" ht="14.25" customHeight="1" x14ac:dyDescent="0.4">
      <c r="A12" s="203">
        <v>4004005664</v>
      </c>
      <c r="B12" s="203" t="s">
        <v>64</v>
      </c>
      <c r="C12" s="278">
        <v>7354</v>
      </c>
      <c r="D12" s="184">
        <f>(OBSAH!$J$6/100)*Tabulka174114[[#This Row],[Sloupec3]]</f>
        <v>0</v>
      </c>
      <c r="E12" s="195">
        <f>Tabulka174114[[#This Row],[Sloupec3]]-Tabulka174114[[#This Row],[Sloupec4]]</f>
        <v>7354</v>
      </c>
      <c r="F12" s="3"/>
      <c r="G12" s="3"/>
      <c r="H12" s="3"/>
      <c r="I12" s="3"/>
      <c r="J12" s="3"/>
      <c r="K12" s="3"/>
      <c r="L12" s="3"/>
      <c r="M12" s="3"/>
      <c r="P12" s="47"/>
      <c r="Q12" s="47"/>
      <c r="R12" s="47"/>
    </row>
    <row r="13" spans="1:18" ht="22.5" customHeight="1" x14ac:dyDescent="0.4">
      <c r="A13" s="248"/>
      <c r="B13" s="38"/>
      <c r="C13" s="38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8" ht="14.25" customHeight="1" x14ac:dyDescent="0.4">
      <c r="A14" s="37"/>
      <c r="B14" s="38"/>
      <c r="C14" s="38"/>
      <c r="D14" s="3"/>
      <c r="E14" s="3"/>
      <c r="F14" s="3"/>
      <c r="G14" s="3"/>
      <c r="H14" s="3"/>
      <c r="I14" s="3"/>
      <c r="J14" s="3"/>
      <c r="K14" s="3"/>
      <c r="L14" s="3"/>
      <c r="M14" s="3"/>
      <c r="P14" s="47"/>
      <c r="Q14" s="47"/>
      <c r="R14" s="47"/>
    </row>
    <row r="15" spans="1:18" ht="54" customHeight="1" x14ac:dyDescent="0.4">
      <c r="A15" s="434" t="s">
        <v>65</v>
      </c>
      <c r="B15" s="434"/>
      <c r="C15" s="434"/>
      <c r="D15" s="434"/>
      <c r="E15" s="434"/>
      <c r="F15" s="3"/>
      <c r="G15" s="3"/>
      <c r="H15" s="3"/>
      <c r="I15" s="3"/>
      <c r="J15" s="3"/>
      <c r="K15" s="3"/>
      <c r="L15" s="3"/>
      <c r="M15" s="3"/>
      <c r="P15" s="47"/>
      <c r="Q15" s="47"/>
      <c r="R15" s="47"/>
    </row>
    <row r="16" spans="1:18" ht="22.4" customHeight="1" x14ac:dyDescent="0.4">
      <c r="A16" s="48" t="s">
        <v>56</v>
      </c>
      <c r="B16" s="48" t="s">
        <v>57</v>
      </c>
      <c r="C16" s="49" t="s">
        <v>58</v>
      </c>
      <c r="D16" s="49" t="s">
        <v>59</v>
      </c>
      <c r="E16" s="50" t="s">
        <v>60</v>
      </c>
      <c r="F16" s="3"/>
      <c r="G16" s="3"/>
      <c r="H16" s="3"/>
      <c r="I16" s="3"/>
      <c r="J16" s="3"/>
      <c r="K16" s="3"/>
      <c r="L16" s="3"/>
      <c r="M16" s="3"/>
      <c r="P16" s="47"/>
      <c r="Q16" s="47"/>
      <c r="R16" s="47"/>
    </row>
    <row r="17" spans="1:18" ht="14.25" customHeight="1" x14ac:dyDescent="0.4">
      <c r="A17" s="199">
        <v>4004004944</v>
      </c>
      <c r="B17" s="199" t="s">
        <v>66</v>
      </c>
      <c r="C17" s="281">
        <v>1422</v>
      </c>
      <c r="D17" s="200">
        <f>(OBSAH!$J$6/100)*Tabulka4214[[#This Row],[Sloupec3]]</f>
        <v>0</v>
      </c>
      <c r="E17" s="201">
        <f>Tabulka4214[[#This Row],[Sloupec3]]-Tabulka4214[[#This Row],[Sloupec4]]</f>
        <v>1422</v>
      </c>
      <c r="F17" s="3"/>
      <c r="G17" s="3"/>
      <c r="H17" s="3"/>
      <c r="I17" s="3"/>
      <c r="J17" s="3"/>
      <c r="K17" s="3"/>
      <c r="L17" s="3"/>
      <c r="M17" s="3"/>
      <c r="P17" s="47"/>
      <c r="Q17" s="47"/>
      <c r="R17" s="47"/>
    </row>
    <row r="18" spans="1:18" ht="14.25" customHeight="1" x14ac:dyDescent="0.4">
      <c r="A18" s="202">
        <v>4004005727</v>
      </c>
      <c r="B18" s="202" t="s">
        <v>67</v>
      </c>
      <c r="C18" s="280">
        <v>1283</v>
      </c>
      <c r="D18" s="197">
        <f>(OBSAH!$J$6/100)*Tabulka425[[#This Row],[Sloupec3]]</f>
        <v>0</v>
      </c>
      <c r="E18" s="198">
        <f>Tabulka425[[#This Row],[Sloupec3]]-Tabulka425[[#This Row],[Sloupec4]]</f>
        <v>1283</v>
      </c>
      <c r="F18" s="3"/>
      <c r="G18" s="3"/>
      <c r="H18" s="3"/>
      <c r="I18" s="3"/>
      <c r="J18" s="3"/>
      <c r="K18" s="3"/>
      <c r="L18" s="3"/>
      <c r="M18" s="3"/>
    </row>
    <row r="19" spans="1:18" ht="14.25" customHeight="1" x14ac:dyDescent="0.4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P19" s="47"/>
      <c r="Q19" s="47"/>
      <c r="R19" s="47"/>
    </row>
    <row r="20" spans="1:18" ht="14.25" customHeight="1" x14ac:dyDescent="0.4">
      <c r="A20" s="37"/>
      <c r="B20" s="38"/>
      <c r="C20" s="38"/>
      <c r="D20" s="3"/>
      <c r="E20" s="3"/>
      <c r="F20" s="3"/>
      <c r="G20" s="3"/>
      <c r="H20" s="3"/>
      <c r="I20" s="3"/>
      <c r="J20" s="3"/>
      <c r="K20" s="3"/>
      <c r="L20" s="3"/>
      <c r="M20" s="3"/>
      <c r="P20" s="47"/>
      <c r="Q20" s="47"/>
      <c r="R20" s="47"/>
    </row>
    <row r="21" spans="1:18" ht="54" customHeight="1" x14ac:dyDescent="0.4">
      <c r="A21" s="435" t="s">
        <v>68</v>
      </c>
      <c r="B21" s="435"/>
      <c r="C21" s="435"/>
      <c r="D21" s="435"/>
      <c r="E21" s="435"/>
      <c r="F21" s="3"/>
      <c r="G21" s="3"/>
      <c r="H21" s="3"/>
      <c r="I21" s="3"/>
      <c r="J21" s="3"/>
      <c r="K21" s="3"/>
      <c r="L21" s="3"/>
      <c r="M21" s="3"/>
      <c r="P21" s="47"/>
      <c r="Q21" s="47"/>
      <c r="R21" s="47"/>
    </row>
    <row r="22" spans="1:18" ht="22.4" customHeight="1" x14ac:dyDescent="0.4">
      <c r="A22" s="51" t="s">
        <v>56</v>
      </c>
      <c r="B22" s="51" t="s">
        <v>57</v>
      </c>
      <c r="C22" s="52" t="s">
        <v>58</v>
      </c>
      <c r="D22" s="52" t="s">
        <v>59</v>
      </c>
      <c r="E22" s="53" t="s">
        <v>60</v>
      </c>
      <c r="F22" s="3"/>
      <c r="G22" s="3"/>
      <c r="H22" s="3"/>
      <c r="I22" s="3"/>
      <c r="J22" s="3"/>
      <c r="K22" s="3"/>
      <c r="L22" s="3"/>
      <c r="M22" s="3"/>
      <c r="P22" s="47"/>
      <c r="Q22" s="47"/>
      <c r="R22" s="47"/>
    </row>
    <row r="23" spans="1:18" ht="14.25" customHeight="1" x14ac:dyDescent="0.4">
      <c r="A23" s="194">
        <v>4004005139</v>
      </c>
      <c r="B23" s="194" t="s">
        <v>69</v>
      </c>
      <c r="C23" s="278">
        <v>917</v>
      </c>
      <c r="D23" s="184">
        <f>(OBSAH!$J$6/100)*Tabulka4615[[#This Row],[Sloupec3]]</f>
        <v>0</v>
      </c>
      <c r="E23" s="195">
        <f>Tabulka4615[[#This Row],[Sloupec3]]-Tabulka4615[[#This Row],[Sloupec4]]</f>
        <v>917</v>
      </c>
      <c r="F23" s="3"/>
      <c r="G23" s="3"/>
      <c r="H23" s="3"/>
      <c r="I23" s="3"/>
      <c r="J23" s="3"/>
      <c r="K23" s="3"/>
      <c r="L23" s="3"/>
      <c r="M23" s="3"/>
      <c r="P23" s="47"/>
      <c r="Q23" s="47"/>
      <c r="R23" s="47"/>
    </row>
    <row r="24" spans="1:18" ht="14.25" customHeight="1" x14ac:dyDescent="0.4">
      <c r="A24" s="196">
        <v>4004005405</v>
      </c>
      <c r="B24" s="196" t="s">
        <v>70</v>
      </c>
      <c r="C24" s="280">
        <v>963</v>
      </c>
      <c r="D24" s="197">
        <f>(OBSAH!$J$6/100)*Tabulka462818[[#This Row],[Sloupec3]]</f>
        <v>0</v>
      </c>
      <c r="E24" s="198">
        <f>Tabulka462818[[#This Row],[Sloupec3]]-Tabulka462818[[#This Row],[Sloupec4]]</f>
        <v>963</v>
      </c>
      <c r="F24" s="3"/>
      <c r="G24" s="3"/>
      <c r="H24" s="3"/>
      <c r="I24" s="3"/>
      <c r="J24" s="3"/>
      <c r="K24" s="3"/>
      <c r="L24" s="3"/>
      <c r="M24" s="3"/>
      <c r="P24" s="47"/>
      <c r="Q24" s="47"/>
      <c r="R24" s="47"/>
    </row>
    <row r="25" spans="1:18" ht="14.25" customHeight="1" x14ac:dyDescent="0.4">
      <c r="A25" s="37"/>
      <c r="B25" s="38"/>
      <c r="C25" s="38"/>
      <c r="D25" s="3"/>
      <c r="E25" s="3"/>
      <c r="F25" s="3"/>
      <c r="G25" s="3"/>
      <c r="H25" s="3"/>
      <c r="I25" s="3"/>
      <c r="J25" s="3"/>
      <c r="K25" s="3"/>
      <c r="L25" s="3"/>
      <c r="M25" s="3"/>
      <c r="P25" s="47"/>
      <c r="Q25" s="47"/>
      <c r="R25" s="47"/>
    </row>
    <row r="26" spans="1:18" ht="14.25" customHeight="1" x14ac:dyDescent="0.4">
      <c r="A26" s="37"/>
      <c r="B26" s="38"/>
      <c r="C26" s="38"/>
      <c r="D26" s="3"/>
      <c r="E26" s="3"/>
      <c r="F26" s="3"/>
      <c r="G26" s="3"/>
      <c r="H26" s="3"/>
      <c r="I26" s="3"/>
      <c r="J26" s="3"/>
      <c r="K26" s="3"/>
      <c r="L26" s="3"/>
      <c r="M26" s="3"/>
      <c r="P26" s="47"/>
      <c r="Q26" s="47"/>
      <c r="R26" s="47"/>
    </row>
    <row r="27" spans="1:18" ht="54" customHeight="1" x14ac:dyDescent="0.4">
      <c r="A27" s="428" t="s">
        <v>71</v>
      </c>
      <c r="B27" s="428"/>
      <c r="C27" s="428"/>
      <c r="D27" s="428"/>
      <c r="E27" s="428"/>
      <c r="F27" s="3"/>
      <c r="G27" s="3"/>
      <c r="H27" s="3"/>
      <c r="I27" s="3"/>
      <c r="J27" s="3"/>
      <c r="K27" s="3"/>
      <c r="L27" s="3"/>
      <c r="M27" s="3"/>
      <c r="P27" s="47"/>
      <c r="Q27" s="47"/>
      <c r="R27" s="47"/>
    </row>
    <row r="28" spans="1:18" ht="22.5" customHeight="1" x14ac:dyDescent="0.4">
      <c r="A28" s="54" t="s">
        <v>56</v>
      </c>
      <c r="B28" s="54" t="s">
        <v>57</v>
      </c>
      <c r="C28" s="55" t="s">
        <v>58</v>
      </c>
      <c r="D28" s="55" t="s">
        <v>59</v>
      </c>
      <c r="E28" s="56" t="s">
        <v>60</v>
      </c>
      <c r="F28" s="3"/>
      <c r="G28" s="3"/>
      <c r="H28" s="3"/>
      <c r="I28" s="3"/>
      <c r="J28" s="3"/>
      <c r="K28" s="3"/>
      <c r="L28" s="3"/>
      <c r="M28" s="3"/>
      <c r="P28" s="47"/>
      <c r="Q28" s="47"/>
      <c r="R28" s="47"/>
    </row>
    <row r="29" spans="1:18" s="44" customFormat="1" ht="14.25" customHeight="1" x14ac:dyDescent="0.3">
      <c r="A29" s="186">
        <v>4004004343</v>
      </c>
      <c r="B29" s="187" t="s">
        <v>72</v>
      </c>
      <c r="C29" s="277">
        <v>982</v>
      </c>
      <c r="D29" s="181">
        <f>(OBSAH!$J$6/100)*Tabulka45[[#This Row],[Sloupec3]]</f>
        <v>0</v>
      </c>
      <c r="E29" s="182">
        <f>Tabulka45[[#This Row],[Sloupec3]]-Tabulka45[[#This Row],[Sloupec4]]</f>
        <v>982</v>
      </c>
      <c r="F29" s="42"/>
      <c r="G29" s="42"/>
      <c r="H29" s="42"/>
      <c r="I29" s="42"/>
      <c r="J29" s="42"/>
      <c r="K29" s="42"/>
      <c r="L29" s="42"/>
      <c r="M29" s="42"/>
      <c r="P29" s="47"/>
      <c r="Q29" s="47"/>
      <c r="R29" s="47"/>
    </row>
    <row r="30" spans="1:18" ht="14.25" customHeight="1" x14ac:dyDescent="0.4">
      <c r="A30" s="188">
        <v>4004004345</v>
      </c>
      <c r="B30" s="189" t="s">
        <v>73</v>
      </c>
      <c r="C30" s="278">
        <v>1310</v>
      </c>
      <c r="D30" s="184">
        <f>(OBSAH!$J$6/100)*Tabulka45[[#This Row],[Sloupec3]]</f>
        <v>0</v>
      </c>
      <c r="E30" s="185">
        <f>Tabulka45[[#This Row],[Sloupec3]]-Tabulka45[[#This Row],[Sloupec4]]</f>
        <v>1310</v>
      </c>
      <c r="F30" s="3"/>
      <c r="G30" s="3"/>
      <c r="H30" s="3"/>
      <c r="I30" s="3"/>
      <c r="J30" s="3"/>
      <c r="K30" s="3"/>
      <c r="L30" s="3"/>
      <c r="M30" s="3"/>
      <c r="P30" s="47"/>
      <c r="Q30" s="47"/>
      <c r="R30" s="47"/>
    </row>
    <row r="31" spans="1:18" ht="14.25" customHeight="1" x14ac:dyDescent="0.4">
      <c r="A31" s="188">
        <v>4004004344</v>
      </c>
      <c r="B31" s="189" t="s">
        <v>74</v>
      </c>
      <c r="C31" s="278">
        <v>1246</v>
      </c>
      <c r="D31" s="184">
        <f>(OBSAH!$J$6/100)*Tabulka45[[#This Row],[Sloupec3]]</f>
        <v>0</v>
      </c>
      <c r="E31" s="185">
        <f>Tabulka45[[#This Row],[Sloupec3]]-Tabulka45[[#This Row],[Sloupec4]]</f>
        <v>1246</v>
      </c>
      <c r="F31" s="3"/>
      <c r="G31" s="3"/>
      <c r="H31" s="3"/>
      <c r="I31" s="3"/>
      <c r="J31" s="3"/>
      <c r="K31" s="3"/>
      <c r="L31" s="3"/>
      <c r="M31" s="3"/>
    </row>
    <row r="32" spans="1:18" ht="14.25" customHeight="1" x14ac:dyDescent="0.4">
      <c r="A32" s="190">
        <v>4004004346</v>
      </c>
      <c r="B32" s="191" t="s">
        <v>75</v>
      </c>
      <c r="C32" s="279">
        <v>1511</v>
      </c>
      <c r="D32" s="192">
        <f>(OBSAH!$J$6/100)*Tabulka45[[#This Row],[Sloupec3]]</f>
        <v>0</v>
      </c>
      <c r="E32" s="193">
        <f>Tabulka45[[#This Row],[Sloupec3]]-Tabulka45[[#This Row],[Sloupec4]]</f>
        <v>1511</v>
      </c>
      <c r="F32" s="3"/>
      <c r="G32" s="3"/>
      <c r="H32" s="3"/>
      <c r="I32" s="3"/>
      <c r="J32" s="3"/>
      <c r="K32" s="3"/>
      <c r="L32" s="3"/>
      <c r="M32" s="3"/>
    </row>
    <row r="33" spans="1:13" ht="14.25" customHeight="1" x14ac:dyDescent="0.4">
      <c r="A33" s="59"/>
      <c r="B33" s="59"/>
      <c r="C33" s="60"/>
      <c r="D33" s="61"/>
      <c r="E33" s="62"/>
      <c r="F33" s="3"/>
      <c r="G33" s="3"/>
      <c r="H33" s="3"/>
      <c r="I33" s="3"/>
      <c r="J33" s="3"/>
      <c r="K33" s="3"/>
      <c r="L33" s="3"/>
      <c r="M33" s="3"/>
    </row>
    <row r="34" spans="1:13" ht="15" customHeight="1" x14ac:dyDescent="0.4">
      <c r="A34" s="37"/>
      <c r="B34" s="38"/>
      <c r="C34" s="38"/>
      <c r="D34" s="3"/>
      <c r="E34" s="3"/>
      <c r="F34" s="3"/>
      <c r="G34" s="63"/>
      <c r="H34" s="63"/>
      <c r="I34" s="38"/>
      <c r="J34" s="38"/>
      <c r="K34" s="38"/>
      <c r="L34" s="38"/>
      <c r="M34" s="3"/>
    </row>
    <row r="35" spans="1:13" ht="54" customHeight="1" x14ac:dyDescent="0.4">
      <c r="A35" s="429" t="s">
        <v>76</v>
      </c>
      <c r="B35" s="429"/>
      <c r="C35" s="429"/>
      <c r="D35" s="429"/>
      <c r="E35" s="429"/>
      <c r="F35" s="3"/>
      <c r="G35" s="63"/>
      <c r="H35" s="63"/>
      <c r="I35" s="38"/>
      <c r="J35" s="38"/>
      <c r="K35" s="38"/>
      <c r="L35" s="38"/>
      <c r="M35" s="3"/>
    </row>
    <row r="36" spans="1:13" ht="22.5" customHeight="1" x14ac:dyDescent="0.4">
      <c r="A36" s="64" t="s">
        <v>56</v>
      </c>
      <c r="B36" s="64" t="s">
        <v>57</v>
      </c>
      <c r="C36" s="65" t="s">
        <v>58</v>
      </c>
      <c r="D36" s="65" t="s">
        <v>59</v>
      </c>
      <c r="E36" s="66" t="s">
        <v>60</v>
      </c>
      <c r="F36" s="3"/>
      <c r="G36" s="63"/>
      <c r="H36" s="63"/>
      <c r="I36" s="38"/>
      <c r="J36" s="38"/>
      <c r="K36" s="38"/>
      <c r="L36" s="38"/>
      <c r="M36" s="3"/>
    </row>
    <row r="37" spans="1:13" ht="14.25" customHeight="1" x14ac:dyDescent="0.4">
      <c r="A37" s="186">
        <v>4004004712</v>
      </c>
      <c r="B37" s="187" t="s">
        <v>77</v>
      </c>
      <c r="C37" s="277">
        <v>901</v>
      </c>
      <c r="D37" s="181">
        <f>(OBSAH!$J$6/100)*Tabulka1720[[#This Row],[Sloupec3]]</f>
        <v>0</v>
      </c>
      <c r="E37" s="182">
        <f>Tabulka1720[[#This Row],[Sloupec3]]-Tabulka1720[[#This Row],[Sloupec4]]</f>
        <v>901</v>
      </c>
      <c r="F37" s="3"/>
      <c r="G37" s="63"/>
      <c r="H37" s="63"/>
      <c r="I37" s="38"/>
      <c r="J37" s="38"/>
      <c r="K37" s="38"/>
      <c r="L37" s="38"/>
      <c r="M37" s="3"/>
    </row>
    <row r="38" spans="1:13" ht="14.25" customHeight="1" x14ac:dyDescent="0.4">
      <c r="A38" s="188">
        <v>4004004351</v>
      </c>
      <c r="B38" s="189" t="s">
        <v>78</v>
      </c>
      <c r="C38" s="278">
        <v>969</v>
      </c>
      <c r="D38" s="184">
        <f>(OBSAH!$J$6/100)*Tabulka1720[[#This Row],[Sloupec3]]</f>
        <v>0</v>
      </c>
      <c r="E38" s="185">
        <f>Tabulka1720[[#This Row],[Sloupec3]]-Tabulka1720[[#This Row],[Sloupec4]]</f>
        <v>969</v>
      </c>
      <c r="F38" s="3"/>
      <c r="G38" s="63"/>
      <c r="H38" s="63"/>
      <c r="I38" s="38"/>
      <c r="J38" s="38"/>
      <c r="K38" s="38"/>
      <c r="L38" s="38"/>
      <c r="M38" s="3"/>
    </row>
    <row r="39" spans="1:13" ht="14.25" customHeight="1" x14ac:dyDescent="0.4">
      <c r="A39" s="188">
        <v>4004004350</v>
      </c>
      <c r="B39" s="189" t="s">
        <v>79</v>
      </c>
      <c r="C39" s="278">
        <v>742</v>
      </c>
      <c r="D39" s="184">
        <f>(OBSAH!$J$6/100)*Tabulka1720[[#This Row],[Sloupec3]]</f>
        <v>0</v>
      </c>
      <c r="E39" s="185">
        <f>Tabulka1720[[#This Row],[Sloupec3]]-Tabulka1720[[#This Row],[Sloupec4]]</f>
        <v>742</v>
      </c>
      <c r="F39" s="3"/>
      <c r="G39" s="430"/>
      <c r="H39" s="430"/>
      <c r="I39" s="430"/>
      <c r="J39" s="430"/>
      <c r="K39" s="430"/>
      <c r="L39" s="430"/>
      <c r="M39" s="3"/>
    </row>
    <row r="40" spans="1:13" ht="14.25" customHeight="1" x14ac:dyDescent="0.4">
      <c r="A40" s="190">
        <v>4004004352</v>
      </c>
      <c r="B40" s="191" t="s">
        <v>80</v>
      </c>
      <c r="C40" s="279">
        <v>1191</v>
      </c>
      <c r="D40" s="192">
        <f>(OBSAH!$J$6/100)*Tabulka1720[[#This Row],[Sloupec3]]</f>
        <v>0</v>
      </c>
      <c r="E40" s="193">
        <f>Tabulka1720[[#This Row],[Sloupec3]]-Tabulka1720[[#This Row],[Sloupec4]]</f>
        <v>1191</v>
      </c>
      <c r="F40" s="3"/>
      <c r="G40" s="3"/>
      <c r="H40" s="3"/>
      <c r="I40" s="3"/>
      <c r="J40" s="3"/>
      <c r="K40" s="3"/>
      <c r="L40" s="3"/>
      <c r="M40" s="3"/>
    </row>
    <row r="41" spans="1:13" ht="14.25" customHeight="1" x14ac:dyDescent="0.4">
      <c r="A41" s="38"/>
      <c r="B41" s="38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x14ac:dyDescent="0.4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s="1" customFormat="1" ht="13.75" x14ac:dyDescent="0.3"/>
    <row r="44" spans="1:13" s="1" customFormat="1" ht="13.75" x14ac:dyDescent="0.3"/>
    <row r="45" spans="1:13" x14ac:dyDescent="0.4">
      <c r="A45" s="32"/>
      <c r="C45" s="1"/>
    </row>
    <row r="46" spans="1:13" x14ac:dyDescent="0.4">
      <c r="A46" s="32"/>
      <c r="C46" s="1"/>
    </row>
    <row r="47" spans="1:13" x14ac:dyDescent="0.4">
      <c r="A47" s="32"/>
      <c r="C47" s="1"/>
    </row>
    <row r="48" spans="1:13" x14ac:dyDescent="0.4">
      <c r="A48" s="32"/>
      <c r="C48" s="1"/>
    </row>
    <row r="49" spans="1:3" x14ac:dyDescent="0.4">
      <c r="A49" s="32"/>
      <c r="C49" s="1"/>
    </row>
  </sheetData>
  <mergeCells count="13">
    <mergeCell ref="A1:E1"/>
    <mergeCell ref="F1:H1"/>
    <mergeCell ref="A2:E2"/>
    <mergeCell ref="F2:H2"/>
    <mergeCell ref="A3:E3"/>
    <mergeCell ref="A27:E27"/>
    <mergeCell ref="A35:E35"/>
    <mergeCell ref="G39:L39"/>
    <mergeCell ref="A4:E4"/>
    <mergeCell ref="A7:E7"/>
    <mergeCell ref="G8:L8"/>
    <mergeCell ref="A15:E15"/>
    <mergeCell ref="A21:E21"/>
  </mergeCells>
  <hyperlinks>
    <hyperlink ref="F2" location="OBSAH!I128" display="PŘEJÍT NA UPOZORNĚNÍ" xr:uid="{00000000-0004-0000-0100-000000000000}"/>
  </hyperlinks>
  <pageMargins left="0.7" right="0.7" top="0.78749999999999998" bottom="0.78749999999999998" header="0.51180555555555496" footer="0.51180555555555496"/>
  <pageSetup paperSize="9" firstPageNumber="0" fitToWidth="0" orientation="landscape" horizontalDpi="300" verticalDpi="300" r:id="rId1"/>
  <drawing r:id="rId2"/>
  <tableParts count="8">
    <tablePart r:id="rId3"/>
    <tablePart r:id="rId4"/>
    <tablePart r:id="rId5"/>
    <tablePart r:id="rId6"/>
    <tablePart r:id="rId7"/>
    <tablePart r:id="rId8"/>
    <tablePart r:id="rId9"/>
    <tablePart r:id="rId10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BBB59"/>
  </sheetPr>
  <dimension ref="A1:AMK108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7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454"/>
      <c r="G3" s="454"/>
      <c r="H3" s="454"/>
      <c r="I3" s="454"/>
      <c r="J3" s="454"/>
      <c r="K3" s="454"/>
      <c r="L3" s="454"/>
      <c r="M3" s="454"/>
    </row>
    <row r="4" spans="1:14" ht="15" customHeight="1" x14ac:dyDescent="0.55000000000000004">
      <c r="A4" s="450"/>
      <c r="B4" s="450"/>
      <c r="C4" s="450"/>
      <c r="D4" s="450"/>
      <c r="E4" s="450"/>
      <c r="F4" s="451"/>
      <c r="G4" s="451"/>
      <c r="H4" s="451"/>
      <c r="I4" s="451"/>
      <c r="J4" s="452"/>
      <c r="K4" s="452"/>
      <c r="L4" s="452"/>
      <c r="M4" s="452"/>
    </row>
    <row r="5" spans="1:14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4" ht="54" customHeight="1" x14ac:dyDescent="0.4">
      <c r="A6" s="453" t="s">
        <v>12</v>
      </c>
      <c r="B6" s="453"/>
      <c r="C6" s="453"/>
      <c r="D6" s="453"/>
      <c r="E6" s="453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49" t="s">
        <v>82</v>
      </c>
      <c r="B7" s="449"/>
      <c r="C7" s="449"/>
      <c r="D7" s="449"/>
      <c r="E7" s="449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44" t="s">
        <v>83</v>
      </c>
      <c r="B8" s="444"/>
      <c r="C8" s="444"/>
      <c r="D8" s="444"/>
      <c r="E8" s="444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39" t="s">
        <v>56</v>
      </c>
      <c r="B9" s="39" t="s">
        <v>57</v>
      </c>
      <c r="C9" s="40" t="s">
        <v>58</v>
      </c>
      <c r="D9" s="74" t="s">
        <v>59</v>
      </c>
      <c r="E9" s="75" t="s">
        <v>60</v>
      </c>
      <c r="F9" s="76"/>
      <c r="G9" s="433"/>
      <c r="H9" s="433"/>
      <c r="I9" s="433"/>
      <c r="J9" s="433"/>
      <c r="K9" s="433"/>
      <c r="L9" s="433"/>
      <c r="M9" s="42"/>
    </row>
    <row r="10" spans="1:14" ht="14.25" customHeight="1" x14ac:dyDescent="0.4">
      <c r="A10" s="77">
        <v>4004003764</v>
      </c>
      <c r="B10" s="78" t="s">
        <v>84</v>
      </c>
      <c r="C10" s="282">
        <v>15425</v>
      </c>
      <c r="D10" s="69">
        <f>(OBSAH!$J$6/100)*Tabulka201012[[#This Row],[Sloupec3]]</f>
        <v>0</v>
      </c>
      <c r="E10" s="70">
        <f>Tabulka201012[[#This Row],[Sloupec3]]-Tabulka201012[[#This Row],[Sloupec4]]</f>
        <v>15425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79">
        <v>4004003772</v>
      </c>
      <c r="B11" s="80" t="s">
        <v>85</v>
      </c>
      <c r="C11" s="283">
        <v>16110</v>
      </c>
      <c r="D11" s="71">
        <f>(OBSAH!$J$6/100)*Tabulka201012[[#This Row],[Sloupec3]]</f>
        <v>0</v>
      </c>
      <c r="E11" s="57">
        <f>Tabulka201012[[#This Row],[Sloupec3]]-Tabulka201012[[#This Row],[Sloupec4]]</f>
        <v>16110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79">
        <v>4004003780</v>
      </c>
      <c r="B12" s="80" t="s">
        <v>86</v>
      </c>
      <c r="C12" s="283">
        <v>19542</v>
      </c>
      <c r="D12" s="71">
        <f>(OBSAH!$J$6/100)*Tabulka201012[[#This Row],[Sloupec3]]</f>
        <v>0</v>
      </c>
      <c r="E12" s="57">
        <f>Tabulka201012[[#This Row],[Sloupec3]]-Tabulka201012[[#This Row],[Sloupec4]]</f>
        <v>19542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79">
        <v>4004003787</v>
      </c>
      <c r="B13" s="80" t="s">
        <v>87</v>
      </c>
      <c r="C13" s="283">
        <v>20254</v>
      </c>
      <c r="D13" s="71">
        <f>(OBSAH!$J$6/100)*Tabulka201012[[#This Row],[Sloupec3]]</f>
        <v>0</v>
      </c>
      <c r="E13" s="57">
        <f>Tabulka201012[[#This Row],[Sloupec3]]-Tabulka201012[[#This Row],[Sloupec4]]</f>
        <v>20254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79">
        <v>4004003795</v>
      </c>
      <c r="B14" s="80" t="s">
        <v>88</v>
      </c>
      <c r="C14" s="283">
        <v>23704</v>
      </c>
      <c r="D14" s="71">
        <f>(OBSAH!$J$6/100)*Tabulka201012[[#This Row],[Sloupec3]]</f>
        <v>0</v>
      </c>
      <c r="E14" s="57">
        <f>Tabulka201012[[#This Row],[Sloupec3]]-Tabulka201012[[#This Row],[Sloupec4]]</f>
        <v>23704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79">
        <v>4004003803</v>
      </c>
      <c r="B15" s="80" t="s">
        <v>89</v>
      </c>
      <c r="C15" s="283">
        <v>27819</v>
      </c>
      <c r="D15" s="71">
        <f>(OBSAH!$J$6/100)*Tabulka201012[[#This Row],[Sloupec3]]</f>
        <v>0</v>
      </c>
      <c r="E15" s="57">
        <f>Tabulka201012[[#This Row],[Sloupec3]]-Tabulka201012[[#This Row],[Sloupec4]]</f>
        <v>27819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81">
        <v>4004003811</v>
      </c>
      <c r="B16" s="82" t="s">
        <v>90</v>
      </c>
      <c r="C16" s="284">
        <v>31547</v>
      </c>
      <c r="D16" s="68">
        <f>(OBSAH!$J$6/100)*Tabulka201012[[#This Row],[Sloupec3]]</f>
        <v>0</v>
      </c>
      <c r="E16" s="58">
        <f>Tabulka201012[[#This Row],[Sloupec3]]-Tabulka201012[[#This Row],[Sloupec4]]</f>
        <v>31547</v>
      </c>
      <c r="F16" s="3"/>
      <c r="G16" s="3"/>
      <c r="H16" s="3"/>
      <c r="I16" s="3"/>
      <c r="J16" s="3"/>
      <c r="K16" s="3"/>
      <c r="L16" s="3"/>
      <c r="M16" s="3"/>
    </row>
    <row r="17" spans="1:15" s="44" customFormat="1" ht="15" customHeight="1" x14ac:dyDescent="0.3">
      <c r="A17" s="83"/>
      <c r="B17" s="84"/>
      <c r="C17" s="85"/>
      <c r="D17" s="61"/>
      <c r="E17" s="62"/>
      <c r="F17" s="42"/>
      <c r="G17" s="42"/>
      <c r="H17" s="42"/>
      <c r="I17" s="42"/>
      <c r="J17" s="42"/>
      <c r="K17" s="42"/>
      <c r="L17" s="42"/>
      <c r="M17" s="42"/>
      <c r="O17" s="1"/>
    </row>
    <row r="18" spans="1:15" ht="22.5" customHeight="1" x14ac:dyDescent="0.4">
      <c r="A18" s="440" t="s">
        <v>91</v>
      </c>
      <c r="B18" s="440"/>
      <c r="C18" s="440"/>
      <c r="D18" s="440"/>
      <c r="E18" s="440"/>
      <c r="F18" s="3"/>
      <c r="G18" s="3"/>
      <c r="H18" s="3"/>
      <c r="I18" s="3"/>
      <c r="J18" s="3"/>
      <c r="K18" s="3"/>
      <c r="L18" s="3"/>
      <c r="M18" s="3"/>
    </row>
    <row r="19" spans="1:15" s="44" customFormat="1" ht="22.5" customHeight="1" x14ac:dyDescent="0.3">
      <c r="A19" s="39" t="s">
        <v>56</v>
      </c>
      <c r="B19" s="39" t="s">
        <v>57</v>
      </c>
      <c r="C19" s="40" t="s">
        <v>58</v>
      </c>
      <c r="D19" s="40" t="s">
        <v>59</v>
      </c>
      <c r="E19" s="41" t="s">
        <v>60</v>
      </c>
      <c r="F19" s="42"/>
      <c r="G19" s="42"/>
      <c r="H19" s="42"/>
      <c r="I19" s="42"/>
      <c r="J19" s="42"/>
      <c r="K19" s="42"/>
      <c r="L19" s="42"/>
      <c r="M19" s="42"/>
      <c r="O19" s="1"/>
    </row>
    <row r="20" spans="1:15" ht="14.25" customHeight="1" x14ac:dyDescent="0.4">
      <c r="A20" s="77">
        <v>4004003763</v>
      </c>
      <c r="B20" s="78" t="s">
        <v>92</v>
      </c>
      <c r="C20" s="282">
        <v>15867</v>
      </c>
      <c r="D20" s="69">
        <f>(OBSAH!$J$6/100)*Tabulka211113[[#This Row],[Sloupec3]]</f>
        <v>0</v>
      </c>
      <c r="E20" s="70">
        <f>Tabulka211113[[#This Row],[Sloupec3]]-Tabulka211113[[#This Row],[Sloupec4]]</f>
        <v>15867</v>
      </c>
      <c r="F20" s="3"/>
      <c r="G20" s="448"/>
      <c r="H20" s="448"/>
      <c r="I20" s="448"/>
      <c r="J20" s="448"/>
      <c r="K20" s="448"/>
      <c r="L20" s="448"/>
      <c r="M20" s="3"/>
    </row>
    <row r="21" spans="1:15" ht="14.25" customHeight="1" x14ac:dyDescent="0.4">
      <c r="A21" s="79">
        <v>4004003771</v>
      </c>
      <c r="B21" s="80" t="s">
        <v>93</v>
      </c>
      <c r="C21" s="283">
        <v>16550</v>
      </c>
      <c r="D21" s="71">
        <f>(OBSAH!$J$6/100)*Tabulka211113[[#This Row],[Sloupec3]]</f>
        <v>0</v>
      </c>
      <c r="E21" s="57">
        <f>Tabulka211113[[#This Row],[Sloupec3]]-Tabulka211113[[#This Row],[Sloupec4]]</f>
        <v>16550</v>
      </c>
      <c r="F21" s="3"/>
      <c r="G21" s="430"/>
      <c r="H21" s="430"/>
      <c r="I21" s="430"/>
      <c r="J21" s="430"/>
      <c r="K21" s="430"/>
      <c r="L21" s="430"/>
      <c r="M21" s="3"/>
    </row>
    <row r="22" spans="1:15" ht="14.25" customHeight="1" x14ac:dyDescent="0.4">
      <c r="A22" s="79">
        <v>4004003779</v>
      </c>
      <c r="B22" s="80" t="s">
        <v>94</v>
      </c>
      <c r="C22" s="283">
        <v>19983</v>
      </c>
      <c r="D22" s="71">
        <f>(OBSAH!$J$6/100)*Tabulka211113[[#This Row],[Sloupec3]]</f>
        <v>0</v>
      </c>
      <c r="E22" s="57">
        <f>Tabulka211113[[#This Row],[Sloupec3]]-Tabulka211113[[#This Row],[Sloupec4]]</f>
        <v>19983</v>
      </c>
      <c r="F22" s="3"/>
      <c r="G22" s="448"/>
      <c r="H22" s="448"/>
      <c r="I22" s="448"/>
      <c r="J22" s="448"/>
      <c r="K22" s="448"/>
      <c r="L22" s="448"/>
      <c r="M22" s="3"/>
    </row>
    <row r="23" spans="1:15" ht="14.25" customHeight="1" x14ac:dyDescent="0.4">
      <c r="A23" s="79">
        <v>4004003786</v>
      </c>
      <c r="B23" s="80" t="s">
        <v>95</v>
      </c>
      <c r="C23" s="283">
        <v>20696</v>
      </c>
      <c r="D23" s="71">
        <f>(OBSAH!$J$6/100)*Tabulka211113[[#This Row],[Sloupec3]]</f>
        <v>0</v>
      </c>
      <c r="E23" s="57">
        <f>Tabulka211113[[#This Row],[Sloupec3]]-Tabulka211113[[#This Row],[Sloupec4]]</f>
        <v>20696</v>
      </c>
      <c r="F23" s="3"/>
      <c r="G23" s="430"/>
      <c r="H23" s="430"/>
      <c r="I23" s="430"/>
      <c r="J23" s="430"/>
      <c r="K23" s="430"/>
      <c r="L23" s="430"/>
      <c r="M23" s="3"/>
    </row>
    <row r="24" spans="1:15" ht="14.25" customHeight="1" x14ac:dyDescent="0.4">
      <c r="A24" s="79">
        <v>4004003794</v>
      </c>
      <c r="B24" s="80" t="s">
        <v>96</v>
      </c>
      <c r="C24" s="283">
        <v>24144</v>
      </c>
      <c r="D24" s="71">
        <f>(OBSAH!$J$6/100)*Tabulka211113[[#This Row],[Sloupec3]]</f>
        <v>0</v>
      </c>
      <c r="E24" s="57">
        <f>Tabulka211113[[#This Row],[Sloupec3]]-Tabulka211113[[#This Row],[Sloupec4]]</f>
        <v>24144</v>
      </c>
      <c r="F24" s="3"/>
      <c r="G24" s="3"/>
      <c r="H24" s="3"/>
      <c r="I24" s="3"/>
      <c r="J24" s="3"/>
      <c r="K24" s="3"/>
      <c r="L24" s="3"/>
      <c r="M24" s="3"/>
    </row>
    <row r="25" spans="1:15" ht="14.25" customHeight="1" x14ac:dyDescent="0.4">
      <c r="A25" s="79">
        <v>4004003802</v>
      </c>
      <c r="B25" s="80" t="s">
        <v>97</v>
      </c>
      <c r="C25" s="283">
        <v>28261</v>
      </c>
      <c r="D25" s="71">
        <f>(OBSAH!$J$6/100)*Tabulka211113[[#This Row],[Sloupec3]]</f>
        <v>0</v>
      </c>
      <c r="E25" s="57">
        <f>Tabulka211113[[#This Row],[Sloupec3]]-Tabulka211113[[#This Row],[Sloupec4]]</f>
        <v>28261</v>
      </c>
      <c r="F25" s="3"/>
      <c r="G25" s="3"/>
      <c r="H25" s="3"/>
      <c r="I25" s="3"/>
      <c r="J25" s="3"/>
      <c r="K25" s="3"/>
      <c r="L25" s="3"/>
      <c r="M25" s="3"/>
    </row>
    <row r="26" spans="1:15" ht="14.25" customHeight="1" x14ac:dyDescent="0.4">
      <c r="A26" s="81">
        <v>4004003810</v>
      </c>
      <c r="B26" s="82" t="s">
        <v>98</v>
      </c>
      <c r="C26" s="284">
        <v>31988</v>
      </c>
      <c r="D26" s="68">
        <f>(OBSAH!$J$6/100)*Tabulka211113[[#This Row],[Sloupec3]]</f>
        <v>0</v>
      </c>
      <c r="E26" s="58">
        <f>Tabulka211113[[#This Row],[Sloupec3]]-Tabulka211113[[#This Row],[Sloupec4]]</f>
        <v>31988</v>
      </c>
      <c r="F26" s="3"/>
      <c r="G26" s="3"/>
      <c r="H26" s="3"/>
      <c r="I26" s="3"/>
      <c r="J26" s="3"/>
      <c r="K26" s="3"/>
      <c r="L26" s="3"/>
      <c r="M26" s="3"/>
    </row>
    <row r="27" spans="1:15" ht="14.25" customHeight="1" x14ac:dyDescent="0.4">
      <c r="A27" s="86"/>
      <c r="B27" s="86"/>
      <c r="C27" s="87"/>
      <c r="D27" s="61"/>
      <c r="E27" s="62"/>
      <c r="F27" s="3"/>
      <c r="G27" s="3"/>
      <c r="H27" s="3"/>
      <c r="I27" s="3"/>
      <c r="J27" s="3"/>
      <c r="K27" s="3"/>
      <c r="L27" s="3"/>
      <c r="M27" s="3"/>
    </row>
    <row r="28" spans="1:15" ht="14.25" customHeight="1" x14ac:dyDescent="0.4">
      <c r="A28" s="86"/>
      <c r="B28" s="86"/>
      <c r="C28" s="87"/>
      <c r="D28" s="61"/>
      <c r="E28" s="62"/>
      <c r="F28" s="3"/>
      <c r="G28" s="3"/>
      <c r="H28" s="3"/>
      <c r="I28" s="3"/>
      <c r="J28" s="3"/>
      <c r="K28" s="3"/>
      <c r="L28" s="3"/>
      <c r="M28" s="3"/>
    </row>
    <row r="29" spans="1:15" ht="14.25" customHeight="1" x14ac:dyDescent="0.4">
      <c r="A29" s="446" t="s">
        <v>99</v>
      </c>
      <c r="B29" s="446"/>
      <c r="C29" s="446"/>
      <c r="D29" s="446"/>
      <c r="E29" s="446"/>
      <c r="F29" s="3"/>
      <c r="G29" s="3"/>
      <c r="H29" s="3"/>
      <c r="I29" s="3"/>
      <c r="J29" s="3"/>
      <c r="K29" s="3"/>
      <c r="L29" s="3"/>
      <c r="M29" s="3"/>
    </row>
    <row r="30" spans="1:15" ht="14.25" customHeight="1" x14ac:dyDescent="0.4">
      <c r="A30" s="446" t="s">
        <v>100</v>
      </c>
      <c r="B30" s="446"/>
      <c r="C30" s="446"/>
      <c r="D30" s="446"/>
      <c r="E30" s="446"/>
      <c r="F30" s="3"/>
      <c r="G30" s="3"/>
      <c r="H30" s="3"/>
      <c r="I30" s="3"/>
      <c r="J30" s="3"/>
      <c r="K30" s="3"/>
      <c r="L30" s="3"/>
      <c r="M30" s="3"/>
    </row>
    <row r="31" spans="1:15" ht="14.25" customHeight="1" x14ac:dyDescent="0.4">
      <c r="A31" s="446" t="s">
        <v>101</v>
      </c>
      <c r="B31" s="446"/>
      <c r="C31" s="446"/>
      <c r="D31" s="446"/>
      <c r="E31" s="446"/>
      <c r="F31" s="3"/>
      <c r="G31" s="3"/>
      <c r="H31" s="3"/>
      <c r="I31" s="3"/>
      <c r="J31" s="3"/>
      <c r="K31" s="3"/>
      <c r="L31" s="3"/>
      <c r="M31" s="3"/>
    </row>
    <row r="32" spans="1:15" ht="14.25" customHeight="1" x14ac:dyDescent="0.4">
      <c r="A32" s="446" t="s">
        <v>102</v>
      </c>
      <c r="B32" s="446"/>
      <c r="C32" s="446"/>
      <c r="D32" s="446"/>
      <c r="E32" s="446"/>
      <c r="F32" s="3"/>
      <c r="G32" s="3"/>
      <c r="H32" s="3"/>
      <c r="I32" s="3"/>
      <c r="J32" s="3"/>
      <c r="K32" s="3"/>
      <c r="L32" s="3"/>
      <c r="M32" s="3"/>
    </row>
    <row r="33" spans="1:15" ht="14.25" customHeight="1" x14ac:dyDescent="0.4">
      <c r="A33" s="447" t="s">
        <v>103</v>
      </c>
      <c r="B33" s="447"/>
      <c r="C33" s="447"/>
      <c r="D33" s="447"/>
      <c r="E33" s="447"/>
      <c r="F33" s="3"/>
      <c r="G33" s="3"/>
      <c r="H33" s="3"/>
      <c r="I33" s="3"/>
      <c r="J33" s="3"/>
      <c r="K33" s="3"/>
      <c r="L33" s="3"/>
      <c r="M33" s="3"/>
    </row>
    <row r="34" spans="1:15" ht="22.5" customHeight="1" x14ac:dyDescent="0.4">
      <c r="A34" s="88" t="s">
        <v>56</v>
      </c>
      <c r="B34" s="88" t="s">
        <v>57</v>
      </c>
      <c r="C34" s="89" t="s">
        <v>58</v>
      </c>
      <c r="D34" s="89" t="s">
        <v>59</v>
      </c>
      <c r="E34" s="90" t="s">
        <v>60</v>
      </c>
      <c r="F34" s="3"/>
      <c r="G34" s="3"/>
      <c r="H34" s="3"/>
      <c r="I34" s="3"/>
      <c r="J34" s="3"/>
      <c r="K34" s="3"/>
      <c r="L34" s="3"/>
      <c r="M34" s="3"/>
    </row>
    <row r="35" spans="1:15" ht="14.25" customHeight="1" x14ac:dyDescent="0.4">
      <c r="A35" s="91">
        <v>4002140115</v>
      </c>
      <c r="B35" s="92" t="s">
        <v>104</v>
      </c>
      <c r="C35" s="285">
        <v>3463</v>
      </c>
      <c r="D35" s="93">
        <f>(OBSAH!$J$6/100)*Tabulka37[[#This Row],[Sloupec3]]</f>
        <v>0</v>
      </c>
      <c r="E35" s="94">
        <f>Tabulka37[[#All],[Sloupec3]]-D35</f>
        <v>3463</v>
      </c>
      <c r="F35" s="3"/>
      <c r="G35" s="3"/>
      <c r="H35" s="3"/>
      <c r="I35" s="3"/>
      <c r="J35" s="3"/>
      <c r="K35" s="3"/>
      <c r="L35" s="3"/>
      <c r="M35" s="3"/>
    </row>
    <row r="36" spans="1:15" s="44" customFormat="1" ht="15" customHeight="1" x14ac:dyDescent="0.3">
      <c r="A36" s="42"/>
      <c r="B36" s="42"/>
      <c r="C36" s="95"/>
      <c r="D36" s="42"/>
      <c r="E36" s="42"/>
      <c r="F36" s="42"/>
      <c r="G36" s="42"/>
      <c r="H36" s="42"/>
      <c r="I36" s="42"/>
      <c r="J36" s="42"/>
      <c r="K36" s="42"/>
      <c r="L36" s="42"/>
      <c r="M36" s="42"/>
      <c r="O36" s="1"/>
    </row>
    <row r="37" spans="1:15" ht="15" customHeight="1" x14ac:dyDescent="0.4">
      <c r="A37" s="38"/>
      <c r="B37" s="38"/>
      <c r="C37" s="96"/>
      <c r="D37" s="61"/>
      <c r="E37" s="62"/>
      <c r="F37" s="3"/>
      <c r="G37" s="3"/>
      <c r="H37" s="3"/>
      <c r="I37" s="3"/>
      <c r="J37" s="3"/>
      <c r="K37" s="3"/>
      <c r="L37" s="3"/>
      <c r="M37" s="3"/>
    </row>
    <row r="38" spans="1:15" ht="36" customHeight="1" x14ac:dyDescent="0.4">
      <c r="A38" s="442" t="s">
        <v>82</v>
      </c>
      <c r="B38" s="442"/>
      <c r="C38" s="442"/>
      <c r="D38" s="442"/>
      <c r="E38" s="442"/>
      <c r="F38" s="3"/>
      <c r="G38" s="3"/>
      <c r="H38" s="3"/>
      <c r="I38" s="3"/>
      <c r="J38" s="3"/>
      <c r="K38" s="3"/>
      <c r="L38" s="3"/>
      <c r="M38" s="3"/>
    </row>
    <row r="39" spans="1:15" ht="36" customHeight="1" x14ac:dyDescent="0.4">
      <c r="A39" s="443" t="s">
        <v>105</v>
      </c>
      <c r="B39" s="443"/>
      <c r="C39" s="443"/>
      <c r="D39" s="443"/>
      <c r="E39" s="443"/>
      <c r="F39" s="3"/>
      <c r="G39" s="3"/>
      <c r="H39" s="3"/>
      <c r="I39" s="3"/>
      <c r="J39" s="3"/>
      <c r="K39" s="3"/>
      <c r="L39" s="3"/>
      <c r="M39" s="3"/>
    </row>
    <row r="40" spans="1:15" ht="22.5" customHeight="1" x14ac:dyDescent="0.4">
      <c r="A40" s="444" t="s">
        <v>83</v>
      </c>
      <c r="B40" s="444"/>
      <c r="C40" s="444"/>
      <c r="D40" s="444"/>
      <c r="E40" s="444"/>
      <c r="F40" s="3"/>
      <c r="G40" s="3"/>
      <c r="H40" s="3"/>
      <c r="I40" s="3"/>
      <c r="J40" s="3"/>
      <c r="K40" s="3"/>
      <c r="L40" s="3"/>
      <c r="M40" s="3"/>
    </row>
    <row r="41" spans="1:15" s="44" customFormat="1" ht="22.5" customHeight="1" x14ac:dyDescent="0.3">
      <c r="A41" s="39" t="s">
        <v>56</v>
      </c>
      <c r="B41" s="39" t="s">
        <v>57</v>
      </c>
      <c r="C41" s="40" t="s">
        <v>58</v>
      </c>
      <c r="D41" s="40" t="s">
        <v>59</v>
      </c>
      <c r="E41" s="41" t="s">
        <v>60</v>
      </c>
      <c r="F41" s="42"/>
      <c r="G41" s="42"/>
      <c r="H41" s="42"/>
      <c r="I41" s="42"/>
      <c r="J41" s="42"/>
      <c r="K41" s="42"/>
      <c r="L41" s="42"/>
      <c r="M41" s="42"/>
      <c r="O41" s="1"/>
    </row>
    <row r="42" spans="1:15" ht="14.25" customHeight="1" x14ac:dyDescent="0.4">
      <c r="A42" s="77">
        <v>4004003766</v>
      </c>
      <c r="B42" s="78" t="s">
        <v>106</v>
      </c>
      <c r="C42" s="282">
        <v>18205</v>
      </c>
      <c r="D42" s="69">
        <f>(OBSAH!$J$6/100)*Tabulka20101416[[#This Row],[Sloupec3]]</f>
        <v>0</v>
      </c>
      <c r="E42" s="70">
        <f>Tabulka20101416[[#This Row],[Sloupec3]]-Tabulka20101416[[#This Row],[Sloupec4]]</f>
        <v>18205</v>
      </c>
      <c r="F42" s="3"/>
      <c r="G42" s="3"/>
      <c r="H42" s="3"/>
      <c r="I42" s="3"/>
      <c r="J42" s="3"/>
      <c r="K42" s="3"/>
      <c r="L42" s="3"/>
      <c r="M42" s="3"/>
    </row>
    <row r="43" spans="1:15" ht="14.25" customHeight="1" x14ac:dyDescent="0.4">
      <c r="A43" s="79">
        <v>4004003774</v>
      </c>
      <c r="B43" s="80" t="s">
        <v>107</v>
      </c>
      <c r="C43" s="283">
        <v>18732</v>
      </c>
      <c r="D43" s="71">
        <f>(OBSAH!$J$6/100)*Tabulka20101416[[#This Row],[Sloupec3]]</f>
        <v>0</v>
      </c>
      <c r="E43" s="57">
        <f>Tabulka20101416[[#This Row],[Sloupec3]]-Tabulka20101416[[#This Row],[Sloupec4]]</f>
        <v>18732</v>
      </c>
      <c r="F43" s="3"/>
      <c r="G43" s="3"/>
      <c r="H43" s="3"/>
      <c r="I43" s="3"/>
      <c r="J43" s="3"/>
      <c r="K43" s="3"/>
      <c r="L43" s="3"/>
      <c r="M43" s="3"/>
    </row>
    <row r="44" spans="1:15" ht="14.25" customHeight="1" x14ac:dyDescent="0.4">
      <c r="A44" s="79">
        <v>4004003782</v>
      </c>
      <c r="B44" s="80" t="s">
        <v>108</v>
      </c>
      <c r="C44" s="283">
        <v>22350</v>
      </c>
      <c r="D44" s="71">
        <f>(OBSAH!$J$6/100)*Tabulka20101416[[#This Row],[Sloupec3]]</f>
        <v>0</v>
      </c>
      <c r="E44" s="57">
        <f>Tabulka20101416[[#This Row],[Sloupec3]]-Tabulka20101416[[#This Row],[Sloupec4]]</f>
        <v>22350</v>
      </c>
      <c r="F44" s="3"/>
      <c r="G44" s="3"/>
      <c r="H44" s="3"/>
      <c r="I44" s="3"/>
      <c r="J44" s="3"/>
      <c r="K44" s="3"/>
      <c r="L44" s="3"/>
      <c r="M44" s="3"/>
    </row>
    <row r="45" spans="1:15" s="44" customFormat="1" ht="14.25" customHeight="1" x14ac:dyDescent="0.3">
      <c r="A45" s="79">
        <v>4004003789</v>
      </c>
      <c r="B45" s="80" t="s">
        <v>109</v>
      </c>
      <c r="C45" s="283">
        <v>22908</v>
      </c>
      <c r="D45" s="71">
        <f>(OBSAH!$J$6/100)*Tabulka20101416[[#This Row],[Sloupec3]]</f>
        <v>0</v>
      </c>
      <c r="E45" s="57">
        <f>Tabulka20101416[[#This Row],[Sloupec3]]-Tabulka20101416[[#This Row],[Sloupec4]]</f>
        <v>22908</v>
      </c>
      <c r="F45" s="42"/>
      <c r="G45" s="42"/>
      <c r="H45" s="42"/>
      <c r="I45" s="42"/>
      <c r="J45" s="42"/>
      <c r="K45" s="42"/>
      <c r="L45" s="42"/>
      <c r="M45" s="42"/>
      <c r="O45" s="1"/>
    </row>
    <row r="46" spans="1:15" ht="14.25" customHeight="1" x14ac:dyDescent="0.4">
      <c r="A46" s="79">
        <v>4004003797</v>
      </c>
      <c r="B46" s="80" t="s">
        <v>110</v>
      </c>
      <c r="C46" s="283">
        <v>26358</v>
      </c>
      <c r="D46" s="71">
        <f>(OBSAH!$J$6/100)*Tabulka20101416[[#This Row],[Sloupec3]]</f>
        <v>0</v>
      </c>
      <c r="E46" s="57">
        <f>Tabulka20101416[[#This Row],[Sloupec3]]-Tabulka20101416[[#This Row],[Sloupec4]]</f>
        <v>26358</v>
      </c>
      <c r="F46" s="3"/>
      <c r="G46" s="3"/>
      <c r="H46" s="3"/>
      <c r="I46" s="3"/>
      <c r="J46" s="3"/>
      <c r="K46" s="3"/>
      <c r="L46" s="3"/>
      <c r="M46" s="3"/>
    </row>
    <row r="47" spans="1:15" ht="14.25" customHeight="1" x14ac:dyDescent="0.4">
      <c r="A47" s="79">
        <v>4004003805</v>
      </c>
      <c r="B47" s="80" t="s">
        <v>111</v>
      </c>
      <c r="C47" s="283">
        <v>30444</v>
      </c>
      <c r="D47" s="71">
        <f>(OBSAH!$J$6/100)*Tabulka20101416[[#This Row],[Sloupec3]]</f>
        <v>0</v>
      </c>
      <c r="E47" s="57">
        <f>Tabulka20101416[[#This Row],[Sloupec3]]-Tabulka20101416[[#This Row],[Sloupec4]]</f>
        <v>30444</v>
      </c>
      <c r="F47" s="3"/>
      <c r="G47" s="3"/>
      <c r="H47" s="3"/>
      <c r="I47" s="3"/>
      <c r="J47" s="3"/>
      <c r="K47" s="3"/>
      <c r="L47" s="3"/>
      <c r="M47" s="3"/>
    </row>
    <row r="48" spans="1:15" ht="14.25" customHeight="1" x14ac:dyDescent="0.4">
      <c r="A48" s="81">
        <v>4004003813</v>
      </c>
      <c r="B48" s="82" t="s">
        <v>112</v>
      </c>
      <c r="C48" s="284">
        <v>34172</v>
      </c>
      <c r="D48" s="68">
        <f>(OBSAH!$J$6/100)*Tabulka20101416[[#This Row],[Sloupec3]]</f>
        <v>0</v>
      </c>
      <c r="E48" s="58">
        <f>Tabulka20101416[[#This Row],[Sloupec3]]-Tabulka20101416[[#This Row],[Sloupec4]]</f>
        <v>34172</v>
      </c>
      <c r="F48" s="3"/>
      <c r="G48" s="3"/>
      <c r="H48" s="3"/>
      <c r="I48" s="3"/>
      <c r="J48" s="3"/>
      <c r="K48" s="3"/>
      <c r="L48" s="3"/>
      <c r="M48" s="3"/>
    </row>
    <row r="49" spans="1:15" ht="15" customHeight="1" x14ac:dyDescent="0.4">
      <c r="A49" s="83"/>
      <c r="B49" s="84"/>
      <c r="C49" s="85"/>
      <c r="D49" s="61"/>
      <c r="E49" s="62"/>
      <c r="F49" s="3"/>
      <c r="G49" s="3"/>
      <c r="H49" s="3"/>
      <c r="I49" s="3"/>
      <c r="J49" s="3"/>
      <c r="K49" s="3"/>
      <c r="L49" s="3"/>
      <c r="M49" s="3"/>
    </row>
    <row r="50" spans="1:15" ht="22.5" customHeight="1" x14ac:dyDescent="0.4">
      <c r="A50" s="440" t="s">
        <v>91</v>
      </c>
      <c r="B50" s="440"/>
      <c r="C50" s="440"/>
      <c r="D50" s="440"/>
      <c r="E50" s="440"/>
      <c r="F50" s="3"/>
      <c r="G50" s="445"/>
      <c r="H50" s="445"/>
      <c r="I50" s="445"/>
      <c r="J50" s="445"/>
      <c r="K50" s="445"/>
      <c r="L50" s="445"/>
      <c r="M50" s="3"/>
    </row>
    <row r="51" spans="1:15" s="44" customFormat="1" ht="22.5" customHeight="1" x14ac:dyDescent="0.3">
      <c r="A51" s="39" t="s">
        <v>56</v>
      </c>
      <c r="B51" s="39" t="s">
        <v>57</v>
      </c>
      <c r="C51" s="40" t="s">
        <v>58</v>
      </c>
      <c r="D51" s="40" t="s">
        <v>59</v>
      </c>
      <c r="E51" s="41" t="s">
        <v>60</v>
      </c>
      <c r="F51" s="76"/>
      <c r="G51" s="433"/>
      <c r="H51" s="433"/>
      <c r="I51" s="433"/>
      <c r="J51" s="433"/>
      <c r="K51" s="433"/>
      <c r="L51" s="433"/>
      <c r="M51" s="42"/>
      <c r="O51" s="1"/>
    </row>
    <row r="52" spans="1:15" ht="14.25" customHeight="1" x14ac:dyDescent="0.4">
      <c r="A52" s="77">
        <v>4004003765</v>
      </c>
      <c r="B52" s="78" t="s">
        <v>113</v>
      </c>
      <c r="C52" s="282">
        <v>18645</v>
      </c>
      <c r="D52" s="69">
        <f>(OBSAH!$J$6/100)*Tabulka21111517[[#This Row],[Sloupec3]]</f>
        <v>0</v>
      </c>
      <c r="E52" s="70">
        <f>Tabulka21111517[[#This Row],[Sloupec3]]-Tabulka21111517[[#This Row],[Sloupec4]]</f>
        <v>18645</v>
      </c>
      <c r="F52" s="3"/>
      <c r="G52" s="3"/>
      <c r="H52" s="3"/>
      <c r="I52" s="3"/>
      <c r="J52" s="3"/>
      <c r="K52" s="3"/>
      <c r="L52" s="3"/>
      <c r="M52" s="3"/>
    </row>
    <row r="53" spans="1:15" ht="14.25" customHeight="1" x14ac:dyDescent="0.4">
      <c r="A53" s="79">
        <v>4004003773</v>
      </c>
      <c r="B53" s="80" t="s">
        <v>114</v>
      </c>
      <c r="C53" s="283">
        <v>19175</v>
      </c>
      <c r="D53" s="71">
        <f>(OBSAH!$J$6/100)*Tabulka21111517[[#This Row],[Sloupec3]]</f>
        <v>0</v>
      </c>
      <c r="E53" s="57">
        <f>Tabulka21111517[[#This Row],[Sloupec3]]-Tabulka21111517[[#This Row],[Sloupec4]]</f>
        <v>19175</v>
      </c>
      <c r="F53" s="3"/>
      <c r="G53" s="3"/>
      <c r="H53" s="3"/>
      <c r="I53" s="3"/>
      <c r="J53" s="3"/>
      <c r="K53" s="3"/>
      <c r="L53" s="3"/>
      <c r="M53" s="3"/>
    </row>
    <row r="54" spans="1:15" ht="14.25" customHeight="1" x14ac:dyDescent="0.4">
      <c r="A54" s="79">
        <v>4004003781</v>
      </c>
      <c r="B54" s="80" t="s">
        <v>115</v>
      </c>
      <c r="C54" s="283">
        <v>22792</v>
      </c>
      <c r="D54" s="71">
        <f>(OBSAH!$J$6/100)*Tabulka21111517[[#This Row],[Sloupec3]]</f>
        <v>0</v>
      </c>
      <c r="E54" s="57">
        <f>Tabulka21111517[[#This Row],[Sloupec3]]-Tabulka21111517[[#This Row],[Sloupec4]]</f>
        <v>22792</v>
      </c>
      <c r="F54" s="3"/>
      <c r="G54" s="3"/>
      <c r="H54" s="3"/>
      <c r="I54" s="3"/>
      <c r="J54" s="3"/>
      <c r="K54" s="3"/>
      <c r="L54" s="3"/>
      <c r="M54" s="3"/>
    </row>
    <row r="55" spans="1:15" ht="14.25" customHeight="1" x14ac:dyDescent="0.4">
      <c r="A55" s="79">
        <v>4004003788</v>
      </c>
      <c r="B55" s="80" t="s">
        <v>116</v>
      </c>
      <c r="C55" s="283">
        <v>23349</v>
      </c>
      <c r="D55" s="71">
        <f>(OBSAH!$J$6/100)*Tabulka21111517[[#This Row],[Sloupec3]]</f>
        <v>0</v>
      </c>
      <c r="E55" s="57">
        <f>Tabulka21111517[[#This Row],[Sloupec3]]-Tabulka21111517[[#This Row],[Sloupec4]]</f>
        <v>23349</v>
      </c>
      <c r="F55" s="3"/>
      <c r="G55" s="3"/>
      <c r="H55" s="3"/>
      <c r="I55" s="3"/>
      <c r="J55" s="3"/>
      <c r="K55" s="3"/>
      <c r="L55" s="3"/>
      <c r="M55" s="3"/>
    </row>
    <row r="56" spans="1:15" ht="14.25" customHeight="1" x14ac:dyDescent="0.4">
      <c r="A56" s="79">
        <v>4004003796</v>
      </c>
      <c r="B56" s="80" t="s">
        <v>117</v>
      </c>
      <c r="C56" s="283">
        <v>26799</v>
      </c>
      <c r="D56" s="71">
        <f>(OBSAH!$J$6/100)*Tabulka21111517[[#This Row],[Sloupec3]]</f>
        <v>0</v>
      </c>
      <c r="E56" s="57">
        <f>Tabulka21111517[[#This Row],[Sloupec3]]-Tabulka21111517[[#This Row],[Sloupec4]]</f>
        <v>26799</v>
      </c>
      <c r="F56" s="3"/>
      <c r="G56" s="3"/>
      <c r="H56" s="3"/>
      <c r="I56" s="3"/>
      <c r="J56" s="3"/>
      <c r="K56" s="3"/>
      <c r="L56" s="3"/>
      <c r="M56" s="3"/>
    </row>
    <row r="57" spans="1:15" ht="14.25" customHeight="1" x14ac:dyDescent="0.4">
      <c r="A57" s="79">
        <v>4004003804</v>
      </c>
      <c r="B57" s="80" t="s">
        <v>118</v>
      </c>
      <c r="C57" s="283">
        <v>30886</v>
      </c>
      <c r="D57" s="71">
        <f>(OBSAH!$J$6/100)*Tabulka21111517[[#This Row],[Sloupec3]]</f>
        <v>0</v>
      </c>
      <c r="E57" s="57">
        <f>Tabulka21111517[[#This Row],[Sloupec3]]-Tabulka21111517[[#This Row],[Sloupec4]]</f>
        <v>30886</v>
      </c>
      <c r="F57" s="3"/>
      <c r="G57" s="3"/>
      <c r="H57" s="3"/>
      <c r="I57" s="3"/>
      <c r="J57" s="3"/>
      <c r="K57" s="3"/>
      <c r="L57" s="3"/>
      <c r="M57" s="3"/>
    </row>
    <row r="58" spans="1:15" ht="14.25" customHeight="1" x14ac:dyDescent="0.4">
      <c r="A58" s="81">
        <v>4004003812</v>
      </c>
      <c r="B58" s="82" t="s">
        <v>119</v>
      </c>
      <c r="C58" s="284">
        <v>34612</v>
      </c>
      <c r="D58" s="68">
        <f>(OBSAH!$J$6/100)*Tabulka21111517[[#This Row],[Sloupec3]]</f>
        <v>0</v>
      </c>
      <c r="E58" s="58">
        <f>Tabulka21111517[[#This Row],[Sloupec3]]-Tabulka21111517[[#This Row],[Sloupec4]]</f>
        <v>34612</v>
      </c>
      <c r="F58" s="3"/>
      <c r="G58" s="3"/>
      <c r="H58" s="3"/>
      <c r="I58" s="3"/>
      <c r="J58" s="3"/>
      <c r="K58" s="3"/>
      <c r="L58" s="3"/>
      <c r="M58" s="3"/>
    </row>
    <row r="59" spans="1:15" ht="15" customHeight="1" x14ac:dyDescent="0.4">
      <c r="A59" s="441" t="s">
        <v>120</v>
      </c>
      <c r="B59" s="441"/>
      <c r="C59" s="441"/>
      <c r="D59" s="441"/>
      <c r="E59" s="441"/>
      <c r="F59" s="3"/>
      <c r="G59" s="3"/>
      <c r="H59" s="3"/>
      <c r="I59" s="3"/>
      <c r="J59" s="3"/>
      <c r="K59" s="3"/>
      <c r="L59" s="3"/>
      <c r="M59" s="3"/>
    </row>
    <row r="60" spans="1:15" ht="15" customHeight="1" x14ac:dyDescent="0.4">
      <c r="A60" s="38"/>
      <c r="B60" s="38"/>
      <c r="C60" s="96"/>
      <c r="D60" s="61"/>
      <c r="E60" s="62"/>
      <c r="F60" s="3"/>
      <c r="G60" s="3"/>
      <c r="H60" s="3"/>
      <c r="I60" s="3"/>
      <c r="J60" s="3"/>
      <c r="K60" s="3"/>
      <c r="L60" s="3"/>
      <c r="M60" s="3"/>
    </row>
    <row r="61" spans="1:15" ht="15" customHeight="1" x14ac:dyDescent="0.4">
      <c r="A61" s="38"/>
      <c r="B61" s="38"/>
      <c r="C61" s="96"/>
      <c r="D61" s="61"/>
      <c r="E61" s="62"/>
      <c r="F61" s="3"/>
      <c r="G61" s="3"/>
      <c r="H61" s="3"/>
      <c r="I61" s="3"/>
      <c r="J61" s="3"/>
      <c r="K61" s="3"/>
      <c r="L61" s="3"/>
      <c r="M61" s="3"/>
    </row>
    <row r="62" spans="1:15" ht="36" customHeight="1" x14ac:dyDescent="0.4">
      <c r="A62" s="442" t="s">
        <v>82</v>
      </c>
      <c r="B62" s="442"/>
      <c r="C62" s="442"/>
      <c r="D62" s="442"/>
      <c r="E62" s="442"/>
      <c r="F62" s="3"/>
      <c r="G62" s="3"/>
      <c r="H62" s="3"/>
      <c r="I62" s="3"/>
      <c r="J62" s="3"/>
      <c r="K62" s="3"/>
      <c r="L62" s="3"/>
      <c r="M62" s="3"/>
    </row>
    <row r="63" spans="1:15" ht="36" customHeight="1" x14ac:dyDescent="0.4">
      <c r="A63" s="443" t="s">
        <v>121</v>
      </c>
      <c r="B63" s="443"/>
      <c r="C63" s="443"/>
      <c r="D63" s="443"/>
      <c r="E63" s="443"/>
      <c r="F63" s="3"/>
      <c r="G63" s="3"/>
      <c r="H63" s="3"/>
      <c r="I63" s="3"/>
      <c r="J63" s="3"/>
      <c r="K63" s="3"/>
      <c r="L63" s="3"/>
      <c r="M63" s="3"/>
    </row>
    <row r="64" spans="1:15" ht="22.5" customHeight="1" x14ac:dyDescent="0.4">
      <c r="A64" s="444" t="s">
        <v>83</v>
      </c>
      <c r="B64" s="444"/>
      <c r="C64" s="444"/>
      <c r="D64" s="444"/>
      <c r="E64" s="444"/>
      <c r="F64" s="3"/>
      <c r="G64" s="3"/>
      <c r="H64" s="3"/>
      <c r="I64" s="3"/>
      <c r="J64" s="3"/>
      <c r="K64" s="3"/>
      <c r="L64" s="3"/>
      <c r="M64" s="3"/>
    </row>
    <row r="65" spans="1:15" s="44" customFormat="1" ht="22.5" customHeight="1" x14ac:dyDescent="0.3">
      <c r="A65" s="39" t="s">
        <v>56</v>
      </c>
      <c r="B65" s="39" t="s">
        <v>57</v>
      </c>
      <c r="C65" s="40" t="s">
        <v>58</v>
      </c>
      <c r="D65" s="40" t="s">
        <v>59</v>
      </c>
      <c r="E65" s="41" t="s">
        <v>60</v>
      </c>
      <c r="F65" s="3"/>
      <c r="G65" s="3"/>
      <c r="H65" s="3"/>
      <c r="I65" s="3"/>
      <c r="J65" s="3"/>
      <c r="K65" s="3"/>
      <c r="L65" s="3"/>
      <c r="M65" s="3"/>
      <c r="O65" s="1"/>
    </row>
    <row r="66" spans="1:15" ht="14.25" customHeight="1" x14ac:dyDescent="0.4">
      <c r="A66" s="77">
        <v>4004003768</v>
      </c>
      <c r="B66" s="78" t="s">
        <v>122</v>
      </c>
      <c r="C66" s="282">
        <v>18667</v>
      </c>
      <c r="D66" s="69">
        <f>(OBSAH!$J$6/100)*Tabulka2010141625[[#This Row],[Sloupec3]]</f>
        <v>0</v>
      </c>
      <c r="E66" s="70">
        <f>Tabulka2010141625[[#This Row],[Sloupec3]]-Tabulka2010141625[[#This Row],[Sloupec4]]</f>
        <v>18667</v>
      </c>
      <c r="F66" s="3"/>
      <c r="G66" s="3"/>
      <c r="H66" s="3"/>
      <c r="I66" s="3"/>
      <c r="J66" s="3"/>
      <c r="K66" s="3"/>
      <c r="L66" s="3"/>
      <c r="M66" s="3"/>
    </row>
    <row r="67" spans="1:15" ht="14.25" customHeight="1" x14ac:dyDescent="0.4">
      <c r="A67" s="79">
        <v>4004003776</v>
      </c>
      <c r="B67" s="80" t="s">
        <v>123</v>
      </c>
      <c r="C67" s="283">
        <v>22787</v>
      </c>
      <c r="D67" s="71">
        <f>(OBSAH!$J$6/100)*Tabulka2010141625[[#This Row],[Sloupec3]]</f>
        <v>0</v>
      </c>
      <c r="E67" s="57">
        <f>Tabulka2010141625[[#This Row],[Sloupec3]]-Tabulka2010141625[[#This Row],[Sloupec4]]</f>
        <v>22787</v>
      </c>
      <c r="F67" s="3"/>
      <c r="G67" s="445"/>
      <c r="H67" s="445"/>
      <c r="I67" s="445"/>
      <c r="J67" s="445"/>
      <c r="K67" s="445"/>
      <c r="L67" s="445"/>
      <c r="M67" s="3"/>
    </row>
    <row r="68" spans="1:15" ht="14.25" customHeight="1" x14ac:dyDescent="0.4">
      <c r="A68" s="79">
        <v>4004003784</v>
      </c>
      <c r="B68" s="80" t="s">
        <v>124</v>
      </c>
      <c r="C68" s="283">
        <v>22814</v>
      </c>
      <c r="D68" s="71">
        <f>(OBSAH!$J$6/100)*Tabulka2010141625[[#This Row],[Sloupec3]]</f>
        <v>0</v>
      </c>
      <c r="E68" s="57">
        <f>Tabulka2010141625[[#This Row],[Sloupec3]]-Tabulka2010141625[[#This Row],[Sloupec4]]</f>
        <v>22814</v>
      </c>
      <c r="F68" s="42"/>
      <c r="G68" s="433"/>
      <c r="H68" s="433"/>
      <c r="I68" s="433"/>
      <c r="J68" s="433"/>
      <c r="K68" s="433"/>
      <c r="L68" s="433"/>
      <c r="M68" s="42"/>
    </row>
    <row r="69" spans="1:15" ht="14.25" customHeight="1" x14ac:dyDescent="0.4">
      <c r="A69" s="79">
        <v>4004003791</v>
      </c>
      <c r="B69" s="80" t="s">
        <v>125</v>
      </c>
      <c r="C69" s="283">
        <v>26235</v>
      </c>
      <c r="D69" s="71">
        <f>(OBSAH!$J$6/100)*Tabulka2010141625[[#This Row],[Sloupec3]]</f>
        <v>0</v>
      </c>
      <c r="E69" s="57">
        <f>Tabulka2010141625[[#This Row],[Sloupec3]]-Tabulka2010141625[[#This Row],[Sloupec4]]</f>
        <v>26235</v>
      </c>
      <c r="F69" s="3"/>
      <c r="G69" s="3"/>
      <c r="H69" s="3"/>
      <c r="I69" s="3"/>
      <c r="J69" s="3"/>
      <c r="K69" s="3"/>
      <c r="L69" s="3"/>
      <c r="M69" s="3"/>
    </row>
    <row r="70" spans="1:15" ht="14.25" customHeight="1" x14ac:dyDescent="0.4">
      <c r="A70" s="79">
        <v>4004003799</v>
      </c>
      <c r="B70" s="80" t="s">
        <v>126</v>
      </c>
      <c r="C70" s="283">
        <v>30380</v>
      </c>
      <c r="D70" s="71">
        <f>(OBSAH!$J$6/100)*Tabulka2010141625[[#This Row],[Sloupec3]]</f>
        <v>0</v>
      </c>
      <c r="E70" s="57">
        <f>Tabulka2010141625[[#This Row],[Sloupec3]]-Tabulka2010141625[[#This Row],[Sloupec4]]</f>
        <v>30380</v>
      </c>
      <c r="F70" s="3"/>
      <c r="G70" s="3"/>
      <c r="H70" s="3"/>
      <c r="I70" s="3"/>
      <c r="J70" s="3"/>
      <c r="K70" s="3"/>
      <c r="L70" s="3"/>
      <c r="M70" s="3"/>
    </row>
    <row r="71" spans="1:15" ht="14.25" customHeight="1" x14ac:dyDescent="0.4">
      <c r="A71" s="79">
        <v>4004003807</v>
      </c>
      <c r="B71" s="80" t="s">
        <v>127</v>
      </c>
      <c r="C71" s="283">
        <v>34049</v>
      </c>
      <c r="D71" s="71">
        <f>(OBSAH!$J$6/100)*Tabulka2010141625[[#This Row],[Sloupec3]]</f>
        <v>0</v>
      </c>
      <c r="E71" s="57">
        <f>Tabulka2010141625[[#This Row],[Sloupec3]]-Tabulka2010141625[[#This Row],[Sloupec4]]</f>
        <v>34049</v>
      </c>
      <c r="F71" s="3"/>
      <c r="G71" s="3"/>
      <c r="H71" s="3"/>
      <c r="I71" s="3"/>
      <c r="J71" s="3"/>
      <c r="K71" s="3"/>
      <c r="L71" s="3"/>
      <c r="M71" s="3"/>
    </row>
    <row r="72" spans="1:15" ht="14.25" customHeight="1" x14ac:dyDescent="0.4">
      <c r="A72" s="81">
        <v>4004003815</v>
      </c>
      <c r="B72" s="82" t="s">
        <v>128</v>
      </c>
      <c r="C72" s="284">
        <v>38145</v>
      </c>
      <c r="D72" s="68">
        <f>(OBSAH!$J$6/100)*Tabulka2010141625[[#This Row],[Sloupec3]]</f>
        <v>0</v>
      </c>
      <c r="E72" s="58">
        <f>Tabulka2010141625[[#This Row],[Sloupec3]]-Tabulka2010141625[[#This Row],[Sloupec4]]</f>
        <v>38145</v>
      </c>
      <c r="F72" s="3"/>
      <c r="G72" s="3"/>
      <c r="H72" s="3"/>
      <c r="I72" s="3"/>
      <c r="J72" s="3"/>
      <c r="K72" s="3"/>
      <c r="L72" s="3"/>
      <c r="M72" s="3"/>
    </row>
    <row r="73" spans="1:15" ht="15" customHeight="1" x14ac:dyDescent="0.4">
      <c r="A73" s="83"/>
      <c r="B73" s="84"/>
      <c r="C73" s="85"/>
      <c r="D73" s="61"/>
      <c r="E73" s="62"/>
      <c r="F73" s="3"/>
      <c r="G73" s="3"/>
      <c r="H73" s="3"/>
      <c r="I73" s="3"/>
      <c r="J73" s="3"/>
      <c r="K73" s="3"/>
      <c r="L73" s="3"/>
      <c r="M73" s="3"/>
    </row>
    <row r="74" spans="1:15" ht="22.5" customHeight="1" x14ac:dyDescent="0.4">
      <c r="A74" s="440" t="s">
        <v>91</v>
      </c>
      <c r="B74" s="440"/>
      <c r="C74" s="440"/>
      <c r="D74" s="440"/>
      <c r="E74" s="440"/>
      <c r="F74" s="3"/>
      <c r="G74" s="3"/>
      <c r="H74" s="3"/>
      <c r="I74" s="3"/>
      <c r="J74" s="3"/>
      <c r="K74" s="3"/>
      <c r="L74" s="3"/>
      <c r="M74" s="3"/>
    </row>
    <row r="75" spans="1:15" s="44" customFormat="1" ht="22.5" customHeight="1" x14ac:dyDescent="0.3">
      <c r="A75" s="39" t="s">
        <v>56</v>
      </c>
      <c r="B75" s="39" t="s">
        <v>57</v>
      </c>
      <c r="C75" s="40" t="s">
        <v>58</v>
      </c>
      <c r="D75" s="40" t="s">
        <v>59</v>
      </c>
      <c r="E75" s="41" t="s">
        <v>60</v>
      </c>
      <c r="F75" s="3"/>
      <c r="G75" s="3"/>
      <c r="H75" s="3"/>
      <c r="I75" s="3"/>
      <c r="J75" s="3"/>
      <c r="K75" s="3"/>
      <c r="L75" s="3"/>
      <c r="M75" s="3"/>
      <c r="O75" s="1"/>
    </row>
    <row r="76" spans="1:15" ht="14.25" customHeight="1" x14ac:dyDescent="0.4">
      <c r="A76" s="77">
        <v>4004003767</v>
      </c>
      <c r="B76" s="78" t="s">
        <v>129</v>
      </c>
      <c r="C76" s="282">
        <v>19108</v>
      </c>
      <c r="D76" s="69">
        <f>(OBSAH!$J$6/100)*Tabulka2111151768[[#This Row],[Sloupec3]]</f>
        <v>0</v>
      </c>
      <c r="E76" s="70">
        <f>Tabulka2111151768[[#This Row],[Sloupec3]]-Tabulka2111151768[[#This Row],[Sloupec4]]</f>
        <v>19108</v>
      </c>
      <c r="F76" s="3"/>
      <c r="G76" s="3"/>
      <c r="H76" s="3"/>
      <c r="I76" s="3"/>
      <c r="J76" s="3"/>
      <c r="K76" s="3"/>
      <c r="L76" s="3"/>
      <c r="M76" s="3"/>
    </row>
    <row r="77" spans="1:15" ht="14.25" customHeight="1" x14ac:dyDescent="0.4">
      <c r="A77" s="79">
        <v>4004003775</v>
      </c>
      <c r="B77" s="80" t="s">
        <v>130</v>
      </c>
      <c r="C77" s="283">
        <v>23226</v>
      </c>
      <c r="D77" s="71">
        <f>(OBSAH!$J$6/100)*Tabulka2111151768[[#This Row],[Sloupec3]]</f>
        <v>0</v>
      </c>
      <c r="E77" s="57">
        <f>Tabulka2111151768[[#This Row],[Sloupec3]]-Tabulka2111151768[[#This Row],[Sloupec4]]</f>
        <v>23226</v>
      </c>
      <c r="F77" s="3"/>
      <c r="G77" s="3"/>
      <c r="H77" s="3"/>
      <c r="I77" s="3"/>
      <c r="J77" s="3"/>
      <c r="K77" s="3"/>
      <c r="L77" s="3"/>
      <c r="M77" s="3"/>
    </row>
    <row r="78" spans="1:15" ht="14.25" customHeight="1" x14ac:dyDescent="0.4">
      <c r="A78" s="79">
        <v>4004003783</v>
      </c>
      <c r="B78" s="80" t="s">
        <v>131</v>
      </c>
      <c r="C78" s="283">
        <v>23255</v>
      </c>
      <c r="D78" s="71">
        <f>(OBSAH!$J$6/100)*Tabulka2111151768[[#This Row],[Sloupec3]]</f>
        <v>0</v>
      </c>
      <c r="E78" s="57">
        <f>Tabulka2111151768[[#This Row],[Sloupec3]]-Tabulka2111151768[[#This Row],[Sloupec4]]</f>
        <v>23255</v>
      </c>
      <c r="F78" s="3"/>
      <c r="G78" s="3"/>
      <c r="H78" s="3"/>
      <c r="I78" s="3"/>
      <c r="J78" s="3"/>
      <c r="K78" s="3"/>
      <c r="L78" s="3"/>
      <c r="M78" s="3"/>
    </row>
    <row r="79" spans="1:15" ht="14.25" customHeight="1" x14ac:dyDescent="0.4">
      <c r="A79" s="79">
        <v>4004003790</v>
      </c>
      <c r="B79" s="80" t="s">
        <v>132</v>
      </c>
      <c r="C79" s="283">
        <v>26678</v>
      </c>
      <c r="D79" s="71">
        <f>(OBSAH!$J$6/100)*Tabulka2111151768[[#This Row],[Sloupec3]]</f>
        <v>0</v>
      </c>
      <c r="E79" s="57">
        <f>Tabulka2111151768[[#This Row],[Sloupec3]]-Tabulka2111151768[[#This Row],[Sloupec4]]</f>
        <v>26678</v>
      </c>
      <c r="F79" s="3"/>
      <c r="G79" s="3"/>
      <c r="H79" s="3"/>
      <c r="I79" s="3"/>
      <c r="J79" s="3"/>
      <c r="K79" s="3"/>
      <c r="L79" s="3"/>
      <c r="M79" s="3"/>
    </row>
    <row r="80" spans="1:15" ht="14.25" customHeight="1" x14ac:dyDescent="0.4">
      <c r="A80" s="79">
        <v>4004003798</v>
      </c>
      <c r="B80" s="80" t="s">
        <v>133</v>
      </c>
      <c r="C80" s="283">
        <v>30821</v>
      </c>
      <c r="D80" s="71">
        <f>(OBSAH!$J$6/100)*Tabulka2111151768[[#This Row],[Sloupec3]]</f>
        <v>0</v>
      </c>
      <c r="E80" s="57">
        <f>Tabulka2111151768[[#This Row],[Sloupec3]]-Tabulka2111151768[[#This Row],[Sloupec4]]</f>
        <v>30821</v>
      </c>
      <c r="F80" s="3"/>
      <c r="G80" s="3"/>
      <c r="H80" s="3"/>
      <c r="I80" s="3"/>
      <c r="J80" s="3"/>
      <c r="K80" s="3"/>
      <c r="L80" s="3"/>
      <c r="M80" s="3"/>
    </row>
    <row r="81" spans="1:15" ht="14.25" customHeight="1" x14ac:dyDescent="0.4">
      <c r="A81" s="79">
        <v>4004003806</v>
      </c>
      <c r="B81" s="80" t="s">
        <v>134</v>
      </c>
      <c r="C81" s="283">
        <v>34490</v>
      </c>
      <c r="D81" s="71">
        <f>(OBSAH!$J$6/100)*Tabulka2111151768[[#This Row],[Sloupec3]]</f>
        <v>0</v>
      </c>
      <c r="E81" s="57">
        <f>Tabulka2111151768[[#This Row],[Sloupec3]]-Tabulka2111151768[[#This Row],[Sloupec4]]</f>
        <v>34490</v>
      </c>
      <c r="F81" s="3"/>
      <c r="G81" s="3"/>
      <c r="H81" s="3"/>
      <c r="I81" s="3"/>
      <c r="J81" s="3"/>
      <c r="K81" s="3"/>
      <c r="L81" s="3"/>
      <c r="M81" s="3"/>
    </row>
    <row r="82" spans="1:15" ht="14.25" customHeight="1" x14ac:dyDescent="0.4">
      <c r="A82" s="81">
        <v>4004003814</v>
      </c>
      <c r="B82" s="82" t="s">
        <v>135</v>
      </c>
      <c r="C82" s="284">
        <v>38586</v>
      </c>
      <c r="D82" s="68">
        <f>(OBSAH!$J$6/100)*Tabulka2111151768[[#This Row],[Sloupec3]]</f>
        <v>0</v>
      </c>
      <c r="E82" s="58">
        <f>Tabulka2111151768[[#This Row],[Sloupec3]]-Tabulka2111151768[[#This Row],[Sloupec4]]</f>
        <v>38586</v>
      </c>
      <c r="F82" s="3"/>
      <c r="G82" s="3"/>
      <c r="H82" s="3"/>
      <c r="I82" s="3"/>
      <c r="J82" s="3"/>
      <c r="K82" s="3"/>
      <c r="L82" s="3"/>
      <c r="M82" s="3"/>
    </row>
    <row r="83" spans="1:15" ht="15" customHeight="1" x14ac:dyDescent="0.4">
      <c r="A83" s="86"/>
      <c r="B83" s="86"/>
      <c r="C83" s="87"/>
      <c r="D83" s="61"/>
      <c r="E83" s="62"/>
      <c r="F83" s="3"/>
      <c r="G83" s="3"/>
      <c r="H83" s="3"/>
      <c r="I83" s="3"/>
      <c r="J83" s="3"/>
      <c r="K83" s="3"/>
      <c r="L83" s="3"/>
      <c r="M83" s="3"/>
    </row>
    <row r="84" spans="1:15" ht="15" customHeight="1" x14ac:dyDescent="0.4">
      <c r="A84" s="38"/>
      <c r="B84" s="38"/>
      <c r="C84" s="96"/>
      <c r="D84" s="61"/>
      <c r="E84" s="62"/>
      <c r="F84" s="3"/>
      <c r="G84" s="3"/>
      <c r="H84" s="3"/>
      <c r="I84" s="3"/>
      <c r="J84" s="3"/>
      <c r="K84" s="3"/>
      <c r="L84" s="3"/>
      <c r="M84" s="3"/>
    </row>
    <row r="85" spans="1:15" ht="15" customHeight="1" x14ac:dyDescent="0.4">
      <c r="A85" s="38"/>
      <c r="B85" s="38"/>
      <c r="C85" s="96"/>
      <c r="D85" s="61"/>
      <c r="E85" s="62"/>
      <c r="F85" s="3"/>
      <c r="G85" s="3"/>
      <c r="H85" s="3"/>
      <c r="I85" s="3"/>
      <c r="J85" s="3"/>
      <c r="K85" s="3"/>
      <c r="L85" s="3"/>
      <c r="M85" s="3"/>
    </row>
    <row r="86" spans="1:15" ht="36" customHeight="1" x14ac:dyDescent="0.4">
      <c r="A86" s="442" t="s">
        <v>136</v>
      </c>
      <c r="B86" s="442"/>
      <c r="C86" s="442"/>
      <c r="D86" s="442"/>
      <c r="E86" s="442"/>
      <c r="F86" s="3"/>
      <c r="G86" s="3"/>
      <c r="H86" s="3"/>
      <c r="I86" s="3"/>
      <c r="J86" s="3"/>
      <c r="K86" s="3"/>
      <c r="L86" s="3"/>
      <c r="M86" s="3"/>
    </row>
    <row r="87" spans="1:15" ht="36" customHeight="1" x14ac:dyDescent="0.4">
      <c r="A87" s="443" t="s">
        <v>137</v>
      </c>
      <c r="B87" s="443"/>
      <c r="C87" s="443"/>
      <c r="D87" s="443"/>
      <c r="E87" s="443"/>
      <c r="F87" s="3"/>
      <c r="G87" s="3"/>
      <c r="H87" s="3"/>
      <c r="I87" s="3"/>
      <c r="J87" s="3"/>
      <c r="K87" s="3"/>
      <c r="L87" s="3"/>
      <c r="M87" s="3"/>
    </row>
    <row r="88" spans="1:15" ht="22.5" customHeight="1" x14ac:dyDescent="0.4">
      <c r="A88" s="444" t="s">
        <v>83</v>
      </c>
      <c r="B88" s="444"/>
      <c r="C88" s="444"/>
      <c r="D88" s="444"/>
      <c r="E88" s="444"/>
      <c r="F88" s="3"/>
      <c r="G88" s="3"/>
      <c r="H88" s="3"/>
      <c r="I88" s="3"/>
      <c r="J88" s="3"/>
      <c r="K88" s="3"/>
      <c r="L88" s="3"/>
      <c r="M88" s="3"/>
    </row>
    <row r="89" spans="1:15" s="44" customFormat="1" ht="22.5" customHeight="1" x14ac:dyDescent="0.3">
      <c r="A89" s="39" t="s">
        <v>56</v>
      </c>
      <c r="B89" s="39" t="s">
        <v>57</v>
      </c>
      <c r="C89" s="40" t="s">
        <v>58</v>
      </c>
      <c r="D89" s="40" t="s">
        <v>59</v>
      </c>
      <c r="E89" s="41" t="s">
        <v>60</v>
      </c>
      <c r="F89" s="42"/>
      <c r="G89" s="42"/>
      <c r="H89" s="42"/>
      <c r="I89" s="42"/>
      <c r="J89" s="42"/>
      <c r="K89" s="42"/>
      <c r="L89" s="42"/>
      <c r="M89" s="42"/>
      <c r="O89" s="1"/>
    </row>
    <row r="90" spans="1:15" ht="14.25" customHeight="1" x14ac:dyDescent="0.4">
      <c r="A90" s="77">
        <v>4004003770</v>
      </c>
      <c r="B90" s="78" t="s">
        <v>138</v>
      </c>
      <c r="C90" s="282">
        <v>22304</v>
      </c>
      <c r="D90" s="69">
        <f>(OBSAH!$J$6/100)*Tabulka2010141680[[#This Row],[Sloupec3]]</f>
        <v>0</v>
      </c>
      <c r="E90" s="70">
        <f>Tabulka2010141680[[#This Row],[Sloupec3]]-Tabulka2010141680[[#This Row],[Sloupec4]]</f>
        <v>22304</v>
      </c>
      <c r="F90" s="3"/>
      <c r="G90" s="3"/>
      <c r="H90" s="3"/>
      <c r="I90" s="3"/>
      <c r="J90" s="3"/>
      <c r="K90" s="3"/>
      <c r="L90" s="3"/>
      <c r="M90" s="3"/>
    </row>
    <row r="91" spans="1:15" ht="14.25" customHeight="1" x14ac:dyDescent="0.4">
      <c r="A91" s="79">
        <v>4004003778</v>
      </c>
      <c r="B91" s="80" t="s">
        <v>139</v>
      </c>
      <c r="C91" s="283">
        <v>25274</v>
      </c>
      <c r="D91" s="71">
        <f>(OBSAH!$J$6/100)*Tabulka2010141680[[#This Row],[Sloupec3]]</f>
        <v>0</v>
      </c>
      <c r="E91" s="57">
        <f>Tabulka2010141680[[#This Row],[Sloupec3]]-Tabulka2010141680[[#This Row],[Sloupec4]]</f>
        <v>25274</v>
      </c>
      <c r="F91" s="3"/>
      <c r="G91" s="3"/>
      <c r="H91" s="3"/>
      <c r="I91" s="3"/>
      <c r="J91" s="3"/>
      <c r="K91" s="3"/>
      <c r="L91" s="3"/>
      <c r="M91" s="3"/>
    </row>
    <row r="92" spans="1:15" ht="14.25" customHeight="1" x14ac:dyDescent="0.4">
      <c r="A92" s="79">
        <v>4004004020</v>
      </c>
      <c r="B92" s="80" t="s">
        <v>140</v>
      </c>
      <c r="C92" s="283">
        <v>25358</v>
      </c>
      <c r="D92" s="71">
        <f>(OBSAH!$J$6/100)*Tabulka2010141680[[#This Row],[Sloupec3]]</f>
        <v>0</v>
      </c>
      <c r="E92" s="57">
        <f>Tabulka2010141680[[#This Row],[Sloupec3]]-Tabulka2010141680[[#This Row],[Sloupec4]]</f>
        <v>25358</v>
      </c>
      <c r="F92" s="3"/>
      <c r="G92" s="3"/>
      <c r="H92" s="3"/>
      <c r="I92" s="3"/>
      <c r="J92" s="3"/>
      <c r="K92" s="3"/>
      <c r="L92" s="3"/>
      <c r="M92" s="3"/>
    </row>
    <row r="93" spans="1:15" ht="14.25" customHeight="1" x14ac:dyDescent="0.4">
      <c r="A93" s="79">
        <v>4004003793</v>
      </c>
      <c r="B93" s="80" t="s">
        <v>141</v>
      </c>
      <c r="C93" s="283">
        <v>28752</v>
      </c>
      <c r="D93" s="71">
        <f>(OBSAH!$J$6/100)*Tabulka2010141680[[#This Row],[Sloupec3]]</f>
        <v>0</v>
      </c>
      <c r="E93" s="57">
        <f>Tabulka2010141680[[#This Row],[Sloupec3]]-Tabulka2010141680[[#This Row],[Sloupec4]]</f>
        <v>28752</v>
      </c>
      <c r="F93" s="3"/>
      <c r="G93" s="3"/>
      <c r="H93" s="3"/>
      <c r="I93" s="3"/>
      <c r="J93" s="3"/>
      <c r="K93" s="3"/>
      <c r="L93" s="3"/>
      <c r="M93" s="3"/>
    </row>
    <row r="94" spans="1:15" ht="14.25" customHeight="1" x14ac:dyDescent="0.4">
      <c r="A94" s="79">
        <v>4004003801</v>
      </c>
      <c r="B94" s="80" t="s">
        <v>142</v>
      </c>
      <c r="C94" s="283">
        <v>32896</v>
      </c>
      <c r="D94" s="71">
        <f>(OBSAH!$J$6/100)*Tabulka2010141680[[#This Row],[Sloupec3]]</f>
        <v>0</v>
      </c>
      <c r="E94" s="57">
        <f>Tabulka2010141680[[#This Row],[Sloupec3]]-Tabulka2010141680[[#This Row],[Sloupec4]]</f>
        <v>32896</v>
      </c>
      <c r="F94" s="3"/>
      <c r="G94" s="3"/>
      <c r="H94" s="3"/>
      <c r="I94" s="3"/>
      <c r="J94" s="3"/>
      <c r="K94" s="3"/>
      <c r="L94" s="3"/>
      <c r="M94" s="3"/>
    </row>
    <row r="95" spans="1:15" ht="14.25" customHeight="1" x14ac:dyDescent="0.4">
      <c r="A95" s="79">
        <v>4004003809</v>
      </c>
      <c r="B95" s="80" t="s">
        <v>143</v>
      </c>
      <c r="C95" s="283">
        <v>36594</v>
      </c>
      <c r="D95" s="71">
        <f>(OBSAH!$J$6/100)*Tabulka2010141680[[#This Row],[Sloupec3]]</f>
        <v>0</v>
      </c>
      <c r="E95" s="57">
        <f>Tabulka2010141680[[#This Row],[Sloupec3]]-Tabulka2010141680[[#This Row],[Sloupec4]]</f>
        <v>36594</v>
      </c>
      <c r="F95" s="3"/>
      <c r="G95" s="3"/>
      <c r="H95" s="3"/>
      <c r="I95" s="3"/>
      <c r="J95" s="3"/>
      <c r="K95" s="3"/>
      <c r="L95" s="3"/>
      <c r="M95" s="3"/>
    </row>
    <row r="96" spans="1:15" ht="14.25" customHeight="1" x14ac:dyDescent="0.4">
      <c r="A96" s="81">
        <v>4004003817</v>
      </c>
      <c r="B96" s="82" t="s">
        <v>144</v>
      </c>
      <c r="C96" s="284">
        <v>40721</v>
      </c>
      <c r="D96" s="68">
        <f>(OBSAH!$J$6/100)*Tabulka2010141680[[#This Row],[Sloupec3]]</f>
        <v>0</v>
      </c>
      <c r="E96" s="58">
        <f>Tabulka2010141680[[#This Row],[Sloupec3]]-Tabulka2010141680[[#This Row],[Sloupec4]]</f>
        <v>40721</v>
      </c>
      <c r="F96" s="3"/>
      <c r="G96" s="3"/>
      <c r="H96" s="3"/>
      <c r="I96" s="3"/>
      <c r="J96" s="3"/>
      <c r="K96" s="3"/>
      <c r="L96" s="3"/>
      <c r="M96" s="3"/>
    </row>
    <row r="97" spans="1:15" ht="15" customHeight="1" x14ac:dyDescent="0.4">
      <c r="A97" s="83"/>
      <c r="B97" s="84"/>
      <c r="C97" s="85"/>
      <c r="D97" s="61"/>
      <c r="E97" s="62"/>
      <c r="F97" s="3"/>
      <c r="G97" s="3"/>
      <c r="H97" s="3"/>
      <c r="I97" s="3"/>
      <c r="J97" s="3"/>
      <c r="K97" s="3"/>
      <c r="L97" s="3"/>
      <c r="M97" s="3"/>
    </row>
    <row r="98" spans="1:15" ht="22.5" customHeight="1" x14ac:dyDescent="0.4">
      <c r="A98" s="440" t="s">
        <v>91</v>
      </c>
      <c r="B98" s="440"/>
      <c r="C98" s="440"/>
      <c r="D98" s="440"/>
      <c r="E98" s="440"/>
      <c r="F98" s="3"/>
      <c r="G98" s="3"/>
      <c r="H98" s="3"/>
      <c r="I98" s="3"/>
      <c r="J98" s="3"/>
      <c r="K98" s="3"/>
      <c r="L98" s="3"/>
      <c r="M98" s="3"/>
    </row>
    <row r="99" spans="1:15" s="44" customFormat="1" ht="22.5" customHeight="1" x14ac:dyDescent="0.3">
      <c r="A99" s="39" t="s">
        <v>56</v>
      </c>
      <c r="B99" s="39" t="s">
        <v>57</v>
      </c>
      <c r="C99" s="40" t="s">
        <v>58</v>
      </c>
      <c r="D99" s="40" t="s">
        <v>59</v>
      </c>
      <c r="E99" s="41" t="s">
        <v>60</v>
      </c>
      <c r="F99" s="42"/>
      <c r="G99" s="42"/>
      <c r="H99" s="42"/>
      <c r="I99" s="42"/>
      <c r="J99" s="42"/>
      <c r="K99" s="42"/>
      <c r="L99" s="42"/>
      <c r="M99" s="42"/>
      <c r="O99" s="1"/>
    </row>
    <row r="100" spans="1:15" ht="14.25" customHeight="1" x14ac:dyDescent="0.4">
      <c r="A100" s="77">
        <v>4004003769</v>
      </c>
      <c r="B100" s="78" t="s">
        <v>145</v>
      </c>
      <c r="C100" s="282">
        <v>22746</v>
      </c>
      <c r="D100" s="69">
        <f>(OBSAH!$J$6/100)*Tabulka2111151781[[#This Row],[Sloupec3]]</f>
        <v>0</v>
      </c>
      <c r="E100" s="70">
        <f>Tabulka2111151781[[#This Row],[Sloupec3]]-Tabulka2111151781[[#This Row],[Sloupec4]]</f>
        <v>22746</v>
      </c>
      <c r="F100" s="3"/>
      <c r="G100" s="3"/>
      <c r="H100" s="3"/>
      <c r="I100" s="3"/>
      <c r="J100" s="3"/>
      <c r="K100" s="3"/>
      <c r="L100" s="3"/>
      <c r="M100" s="3"/>
    </row>
    <row r="101" spans="1:15" ht="14.25" customHeight="1" x14ac:dyDescent="0.4">
      <c r="A101" s="79">
        <v>4004003777</v>
      </c>
      <c r="B101" s="80" t="s">
        <v>146</v>
      </c>
      <c r="C101" s="283">
        <v>25714</v>
      </c>
      <c r="D101" s="71">
        <f>(OBSAH!$J$6/100)*Tabulka2111151781[[#This Row],[Sloupec3]]</f>
        <v>0</v>
      </c>
      <c r="E101" s="57">
        <f>Tabulka2111151781[[#This Row],[Sloupec3]]-Tabulka2111151781[[#This Row],[Sloupec4]]</f>
        <v>25714</v>
      </c>
      <c r="F101" s="3"/>
      <c r="G101" s="3"/>
      <c r="H101" s="3"/>
      <c r="I101" s="3"/>
      <c r="J101" s="3"/>
      <c r="K101" s="3"/>
      <c r="L101" s="3"/>
      <c r="M101" s="3"/>
    </row>
    <row r="102" spans="1:15" ht="14.25" customHeight="1" x14ac:dyDescent="0.4">
      <c r="A102" s="79">
        <v>4004003785</v>
      </c>
      <c r="B102" s="80" t="s">
        <v>147</v>
      </c>
      <c r="C102" s="283">
        <v>25801</v>
      </c>
      <c r="D102" s="71">
        <f>(OBSAH!$J$6/100)*Tabulka2111151781[[#This Row],[Sloupec3]]</f>
        <v>0</v>
      </c>
      <c r="E102" s="57">
        <f>Tabulka2111151781[[#This Row],[Sloupec3]]-Tabulka2111151781[[#This Row],[Sloupec4]]</f>
        <v>25801</v>
      </c>
      <c r="F102" s="3"/>
      <c r="G102" s="3"/>
      <c r="H102" s="3"/>
      <c r="I102" s="3"/>
      <c r="J102" s="3"/>
      <c r="K102" s="3"/>
      <c r="L102" s="3"/>
      <c r="M102" s="3"/>
    </row>
    <row r="103" spans="1:15" ht="14.25" customHeight="1" x14ac:dyDescent="0.4">
      <c r="A103" s="79">
        <v>4004003792</v>
      </c>
      <c r="B103" s="80" t="s">
        <v>148</v>
      </c>
      <c r="C103" s="283">
        <v>29193</v>
      </c>
      <c r="D103" s="71">
        <f>(OBSAH!$J$6/100)*Tabulka2111151781[[#This Row],[Sloupec3]]</f>
        <v>0</v>
      </c>
      <c r="E103" s="57">
        <f>Tabulka2111151781[[#This Row],[Sloupec3]]-Tabulka2111151781[[#This Row],[Sloupec4]]</f>
        <v>29193</v>
      </c>
      <c r="F103" s="3"/>
      <c r="G103" s="3"/>
      <c r="H103" s="3"/>
      <c r="I103" s="3"/>
      <c r="J103" s="3"/>
      <c r="K103" s="3"/>
      <c r="L103" s="3"/>
      <c r="M103" s="3"/>
    </row>
    <row r="104" spans="1:15" ht="14.25" customHeight="1" x14ac:dyDescent="0.4">
      <c r="A104" s="79">
        <v>4004003800</v>
      </c>
      <c r="B104" s="80" t="s">
        <v>149</v>
      </c>
      <c r="C104" s="283">
        <v>33337</v>
      </c>
      <c r="D104" s="71">
        <f>(OBSAH!$J$6/100)*Tabulka2111151781[[#This Row],[Sloupec3]]</f>
        <v>0</v>
      </c>
      <c r="E104" s="57">
        <f>Tabulka2111151781[[#This Row],[Sloupec3]]-Tabulka2111151781[[#This Row],[Sloupec4]]</f>
        <v>33337</v>
      </c>
      <c r="F104" s="3"/>
      <c r="G104" s="3"/>
      <c r="H104" s="3"/>
      <c r="I104" s="3"/>
      <c r="J104" s="3"/>
      <c r="K104" s="3"/>
      <c r="L104" s="3"/>
      <c r="M104" s="3"/>
    </row>
    <row r="105" spans="1:15" ht="14.25" customHeight="1" x14ac:dyDescent="0.4">
      <c r="A105" s="79">
        <v>4004003808</v>
      </c>
      <c r="B105" s="80" t="s">
        <v>150</v>
      </c>
      <c r="C105" s="283">
        <v>37035</v>
      </c>
      <c r="D105" s="71">
        <f>(OBSAH!$J$6/100)*Tabulka2111151781[[#This Row],[Sloupec3]]</f>
        <v>0</v>
      </c>
      <c r="E105" s="57">
        <f>Tabulka2111151781[[#This Row],[Sloupec3]]-Tabulka2111151781[[#This Row],[Sloupec4]]</f>
        <v>37035</v>
      </c>
      <c r="F105" s="3"/>
      <c r="G105" s="3"/>
      <c r="H105" s="3"/>
      <c r="I105" s="3"/>
      <c r="J105" s="3"/>
      <c r="K105" s="3"/>
      <c r="L105" s="3"/>
      <c r="M105" s="3"/>
    </row>
    <row r="106" spans="1:15" ht="14.25" customHeight="1" x14ac:dyDescent="0.4">
      <c r="A106" s="81">
        <v>4004003816</v>
      </c>
      <c r="B106" s="82" t="s">
        <v>151</v>
      </c>
      <c r="C106" s="284">
        <v>41162</v>
      </c>
      <c r="D106" s="68">
        <f>(OBSAH!$J$6/100)*Tabulka2111151781[[#This Row],[Sloupec3]]</f>
        <v>0</v>
      </c>
      <c r="E106" s="58">
        <f>Tabulka2111151781[[#This Row],[Sloupec3]]-Tabulka2111151781[[#This Row],[Sloupec4]]</f>
        <v>41162</v>
      </c>
      <c r="F106" s="3"/>
      <c r="G106" s="3"/>
      <c r="H106" s="3"/>
      <c r="I106" s="3"/>
      <c r="J106" s="3"/>
      <c r="K106" s="3"/>
      <c r="L106" s="3"/>
      <c r="M106" s="3"/>
    </row>
    <row r="107" spans="1:15" ht="15" customHeight="1" x14ac:dyDescent="0.4">
      <c r="A107" s="441" t="s">
        <v>120</v>
      </c>
      <c r="B107" s="441"/>
      <c r="C107" s="441"/>
      <c r="D107" s="441"/>
      <c r="E107" s="441"/>
      <c r="F107" s="3"/>
      <c r="G107" s="3"/>
      <c r="H107" s="3"/>
      <c r="I107" s="3"/>
      <c r="J107" s="3"/>
      <c r="K107" s="3"/>
      <c r="L107" s="3"/>
      <c r="M107" s="3"/>
    </row>
    <row r="108" spans="1:15" ht="15" customHeight="1" x14ac:dyDescent="0.4">
      <c r="A108" s="38"/>
      <c r="B108" s="38"/>
      <c r="C108" s="96"/>
      <c r="D108" s="3"/>
      <c r="E108" s="3"/>
      <c r="F108" s="3"/>
      <c r="G108" s="3"/>
      <c r="H108" s="3"/>
      <c r="I108" s="3"/>
      <c r="J108" s="3"/>
      <c r="K108" s="3"/>
      <c r="L108" s="3"/>
      <c r="M108" s="3"/>
    </row>
  </sheetData>
  <mergeCells count="43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18:E18"/>
    <mergeCell ref="G20:L20"/>
    <mergeCell ref="G21:L21"/>
    <mergeCell ref="G22:L22"/>
    <mergeCell ref="G23:L23"/>
    <mergeCell ref="A29:E29"/>
    <mergeCell ref="A30:E30"/>
    <mergeCell ref="A31:E31"/>
    <mergeCell ref="A32:E32"/>
    <mergeCell ref="A33:E33"/>
    <mergeCell ref="A38:E38"/>
    <mergeCell ref="A39:E39"/>
    <mergeCell ref="A40:E40"/>
    <mergeCell ref="A50:E50"/>
    <mergeCell ref="G50:L50"/>
    <mergeCell ref="G51:L51"/>
    <mergeCell ref="A59:E59"/>
    <mergeCell ref="A62:E62"/>
    <mergeCell ref="A63:E63"/>
    <mergeCell ref="A64:E64"/>
    <mergeCell ref="G67:L67"/>
    <mergeCell ref="A98:E98"/>
    <mergeCell ref="A107:E107"/>
    <mergeCell ref="G68:L68"/>
    <mergeCell ref="A74:E74"/>
    <mergeCell ref="A86:E86"/>
    <mergeCell ref="A87:E87"/>
    <mergeCell ref="A88:E88"/>
  </mergeCells>
  <hyperlinks>
    <hyperlink ref="F2" location="OBSAH!I128" display="PŘEJÍT NA UPOZORNĚNÍ" xr:uid="{00000000-0004-0000-0200-000000000000}"/>
    <hyperlink ref="A59" location="'PŘÍSTUPOVÉ SYSTÉMY'!A67" display="ODKAZ NA ČIPY RFID 125kHz" xr:uid="{00000000-0004-0000-0200-000001000000}"/>
    <hyperlink ref="A107" location="'PŘÍSTUPOVÉ SYSTÉMY'!A67" display="ODKAZ NA ČIPY RFID 125kHz" xr:uid="{00000000-0004-0000-0200-000002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 r:id="rId1"/>
  <drawing r:id="rId2"/>
  <tableParts count="9">
    <tablePart r:id="rId3"/>
    <tablePart r:id="rId4"/>
    <tablePart r:id="rId5"/>
    <tablePart r:id="rId6"/>
    <tablePart r:id="rId7"/>
    <tablePart r:id="rId8"/>
    <tablePart r:id="rId9"/>
    <tablePart r:id="rId10"/>
    <tablePart r:id="rId1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BBB59"/>
    <pageSetUpPr fitToPage="1"/>
  </sheetPr>
  <dimension ref="A1:AMK304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1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454"/>
      <c r="G3" s="454"/>
      <c r="H3" s="454"/>
      <c r="I3" s="454"/>
      <c r="J3" s="454"/>
      <c r="K3" s="454"/>
      <c r="L3" s="454"/>
      <c r="M3" s="454"/>
    </row>
    <row r="4" spans="1:14" ht="15" customHeight="1" x14ac:dyDescent="0.55000000000000004">
      <c r="A4" s="450"/>
      <c r="B4" s="450"/>
      <c r="C4" s="450"/>
      <c r="D4" s="450"/>
      <c r="E4" s="450"/>
      <c r="F4" s="451"/>
      <c r="G4" s="451"/>
      <c r="H4" s="451"/>
      <c r="I4" s="451"/>
      <c r="J4" s="452"/>
      <c r="K4" s="452"/>
      <c r="L4" s="452"/>
      <c r="M4" s="452"/>
    </row>
    <row r="5" spans="1:14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4" ht="54.75" customHeight="1" x14ac:dyDescent="0.4">
      <c r="A6" s="453" t="s">
        <v>12</v>
      </c>
      <c r="B6" s="453"/>
      <c r="C6" s="453"/>
      <c r="D6" s="453"/>
      <c r="E6" s="453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49" t="s">
        <v>152</v>
      </c>
      <c r="B7" s="449"/>
      <c r="C7" s="449"/>
      <c r="D7" s="449"/>
      <c r="E7" s="449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44" t="s">
        <v>83</v>
      </c>
      <c r="B8" s="444"/>
      <c r="C8" s="444"/>
      <c r="D8" s="444"/>
      <c r="E8" s="444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39" t="s">
        <v>56</v>
      </c>
      <c r="B9" s="39" t="s">
        <v>57</v>
      </c>
      <c r="C9" s="40" t="s">
        <v>58</v>
      </c>
      <c r="D9" s="40" t="s">
        <v>59</v>
      </c>
      <c r="E9" s="41" t="s">
        <v>60</v>
      </c>
      <c r="F9" s="76"/>
      <c r="G9" s="433"/>
      <c r="H9" s="433"/>
      <c r="I9" s="433"/>
      <c r="J9" s="433"/>
      <c r="K9" s="433"/>
      <c r="L9" s="433"/>
      <c r="M9" s="42"/>
    </row>
    <row r="10" spans="1:14" ht="14.25" customHeight="1" x14ac:dyDescent="0.4">
      <c r="A10" s="204" t="s">
        <v>153</v>
      </c>
      <c r="B10" s="205" t="s">
        <v>154</v>
      </c>
      <c r="C10" s="286">
        <v>8146</v>
      </c>
      <c r="D10" s="69">
        <f>(OBSAH!$J$6/100)*Tabulka20101288[[#This Row],[Sloupec3]]</f>
        <v>0</v>
      </c>
      <c r="E10" s="70">
        <f>Tabulka20101288[[#This Row],[Sloupec3]]-Tabulka20101288[[#This Row],[Sloupec4]]</f>
        <v>8146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206" t="s">
        <v>155</v>
      </c>
      <c r="B11" s="97" t="s">
        <v>156</v>
      </c>
      <c r="C11" s="287">
        <v>8320</v>
      </c>
      <c r="D11" s="71">
        <f>(OBSAH!$J$6/100)*Tabulka20101288[[#This Row],[Sloupec3]]</f>
        <v>0</v>
      </c>
      <c r="E11" s="57">
        <f>Tabulka20101288[[#This Row],[Sloupec3]]-Tabulka20101288[[#This Row],[Sloupec4]]</f>
        <v>8320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206" t="s">
        <v>157</v>
      </c>
      <c r="B12" s="97" t="s">
        <v>158</v>
      </c>
      <c r="C12" s="287">
        <v>8636</v>
      </c>
      <c r="D12" s="71">
        <f>(OBSAH!$J$6/100)*Tabulka20101288[[#This Row],[Sloupec3]]</f>
        <v>0</v>
      </c>
      <c r="E12" s="57">
        <f>Tabulka20101288[[#This Row],[Sloupec3]]-Tabulka20101288[[#This Row],[Sloupec4]]</f>
        <v>8636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100">
        <v>4004003639</v>
      </c>
      <c r="B13" s="125" t="s">
        <v>159</v>
      </c>
      <c r="C13" s="287">
        <v>13117</v>
      </c>
      <c r="D13" s="71">
        <f>(OBSAH!$J$6/100)*Tabulka20101288[[#This Row],[Sloupec3]]</f>
        <v>0</v>
      </c>
      <c r="E13" s="57">
        <f>Tabulka20101288[[#This Row],[Sloupec3]]-Tabulka20101288[[#This Row],[Sloupec4]]</f>
        <v>13117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100">
        <v>4004003643</v>
      </c>
      <c r="B14" s="125" t="s">
        <v>160</v>
      </c>
      <c r="C14" s="287">
        <v>13385</v>
      </c>
      <c r="D14" s="71">
        <f>(OBSAH!$J$6/100)*Tabulka20101288[[#This Row],[Sloupec3]]</f>
        <v>0</v>
      </c>
      <c r="E14" s="57">
        <f>Tabulka20101288[[#This Row],[Sloupec3]]-Tabulka20101288[[#This Row],[Sloupec4]]</f>
        <v>13385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100">
        <v>4004003647</v>
      </c>
      <c r="B15" s="125" t="s">
        <v>161</v>
      </c>
      <c r="C15" s="287">
        <v>13393</v>
      </c>
      <c r="D15" s="71">
        <f>(OBSAH!$J$6/100)*Tabulka20101288[[#This Row],[Sloupec3]]</f>
        <v>0</v>
      </c>
      <c r="E15" s="57">
        <f>Tabulka20101288[[#This Row],[Sloupec3]]-Tabulka20101288[[#This Row],[Sloupec4]]</f>
        <v>13393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100">
        <v>4004003651</v>
      </c>
      <c r="B16" s="125" t="s">
        <v>162</v>
      </c>
      <c r="C16" s="287">
        <v>13641</v>
      </c>
      <c r="D16" s="71">
        <f>(OBSAH!$J$6/100)*Tabulka20101288[[#This Row],[Sloupec3]]</f>
        <v>0</v>
      </c>
      <c r="E16" s="57">
        <f>Tabulka20101288[[#This Row],[Sloupec3]]-Tabulka20101288[[#This Row],[Sloupec4]]</f>
        <v>13641</v>
      </c>
      <c r="F16" s="3"/>
      <c r="G16" s="3"/>
      <c r="H16" s="3"/>
      <c r="I16" s="3"/>
      <c r="J16" s="3"/>
      <c r="K16" s="3"/>
      <c r="L16" s="3"/>
      <c r="M16" s="3"/>
    </row>
    <row r="17" spans="1:15" ht="14.25" customHeight="1" x14ac:dyDescent="0.4">
      <c r="A17" s="100">
        <v>4004003655</v>
      </c>
      <c r="B17" s="125" t="s">
        <v>163</v>
      </c>
      <c r="C17" s="287">
        <v>13850</v>
      </c>
      <c r="D17" s="71">
        <f>(OBSAH!$J$6/100)*Tabulka20101288[[#This Row],[Sloupec3]]</f>
        <v>0</v>
      </c>
      <c r="E17" s="57">
        <f>Tabulka20101288[[#This Row],[Sloupec3]]-Tabulka20101288[[#This Row],[Sloupec4]]</f>
        <v>13850</v>
      </c>
      <c r="F17" s="3"/>
      <c r="G17" s="3"/>
      <c r="H17" s="3"/>
      <c r="I17" s="3"/>
      <c r="J17" s="3"/>
      <c r="K17" s="3"/>
      <c r="L17" s="3"/>
      <c r="M17" s="3"/>
    </row>
    <row r="18" spans="1:15" ht="14.25" customHeight="1" x14ac:dyDescent="0.4">
      <c r="A18" s="100">
        <v>4004003659</v>
      </c>
      <c r="B18" s="125" t="s">
        <v>164</v>
      </c>
      <c r="C18" s="287">
        <v>17953</v>
      </c>
      <c r="D18" s="71">
        <f>(OBSAH!$J$6/100)*Tabulka20101288[[#This Row],[Sloupec3]]</f>
        <v>0</v>
      </c>
      <c r="E18" s="57">
        <f>Tabulka20101288[[#This Row],[Sloupec3]]-Tabulka20101288[[#This Row],[Sloupec4]]</f>
        <v>17953</v>
      </c>
      <c r="F18" s="3"/>
      <c r="G18" s="3"/>
      <c r="H18" s="3"/>
      <c r="I18" s="3"/>
      <c r="J18" s="3"/>
      <c r="K18" s="3"/>
      <c r="L18" s="3"/>
      <c r="M18" s="3"/>
    </row>
    <row r="19" spans="1:15" ht="14.25" customHeight="1" x14ac:dyDescent="0.4">
      <c r="A19" s="100">
        <v>4004003663</v>
      </c>
      <c r="B19" s="125" t="s">
        <v>165</v>
      </c>
      <c r="C19" s="287">
        <v>18196</v>
      </c>
      <c r="D19" s="71">
        <f>(OBSAH!$J$6/100)*Tabulka20101288[[#This Row],[Sloupec3]]</f>
        <v>0</v>
      </c>
      <c r="E19" s="57">
        <f>Tabulka20101288[[#This Row],[Sloupec3]]-Tabulka20101288[[#This Row],[Sloupec4]]</f>
        <v>18196</v>
      </c>
      <c r="F19" s="3"/>
      <c r="G19" s="3"/>
      <c r="H19" s="3"/>
      <c r="I19" s="3"/>
      <c r="J19" s="3"/>
      <c r="K19" s="3"/>
      <c r="L19" s="3"/>
      <c r="M19" s="3"/>
    </row>
    <row r="20" spans="1:15" s="44" customFormat="1" ht="14.25" customHeight="1" x14ac:dyDescent="0.3">
      <c r="A20" s="100">
        <v>4004003667</v>
      </c>
      <c r="B20" s="125" t="s">
        <v>166</v>
      </c>
      <c r="C20" s="287">
        <v>18267</v>
      </c>
      <c r="D20" s="71">
        <f>(OBSAH!$J$6/100)*Tabulka20101288[[#This Row],[Sloupec3]]</f>
        <v>0</v>
      </c>
      <c r="E20" s="57">
        <f>Tabulka20101288[[#This Row],[Sloupec3]]-Tabulka20101288[[#This Row],[Sloupec4]]</f>
        <v>18267</v>
      </c>
      <c r="F20" s="42"/>
      <c r="G20" s="42"/>
      <c r="H20" s="42"/>
      <c r="I20" s="42"/>
      <c r="J20" s="42"/>
      <c r="K20" s="42"/>
      <c r="L20" s="42"/>
      <c r="M20" s="42"/>
      <c r="O20" s="1"/>
    </row>
    <row r="21" spans="1:15" ht="14.25" customHeight="1" x14ac:dyDescent="0.4">
      <c r="A21" s="100">
        <v>4004003671</v>
      </c>
      <c r="B21" s="125" t="s">
        <v>167</v>
      </c>
      <c r="C21" s="287">
        <v>18380</v>
      </c>
      <c r="D21" s="71">
        <f>(OBSAH!$J$6/100)*Tabulka20101288[[#This Row],[Sloupec3]]</f>
        <v>0</v>
      </c>
      <c r="E21" s="57">
        <f>Tabulka20101288[[#This Row],[Sloupec3]]-Tabulka20101288[[#This Row],[Sloupec4]]</f>
        <v>18380</v>
      </c>
      <c r="F21" s="3"/>
      <c r="G21" s="3"/>
      <c r="H21" s="3"/>
      <c r="I21" s="3"/>
      <c r="J21" s="3"/>
      <c r="K21" s="3"/>
      <c r="L21" s="3"/>
      <c r="M21" s="3"/>
    </row>
    <row r="22" spans="1:15" ht="14.25" customHeight="1" x14ac:dyDescent="0.4">
      <c r="A22" s="100">
        <v>4004003675</v>
      </c>
      <c r="B22" s="125" t="s">
        <v>168</v>
      </c>
      <c r="C22" s="287">
        <v>18435</v>
      </c>
      <c r="D22" s="71">
        <f>(OBSAH!$J$6/100)*Tabulka20101288[[#This Row],[Sloupec3]]</f>
        <v>0</v>
      </c>
      <c r="E22" s="57">
        <f>Tabulka20101288[[#This Row],[Sloupec3]]-Tabulka20101288[[#This Row],[Sloupec4]]</f>
        <v>18435</v>
      </c>
      <c r="F22" s="42"/>
      <c r="G22" s="42"/>
      <c r="H22" s="42"/>
      <c r="I22" s="42"/>
      <c r="J22" s="42"/>
      <c r="K22" s="42"/>
      <c r="L22" s="42"/>
      <c r="M22" s="42"/>
    </row>
    <row r="23" spans="1:15" ht="14.25" customHeight="1" x14ac:dyDescent="0.4">
      <c r="A23" s="100">
        <v>4004003679</v>
      </c>
      <c r="B23" s="125" t="s">
        <v>169</v>
      </c>
      <c r="C23" s="287">
        <v>21590</v>
      </c>
      <c r="D23" s="71">
        <f>(OBSAH!$J$6/100)*Tabulka20101288[[#This Row],[Sloupec3]]</f>
        <v>0</v>
      </c>
      <c r="E23" s="57">
        <f>Tabulka20101288[[#This Row],[Sloupec3]]-Tabulka20101288[[#This Row],[Sloupec4]]</f>
        <v>21590</v>
      </c>
      <c r="F23" s="3"/>
      <c r="G23" s="448"/>
      <c r="H23" s="448"/>
      <c r="I23" s="448"/>
      <c r="J23" s="448"/>
      <c r="K23" s="448"/>
      <c r="L23" s="448"/>
      <c r="M23" s="3"/>
    </row>
    <row r="24" spans="1:15" ht="14.25" customHeight="1" x14ac:dyDescent="0.4">
      <c r="A24" s="100">
        <v>4004003683</v>
      </c>
      <c r="B24" s="125" t="s">
        <v>170</v>
      </c>
      <c r="C24" s="287">
        <v>21858</v>
      </c>
      <c r="D24" s="71">
        <f>(OBSAH!$J$6/100)*Tabulka20101288[[#This Row],[Sloupec3]]</f>
        <v>0</v>
      </c>
      <c r="E24" s="57">
        <f>Tabulka20101288[[#This Row],[Sloupec3]]-Tabulka20101288[[#This Row],[Sloupec4]]</f>
        <v>21858</v>
      </c>
      <c r="F24" s="3"/>
      <c r="G24" s="430"/>
      <c r="H24" s="430"/>
      <c r="I24" s="430"/>
      <c r="J24" s="430"/>
      <c r="K24" s="430"/>
      <c r="L24" s="430"/>
      <c r="M24" s="3"/>
    </row>
    <row r="25" spans="1:15" ht="14.25" customHeight="1" x14ac:dyDescent="0.4">
      <c r="A25" s="100">
        <v>4004003687</v>
      </c>
      <c r="B25" s="125" t="s">
        <v>171</v>
      </c>
      <c r="C25" s="287">
        <v>21999</v>
      </c>
      <c r="D25" s="71">
        <f>(OBSAH!$J$6/100)*Tabulka20101288[[#This Row],[Sloupec3]]</f>
        <v>0</v>
      </c>
      <c r="E25" s="57">
        <f>Tabulka20101288[[#This Row],[Sloupec3]]-Tabulka20101288[[#This Row],[Sloupec4]]</f>
        <v>21999</v>
      </c>
      <c r="F25" s="3"/>
      <c r="G25" s="448"/>
      <c r="H25" s="448"/>
      <c r="I25" s="448"/>
      <c r="J25" s="448"/>
      <c r="K25" s="448"/>
      <c r="L25" s="448"/>
      <c r="M25" s="3"/>
    </row>
    <row r="26" spans="1:15" ht="14.25" customHeight="1" x14ac:dyDescent="0.4">
      <c r="A26" s="100">
        <v>4004003691</v>
      </c>
      <c r="B26" s="125" t="s">
        <v>172</v>
      </c>
      <c r="C26" s="287">
        <v>22112</v>
      </c>
      <c r="D26" s="71">
        <f>(OBSAH!$J$6/100)*Tabulka20101288[[#This Row],[Sloupec3]]</f>
        <v>0</v>
      </c>
      <c r="E26" s="57">
        <f>Tabulka20101288[[#This Row],[Sloupec3]]-Tabulka20101288[[#This Row],[Sloupec4]]</f>
        <v>22112</v>
      </c>
      <c r="F26" s="3"/>
      <c r="G26" s="430"/>
      <c r="H26" s="430"/>
      <c r="I26" s="430"/>
      <c r="J26" s="430"/>
      <c r="K26" s="430"/>
      <c r="L26" s="430"/>
      <c r="M26" s="3"/>
    </row>
    <row r="27" spans="1:15" ht="14.25" customHeight="1" x14ac:dyDescent="0.4">
      <c r="A27" s="100">
        <v>4004003695</v>
      </c>
      <c r="B27" s="125" t="s">
        <v>173</v>
      </c>
      <c r="C27" s="287">
        <v>22294</v>
      </c>
      <c r="D27" s="71">
        <f>(OBSAH!$J$6/100)*Tabulka20101288[[#This Row],[Sloupec3]]</f>
        <v>0</v>
      </c>
      <c r="E27" s="57">
        <f>Tabulka20101288[[#This Row],[Sloupec3]]-Tabulka20101288[[#This Row],[Sloupec4]]</f>
        <v>22294</v>
      </c>
      <c r="F27" s="3"/>
      <c r="G27" s="3"/>
      <c r="H27" s="3"/>
      <c r="I27" s="3"/>
      <c r="J27" s="3"/>
      <c r="K27" s="3"/>
      <c r="L27" s="3"/>
      <c r="M27" s="3"/>
    </row>
    <row r="28" spans="1:15" ht="14.25" customHeight="1" x14ac:dyDescent="0.4">
      <c r="A28" s="100">
        <v>4004003699</v>
      </c>
      <c r="B28" s="125" t="s">
        <v>174</v>
      </c>
      <c r="C28" s="287">
        <v>26143</v>
      </c>
      <c r="D28" s="71">
        <f>(OBSAH!$J$6/100)*Tabulka20101288[[#This Row],[Sloupec3]]</f>
        <v>0</v>
      </c>
      <c r="E28" s="57">
        <f>Tabulka20101288[[#This Row],[Sloupec3]]-Tabulka20101288[[#This Row],[Sloupec4]]</f>
        <v>26143</v>
      </c>
      <c r="F28" s="3"/>
      <c r="G28" s="3"/>
      <c r="H28" s="3"/>
      <c r="I28" s="3"/>
      <c r="J28" s="3"/>
      <c r="K28" s="3"/>
      <c r="L28" s="3"/>
      <c r="M28" s="3"/>
    </row>
    <row r="29" spans="1:15" ht="14.25" customHeight="1" x14ac:dyDescent="0.4">
      <c r="A29" s="100">
        <v>4004003703</v>
      </c>
      <c r="B29" s="125" t="s">
        <v>175</v>
      </c>
      <c r="C29" s="287">
        <v>26442</v>
      </c>
      <c r="D29" s="71">
        <f>(OBSAH!$J$6/100)*Tabulka20101288[[#This Row],[Sloupec3]]</f>
        <v>0</v>
      </c>
      <c r="E29" s="57">
        <f>Tabulka20101288[[#This Row],[Sloupec3]]-Tabulka20101288[[#This Row],[Sloupec4]]</f>
        <v>26442</v>
      </c>
      <c r="F29" s="3"/>
      <c r="G29" s="3"/>
      <c r="H29" s="3"/>
      <c r="I29" s="3"/>
      <c r="J29" s="3"/>
      <c r="K29" s="3"/>
      <c r="L29" s="3"/>
      <c r="M29" s="3"/>
    </row>
    <row r="30" spans="1:15" ht="14.25" customHeight="1" x14ac:dyDescent="0.4">
      <c r="A30" s="100">
        <v>4004003707</v>
      </c>
      <c r="B30" s="125" t="s">
        <v>176</v>
      </c>
      <c r="C30" s="287">
        <v>26554</v>
      </c>
      <c r="D30" s="71">
        <f>(OBSAH!$J$6/100)*Tabulka20101288[[#This Row],[Sloupec3]]</f>
        <v>0</v>
      </c>
      <c r="E30" s="57">
        <f>Tabulka20101288[[#This Row],[Sloupec3]]-Tabulka20101288[[#This Row],[Sloupec4]]</f>
        <v>26554</v>
      </c>
      <c r="F30" s="3"/>
      <c r="G30" s="3"/>
      <c r="H30" s="3"/>
      <c r="I30" s="3"/>
      <c r="J30" s="3"/>
      <c r="K30" s="3"/>
      <c r="L30" s="3"/>
      <c r="M30" s="3"/>
    </row>
    <row r="31" spans="1:15" s="44" customFormat="1" ht="14.25" customHeight="1" x14ac:dyDescent="0.3">
      <c r="A31" s="100">
        <v>4004003711</v>
      </c>
      <c r="B31" s="125" t="s">
        <v>177</v>
      </c>
      <c r="C31" s="287">
        <v>26668</v>
      </c>
      <c r="D31" s="71">
        <f>(OBSAH!$J$6/100)*Tabulka20101288[[#This Row],[Sloupec3]]</f>
        <v>0</v>
      </c>
      <c r="E31" s="57">
        <f>Tabulka20101288[[#This Row],[Sloupec3]]-Tabulka20101288[[#This Row],[Sloupec4]]</f>
        <v>26668</v>
      </c>
      <c r="F31" s="42"/>
      <c r="G31" s="42"/>
      <c r="H31" s="42"/>
      <c r="I31" s="42"/>
      <c r="J31" s="42"/>
      <c r="K31" s="42"/>
      <c r="L31" s="42"/>
      <c r="M31" s="42"/>
      <c r="O31" s="1"/>
    </row>
    <row r="32" spans="1:15" ht="14.25" customHeight="1" x14ac:dyDescent="0.4">
      <c r="A32" s="100">
        <v>4004003715</v>
      </c>
      <c r="B32" s="125" t="s">
        <v>178</v>
      </c>
      <c r="C32" s="287">
        <v>26880</v>
      </c>
      <c r="D32" s="71">
        <f>(OBSAH!$J$6/100)*Tabulka20101288[[#This Row],[Sloupec3]]</f>
        <v>0</v>
      </c>
      <c r="E32" s="57">
        <f>Tabulka20101288[[#This Row],[Sloupec3]]-Tabulka20101288[[#This Row],[Sloupec4]]</f>
        <v>26880</v>
      </c>
      <c r="F32" s="3"/>
      <c r="G32" s="3"/>
      <c r="H32" s="3"/>
      <c r="I32" s="3"/>
      <c r="J32" s="3"/>
      <c r="K32" s="3"/>
      <c r="L32" s="3"/>
      <c r="M32" s="3"/>
    </row>
    <row r="33" spans="1:15" ht="14.25" customHeight="1" x14ac:dyDescent="0.4">
      <c r="A33" s="100">
        <v>4004003719</v>
      </c>
      <c r="B33" s="125" t="s">
        <v>179</v>
      </c>
      <c r="C33" s="287">
        <v>30280</v>
      </c>
      <c r="D33" s="71">
        <f>(OBSAH!$J$6/100)*Tabulka20101288[[#This Row],[Sloupec3]]</f>
        <v>0</v>
      </c>
      <c r="E33" s="57">
        <f>Tabulka20101288[[#This Row],[Sloupec3]]-Tabulka20101288[[#This Row],[Sloupec4]]</f>
        <v>30280</v>
      </c>
      <c r="F33" s="3"/>
      <c r="G33" s="3"/>
      <c r="H33" s="3"/>
      <c r="I33" s="3"/>
      <c r="J33" s="3"/>
      <c r="K33" s="3"/>
      <c r="L33" s="3"/>
      <c r="M33" s="3"/>
    </row>
    <row r="34" spans="1:15" ht="14.25" customHeight="1" x14ac:dyDescent="0.4">
      <c r="A34" s="100">
        <v>4004003723</v>
      </c>
      <c r="B34" s="125" t="s">
        <v>180</v>
      </c>
      <c r="C34" s="287">
        <v>30548</v>
      </c>
      <c r="D34" s="71">
        <f>(OBSAH!$J$6/100)*Tabulka20101288[[#This Row],[Sloupec3]]</f>
        <v>0</v>
      </c>
      <c r="E34" s="57">
        <f>Tabulka20101288[[#This Row],[Sloupec3]]-Tabulka20101288[[#This Row],[Sloupec4]]</f>
        <v>30548</v>
      </c>
      <c r="F34" s="3"/>
      <c r="G34" s="3"/>
      <c r="H34" s="3"/>
      <c r="I34" s="3"/>
      <c r="J34" s="3"/>
      <c r="K34" s="3"/>
      <c r="L34" s="3"/>
      <c r="M34" s="3"/>
    </row>
    <row r="35" spans="1:15" ht="14.25" customHeight="1" x14ac:dyDescent="0.4">
      <c r="A35" s="100">
        <v>4004003727</v>
      </c>
      <c r="B35" s="125" t="s">
        <v>181</v>
      </c>
      <c r="C35" s="287">
        <v>30623</v>
      </c>
      <c r="D35" s="71">
        <f>(OBSAH!$J$6/100)*Tabulka20101288[[#This Row],[Sloupec3]]</f>
        <v>0</v>
      </c>
      <c r="E35" s="57">
        <f>Tabulka20101288[[#This Row],[Sloupec3]]-Tabulka20101288[[#This Row],[Sloupec4]]</f>
        <v>30623</v>
      </c>
      <c r="F35" s="3"/>
      <c r="G35" s="3"/>
      <c r="H35" s="3"/>
      <c r="I35" s="3"/>
      <c r="J35" s="3"/>
      <c r="K35" s="3"/>
      <c r="L35" s="3"/>
      <c r="M35" s="3"/>
    </row>
    <row r="36" spans="1:15" ht="14.25" customHeight="1" x14ac:dyDescent="0.4">
      <c r="A36" s="100">
        <v>4004003731</v>
      </c>
      <c r="B36" s="125" t="s">
        <v>182</v>
      </c>
      <c r="C36" s="287">
        <v>30776</v>
      </c>
      <c r="D36" s="71">
        <f>(OBSAH!$J$6/100)*Tabulka20101288[[#This Row],[Sloupec3]]</f>
        <v>0</v>
      </c>
      <c r="E36" s="57">
        <f>Tabulka20101288[[#This Row],[Sloupec3]]-Tabulka20101288[[#This Row],[Sloupec4]]</f>
        <v>30776</v>
      </c>
      <c r="F36" s="42"/>
      <c r="G36" s="42"/>
      <c r="H36" s="42"/>
      <c r="I36" s="42"/>
      <c r="J36" s="42"/>
      <c r="K36" s="42"/>
      <c r="L36" s="42"/>
      <c r="M36" s="42"/>
    </row>
    <row r="37" spans="1:15" ht="14.25" customHeight="1" x14ac:dyDescent="0.4">
      <c r="A37" s="100">
        <v>4004003735</v>
      </c>
      <c r="B37" s="125" t="s">
        <v>183</v>
      </c>
      <c r="C37" s="287">
        <v>30986</v>
      </c>
      <c r="D37" s="71">
        <f>(OBSAH!$J$6/100)*Tabulka20101288[[#This Row],[Sloupec3]]</f>
        <v>0</v>
      </c>
      <c r="E37" s="57">
        <f>Tabulka20101288[[#This Row],[Sloupec3]]-Tabulka20101288[[#This Row],[Sloupec4]]</f>
        <v>30986</v>
      </c>
      <c r="F37" s="3"/>
      <c r="G37" s="3"/>
      <c r="H37" s="3"/>
      <c r="I37" s="3"/>
      <c r="J37" s="3"/>
      <c r="K37" s="3"/>
      <c r="L37" s="3"/>
      <c r="M37" s="3"/>
    </row>
    <row r="38" spans="1:15" ht="14.25" customHeight="1" x14ac:dyDescent="0.4">
      <c r="A38" s="100">
        <v>4004003739</v>
      </c>
      <c r="B38" s="125" t="s">
        <v>184</v>
      </c>
      <c r="C38" s="287">
        <v>34789</v>
      </c>
      <c r="D38" s="71">
        <f>(OBSAH!$J$6/100)*Tabulka20101288[[#This Row],[Sloupec3]]</f>
        <v>0</v>
      </c>
      <c r="E38" s="57">
        <f>Tabulka20101288[[#This Row],[Sloupec3]]-Tabulka20101288[[#This Row],[Sloupec4]]</f>
        <v>34789</v>
      </c>
      <c r="F38" s="3"/>
      <c r="G38" s="3"/>
      <c r="H38" s="3"/>
      <c r="I38" s="3"/>
      <c r="J38" s="3"/>
      <c r="K38" s="3"/>
      <c r="L38" s="3"/>
      <c r="M38" s="3"/>
    </row>
    <row r="39" spans="1:15" s="44" customFormat="1" ht="14.25" customHeight="1" x14ac:dyDescent="0.3">
      <c r="A39" s="100">
        <v>4004003743</v>
      </c>
      <c r="B39" s="125" t="s">
        <v>185</v>
      </c>
      <c r="C39" s="287">
        <v>35054</v>
      </c>
      <c r="D39" s="71">
        <f>(OBSAH!$J$6/100)*Tabulka20101288[[#This Row],[Sloupec3]]</f>
        <v>0</v>
      </c>
      <c r="E39" s="57">
        <f>Tabulka20101288[[#This Row],[Sloupec3]]-Tabulka20101288[[#This Row],[Sloupec4]]</f>
        <v>35054</v>
      </c>
      <c r="F39" s="3"/>
      <c r="G39" s="3"/>
      <c r="H39" s="3"/>
      <c r="I39" s="3"/>
      <c r="J39" s="3"/>
      <c r="K39" s="3"/>
      <c r="L39" s="3"/>
      <c r="M39" s="3"/>
      <c r="O39" s="1"/>
    </row>
    <row r="40" spans="1:15" ht="14.25" customHeight="1" x14ac:dyDescent="0.4">
      <c r="A40" s="100">
        <v>4004003747</v>
      </c>
      <c r="B40" s="125" t="s">
        <v>186</v>
      </c>
      <c r="C40" s="287">
        <v>35168</v>
      </c>
      <c r="D40" s="71">
        <f>(OBSAH!$J$6/100)*Tabulka20101288[[#This Row],[Sloupec3]]</f>
        <v>0</v>
      </c>
      <c r="E40" s="57">
        <f>Tabulka20101288[[#This Row],[Sloupec3]]-Tabulka20101288[[#This Row],[Sloupec4]]</f>
        <v>35168</v>
      </c>
      <c r="F40" s="42"/>
      <c r="G40" s="42"/>
      <c r="H40" s="42"/>
      <c r="I40" s="42"/>
      <c r="J40" s="42"/>
      <c r="K40" s="42"/>
      <c r="L40" s="42"/>
      <c r="M40" s="42"/>
    </row>
    <row r="41" spans="1:15" ht="14.25" customHeight="1" x14ac:dyDescent="0.4">
      <c r="A41" s="100">
        <v>4004003751</v>
      </c>
      <c r="B41" s="125" t="s">
        <v>187</v>
      </c>
      <c r="C41" s="287">
        <v>35283</v>
      </c>
      <c r="D41" s="71">
        <f>(OBSAH!$J$6/100)*Tabulka20101288[[#This Row],[Sloupec3]]</f>
        <v>0</v>
      </c>
      <c r="E41" s="57">
        <f>Tabulka20101288[[#This Row],[Sloupec3]]-Tabulka20101288[[#This Row],[Sloupec4]]</f>
        <v>35283</v>
      </c>
      <c r="F41" s="3"/>
      <c r="G41" s="3"/>
      <c r="H41" s="3"/>
      <c r="I41" s="3"/>
      <c r="J41" s="3"/>
      <c r="K41" s="3"/>
      <c r="L41" s="3"/>
      <c r="M41" s="3"/>
    </row>
    <row r="42" spans="1:15" ht="14.25" customHeight="1" x14ac:dyDescent="0.4">
      <c r="A42" s="101">
        <v>4004003755</v>
      </c>
      <c r="B42" s="102" t="s">
        <v>188</v>
      </c>
      <c r="C42" s="288">
        <v>35522</v>
      </c>
      <c r="D42" s="68">
        <f>(OBSAH!$J$6/100)*Tabulka20101288[[#This Row],[Sloupec3]]</f>
        <v>0</v>
      </c>
      <c r="E42" s="58">
        <f>Tabulka20101288[[#This Row],[Sloupec3]]-Tabulka20101288[[#This Row],[Sloupec4]]</f>
        <v>35522</v>
      </c>
      <c r="F42" s="3"/>
      <c r="G42" s="3"/>
      <c r="H42" s="3"/>
      <c r="I42" s="3"/>
      <c r="J42" s="3"/>
      <c r="K42" s="3"/>
      <c r="L42" s="3"/>
      <c r="M42" s="3"/>
    </row>
    <row r="43" spans="1:15" ht="15" customHeight="1" x14ac:dyDescent="0.4">
      <c r="A43" s="103"/>
      <c r="B43" s="84"/>
      <c r="C43" s="85"/>
      <c r="D43" s="61"/>
      <c r="E43" s="62"/>
      <c r="F43" s="3"/>
      <c r="G43" s="3"/>
      <c r="H43" s="3"/>
      <c r="I43" s="3"/>
      <c r="J43" s="3"/>
      <c r="K43" s="3"/>
      <c r="L43" s="3"/>
      <c r="M43" s="3"/>
    </row>
    <row r="44" spans="1:15" ht="24" customHeight="1" x14ac:dyDescent="0.4">
      <c r="A44" s="440" t="s">
        <v>91</v>
      </c>
      <c r="B44" s="440"/>
      <c r="C44" s="440"/>
      <c r="D44" s="440"/>
      <c r="E44" s="440"/>
      <c r="F44" s="3"/>
      <c r="G44" s="3"/>
      <c r="H44" s="3"/>
      <c r="I44" s="3"/>
      <c r="J44" s="3"/>
      <c r="K44" s="3"/>
      <c r="L44" s="3"/>
      <c r="M44" s="3"/>
    </row>
    <row r="45" spans="1:15" ht="24" customHeight="1" x14ac:dyDescent="0.4">
      <c r="A45" s="39" t="s">
        <v>56</v>
      </c>
      <c r="B45" s="39" t="s">
        <v>57</v>
      </c>
      <c r="C45" s="40" t="s">
        <v>58</v>
      </c>
      <c r="D45" s="40" t="s">
        <v>59</v>
      </c>
      <c r="E45" s="41" t="s">
        <v>60</v>
      </c>
      <c r="F45" s="3"/>
      <c r="G45" s="445"/>
      <c r="H45" s="445"/>
      <c r="I45" s="445"/>
      <c r="J45" s="445"/>
      <c r="K45" s="445"/>
      <c r="L45" s="445"/>
      <c r="M45" s="3"/>
    </row>
    <row r="46" spans="1:15" ht="14.25" customHeight="1" x14ac:dyDescent="0.4">
      <c r="A46" s="204" t="s">
        <v>189</v>
      </c>
      <c r="B46" s="205" t="s">
        <v>190</v>
      </c>
      <c r="C46" s="289">
        <v>8300</v>
      </c>
      <c r="D46" s="69">
        <f>(OBSAH!$J$6/100)*Tabulka21111382[[#This Row],[Sloupec3]]</f>
        <v>0</v>
      </c>
      <c r="E46" s="70">
        <f>Tabulka21111382[[#This Row],[Sloupec3]]-Tabulka21111382[[#This Row],[Sloupec4]]</f>
        <v>8300</v>
      </c>
      <c r="F46" s="3"/>
      <c r="G46" s="3"/>
      <c r="H46" s="3"/>
      <c r="I46" s="3"/>
      <c r="J46" s="3"/>
      <c r="K46" s="3"/>
      <c r="L46" s="3"/>
      <c r="M46" s="3"/>
    </row>
    <row r="47" spans="1:15" ht="14.25" customHeight="1" x14ac:dyDescent="0.4">
      <c r="A47" s="206" t="s">
        <v>191</v>
      </c>
      <c r="B47" s="97" t="s">
        <v>192</v>
      </c>
      <c r="C47" s="290">
        <v>8474</v>
      </c>
      <c r="D47" s="71">
        <f>(OBSAH!$J$6/100)*Tabulka21111382[[#This Row],[Sloupec3]]</f>
        <v>0</v>
      </c>
      <c r="E47" s="57">
        <f>Tabulka21111382[[#This Row],[Sloupec3]]-Tabulka21111382[[#This Row],[Sloupec4]]</f>
        <v>8474</v>
      </c>
      <c r="F47" s="3"/>
      <c r="G47" s="3"/>
      <c r="H47" s="3"/>
      <c r="I47" s="3"/>
      <c r="J47" s="3"/>
      <c r="K47" s="3"/>
      <c r="L47" s="3"/>
      <c r="M47" s="3"/>
    </row>
    <row r="48" spans="1:15" ht="14.25" customHeight="1" x14ac:dyDescent="0.4">
      <c r="A48" s="206" t="s">
        <v>193</v>
      </c>
      <c r="B48" s="97" t="s">
        <v>194</v>
      </c>
      <c r="C48" s="290">
        <v>8789</v>
      </c>
      <c r="D48" s="71">
        <f>(OBSAH!$J$6/100)*Tabulka21111382[[#This Row],[Sloupec3]]</f>
        <v>0</v>
      </c>
      <c r="E48" s="57">
        <f>Tabulka21111382[[#This Row],[Sloupec3]]-Tabulka21111382[[#This Row],[Sloupec4]]</f>
        <v>8789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100">
        <v>4004003503</v>
      </c>
      <c r="B49" s="125" t="s">
        <v>195</v>
      </c>
      <c r="C49" s="290">
        <v>13558</v>
      </c>
      <c r="D49" s="71">
        <f>(OBSAH!$J$6/100)*Tabulka21111382[[#This Row],[Sloupec3]]</f>
        <v>0</v>
      </c>
      <c r="E49" s="57">
        <f>Tabulka21111382[[#This Row],[Sloupec3]]-Tabulka21111382[[#This Row],[Sloupec4]]</f>
        <v>13558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100">
        <v>4004003507</v>
      </c>
      <c r="B50" s="125" t="s">
        <v>196</v>
      </c>
      <c r="C50" s="290">
        <v>13825</v>
      </c>
      <c r="D50" s="71">
        <f>(OBSAH!$J$6/100)*Tabulka21111382[[#This Row],[Sloupec3]]</f>
        <v>0</v>
      </c>
      <c r="E50" s="57">
        <f>Tabulka21111382[[#This Row],[Sloupec3]]-Tabulka21111382[[#This Row],[Sloupec4]]</f>
        <v>13825</v>
      </c>
      <c r="F50" s="3"/>
      <c r="G50" s="3"/>
      <c r="H50" s="3"/>
      <c r="I50" s="3"/>
      <c r="J50" s="3"/>
      <c r="K50" s="3"/>
      <c r="L50" s="3"/>
      <c r="M50" s="3"/>
    </row>
    <row r="51" spans="1:13" ht="14.25" customHeight="1" x14ac:dyDescent="0.4">
      <c r="A51" s="100">
        <v>4004003511</v>
      </c>
      <c r="B51" s="125" t="s">
        <v>197</v>
      </c>
      <c r="C51" s="290">
        <v>13835</v>
      </c>
      <c r="D51" s="71">
        <f>(OBSAH!$J$6/100)*Tabulka21111382[[#This Row],[Sloupec3]]</f>
        <v>0</v>
      </c>
      <c r="E51" s="57">
        <f>Tabulka21111382[[#This Row],[Sloupec3]]-Tabulka21111382[[#This Row],[Sloupec4]]</f>
        <v>13835</v>
      </c>
      <c r="F51" s="3"/>
      <c r="G51" s="3"/>
      <c r="H51" s="3"/>
      <c r="I51" s="3"/>
      <c r="J51" s="3"/>
      <c r="K51" s="3"/>
      <c r="L51" s="3"/>
      <c r="M51" s="3"/>
    </row>
    <row r="52" spans="1:13" ht="14.25" customHeight="1" x14ac:dyDescent="0.4">
      <c r="A52" s="100">
        <v>4004003515</v>
      </c>
      <c r="B52" s="125" t="s">
        <v>198</v>
      </c>
      <c r="C52" s="290">
        <v>14081</v>
      </c>
      <c r="D52" s="71">
        <f>(OBSAH!$J$6/100)*Tabulka21111382[[#This Row],[Sloupec3]]</f>
        <v>0</v>
      </c>
      <c r="E52" s="57">
        <f>Tabulka21111382[[#This Row],[Sloupec3]]-Tabulka21111382[[#This Row],[Sloupec4]]</f>
        <v>14081</v>
      </c>
      <c r="F52" s="3"/>
      <c r="G52" s="445"/>
      <c r="H52" s="445"/>
      <c r="I52" s="445"/>
      <c r="J52" s="445"/>
      <c r="K52" s="445"/>
      <c r="L52" s="445"/>
      <c r="M52" s="3"/>
    </row>
    <row r="53" spans="1:13" ht="14.25" customHeight="1" x14ac:dyDescent="0.4">
      <c r="A53" s="100">
        <v>4004003519</v>
      </c>
      <c r="B53" s="125" t="s">
        <v>199</v>
      </c>
      <c r="C53" s="290">
        <v>14290</v>
      </c>
      <c r="D53" s="71">
        <f>(OBSAH!$J$6/100)*Tabulka21111382[[#This Row],[Sloupec3]]</f>
        <v>0</v>
      </c>
      <c r="E53" s="57">
        <f>Tabulka21111382[[#This Row],[Sloupec3]]-Tabulka21111382[[#This Row],[Sloupec4]]</f>
        <v>14290</v>
      </c>
      <c r="F53" s="42"/>
      <c r="G53" s="433"/>
      <c r="H53" s="433"/>
      <c r="I53" s="433"/>
      <c r="J53" s="433"/>
      <c r="K53" s="433"/>
      <c r="L53" s="433"/>
      <c r="M53" s="42"/>
    </row>
    <row r="54" spans="1:13" ht="14.25" customHeight="1" x14ac:dyDescent="0.4">
      <c r="A54" s="100">
        <v>4004003523</v>
      </c>
      <c r="B54" s="125" t="s">
        <v>200</v>
      </c>
      <c r="C54" s="290">
        <v>18394</v>
      </c>
      <c r="D54" s="71">
        <f>(OBSAH!$J$6/100)*Tabulka21111382[[#This Row],[Sloupec3]]</f>
        <v>0</v>
      </c>
      <c r="E54" s="57">
        <f>Tabulka21111382[[#This Row],[Sloupec3]]-Tabulka21111382[[#This Row],[Sloupec4]]</f>
        <v>18394</v>
      </c>
      <c r="F54" s="3"/>
      <c r="G54" s="3"/>
      <c r="H54" s="3"/>
      <c r="I54" s="3"/>
      <c r="J54" s="3"/>
      <c r="K54" s="3"/>
      <c r="L54" s="3"/>
      <c r="M54" s="3"/>
    </row>
    <row r="55" spans="1:13" ht="14.25" customHeight="1" x14ac:dyDescent="0.4">
      <c r="A55" s="100">
        <v>4004003527</v>
      </c>
      <c r="B55" s="125" t="s">
        <v>201</v>
      </c>
      <c r="C55" s="290">
        <v>18637</v>
      </c>
      <c r="D55" s="71">
        <f>(OBSAH!$J$6/100)*Tabulka21111382[[#This Row],[Sloupec3]]</f>
        <v>0</v>
      </c>
      <c r="E55" s="57">
        <f>Tabulka21111382[[#This Row],[Sloupec3]]-Tabulka21111382[[#This Row],[Sloupec4]]</f>
        <v>18637</v>
      </c>
      <c r="F55" s="3"/>
      <c r="G55" s="3"/>
      <c r="H55" s="3"/>
      <c r="I55" s="3"/>
      <c r="J55" s="3"/>
      <c r="K55" s="3"/>
      <c r="L55" s="3"/>
      <c r="M55" s="3"/>
    </row>
    <row r="56" spans="1:13" ht="14.25" customHeight="1" x14ac:dyDescent="0.4">
      <c r="A56" s="100">
        <v>4004003531</v>
      </c>
      <c r="B56" s="125" t="s">
        <v>202</v>
      </c>
      <c r="C56" s="290">
        <v>18708</v>
      </c>
      <c r="D56" s="71">
        <f>(OBSAH!$J$6/100)*Tabulka21111382[[#This Row],[Sloupec3]]</f>
        <v>0</v>
      </c>
      <c r="E56" s="57">
        <f>Tabulka21111382[[#This Row],[Sloupec3]]-Tabulka21111382[[#This Row],[Sloupec4]]</f>
        <v>18708</v>
      </c>
      <c r="F56" s="3"/>
      <c r="G56" s="3"/>
      <c r="H56" s="3"/>
      <c r="I56" s="3"/>
      <c r="J56" s="3"/>
      <c r="K56" s="3"/>
      <c r="L56" s="3"/>
      <c r="M56" s="3"/>
    </row>
    <row r="57" spans="1:13" ht="14.25" customHeight="1" x14ac:dyDescent="0.4">
      <c r="A57" s="100">
        <v>4004003535</v>
      </c>
      <c r="B57" s="125" t="s">
        <v>203</v>
      </c>
      <c r="C57" s="290">
        <v>18821</v>
      </c>
      <c r="D57" s="71">
        <f>(OBSAH!$J$6/100)*Tabulka21111382[[#This Row],[Sloupec3]]</f>
        <v>0</v>
      </c>
      <c r="E57" s="57">
        <f>Tabulka21111382[[#This Row],[Sloupec3]]-Tabulka21111382[[#This Row],[Sloupec4]]</f>
        <v>18821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100">
        <v>4004003539</v>
      </c>
      <c r="B58" s="125" t="s">
        <v>204</v>
      </c>
      <c r="C58" s="290">
        <v>18876</v>
      </c>
      <c r="D58" s="71">
        <f>(OBSAH!$J$6/100)*Tabulka21111382[[#This Row],[Sloupec3]]</f>
        <v>0</v>
      </c>
      <c r="E58" s="57">
        <f>Tabulka21111382[[#This Row],[Sloupec3]]-Tabulka21111382[[#This Row],[Sloupec4]]</f>
        <v>18876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100">
        <v>4004003543</v>
      </c>
      <c r="B59" s="125" t="s">
        <v>205</v>
      </c>
      <c r="C59" s="290">
        <v>22029</v>
      </c>
      <c r="D59" s="71">
        <f>(OBSAH!$J$6/100)*Tabulka21111382[[#This Row],[Sloupec3]]</f>
        <v>0</v>
      </c>
      <c r="E59" s="57">
        <f>Tabulka21111382[[#This Row],[Sloupec3]]-Tabulka21111382[[#This Row],[Sloupec4]]</f>
        <v>22029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100">
        <v>4004003547</v>
      </c>
      <c r="B60" s="125" t="s">
        <v>206</v>
      </c>
      <c r="C60" s="290">
        <v>22299</v>
      </c>
      <c r="D60" s="71">
        <f>(OBSAH!$J$6/100)*Tabulka21111382[[#This Row],[Sloupec3]]</f>
        <v>0</v>
      </c>
      <c r="E60" s="57">
        <f>Tabulka21111382[[#This Row],[Sloupec3]]-Tabulka21111382[[#This Row],[Sloupec4]]</f>
        <v>22299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100">
        <v>4004003551</v>
      </c>
      <c r="B61" s="125" t="s">
        <v>207</v>
      </c>
      <c r="C61" s="290">
        <v>22439</v>
      </c>
      <c r="D61" s="71">
        <f>(OBSAH!$J$6/100)*Tabulka21111382[[#This Row],[Sloupec3]]</f>
        <v>0</v>
      </c>
      <c r="E61" s="57">
        <f>Tabulka21111382[[#This Row],[Sloupec3]]-Tabulka21111382[[#This Row],[Sloupec4]]</f>
        <v>22439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100">
        <v>4004003555</v>
      </c>
      <c r="B62" s="125" t="s">
        <v>208</v>
      </c>
      <c r="C62" s="290">
        <v>22553</v>
      </c>
      <c r="D62" s="71">
        <f>(OBSAH!$J$6/100)*Tabulka21111382[[#This Row],[Sloupec3]]</f>
        <v>0</v>
      </c>
      <c r="E62" s="57">
        <f>Tabulka21111382[[#This Row],[Sloupec3]]-Tabulka21111382[[#This Row],[Sloupec4]]</f>
        <v>22553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100">
        <v>4004003559</v>
      </c>
      <c r="B63" s="125" t="s">
        <v>209</v>
      </c>
      <c r="C63" s="290">
        <v>22735</v>
      </c>
      <c r="D63" s="71">
        <f>(OBSAH!$J$6/100)*Tabulka21111382[[#This Row],[Sloupec3]]</f>
        <v>0</v>
      </c>
      <c r="E63" s="57">
        <f>Tabulka21111382[[#This Row],[Sloupec3]]-Tabulka21111382[[#This Row],[Sloupec4]]</f>
        <v>22735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100">
        <v>4004003563</v>
      </c>
      <c r="B64" s="125" t="s">
        <v>210</v>
      </c>
      <c r="C64" s="290">
        <v>26585</v>
      </c>
      <c r="D64" s="71">
        <f>(OBSAH!$J$6/100)*Tabulka21111382[[#This Row],[Sloupec3]]</f>
        <v>0</v>
      </c>
      <c r="E64" s="57">
        <f>Tabulka21111382[[#This Row],[Sloupec3]]-Tabulka21111382[[#This Row],[Sloupec4]]</f>
        <v>26585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100">
        <v>4004003567</v>
      </c>
      <c r="B65" s="125" t="s">
        <v>211</v>
      </c>
      <c r="C65" s="290">
        <v>26883</v>
      </c>
      <c r="D65" s="71">
        <f>(OBSAH!$J$6/100)*Tabulka21111382[[#This Row],[Sloupec3]]</f>
        <v>0</v>
      </c>
      <c r="E65" s="57">
        <f>Tabulka21111382[[#This Row],[Sloupec3]]-Tabulka21111382[[#This Row],[Sloupec4]]</f>
        <v>26883</v>
      </c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100">
        <v>4004003571</v>
      </c>
      <c r="B66" s="125" t="s">
        <v>212</v>
      </c>
      <c r="C66" s="290">
        <v>26995</v>
      </c>
      <c r="D66" s="71">
        <f>(OBSAH!$J$6/100)*Tabulka21111382[[#This Row],[Sloupec3]]</f>
        <v>0</v>
      </c>
      <c r="E66" s="57">
        <f>Tabulka21111382[[#This Row],[Sloupec3]]-Tabulka21111382[[#This Row],[Sloupec4]]</f>
        <v>26995</v>
      </c>
      <c r="F66" s="3"/>
      <c r="G66" s="3"/>
      <c r="H66" s="3"/>
      <c r="I66" s="3"/>
      <c r="J66" s="3"/>
      <c r="K66" s="3"/>
      <c r="L66" s="3"/>
      <c r="M66" s="3"/>
    </row>
    <row r="67" spans="1:13" ht="14.25" customHeight="1" x14ac:dyDescent="0.4">
      <c r="A67" s="100">
        <v>4004003575</v>
      </c>
      <c r="B67" s="125" t="s">
        <v>213</v>
      </c>
      <c r="C67" s="290">
        <v>27109</v>
      </c>
      <c r="D67" s="71">
        <f>(OBSAH!$J$6/100)*Tabulka21111382[[#This Row],[Sloupec3]]</f>
        <v>0</v>
      </c>
      <c r="E67" s="57">
        <f>Tabulka21111382[[#This Row],[Sloupec3]]-Tabulka21111382[[#This Row],[Sloupec4]]</f>
        <v>27109</v>
      </c>
      <c r="F67" s="3"/>
      <c r="G67" s="3"/>
      <c r="H67" s="3"/>
      <c r="I67" s="3"/>
      <c r="J67" s="3"/>
      <c r="K67" s="3"/>
      <c r="L67" s="3"/>
      <c r="M67" s="3"/>
    </row>
    <row r="68" spans="1:13" ht="14.25" customHeight="1" x14ac:dyDescent="0.4">
      <c r="A68" s="100">
        <v>4004003579</v>
      </c>
      <c r="B68" s="125" t="s">
        <v>214</v>
      </c>
      <c r="C68" s="290">
        <v>27320</v>
      </c>
      <c r="D68" s="71">
        <f>(OBSAH!$J$6/100)*Tabulka21111382[[#This Row],[Sloupec3]]</f>
        <v>0</v>
      </c>
      <c r="E68" s="57">
        <f>Tabulka21111382[[#This Row],[Sloupec3]]-Tabulka21111382[[#This Row],[Sloupec4]]</f>
        <v>27320</v>
      </c>
      <c r="F68" s="3"/>
      <c r="G68" s="3"/>
      <c r="H68" s="3"/>
      <c r="I68" s="3"/>
      <c r="J68" s="3"/>
      <c r="K68" s="3"/>
      <c r="L68" s="3"/>
      <c r="M68" s="3"/>
    </row>
    <row r="69" spans="1:13" ht="14.25" customHeight="1" x14ac:dyDescent="0.4">
      <c r="A69" s="100">
        <v>4004003583</v>
      </c>
      <c r="B69" s="125" t="s">
        <v>215</v>
      </c>
      <c r="C69" s="290">
        <v>30721</v>
      </c>
      <c r="D69" s="71">
        <f>(OBSAH!$J$6/100)*Tabulka21111382[[#This Row],[Sloupec3]]</f>
        <v>0</v>
      </c>
      <c r="E69" s="57">
        <f>Tabulka21111382[[#This Row],[Sloupec3]]-Tabulka21111382[[#This Row],[Sloupec4]]</f>
        <v>30721</v>
      </c>
      <c r="F69" s="3"/>
      <c r="G69" s="445"/>
      <c r="H69" s="445"/>
      <c r="I69" s="445"/>
      <c r="J69" s="445"/>
      <c r="K69" s="445"/>
      <c r="L69" s="445"/>
      <c r="M69" s="3"/>
    </row>
    <row r="70" spans="1:13" ht="14.25" customHeight="1" x14ac:dyDescent="0.4">
      <c r="A70" s="100">
        <v>4004003587</v>
      </c>
      <c r="B70" s="125" t="s">
        <v>216</v>
      </c>
      <c r="C70" s="290">
        <v>30990</v>
      </c>
      <c r="D70" s="71">
        <f>(OBSAH!$J$6/100)*Tabulka21111382[[#This Row],[Sloupec3]]</f>
        <v>0</v>
      </c>
      <c r="E70" s="57">
        <f>Tabulka21111382[[#This Row],[Sloupec3]]-Tabulka21111382[[#This Row],[Sloupec4]]</f>
        <v>30990</v>
      </c>
      <c r="F70" s="42"/>
      <c r="G70" s="433"/>
      <c r="H70" s="433"/>
      <c r="I70" s="433"/>
      <c r="J70" s="433"/>
      <c r="K70" s="433"/>
      <c r="L70" s="433"/>
      <c r="M70" s="42"/>
    </row>
    <row r="71" spans="1:13" ht="14.25" customHeight="1" x14ac:dyDescent="0.4">
      <c r="A71" s="100">
        <v>4004003591</v>
      </c>
      <c r="B71" s="125" t="s">
        <v>217</v>
      </c>
      <c r="C71" s="290">
        <v>31064</v>
      </c>
      <c r="D71" s="71">
        <f>(OBSAH!$J$6/100)*Tabulka21111382[[#This Row],[Sloupec3]]</f>
        <v>0</v>
      </c>
      <c r="E71" s="57">
        <f>Tabulka21111382[[#This Row],[Sloupec3]]-Tabulka21111382[[#This Row],[Sloupec4]]</f>
        <v>31064</v>
      </c>
      <c r="F71" s="3"/>
      <c r="G71" s="3"/>
      <c r="H71" s="3"/>
      <c r="I71" s="3"/>
      <c r="J71" s="3"/>
      <c r="K71" s="3"/>
      <c r="L71" s="3"/>
      <c r="M71" s="3"/>
    </row>
    <row r="72" spans="1:13" ht="14.25" customHeight="1" x14ac:dyDescent="0.4">
      <c r="A72" s="100">
        <v>4004003595</v>
      </c>
      <c r="B72" s="125" t="s">
        <v>218</v>
      </c>
      <c r="C72" s="290">
        <v>31217</v>
      </c>
      <c r="D72" s="71">
        <f>(OBSAH!$J$6/100)*Tabulka21111382[[#This Row],[Sloupec3]]</f>
        <v>0</v>
      </c>
      <c r="E72" s="57">
        <f>Tabulka21111382[[#This Row],[Sloupec3]]-Tabulka21111382[[#This Row],[Sloupec4]]</f>
        <v>31217</v>
      </c>
      <c r="F72" s="3"/>
      <c r="G72" s="3"/>
      <c r="H72" s="3"/>
      <c r="I72" s="3"/>
      <c r="J72" s="3"/>
      <c r="K72" s="3"/>
      <c r="L72" s="3"/>
      <c r="M72" s="3"/>
    </row>
    <row r="73" spans="1:13" ht="14.25" customHeight="1" x14ac:dyDescent="0.4">
      <c r="A73" s="100">
        <v>4004003599</v>
      </c>
      <c r="B73" s="125" t="s">
        <v>219</v>
      </c>
      <c r="C73" s="290">
        <v>31428</v>
      </c>
      <c r="D73" s="71">
        <f>(OBSAH!$J$6/100)*Tabulka21111382[[#This Row],[Sloupec3]]</f>
        <v>0</v>
      </c>
      <c r="E73" s="57">
        <f>Tabulka21111382[[#This Row],[Sloupec3]]-Tabulka21111382[[#This Row],[Sloupec4]]</f>
        <v>31428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100">
        <v>4004003603</v>
      </c>
      <c r="B74" s="125" t="s">
        <v>220</v>
      </c>
      <c r="C74" s="290">
        <v>35229</v>
      </c>
      <c r="D74" s="71">
        <f>(OBSAH!$J$6/100)*Tabulka21111382[[#This Row],[Sloupec3]]</f>
        <v>0</v>
      </c>
      <c r="E74" s="57">
        <f>Tabulka21111382[[#This Row],[Sloupec3]]-Tabulka21111382[[#This Row],[Sloupec4]]</f>
        <v>35229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100">
        <v>4004003607</v>
      </c>
      <c r="B75" s="125" t="s">
        <v>221</v>
      </c>
      <c r="C75" s="290">
        <v>35496</v>
      </c>
      <c r="D75" s="71">
        <f>(OBSAH!$J$6/100)*Tabulka21111382[[#This Row],[Sloupec3]]</f>
        <v>0</v>
      </c>
      <c r="E75" s="57">
        <f>Tabulka21111382[[#This Row],[Sloupec3]]-Tabulka21111382[[#This Row],[Sloupec4]]</f>
        <v>35496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100">
        <v>4004003611</v>
      </c>
      <c r="B76" s="125" t="s">
        <v>222</v>
      </c>
      <c r="C76" s="290">
        <v>35609</v>
      </c>
      <c r="D76" s="71">
        <f>(OBSAH!$J$6/100)*Tabulka21111382[[#This Row],[Sloupec3]]</f>
        <v>0</v>
      </c>
      <c r="E76" s="57">
        <f>Tabulka21111382[[#This Row],[Sloupec3]]-Tabulka21111382[[#This Row],[Sloupec4]]</f>
        <v>35609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100">
        <v>4004003615</v>
      </c>
      <c r="B77" s="125" t="s">
        <v>223</v>
      </c>
      <c r="C77" s="290">
        <v>35724</v>
      </c>
      <c r="D77" s="71">
        <f>(OBSAH!$J$6/100)*Tabulka21111382[[#This Row],[Sloupec3]]</f>
        <v>0</v>
      </c>
      <c r="E77" s="57">
        <f>Tabulka21111382[[#This Row],[Sloupec3]]-Tabulka21111382[[#This Row],[Sloupec4]]</f>
        <v>35724</v>
      </c>
      <c r="F77" s="3"/>
      <c r="G77" s="3"/>
      <c r="H77" s="3"/>
      <c r="I77" s="3"/>
      <c r="J77" s="3"/>
      <c r="K77" s="3"/>
      <c r="L77" s="3"/>
      <c r="M77" s="3"/>
    </row>
    <row r="78" spans="1:13" ht="14.25" customHeight="1" x14ac:dyDescent="0.4">
      <c r="A78" s="101">
        <v>4004003619</v>
      </c>
      <c r="B78" s="102" t="s">
        <v>224</v>
      </c>
      <c r="C78" s="291">
        <v>35963</v>
      </c>
      <c r="D78" s="68">
        <f>(OBSAH!$J$6/100)*Tabulka21111382[[#This Row],[Sloupec3]]</f>
        <v>0</v>
      </c>
      <c r="E78" s="58">
        <f>Tabulka21111382[[#This Row],[Sloupec3]]-Tabulka21111382[[#This Row],[Sloupec4]]</f>
        <v>35963</v>
      </c>
      <c r="F78" s="3"/>
      <c r="G78" s="3"/>
      <c r="H78" s="3"/>
      <c r="I78" s="3"/>
      <c r="J78" s="3"/>
      <c r="K78" s="3"/>
      <c r="L78" s="3"/>
      <c r="M78" s="3"/>
    </row>
    <row r="79" spans="1:13" ht="9" customHeight="1" x14ac:dyDescent="0.4">
      <c r="A79" s="38"/>
      <c r="B79" s="38"/>
      <c r="C79" s="104"/>
      <c r="D79" s="61"/>
      <c r="E79" s="62"/>
      <c r="F79" s="3"/>
      <c r="G79" s="3"/>
      <c r="H79" s="3"/>
      <c r="I79" s="3"/>
      <c r="J79" s="3"/>
      <c r="K79" s="3"/>
      <c r="L79" s="3"/>
      <c r="M79" s="3"/>
    </row>
    <row r="80" spans="1:13" ht="14.25" customHeight="1" x14ac:dyDescent="0.4">
      <c r="A80" s="455" t="s">
        <v>225</v>
      </c>
      <c r="B80" s="455"/>
      <c r="C80" s="455"/>
      <c r="D80" s="455"/>
      <c r="E80" s="455"/>
      <c r="F80" s="3"/>
      <c r="G80" s="3"/>
      <c r="H80" s="3"/>
      <c r="I80" s="3"/>
      <c r="J80" s="3"/>
      <c r="K80" s="3"/>
      <c r="L80" s="3"/>
      <c r="M80" s="3"/>
    </row>
    <row r="81" spans="1:13" ht="14.25" customHeight="1" x14ac:dyDescent="0.4">
      <c r="A81" s="86"/>
      <c r="B81" s="86"/>
      <c r="C81" s="105"/>
      <c r="D81" s="61"/>
      <c r="E81" s="62"/>
      <c r="F81" s="3"/>
      <c r="G81" s="3"/>
      <c r="H81" s="3"/>
      <c r="I81" s="3"/>
      <c r="J81" s="3"/>
      <c r="K81" s="3"/>
      <c r="L81" s="3"/>
      <c r="M81" s="3"/>
    </row>
    <row r="82" spans="1:13" ht="14.25" customHeight="1" x14ac:dyDescent="0.4">
      <c r="A82" s="86"/>
      <c r="B82" s="86"/>
      <c r="C82" s="105"/>
      <c r="D82" s="61"/>
      <c r="E82" s="62"/>
      <c r="F82" s="3"/>
      <c r="G82" s="3"/>
      <c r="H82" s="3"/>
      <c r="I82" s="3"/>
      <c r="J82" s="3"/>
      <c r="K82" s="3"/>
      <c r="L82" s="3"/>
      <c r="M82" s="3"/>
    </row>
    <row r="83" spans="1:13" ht="14.25" customHeight="1" x14ac:dyDescent="0.4">
      <c r="A83" s="446" t="s">
        <v>99</v>
      </c>
      <c r="B83" s="446"/>
      <c r="C83" s="446"/>
      <c r="D83" s="446"/>
      <c r="E83" s="446"/>
      <c r="F83" s="3"/>
      <c r="G83" s="3"/>
      <c r="H83" s="3"/>
      <c r="I83" s="3"/>
      <c r="J83" s="3"/>
      <c r="K83" s="3"/>
      <c r="L83" s="3"/>
      <c r="M83" s="3"/>
    </row>
    <row r="84" spans="1:13" ht="14.25" customHeight="1" x14ac:dyDescent="0.4">
      <c r="A84" s="446" t="s">
        <v>100</v>
      </c>
      <c r="B84" s="446"/>
      <c r="C84" s="446"/>
      <c r="D84" s="446"/>
      <c r="E84" s="446"/>
      <c r="F84" s="3"/>
      <c r="G84" s="3"/>
      <c r="H84" s="3"/>
      <c r="I84" s="3"/>
      <c r="J84" s="3"/>
      <c r="K84" s="3"/>
      <c r="L84" s="3"/>
      <c r="M84" s="3"/>
    </row>
    <row r="85" spans="1:13" ht="14.25" customHeight="1" x14ac:dyDescent="0.4">
      <c r="A85" s="446" t="s">
        <v>101</v>
      </c>
      <c r="B85" s="446"/>
      <c r="C85" s="446"/>
      <c r="D85" s="446"/>
      <c r="E85" s="446"/>
      <c r="F85" s="3"/>
      <c r="G85" s="3"/>
      <c r="H85" s="3"/>
      <c r="I85" s="3"/>
      <c r="J85" s="3"/>
      <c r="K85" s="3"/>
      <c r="L85" s="3"/>
      <c r="M85" s="3"/>
    </row>
    <row r="86" spans="1:13" ht="14.25" customHeight="1" x14ac:dyDescent="0.4">
      <c r="A86" s="446" t="s">
        <v>102</v>
      </c>
      <c r="B86" s="446"/>
      <c r="C86" s="446"/>
      <c r="D86" s="446"/>
      <c r="E86" s="446"/>
      <c r="F86" s="3"/>
      <c r="G86" s="3"/>
      <c r="H86" s="3"/>
      <c r="I86" s="3"/>
      <c r="J86" s="3"/>
      <c r="K86" s="3"/>
      <c r="L86" s="3"/>
      <c r="M86" s="3"/>
    </row>
    <row r="87" spans="1:13" ht="14.25" customHeight="1" x14ac:dyDescent="0.4">
      <c r="A87" s="447" t="s">
        <v>103</v>
      </c>
      <c r="B87" s="447"/>
      <c r="C87" s="447"/>
      <c r="D87" s="447"/>
      <c r="E87" s="447"/>
      <c r="F87" s="3"/>
      <c r="G87" s="3"/>
      <c r="H87" s="3"/>
      <c r="I87" s="3"/>
      <c r="J87" s="3"/>
      <c r="K87" s="3"/>
      <c r="L87" s="3"/>
      <c r="M87" s="3"/>
    </row>
    <row r="88" spans="1:13" ht="24" customHeight="1" x14ac:dyDescent="0.4">
      <c r="A88" s="88" t="s">
        <v>56</v>
      </c>
      <c r="B88" s="88" t="s">
        <v>57</v>
      </c>
      <c r="C88" s="89" t="s">
        <v>58</v>
      </c>
      <c r="D88" s="89" t="s">
        <v>59</v>
      </c>
      <c r="E88" s="90" t="s">
        <v>60</v>
      </c>
      <c r="F88" s="3"/>
      <c r="G88" s="3"/>
      <c r="H88" s="3"/>
      <c r="I88" s="3"/>
      <c r="J88" s="3"/>
      <c r="K88" s="3"/>
      <c r="L88" s="3"/>
      <c r="M88" s="3"/>
    </row>
    <row r="89" spans="1:13" ht="15" customHeight="1" x14ac:dyDescent="0.4">
      <c r="A89" s="91">
        <v>4002140115</v>
      </c>
      <c r="B89" s="92" t="s">
        <v>104</v>
      </c>
      <c r="C89" s="285">
        <v>3463</v>
      </c>
      <c r="D89" s="93">
        <f>(OBSAH!$J$6/100)*Tabulka37118[[#This Row],[Sloupec3]]</f>
        <v>0</v>
      </c>
      <c r="E89" s="94">
        <f>Tabulka37118[[#All],[Sloupec3]]-D89</f>
        <v>3463</v>
      </c>
      <c r="F89" s="3"/>
      <c r="G89" s="3"/>
      <c r="H89" s="3"/>
      <c r="I89" s="3"/>
      <c r="J89" s="3"/>
      <c r="K89" s="3"/>
      <c r="L89" s="3"/>
      <c r="M89" s="3"/>
    </row>
    <row r="90" spans="1:13" ht="15" customHeight="1" x14ac:dyDescent="0.4">
      <c r="A90" s="42"/>
      <c r="B90" s="42"/>
      <c r="C90" s="42"/>
      <c r="D90" s="42"/>
      <c r="E90" s="42"/>
      <c r="F90" s="3"/>
      <c r="G90" s="3"/>
      <c r="H90" s="3"/>
      <c r="I90" s="3"/>
      <c r="J90" s="3"/>
      <c r="K90" s="3"/>
      <c r="L90" s="3"/>
      <c r="M90" s="3"/>
    </row>
    <row r="91" spans="1:13" ht="15" customHeight="1" x14ac:dyDescent="0.4">
      <c r="A91" s="38"/>
      <c r="B91" s="38"/>
      <c r="C91" s="106"/>
      <c r="D91" s="61"/>
      <c r="E91" s="62"/>
      <c r="F91" s="3"/>
      <c r="G91" s="3"/>
      <c r="H91" s="3"/>
      <c r="I91" s="3"/>
      <c r="J91" s="3"/>
      <c r="K91" s="3"/>
      <c r="L91" s="3"/>
      <c r="M91" s="3"/>
    </row>
    <row r="92" spans="1:13" ht="36" customHeight="1" x14ac:dyDescent="0.4">
      <c r="A92" s="442" t="s">
        <v>152</v>
      </c>
      <c r="B92" s="442"/>
      <c r="C92" s="442"/>
      <c r="D92" s="442"/>
      <c r="E92" s="442"/>
      <c r="F92" s="3"/>
      <c r="G92" s="3"/>
      <c r="H92" s="3"/>
      <c r="I92" s="3"/>
      <c r="J92" s="3"/>
      <c r="K92" s="3"/>
      <c r="L92" s="3"/>
      <c r="M92" s="3"/>
    </row>
    <row r="93" spans="1:13" ht="36" customHeight="1" x14ac:dyDescent="0.4">
      <c r="A93" s="443" t="s">
        <v>105</v>
      </c>
      <c r="B93" s="443"/>
      <c r="C93" s="443"/>
      <c r="D93" s="443"/>
      <c r="E93" s="443"/>
      <c r="F93" s="3"/>
      <c r="G93" s="3"/>
      <c r="H93" s="3"/>
      <c r="I93" s="3"/>
      <c r="J93" s="3"/>
      <c r="K93" s="3"/>
      <c r="L93" s="3"/>
      <c r="M93" s="3"/>
    </row>
    <row r="94" spans="1:13" ht="24" customHeight="1" x14ac:dyDescent="0.4">
      <c r="A94" s="444" t="s">
        <v>83</v>
      </c>
      <c r="B94" s="444"/>
      <c r="C94" s="444"/>
      <c r="D94" s="444"/>
      <c r="E94" s="444"/>
      <c r="F94" s="3"/>
      <c r="G94" s="445"/>
      <c r="H94" s="445"/>
      <c r="I94" s="445"/>
      <c r="J94" s="445"/>
      <c r="K94" s="445"/>
      <c r="L94" s="445"/>
      <c r="M94" s="3"/>
    </row>
    <row r="95" spans="1:13" ht="24" customHeight="1" x14ac:dyDescent="0.4">
      <c r="A95" s="39" t="s">
        <v>56</v>
      </c>
      <c r="B95" s="39" t="s">
        <v>57</v>
      </c>
      <c r="C95" s="40" t="s">
        <v>58</v>
      </c>
      <c r="D95" s="40" t="s">
        <v>59</v>
      </c>
      <c r="E95" s="41" t="s">
        <v>60</v>
      </c>
      <c r="F95" s="76"/>
      <c r="G95" s="433"/>
      <c r="H95" s="433"/>
      <c r="I95" s="433"/>
      <c r="J95" s="433"/>
      <c r="K95" s="433"/>
      <c r="L95" s="433"/>
      <c r="M95" s="42"/>
    </row>
    <row r="96" spans="1:13" ht="14.25" customHeight="1" x14ac:dyDescent="0.4">
      <c r="A96" s="98">
        <v>4004003628</v>
      </c>
      <c r="B96" s="99" t="s">
        <v>226</v>
      </c>
      <c r="C96" s="289">
        <v>14936</v>
      </c>
      <c r="D96" s="69">
        <f>(OBSAH!$J$6/100)*Tabulka2010141686[[#This Row],[Sloupec3]]</f>
        <v>0</v>
      </c>
      <c r="E96" s="70">
        <f>Tabulka2010141686[[#This Row],[Sloupec3]]-Tabulka2010141686[[#This Row],[Sloupec4]]</f>
        <v>14936</v>
      </c>
      <c r="F96" s="3"/>
      <c r="G96" s="3"/>
      <c r="H96" s="3"/>
      <c r="I96" s="3"/>
      <c r="J96" s="3"/>
      <c r="K96" s="3"/>
      <c r="L96" s="3"/>
      <c r="M96" s="3"/>
    </row>
    <row r="97" spans="1:13" ht="14.25" customHeight="1" x14ac:dyDescent="0.4">
      <c r="A97" s="100">
        <v>4004003632</v>
      </c>
      <c r="B97" s="125" t="s">
        <v>227</v>
      </c>
      <c r="C97" s="290">
        <v>15213</v>
      </c>
      <c r="D97" s="71">
        <f>(OBSAH!$J$6/100)*Tabulka2010141686[[#This Row],[Sloupec3]]</f>
        <v>0</v>
      </c>
      <c r="E97" s="57">
        <f>Tabulka2010141686[[#This Row],[Sloupec3]]-Tabulka2010141686[[#This Row],[Sloupec4]]</f>
        <v>15213</v>
      </c>
      <c r="F97" s="3"/>
      <c r="G97" s="3"/>
      <c r="H97" s="3"/>
      <c r="I97" s="3"/>
      <c r="J97" s="3"/>
      <c r="K97" s="3"/>
      <c r="L97" s="3"/>
      <c r="M97" s="3"/>
    </row>
    <row r="98" spans="1:13" ht="14.25" customHeight="1" x14ac:dyDescent="0.4">
      <c r="A98" s="100">
        <v>4004003636</v>
      </c>
      <c r="B98" s="125" t="s">
        <v>228</v>
      </c>
      <c r="C98" s="290">
        <v>15420</v>
      </c>
      <c r="D98" s="71">
        <f>(OBSAH!$J$6/100)*Tabulka2010141686[[#This Row],[Sloupec3]]</f>
        <v>0</v>
      </c>
      <c r="E98" s="57">
        <f>Tabulka2010141686[[#This Row],[Sloupec3]]-Tabulka2010141686[[#This Row],[Sloupec4]]</f>
        <v>15420</v>
      </c>
      <c r="F98" s="3"/>
      <c r="G98" s="3"/>
      <c r="H98" s="3"/>
      <c r="I98" s="3"/>
      <c r="J98" s="3"/>
      <c r="K98" s="3"/>
      <c r="L98" s="3"/>
      <c r="M98" s="3"/>
    </row>
    <row r="99" spans="1:13" ht="14.25" customHeight="1" x14ac:dyDescent="0.4">
      <c r="A99" s="100">
        <v>4004003640</v>
      </c>
      <c r="B99" s="125" t="s">
        <v>229</v>
      </c>
      <c r="C99" s="290">
        <v>15892</v>
      </c>
      <c r="D99" s="71">
        <f>(OBSAH!$J$6/100)*Tabulka2010141686[[#This Row],[Sloupec3]]</f>
        <v>0</v>
      </c>
      <c r="E99" s="57">
        <f>Tabulka2010141686[[#This Row],[Sloupec3]]-Tabulka2010141686[[#This Row],[Sloupec4]]</f>
        <v>15892</v>
      </c>
      <c r="F99" s="3"/>
      <c r="G99" s="3"/>
      <c r="H99" s="3"/>
      <c r="I99" s="3"/>
      <c r="J99" s="3"/>
      <c r="K99" s="3"/>
      <c r="L99" s="3"/>
      <c r="M99" s="3"/>
    </row>
    <row r="100" spans="1:13" ht="14.25" customHeight="1" x14ac:dyDescent="0.4">
      <c r="A100" s="100">
        <v>4004003644</v>
      </c>
      <c r="B100" s="125" t="s">
        <v>230</v>
      </c>
      <c r="C100" s="290">
        <v>16158</v>
      </c>
      <c r="D100" s="71">
        <f>(OBSAH!$J$6/100)*Tabulka2010141686[[#This Row],[Sloupec3]]</f>
        <v>0</v>
      </c>
      <c r="E100" s="57">
        <f>Tabulka2010141686[[#This Row],[Sloupec3]]-Tabulka2010141686[[#This Row],[Sloupec4]]</f>
        <v>16158</v>
      </c>
      <c r="F100" s="3"/>
      <c r="G100" s="3"/>
      <c r="H100" s="3"/>
      <c r="I100" s="3"/>
      <c r="J100" s="3"/>
      <c r="K100" s="3"/>
      <c r="L100" s="3"/>
      <c r="M100" s="3"/>
    </row>
    <row r="101" spans="1:13" ht="14.25" customHeight="1" x14ac:dyDescent="0.4">
      <c r="A101" s="100">
        <v>4004003648</v>
      </c>
      <c r="B101" s="125" t="s">
        <v>231</v>
      </c>
      <c r="C101" s="290">
        <v>16397</v>
      </c>
      <c r="D101" s="71">
        <f>(OBSAH!$J$6/100)*Tabulka2010141686[[#This Row],[Sloupec3]]</f>
        <v>0</v>
      </c>
      <c r="E101" s="57">
        <f>Tabulka2010141686[[#This Row],[Sloupec3]]-Tabulka2010141686[[#This Row],[Sloupec4]]</f>
        <v>16397</v>
      </c>
      <c r="F101" s="3"/>
      <c r="G101" s="3"/>
      <c r="H101" s="3"/>
      <c r="I101" s="3"/>
      <c r="J101" s="3"/>
      <c r="K101" s="3"/>
      <c r="L101" s="3"/>
      <c r="M101" s="3"/>
    </row>
    <row r="102" spans="1:13" ht="14.25" customHeight="1" x14ac:dyDescent="0.4">
      <c r="A102" s="100">
        <v>4004003652</v>
      </c>
      <c r="B102" s="125" t="s">
        <v>232</v>
      </c>
      <c r="C102" s="290">
        <v>19797</v>
      </c>
      <c r="D102" s="71">
        <f>(OBSAH!$J$6/100)*Tabulka2010141686[[#This Row],[Sloupec3]]</f>
        <v>0</v>
      </c>
      <c r="E102" s="57">
        <f>Tabulka2010141686[[#This Row],[Sloupec3]]-Tabulka2010141686[[#This Row],[Sloupec4]]</f>
        <v>19797</v>
      </c>
      <c r="F102" s="3"/>
      <c r="G102" s="3"/>
      <c r="H102" s="3"/>
      <c r="I102" s="3"/>
      <c r="J102" s="3"/>
      <c r="K102" s="3"/>
      <c r="L102" s="3"/>
      <c r="M102" s="3"/>
    </row>
    <row r="103" spans="1:13" ht="14.25" customHeight="1" x14ac:dyDescent="0.4">
      <c r="A103" s="100">
        <v>4004003656</v>
      </c>
      <c r="B103" s="125" t="s">
        <v>233</v>
      </c>
      <c r="C103" s="290">
        <v>20006</v>
      </c>
      <c r="D103" s="71">
        <f>(OBSAH!$J$6/100)*Tabulka2010141686[[#This Row],[Sloupec3]]</f>
        <v>0</v>
      </c>
      <c r="E103" s="57">
        <f>Tabulka2010141686[[#This Row],[Sloupec3]]-Tabulka2010141686[[#This Row],[Sloupec4]]</f>
        <v>20006</v>
      </c>
      <c r="F103" s="3"/>
      <c r="G103" s="3"/>
      <c r="H103" s="3"/>
      <c r="I103" s="3"/>
      <c r="J103" s="3"/>
      <c r="K103" s="3"/>
      <c r="L103" s="3"/>
      <c r="M103" s="3"/>
    </row>
    <row r="104" spans="1:13" ht="14.25" customHeight="1" x14ac:dyDescent="0.4">
      <c r="A104" s="100">
        <v>4004003660</v>
      </c>
      <c r="B104" s="125" t="s">
        <v>234</v>
      </c>
      <c r="C104" s="290">
        <v>20729</v>
      </c>
      <c r="D104" s="71">
        <f>(OBSAH!$J$6/100)*Tabulka2010141686[[#This Row],[Sloupec3]]</f>
        <v>0</v>
      </c>
      <c r="E104" s="57">
        <f>Tabulka2010141686[[#This Row],[Sloupec3]]-Tabulka2010141686[[#This Row],[Sloupec4]]</f>
        <v>20729</v>
      </c>
      <c r="F104" s="3"/>
      <c r="G104" s="3"/>
      <c r="H104" s="3"/>
      <c r="I104" s="3"/>
      <c r="J104" s="3"/>
      <c r="K104" s="3"/>
      <c r="L104" s="3"/>
      <c r="M104" s="3"/>
    </row>
    <row r="105" spans="1:13" ht="14.25" customHeight="1" x14ac:dyDescent="0.4">
      <c r="A105" s="100">
        <v>4004003664</v>
      </c>
      <c r="B105" s="125" t="s">
        <v>235</v>
      </c>
      <c r="C105" s="290">
        <v>20744</v>
      </c>
      <c r="D105" s="71">
        <f>(OBSAH!$J$6/100)*Tabulka2010141686[[#This Row],[Sloupec3]]</f>
        <v>0</v>
      </c>
      <c r="E105" s="57">
        <f>Tabulka2010141686[[#This Row],[Sloupec3]]-Tabulka2010141686[[#This Row],[Sloupec4]]</f>
        <v>20744</v>
      </c>
      <c r="F105" s="3"/>
      <c r="G105" s="3"/>
      <c r="H105" s="3"/>
      <c r="I105" s="3"/>
      <c r="J105" s="3"/>
      <c r="K105" s="3"/>
      <c r="L105" s="3"/>
      <c r="M105" s="3"/>
    </row>
    <row r="106" spans="1:13" ht="14.25" customHeight="1" x14ac:dyDescent="0.4">
      <c r="A106" s="100">
        <v>4004003668</v>
      </c>
      <c r="B106" s="125" t="s">
        <v>236</v>
      </c>
      <c r="C106" s="290">
        <v>20983</v>
      </c>
      <c r="D106" s="71">
        <f>(OBSAH!$J$6/100)*Tabulka2010141686[[#This Row],[Sloupec3]]</f>
        <v>0</v>
      </c>
      <c r="E106" s="57">
        <f>Tabulka2010141686[[#This Row],[Sloupec3]]-Tabulka2010141686[[#This Row],[Sloupec4]]</f>
        <v>20983</v>
      </c>
      <c r="F106" s="3"/>
      <c r="G106" s="3"/>
      <c r="H106" s="3"/>
      <c r="I106" s="3"/>
      <c r="J106" s="3"/>
      <c r="K106" s="3"/>
      <c r="L106" s="3"/>
      <c r="M106" s="3"/>
    </row>
    <row r="107" spans="1:13" ht="14.25" customHeight="1" x14ac:dyDescent="0.4">
      <c r="A107" s="100">
        <v>4004003672</v>
      </c>
      <c r="B107" s="125" t="s">
        <v>237</v>
      </c>
      <c r="C107" s="290">
        <v>24148</v>
      </c>
      <c r="D107" s="71">
        <f>(OBSAH!$J$6/100)*Tabulka2010141686[[#This Row],[Sloupec3]]</f>
        <v>0</v>
      </c>
      <c r="E107" s="57">
        <f>Tabulka2010141686[[#This Row],[Sloupec3]]-Tabulka2010141686[[#This Row],[Sloupec4]]</f>
        <v>24148</v>
      </c>
      <c r="F107" s="3"/>
      <c r="G107" s="3"/>
      <c r="H107" s="3"/>
      <c r="I107" s="3"/>
      <c r="J107" s="3"/>
      <c r="K107" s="3"/>
      <c r="L107" s="3"/>
      <c r="M107" s="3"/>
    </row>
    <row r="108" spans="1:13" ht="14.25" customHeight="1" x14ac:dyDescent="0.4">
      <c r="A108" s="100">
        <v>4004003676</v>
      </c>
      <c r="B108" s="125" t="s">
        <v>238</v>
      </c>
      <c r="C108" s="290">
        <v>24204</v>
      </c>
      <c r="D108" s="71">
        <f>(OBSAH!$J$6/100)*Tabulka2010141686[[#This Row],[Sloupec3]]</f>
        <v>0</v>
      </c>
      <c r="E108" s="57">
        <f>Tabulka2010141686[[#This Row],[Sloupec3]]-Tabulka2010141686[[#This Row],[Sloupec4]]</f>
        <v>24204</v>
      </c>
      <c r="F108" s="3"/>
      <c r="G108" s="3"/>
      <c r="H108" s="3"/>
      <c r="I108" s="3"/>
      <c r="J108" s="3"/>
      <c r="K108" s="3"/>
      <c r="L108" s="3"/>
      <c r="M108" s="3"/>
    </row>
    <row r="109" spans="1:13" ht="14.25" customHeight="1" x14ac:dyDescent="0.4">
      <c r="A109" s="100">
        <v>4004003680</v>
      </c>
      <c r="B109" s="125" t="s">
        <v>239</v>
      </c>
      <c r="C109" s="290">
        <v>24364</v>
      </c>
      <c r="D109" s="71">
        <f>(OBSAH!$J$6/100)*Tabulka2010141686[[#This Row],[Sloupec3]]</f>
        <v>0</v>
      </c>
      <c r="E109" s="57">
        <f>Tabulka2010141686[[#This Row],[Sloupec3]]-Tabulka2010141686[[#This Row],[Sloupec4]]</f>
        <v>24364</v>
      </c>
      <c r="F109" s="3"/>
      <c r="G109" s="3"/>
      <c r="H109" s="3"/>
      <c r="I109" s="3"/>
      <c r="J109" s="3"/>
      <c r="K109" s="3"/>
      <c r="L109" s="3"/>
      <c r="M109" s="3"/>
    </row>
    <row r="110" spans="1:13" ht="14.25" customHeight="1" x14ac:dyDescent="0.4">
      <c r="A110" s="100">
        <v>4004003684</v>
      </c>
      <c r="B110" s="125" t="s">
        <v>240</v>
      </c>
      <c r="C110" s="290">
        <v>24633</v>
      </c>
      <c r="D110" s="71">
        <f>(OBSAH!$J$6/100)*Tabulka2010141686[[#This Row],[Sloupec3]]</f>
        <v>0</v>
      </c>
      <c r="E110" s="57">
        <f>Tabulka2010141686[[#This Row],[Sloupec3]]-Tabulka2010141686[[#This Row],[Sloupec4]]</f>
        <v>24633</v>
      </c>
      <c r="F110" s="3"/>
      <c r="G110" s="3"/>
      <c r="H110" s="3"/>
      <c r="I110" s="3"/>
      <c r="J110" s="3"/>
      <c r="K110" s="3"/>
      <c r="L110" s="3"/>
      <c r="M110" s="3"/>
    </row>
    <row r="111" spans="1:13" ht="14.25" customHeight="1" x14ac:dyDescent="0.4">
      <c r="A111" s="100">
        <v>4004003688</v>
      </c>
      <c r="B111" s="125" t="s">
        <v>241</v>
      </c>
      <c r="C111" s="290">
        <v>24873</v>
      </c>
      <c r="D111" s="71">
        <f>(OBSAH!$J$6/100)*Tabulka2010141686[[#This Row],[Sloupec3]]</f>
        <v>0</v>
      </c>
      <c r="E111" s="57">
        <f>Tabulka2010141686[[#This Row],[Sloupec3]]-Tabulka2010141686[[#This Row],[Sloupec4]]</f>
        <v>24873</v>
      </c>
      <c r="F111" s="3"/>
      <c r="G111" s="3"/>
      <c r="H111" s="3"/>
      <c r="I111" s="3"/>
      <c r="J111" s="3"/>
      <c r="K111" s="3"/>
      <c r="L111" s="3"/>
      <c r="M111" s="3"/>
    </row>
    <row r="112" spans="1:13" ht="14.25" customHeight="1" x14ac:dyDescent="0.4">
      <c r="A112" s="100">
        <v>4004003692</v>
      </c>
      <c r="B112" s="125" t="s">
        <v>242</v>
      </c>
      <c r="C112" s="290">
        <v>28269</v>
      </c>
      <c r="D112" s="71">
        <f>(OBSAH!$J$6/100)*Tabulka2010141686[[#This Row],[Sloupec3]]</f>
        <v>0</v>
      </c>
      <c r="E112" s="57">
        <f>Tabulka2010141686[[#This Row],[Sloupec3]]-Tabulka2010141686[[#This Row],[Sloupec4]]</f>
        <v>28269</v>
      </c>
      <c r="F112" s="3"/>
      <c r="G112" s="3"/>
      <c r="H112" s="3"/>
      <c r="I112" s="3"/>
      <c r="J112" s="3"/>
      <c r="K112" s="3"/>
      <c r="L112" s="3"/>
      <c r="M112" s="3"/>
    </row>
    <row r="113" spans="1:13" ht="14.25" customHeight="1" x14ac:dyDescent="0.4">
      <c r="A113" s="100">
        <v>4004003696</v>
      </c>
      <c r="B113" s="125" t="s">
        <v>243</v>
      </c>
      <c r="C113" s="290">
        <v>28480</v>
      </c>
      <c r="D113" s="71">
        <f>(OBSAH!$J$6/100)*Tabulka2010141686[[#This Row],[Sloupec3]]</f>
        <v>0</v>
      </c>
      <c r="E113" s="57">
        <f>Tabulka2010141686[[#This Row],[Sloupec3]]-Tabulka2010141686[[#This Row],[Sloupec4]]</f>
        <v>28480</v>
      </c>
      <c r="F113" s="3"/>
      <c r="G113" s="3"/>
      <c r="H113" s="3"/>
      <c r="I113" s="3"/>
      <c r="J113" s="3"/>
      <c r="K113" s="3"/>
      <c r="L113" s="3"/>
      <c r="M113" s="3"/>
    </row>
    <row r="114" spans="1:13" ht="14.25" customHeight="1" x14ac:dyDescent="0.4">
      <c r="A114" s="100">
        <v>4004003700</v>
      </c>
      <c r="B114" s="125" t="s">
        <v>244</v>
      </c>
      <c r="C114" s="290">
        <v>28948</v>
      </c>
      <c r="D114" s="71">
        <f>(OBSAH!$J$6/100)*Tabulka2010141686[[#This Row],[Sloupec3]]</f>
        <v>0</v>
      </c>
      <c r="E114" s="57">
        <f>Tabulka2010141686[[#This Row],[Sloupec3]]-Tabulka2010141686[[#This Row],[Sloupec4]]</f>
        <v>28948</v>
      </c>
      <c r="F114" s="3"/>
      <c r="G114" s="3"/>
      <c r="H114" s="3"/>
      <c r="I114" s="3"/>
      <c r="J114" s="3"/>
      <c r="K114" s="3"/>
      <c r="L114" s="3"/>
      <c r="M114" s="3"/>
    </row>
    <row r="115" spans="1:13" ht="14.25" customHeight="1" x14ac:dyDescent="0.4">
      <c r="A115" s="100">
        <v>4004003704</v>
      </c>
      <c r="B115" s="125" t="s">
        <v>245</v>
      </c>
      <c r="C115" s="290">
        <v>29245</v>
      </c>
      <c r="D115" s="71">
        <f>(OBSAH!$J$6/100)*Tabulka2010141686[[#This Row],[Sloupec3]]</f>
        <v>0</v>
      </c>
      <c r="E115" s="57">
        <f>Tabulka2010141686[[#This Row],[Sloupec3]]-Tabulka2010141686[[#This Row],[Sloupec4]]</f>
        <v>29245</v>
      </c>
      <c r="F115" s="3"/>
      <c r="G115" s="3"/>
      <c r="H115" s="3"/>
      <c r="I115" s="3"/>
      <c r="J115" s="3"/>
      <c r="K115" s="3"/>
      <c r="L115" s="3"/>
      <c r="M115" s="3"/>
    </row>
    <row r="116" spans="1:13" ht="14.25" customHeight="1" x14ac:dyDescent="0.4">
      <c r="A116" s="100">
        <v>4004003708</v>
      </c>
      <c r="B116" s="125" t="s">
        <v>246</v>
      </c>
      <c r="C116" s="290">
        <v>29314</v>
      </c>
      <c r="D116" s="71">
        <f>(OBSAH!$J$6/100)*Tabulka2010141686[[#This Row],[Sloupec3]]</f>
        <v>0</v>
      </c>
      <c r="E116" s="57">
        <f>Tabulka2010141686[[#This Row],[Sloupec3]]-Tabulka2010141686[[#This Row],[Sloupec4]]</f>
        <v>29314</v>
      </c>
      <c r="F116" s="3"/>
      <c r="G116" s="3"/>
      <c r="H116" s="3"/>
      <c r="I116" s="3"/>
      <c r="J116" s="3"/>
      <c r="K116" s="3"/>
      <c r="L116" s="3"/>
      <c r="M116" s="3"/>
    </row>
    <row r="117" spans="1:13" ht="14.25" customHeight="1" x14ac:dyDescent="0.4">
      <c r="A117" s="100">
        <v>4004003712</v>
      </c>
      <c r="B117" s="125" t="s">
        <v>247</v>
      </c>
      <c r="C117" s="290">
        <v>32433</v>
      </c>
      <c r="D117" s="71">
        <f>(OBSAH!$J$6/100)*Tabulka2010141686[[#This Row],[Sloupec3]]</f>
        <v>0</v>
      </c>
      <c r="E117" s="57">
        <f>Tabulka2010141686[[#This Row],[Sloupec3]]-Tabulka2010141686[[#This Row],[Sloupec4]]</f>
        <v>32433</v>
      </c>
      <c r="F117" s="3"/>
      <c r="G117" s="3"/>
      <c r="H117" s="3"/>
      <c r="I117" s="3"/>
      <c r="J117" s="3"/>
      <c r="K117" s="3"/>
      <c r="L117" s="3"/>
      <c r="M117" s="3"/>
    </row>
    <row r="118" spans="1:13" ht="14.25" customHeight="1" x14ac:dyDescent="0.4">
      <c r="A118" s="100">
        <v>4004003716</v>
      </c>
      <c r="B118" s="125" t="s">
        <v>248</v>
      </c>
      <c r="C118" s="290">
        <v>32643</v>
      </c>
      <c r="D118" s="71">
        <f>(OBSAH!$J$6/100)*Tabulka2010141686[[#This Row],[Sloupec3]]</f>
        <v>0</v>
      </c>
      <c r="E118" s="57">
        <f>Tabulka2010141686[[#This Row],[Sloupec3]]-Tabulka2010141686[[#This Row],[Sloupec4]]</f>
        <v>32643</v>
      </c>
      <c r="F118" s="3"/>
      <c r="G118" s="3"/>
      <c r="H118" s="3"/>
      <c r="I118" s="3"/>
      <c r="J118" s="3"/>
      <c r="K118" s="3"/>
      <c r="L118" s="3"/>
      <c r="M118" s="3"/>
    </row>
    <row r="119" spans="1:13" ht="14.25" customHeight="1" x14ac:dyDescent="0.4">
      <c r="A119" s="100">
        <v>4004003720</v>
      </c>
      <c r="B119" s="125" t="s">
        <v>249</v>
      </c>
      <c r="C119" s="290">
        <v>33086</v>
      </c>
      <c r="D119" s="71">
        <f>(OBSAH!$J$6/100)*Tabulka2010141686[[#This Row],[Sloupec3]]</f>
        <v>0</v>
      </c>
      <c r="E119" s="57">
        <f>Tabulka2010141686[[#This Row],[Sloupec3]]-Tabulka2010141686[[#This Row],[Sloupec4]]</f>
        <v>33086</v>
      </c>
      <c r="F119" s="3"/>
      <c r="G119" s="3"/>
      <c r="H119" s="3"/>
      <c r="I119" s="3"/>
      <c r="J119" s="3"/>
      <c r="K119" s="3"/>
      <c r="L119" s="3"/>
      <c r="M119" s="3"/>
    </row>
    <row r="120" spans="1:13" ht="14.25" customHeight="1" x14ac:dyDescent="0.4">
      <c r="A120" s="100">
        <v>4004003724</v>
      </c>
      <c r="B120" s="125" t="s">
        <v>250</v>
      </c>
      <c r="C120" s="290">
        <v>33353</v>
      </c>
      <c r="D120" s="71">
        <f>(OBSAH!$J$6/100)*Tabulka2010141686[[#This Row],[Sloupec3]]</f>
        <v>0</v>
      </c>
      <c r="E120" s="57">
        <f>Tabulka2010141686[[#This Row],[Sloupec3]]-Tabulka2010141686[[#This Row],[Sloupec4]]</f>
        <v>33353</v>
      </c>
      <c r="F120" s="3"/>
      <c r="G120" s="3"/>
      <c r="H120" s="3"/>
      <c r="I120" s="3"/>
      <c r="J120" s="3"/>
      <c r="K120" s="3"/>
      <c r="L120" s="3"/>
      <c r="M120" s="3"/>
    </row>
    <row r="121" spans="1:13" ht="14.25" customHeight="1" x14ac:dyDescent="0.4">
      <c r="A121" s="100">
        <v>4004003728</v>
      </c>
      <c r="B121" s="125" t="s">
        <v>251</v>
      </c>
      <c r="C121" s="290">
        <v>33563</v>
      </c>
      <c r="D121" s="71">
        <f>(OBSAH!$J$6/100)*Tabulka2010141686[[#This Row],[Sloupec3]]</f>
        <v>0</v>
      </c>
      <c r="E121" s="57">
        <f>Tabulka2010141686[[#This Row],[Sloupec3]]-Tabulka2010141686[[#This Row],[Sloupec4]]</f>
        <v>33563</v>
      </c>
      <c r="F121" s="3"/>
      <c r="G121" s="3"/>
      <c r="H121" s="3"/>
      <c r="I121" s="3"/>
      <c r="J121" s="3"/>
      <c r="K121" s="3"/>
      <c r="L121" s="3"/>
      <c r="M121" s="3"/>
    </row>
    <row r="122" spans="1:13" ht="14.25" customHeight="1" x14ac:dyDescent="0.4">
      <c r="A122" s="100">
        <v>4004003732</v>
      </c>
      <c r="B122" s="125" t="s">
        <v>252</v>
      </c>
      <c r="C122" s="290">
        <v>36941</v>
      </c>
      <c r="D122" s="71">
        <f>(OBSAH!$J$6/100)*Tabulka2010141686[[#This Row],[Sloupec3]]</f>
        <v>0</v>
      </c>
      <c r="E122" s="57">
        <f>Tabulka2010141686[[#This Row],[Sloupec3]]-Tabulka2010141686[[#This Row],[Sloupec4]]</f>
        <v>36941</v>
      </c>
      <c r="F122" s="3"/>
      <c r="G122" s="3"/>
      <c r="H122" s="3"/>
      <c r="I122" s="3"/>
      <c r="J122" s="3"/>
      <c r="K122" s="3"/>
      <c r="L122" s="3"/>
      <c r="M122" s="3"/>
    </row>
    <row r="123" spans="1:13" ht="14.25" customHeight="1" x14ac:dyDescent="0.4">
      <c r="A123" s="100">
        <v>4004003736</v>
      </c>
      <c r="B123" s="125" t="s">
        <v>253</v>
      </c>
      <c r="C123" s="290">
        <v>37149</v>
      </c>
      <c r="D123" s="71">
        <f>(OBSAH!$J$6/100)*Tabulka2010141686[[#This Row],[Sloupec3]]</f>
        <v>0</v>
      </c>
      <c r="E123" s="57">
        <f>Tabulka2010141686[[#This Row],[Sloupec3]]-Tabulka2010141686[[#This Row],[Sloupec4]]</f>
        <v>37149</v>
      </c>
      <c r="F123" s="3"/>
      <c r="G123" s="3"/>
      <c r="H123" s="3"/>
      <c r="I123" s="3"/>
      <c r="J123" s="3"/>
      <c r="K123" s="3"/>
      <c r="L123" s="3"/>
      <c r="M123" s="3"/>
    </row>
    <row r="124" spans="1:13" ht="14.25" customHeight="1" x14ac:dyDescent="0.4">
      <c r="A124" s="100">
        <v>4004003740</v>
      </c>
      <c r="B124" s="125" t="s">
        <v>254</v>
      </c>
      <c r="C124" s="290">
        <v>37476</v>
      </c>
      <c r="D124" s="71">
        <f>(OBSAH!$J$6/100)*Tabulka2010141686[[#This Row],[Sloupec3]]</f>
        <v>0</v>
      </c>
      <c r="E124" s="57">
        <f>Tabulka2010141686[[#This Row],[Sloupec3]]-Tabulka2010141686[[#This Row],[Sloupec4]]</f>
        <v>37476</v>
      </c>
      <c r="F124" s="3"/>
      <c r="G124" s="3"/>
      <c r="H124" s="3"/>
      <c r="I124" s="3"/>
      <c r="J124" s="3"/>
      <c r="K124" s="3"/>
      <c r="L124" s="3"/>
      <c r="M124" s="3"/>
    </row>
    <row r="125" spans="1:13" ht="14.25" customHeight="1" x14ac:dyDescent="0.4">
      <c r="A125" s="100">
        <v>4004003744</v>
      </c>
      <c r="B125" s="125" t="s">
        <v>255</v>
      </c>
      <c r="C125" s="290">
        <v>37859</v>
      </c>
      <c r="D125" s="71">
        <f>(OBSAH!$J$6/100)*Tabulka2010141686[[#This Row],[Sloupec3]]</f>
        <v>0</v>
      </c>
      <c r="E125" s="57">
        <f>Tabulka2010141686[[#This Row],[Sloupec3]]-Tabulka2010141686[[#This Row],[Sloupec4]]</f>
        <v>37859</v>
      </c>
      <c r="F125" s="3"/>
      <c r="G125" s="3"/>
      <c r="H125" s="3"/>
      <c r="I125" s="3"/>
      <c r="J125" s="3"/>
      <c r="K125" s="3"/>
      <c r="L125" s="3"/>
      <c r="M125" s="3"/>
    </row>
    <row r="126" spans="1:13" ht="14.25" customHeight="1" x14ac:dyDescent="0.4">
      <c r="A126" s="101">
        <v>4004003748</v>
      </c>
      <c r="B126" s="102" t="s">
        <v>256</v>
      </c>
      <c r="C126" s="291">
        <v>38070</v>
      </c>
      <c r="D126" s="68">
        <f>(OBSAH!$J$6/100)*Tabulka2010141686[[#This Row],[Sloupec3]]</f>
        <v>0</v>
      </c>
      <c r="E126" s="58">
        <f>Tabulka2010141686[[#This Row],[Sloupec3]]-Tabulka2010141686[[#This Row],[Sloupec4]]</f>
        <v>38070</v>
      </c>
      <c r="F126" s="3"/>
      <c r="G126" s="3"/>
      <c r="H126" s="3"/>
      <c r="I126" s="3"/>
      <c r="J126" s="3"/>
      <c r="K126" s="3"/>
      <c r="L126" s="3"/>
      <c r="M126" s="3"/>
    </row>
    <row r="127" spans="1:13" ht="15" customHeight="1" x14ac:dyDescent="0.4">
      <c r="A127" s="103"/>
      <c r="B127" s="84"/>
      <c r="C127" s="85"/>
      <c r="D127" s="61"/>
      <c r="E127" s="62"/>
      <c r="F127" s="3"/>
      <c r="G127" s="3"/>
      <c r="H127" s="3"/>
      <c r="I127" s="3"/>
      <c r="J127" s="3"/>
      <c r="K127" s="3"/>
      <c r="L127" s="3"/>
      <c r="M127" s="3"/>
    </row>
    <row r="128" spans="1:13" ht="24" customHeight="1" x14ac:dyDescent="0.4">
      <c r="A128" s="440" t="s">
        <v>91</v>
      </c>
      <c r="B128" s="440"/>
      <c r="C128" s="440"/>
      <c r="D128" s="440"/>
      <c r="E128" s="440"/>
      <c r="F128" s="3"/>
      <c r="G128" s="3"/>
      <c r="H128" s="3"/>
      <c r="I128" s="3"/>
      <c r="J128" s="3"/>
      <c r="K128" s="3"/>
      <c r="L128" s="3"/>
      <c r="M128" s="3"/>
    </row>
    <row r="129" spans="1:13" ht="24" customHeight="1" x14ac:dyDescent="0.4">
      <c r="A129" s="39" t="s">
        <v>56</v>
      </c>
      <c r="B129" s="39" t="s">
        <v>57</v>
      </c>
      <c r="C129" s="40" t="s">
        <v>58</v>
      </c>
      <c r="D129" s="40" t="s">
        <v>59</v>
      </c>
      <c r="E129" s="41" t="s">
        <v>60</v>
      </c>
      <c r="F129" s="3"/>
      <c r="G129" s="3"/>
      <c r="H129" s="3"/>
      <c r="I129" s="3"/>
      <c r="J129" s="3"/>
      <c r="K129" s="3"/>
      <c r="L129" s="3"/>
      <c r="M129" s="3"/>
    </row>
    <row r="130" spans="1:13" ht="14.25" customHeight="1" x14ac:dyDescent="0.4">
      <c r="A130" s="98">
        <v>4004003494</v>
      </c>
      <c r="B130" s="99" t="s">
        <v>257</v>
      </c>
      <c r="C130" s="289">
        <v>15376</v>
      </c>
      <c r="D130" s="69">
        <f>(OBSAH!$J$6/100)*Tabulka2111151787[[#This Row],[Sloupec3]]</f>
        <v>0</v>
      </c>
      <c r="E130" s="70">
        <f>Tabulka2111151787[[#This Row],[Sloupec3]]-Tabulka2111151787[[#This Row],[Sloupec4]]</f>
        <v>15376</v>
      </c>
      <c r="F130" s="3"/>
      <c r="G130" s="3"/>
      <c r="H130" s="3"/>
      <c r="I130" s="3"/>
      <c r="J130" s="3"/>
      <c r="K130" s="3"/>
      <c r="L130" s="3"/>
      <c r="M130" s="3"/>
    </row>
    <row r="131" spans="1:13" ht="14.25" customHeight="1" x14ac:dyDescent="0.4">
      <c r="A131" s="100">
        <v>4004003495</v>
      </c>
      <c r="B131" s="125" t="s">
        <v>258</v>
      </c>
      <c r="C131" s="290">
        <v>15653</v>
      </c>
      <c r="D131" s="71">
        <f>(OBSAH!$J$6/100)*Tabulka2111151787[[#This Row],[Sloupec3]]</f>
        <v>0</v>
      </c>
      <c r="E131" s="57">
        <f>Tabulka2111151787[[#This Row],[Sloupec3]]-Tabulka2111151787[[#This Row],[Sloupec4]]</f>
        <v>15653</v>
      </c>
      <c r="F131" s="3"/>
      <c r="G131" s="3"/>
      <c r="H131" s="3"/>
      <c r="I131" s="3"/>
      <c r="J131" s="3"/>
      <c r="K131" s="3"/>
      <c r="L131" s="3"/>
      <c r="M131" s="3"/>
    </row>
    <row r="132" spans="1:13" ht="14.25" customHeight="1" x14ac:dyDescent="0.4">
      <c r="A132" s="100">
        <v>4004003496</v>
      </c>
      <c r="B132" s="125" t="s">
        <v>259</v>
      </c>
      <c r="C132" s="290">
        <v>15861</v>
      </c>
      <c r="D132" s="71">
        <f>(OBSAH!$J$6/100)*Tabulka2111151787[[#This Row],[Sloupec3]]</f>
        <v>0</v>
      </c>
      <c r="E132" s="57">
        <f>Tabulka2111151787[[#This Row],[Sloupec3]]-Tabulka2111151787[[#This Row],[Sloupec4]]</f>
        <v>15861</v>
      </c>
      <c r="F132" s="3"/>
      <c r="G132" s="3"/>
      <c r="H132" s="3"/>
      <c r="I132" s="3"/>
      <c r="J132" s="3"/>
      <c r="K132" s="3"/>
      <c r="L132" s="3"/>
      <c r="M132" s="3"/>
    </row>
    <row r="133" spans="1:13" ht="14.25" customHeight="1" x14ac:dyDescent="0.4">
      <c r="A133" s="100">
        <v>4004003504</v>
      </c>
      <c r="B133" s="125" t="s">
        <v>260</v>
      </c>
      <c r="C133" s="290">
        <v>16333</v>
      </c>
      <c r="D133" s="71">
        <f>(OBSAH!$J$6/100)*Tabulka2111151787[[#This Row],[Sloupec3]]</f>
        <v>0</v>
      </c>
      <c r="E133" s="57">
        <f>Tabulka2111151787[[#This Row],[Sloupec3]]-Tabulka2111151787[[#This Row],[Sloupec4]]</f>
        <v>16333</v>
      </c>
      <c r="F133" s="3"/>
      <c r="G133" s="3"/>
      <c r="H133" s="3"/>
      <c r="I133" s="3"/>
      <c r="J133" s="3"/>
      <c r="K133" s="3"/>
      <c r="L133" s="3"/>
      <c r="M133" s="3"/>
    </row>
    <row r="134" spans="1:13" ht="14.25" customHeight="1" x14ac:dyDescent="0.4">
      <c r="A134" s="100">
        <v>4004003508</v>
      </c>
      <c r="B134" s="125" t="s">
        <v>261</v>
      </c>
      <c r="C134" s="290">
        <v>16599</v>
      </c>
      <c r="D134" s="71">
        <f>(OBSAH!$J$6/100)*Tabulka2111151787[[#This Row],[Sloupec3]]</f>
        <v>0</v>
      </c>
      <c r="E134" s="57">
        <f>Tabulka2111151787[[#This Row],[Sloupec3]]-Tabulka2111151787[[#This Row],[Sloupec4]]</f>
        <v>16599</v>
      </c>
      <c r="F134" s="3"/>
      <c r="G134" s="3"/>
      <c r="H134" s="3"/>
      <c r="I134" s="3"/>
      <c r="J134" s="3"/>
      <c r="K134" s="3"/>
      <c r="L134" s="3"/>
      <c r="M134" s="3"/>
    </row>
    <row r="135" spans="1:13" ht="14.25" customHeight="1" x14ac:dyDescent="0.4">
      <c r="A135" s="100">
        <v>4004003512</v>
      </c>
      <c r="B135" s="125" t="s">
        <v>262</v>
      </c>
      <c r="C135" s="290">
        <v>16839</v>
      </c>
      <c r="D135" s="71">
        <f>(OBSAH!$J$6/100)*Tabulka2111151787[[#This Row],[Sloupec3]]</f>
        <v>0</v>
      </c>
      <c r="E135" s="57">
        <f>Tabulka2111151787[[#This Row],[Sloupec3]]-Tabulka2111151787[[#This Row],[Sloupec4]]</f>
        <v>16839</v>
      </c>
      <c r="F135" s="3"/>
      <c r="G135" s="3"/>
      <c r="H135" s="3"/>
      <c r="I135" s="3"/>
      <c r="J135" s="3"/>
      <c r="K135" s="3"/>
      <c r="L135" s="3"/>
      <c r="M135" s="3"/>
    </row>
    <row r="136" spans="1:13" ht="14.25" customHeight="1" x14ac:dyDescent="0.4">
      <c r="A136" s="100">
        <v>4004003516</v>
      </c>
      <c r="B136" s="125" t="s">
        <v>263</v>
      </c>
      <c r="C136" s="290">
        <v>20237</v>
      </c>
      <c r="D136" s="71">
        <f>(OBSAH!$J$6/100)*Tabulka2111151787[[#This Row],[Sloupec3]]</f>
        <v>0</v>
      </c>
      <c r="E136" s="57">
        <f>Tabulka2111151787[[#This Row],[Sloupec3]]-Tabulka2111151787[[#This Row],[Sloupec4]]</f>
        <v>20237</v>
      </c>
      <c r="F136" s="3"/>
      <c r="G136" s="3"/>
      <c r="H136" s="3"/>
      <c r="I136" s="3"/>
      <c r="J136" s="3"/>
      <c r="K136" s="3"/>
      <c r="L136" s="3"/>
      <c r="M136" s="3"/>
    </row>
    <row r="137" spans="1:13" ht="14.25" customHeight="1" x14ac:dyDescent="0.4">
      <c r="A137" s="100">
        <v>4004003520</v>
      </c>
      <c r="B137" s="125" t="s">
        <v>264</v>
      </c>
      <c r="C137" s="290">
        <v>20450</v>
      </c>
      <c r="D137" s="71">
        <f>(OBSAH!$J$6/100)*Tabulka2111151787[[#This Row],[Sloupec3]]</f>
        <v>0</v>
      </c>
      <c r="E137" s="57">
        <f>Tabulka2111151787[[#This Row],[Sloupec3]]-Tabulka2111151787[[#This Row],[Sloupec4]]</f>
        <v>20450</v>
      </c>
      <c r="F137" s="3"/>
      <c r="G137" s="3"/>
      <c r="H137" s="3"/>
      <c r="I137" s="3"/>
      <c r="J137" s="3"/>
      <c r="K137" s="3"/>
      <c r="L137" s="3"/>
      <c r="M137" s="3"/>
    </row>
    <row r="138" spans="1:13" ht="14.25" customHeight="1" x14ac:dyDescent="0.4">
      <c r="A138" s="100">
        <v>4004003524</v>
      </c>
      <c r="B138" s="125" t="s">
        <v>265</v>
      </c>
      <c r="C138" s="290">
        <v>21168</v>
      </c>
      <c r="D138" s="71">
        <f>(OBSAH!$J$6/100)*Tabulka2111151787[[#This Row],[Sloupec3]]</f>
        <v>0</v>
      </c>
      <c r="E138" s="57">
        <f>Tabulka2111151787[[#This Row],[Sloupec3]]-Tabulka2111151787[[#This Row],[Sloupec4]]</f>
        <v>21168</v>
      </c>
      <c r="F138" s="3"/>
      <c r="G138" s="3"/>
      <c r="H138" s="3"/>
      <c r="I138" s="3"/>
      <c r="J138" s="3"/>
      <c r="K138" s="3"/>
      <c r="L138" s="3"/>
      <c r="M138" s="3"/>
    </row>
    <row r="139" spans="1:13" ht="14.25" customHeight="1" x14ac:dyDescent="0.4">
      <c r="A139" s="100">
        <v>4004003528</v>
      </c>
      <c r="B139" s="125" t="s">
        <v>266</v>
      </c>
      <c r="C139" s="290">
        <v>21184</v>
      </c>
      <c r="D139" s="71">
        <f>(OBSAH!$J$6/100)*Tabulka2111151787[[#This Row],[Sloupec3]]</f>
        <v>0</v>
      </c>
      <c r="E139" s="57">
        <f>Tabulka2111151787[[#This Row],[Sloupec3]]-Tabulka2111151787[[#This Row],[Sloupec4]]</f>
        <v>21184</v>
      </c>
      <c r="F139" s="3"/>
      <c r="G139" s="3"/>
      <c r="H139" s="3"/>
      <c r="I139" s="3"/>
      <c r="J139" s="3"/>
      <c r="K139" s="3"/>
      <c r="L139" s="3"/>
      <c r="M139" s="3"/>
    </row>
    <row r="140" spans="1:13" ht="14.25" customHeight="1" x14ac:dyDescent="0.4">
      <c r="A140" s="100">
        <v>4004003532</v>
      </c>
      <c r="B140" s="125" t="s">
        <v>267</v>
      </c>
      <c r="C140" s="290">
        <v>21426</v>
      </c>
      <c r="D140" s="71">
        <f>(OBSAH!$J$6/100)*Tabulka2111151787[[#This Row],[Sloupec3]]</f>
        <v>0</v>
      </c>
      <c r="E140" s="57">
        <f>Tabulka2111151787[[#This Row],[Sloupec3]]-Tabulka2111151787[[#This Row],[Sloupec4]]</f>
        <v>21426</v>
      </c>
      <c r="F140" s="3"/>
      <c r="G140" s="3"/>
      <c r="H140" s="3"/>
      <c r="I140" s="3"/>
      <c r="J140" s="3"/>
      <c r="K140" s="3"/>
      <c r="L140" s="3"/>
      <c r="M140" s="3"/>
    </row>
    <row r="141" spans="1:13" ht="14.25" customHeight="1" x14ac:dyDescent="0.4">
      <c r="A141" s="100">
        <v>4004003536</v>
      </c>
      <c r="B141" s="125" t="s">
        <v>268</v>
      </c>
      <c r="C141" s="290">
        <v>24588</v>
      </c>
      <c r="D141" s="71">
        <f>(OBSAH!$J$6/100)*Tabulka2111151787[[#This Row],[Sloupec3]]</f>
        <v>0</v>
      </c>
      <c r="E141" s="57">
        <f>Tabulka2111151787[[#This Row],[Sloupec3]]-Tabulka2111151787[[#This Row],[Sloupec4]]</f>
        <v>24588</v>
      </c>
      <c r="F141" s="3"/>
      <c r="G141" s="3"/>
      <c r="H141" s="3"/>
      <c r="I141" s="3"/>
      <c r="J141" s="3"/>
      <c r="K141" s="3"/>
      <c r="L141" s="3"/>
      <c r="M141" s="3"/>
    </row>
    <row r="142" spans="1:13" ht="14.25" customHeight="1" x14ac:dyDescent="0.4">
      <c r="A142" s="100">
        <v>4004003540</v>
      </c>
      <c r="B142" s="125" t="s">
        <v>269</v>
      </c>
      <c r="C142" s="290">
        <v>24644</v>
      </c>
      <c r="D142" s="71">
        <f>(OBSAH!$J$6/100)*Tabulka2111151787[[#This Row],[Sloupec3]]</f>
        <v>0</v>
      </c>
      <c r="E142" s="57">
        <f>Tabulka2111151787[[#This Row],[Sloupec3]]-Tabulka2111151787[[#This Row],[Sloupec4]]</f>
        <v>24644</v>
      </c>
      <c r="F142" s="3"/>
      <c r="G142" s="3"/>
      <c r="H142" s="3"/>
      <c r="I142" s="3"/>
      <c r="J142" s="3"/>
      <c r="K142" s="3"/>
      <c r="L142" s="3"/>
      <c r="M142" s="3"/>
    </row>
    <row r="143" spans="1:13" ht="14.25" customHeight="1" x14ac:dyDescent="0.4">
      <c r="A143" s="100">
        <v>4004003544</v>
      </c>
      <c r="B143" s="125" t="s">
        <v>270</v>
      </c>
      <c r="C143" s="290">
        <v>24805</v>
      </c>
      <c r="D143" s="71">
        <f>(OBSAH!$J$6/100)*Tabulka2111151787[[#This Row],[Sloupec3]]</f>
        <v>0</v>
      </c>
      <c r="E143" s="57">
        <f>Tabulka2111151787[[#This Row],[Sloupec3]]-Tabulka2111151787[[#This Row],[Sloupec4]]</f>
        <v>24805</v>
      </c>
      <c r="F143" s="3"/>
      <c r="G143" s="3"/>
      <c r="H143" s="3"/>
      <c r="I143" s="3"/>
      <c r="J143" s="3"/>
      <c r="K143" s="3"/>
      <c r="L143" s="3"/>
      <c r="M143" s="3"/>
    </row>
    <row r="144" spans="1:13" ht="14.25" customHeight="1" x14ac:dyDescent="0.4">
      <c r="A144" s="100">
        <v>4004003548</v>
      </c>
      <c r="B144" s="125" t="s">
        <v>271</v>
      </c>
      <c r="C144" s="290">
        <v>25073</v>
      </c>
      <c r="D144" s="71">
        <f>(OBSAH!$J$6/100)*Tabulka2111151787[[#This Row],[Sloupec3]]</f>
        <v>0</v>
      </c>
      <c r="E144" s="57">
        <f>Tabulka2111151787[[#This Row],[Sloupec3]]-Tabulka2111151787[[#This Row],[Sloupec4]]</f>
        <v>25073</v>
      </c>
      <c r="F144" s="3"/>
      <c r="G144" s="3"/>
      <c r="H144" s="3"/>
      <c r="I144" s="3"/>
      <c r="J144" s="3"/>
      <c r="K144" s="3"/>
      <c r="L144" s="3"/>
      <c r="M144" s="3"/>
    </row>
    <row r="145" spans="1:13" ht="14.25" customHeight="1" x14ac:dyDescent="0.4">
      <c r="A145" s="100">
        <v>4004003552</v>
      </c>
      <c r="B145" s="125" t="s">
        <v>272</v>
      </c>
      <c r="C145" s="290">
        <v>25314</v>
      </c>
      <c r="D145" s="71">
        <f>(OBSAH!$J$6/100)*Tabulka2111151787[[#This Row],[Sloupec3]]</f>
        <v>0</v>
      </c>
      <c r="E145" s="57">
        <f>Tabulka2111151787[[#This Row],[Sloupec3]]-Tabulka2111151787[[#This Row],[Sloupec4]]</f>
        <v>25314</v>
      </c>
      <c r="F145" s="3"/>
      <c r="G145" s="3"/>
      <c r="H145" s="3"/>
      <c r="I145" s="3"/>
      <c r="J145" s="3"/>
      <c r="K145" s="3"/>
      <c r="L145" s="3"/>
      <c r="M145" s="3"/>
    </row>
    <row r="146" spans="1:13" ht="14.25" customHeight="1" x14ac:dyDescent="0.4">
      <c r="A146" s="100">
        <v>4004003556</v>
      </c>
      <c r="B146" s="125" t="s">
        <v>273</v>
      </c>
      <c r="C146" s="290">
        <v>28710</v>
      </c>
      <c r="D146" s="71">
        <f>(OBSAH!$J$6/100)*Tabulka2111151787[[#This Row],[Sloupec3]]</f>
        <v>0</v>
      </c>
      <c r="E146" s="57">
        <f>Tabulka2111151787[[#This Row],[Sloupec3]]-Tabulka2111151787[[#This Row],[Sloupec4]]</f>
        <v>28710</v>
      </c>
      <c r="F146" s="3"/>
      <c r="G146" s="3"/>
      <c r="H146" s="3"/>
      <c r="I146" s="3"/>
      <c r="J146" s="3"/>
      <c r="K146" s="3"/>
      <c r="L146" s="3"/>
      <c r="M146" s="3"/>
    </row>
    <row r="147" spans="1:13" ht="14.25" customHeight="1" x14ac:dyDescent="0.4">
      <c r="A147" s="100">
        <v>4004003560</v>
      </c>
      <c r="B147" s="125" t="s">
        <v>274</v>
      </c>
      <c r="C147" s="290">
        <v>28921</v>
      </c>
      <c r="D147" s="71">
        <f>(OBSAH!$J$6/100)*Tabulka2111151787[[#This Row],[Sloupec3]]</f>
        <v>0</v>
      </c>
      <c r="E147" s="57">
        <f>Tabulka2111151787[[#This Row],[Sloupec3]]-Tabulka2111151787[[#This Row],[Sloupec4]]</f>
        <v>28921</v>
      </c>
      <c r="F147" s="3"/>
      <c r="G147" s="3"/>
      <c r="H147" s="3"/>
      <c r="I147" s="3"/>
      <c r="J147" s="3"/>
      <c r="K147" s="3"/>
      <c r="L147" s="3"/>
      <c r="M147" s="3"/>
    </row>
    <row r="148" spans="1:13" ht="14.25" customHeight="1" x14ac:dyDescent="0.4">
      <c r="A148" s="100">
        <v>4004003564</v>
      </c>
      <c r="B148" s="125" t="s">
        <v>275</v>
      </c>
      <c r="C148" s="290">
        <v>29390</v>
      </c>
      <c r="D148" s="71">
        <f>(OBSAH!$J$6/100)*Tabulka2111151787[[#This Row],[Sloupec3]]</f>
        <v>0</v>
      </c>
      <c r="E148" s="57">
        <f>Tabulka2111151787[[#This Row],[Sloupec3]]-Tabulka2111151787[[#This Row],[Sloupec4]]</f>
        <v>29390</v>
      </c>
      <c r="F148" s="3"/>
      <c r="G148" s="3"/>
      <c r="H148" s="3"/>
      <c r="I148" s="3"/>
      <c r="J148" s="3"/>
      <c r="K148" s="3"/>
      <c r="L148" s="3"/>
      <c r="M148" s="3"/>
    </row>
    <row r="149" spans="1:13" ht="14.25" customHeight="1" x14ac:dyDescent="0.4">
      <c r="A149" s="100">
        <v>4004003568</v>
      </c>
      <c r="B149" s="125" t="s">
        <v>276</v>
      </c>
      <c r="C149" s="290">
        <v>29686</v>
      </c>
      <c r="D149" s="71">
        <f>(OBSAH!$J$6/100)*Tabulka2111151787[[#This Row],[Sloupec3]]</f>
        <v>0</v>
      </c>
      <c r="E149" s="57">
        <f>Tabulka2111151787[[#This Row],[Sloupec3]]-Tabulka2111151787[[#This Row],[Sloupec4]]</f>
        <v>29686</v>
      </c>
      <c r="F149" s="3"/>
      <c r="G149" s="3"/>
      <c r="H149" s="3"/>
      <c r="I149" s="3"/>
      <c r="J149" s="3"/>
      <c r="K149" s="3"/>
      <c r="L149" s="3"/>
      <c r="M149" s="3"/>
    </row>
    <row r="150" spans="1:13" ht="14.25" customHeight="1" x14ac:dyDescent="0.4">
      <c r="A150" s="100">
        <v>4004003572</v>
      </c>
      <c r="B150" s="125" t="s">
        <v>277</v>
      </c>
      <c r="C150" s="290">
        <v>29755</v>
      </c>
      <c r="D150" s="71">
        <f>(OBSAH!$J$6/100)*Tabulka2111151787[[#This Row],[Sloupec3]]</f>
        <v>0</v>
      </c>
      <c r="E150" s="57">
        <f>Tabulka2111151787[[#This Row],[Sloupec3]]-Tabulka2111151787[[#This Row],[Sloupec4]]</f>
        <v>29755</v>
      </c>
      <c r="F150" s="3"/>
      <c r="G150" s="3"/>
      <c r="H150" s="3"/>
      <c r="I150" s="3"/>
      <c r="J150" s="3"/>
      <c r="K150" s="3"/>
      <c r="L150" s="3"/>
      <c r="M150" s="3"/>
    </row>
    <row r="151" spans="1:13" ht="14.25" customHeight="1" x14ac:dyDescent="0.4">
      <c r="A151" s="100">
        <v>4004003576</v>
      </c>
      <c r="B151" s="125" t="s">
        <v>278</v>
      </c>
      <c r="C151" s="290">
        <v>32874</v>
      </c>
      <c r="D151" s="71">
        <f>(OBSAH!$J$6/100)*Tabulka2111151787[[#This Row],[Sloupec3]]</f>
        <v>0</v>
      </c>
      <c r="E151" s="57">
        <f>Tabulka2111151787[[#This Row],[Sloupec3]]-Tabulka2111151787[[#This Row],[Sloupec4]]</f>
        <v>32874</v>
      </c>
      <c r="F151" s="3"/>
      <c r="G151" s="3"/>
      <c r="H151" s="3"/>
      <c r="I151" s="3"/>
      <c r="J151" s="3"/>
      <c r="K151" s="3"/>
      <c r="L151" s="3"/>
      <c r="M151" s="3"/>
    </row>
    <row r="152" spans="1:13" ht="14.25" customHeight="1" x14ac:dyDescent="0.4">
      <c r="A152" s="100">
        <v>4004003580</v>
      </c>
      <c r="B152" s="125" t="s">
        <v>279</v>
      </c>
      <c r="C152" s="290">
        <v>33084</v>
      </c>
      <c r="D152" s="71">
        <f>(OBSAH!$J$6/100)*Tabulka2111151787[[#This Row],[Sloupec3]]</f>
        <v>0</v>
      </c>
      <c r="E152" s="57">
        <f>Tabulka2111151787[[#This Row],[Sloupec3]]-Tabulka2111151787[[#This Row],[Sloupec4]]</f>
        <v>33084</v>
      </c>
      <c r="F152" s="3"/>
      <c r="G152" s="3"/>
      <c r="H152" s="3"/>
      <c r="I152" s="3"/>
      <c r="J152" s="3"/>
      <c r="K152" s="3"/>
      <c r="L152" s="3"/>
      <c r="M152" s="3"/>
    </row>
    <row r="153" spans="1:13" ht="14.25" customHeight="1" x14ac:dyDescent="0.4">
      <c r="A153" s="100">
        <v>4004003584</v>
      </c>
      <c r="B153" s="125" t="s">
        <v>280</v>
      </c>
      <c r="C153" s="290">
        <v>33527</v>
      </c>
      <c r="D153" s="71">
        <f>(OBSAH!$J$6/100)*Tabulka2111151787[[#This Row],[Sloupec3]]</f>
        <v>0</v>
      </c>
      <c r="E153" s="57">
        <f>Tabulka2111151787[[#This Row],[Sloupec3]]-Tabulka2111151787[[#This Row],[Sloupec4]]</f>
        <v>33527</v>
      </c>
      <c r="F153" s="3"/>
      <c r="G153" s="3"/>
      <c r="H153" s="3"/>
      <c r="I153" s="3"/>
      <c r="J153" s="3"/>
      <c r="K153" s="3"/>
      <c r="L153" s="3"/>
      <c r="M153" s="3"/>
    </row>
    <row r="154" spans="1:13" ht="14.25" customHeight="1" x14ac:dyDescent="0.4">
      <c r="A154" s="100">
        <v>4004003588</v>
      </c>
      <c r="B154" s="125" t="s">
        <v>281</v>
      </c>
      <c r="C154" s="290">
        <v>33795</v>
      </c>
      <c r="D154" s="71">
        <f>(OBSAH!$J$6/100)*Tabulka2111151787[[#This Row],[Sloupec3]]</f>
        <v>0</v>
      </c>
      <c r="E154" s="57">
        <f>Tabulka2111151787[[#This Row],[Sloupec3]]-Tabulka2111151787[[#This Row],[Sloupec4]]</f>
        <v>33795</v>
      </c>
      <c r="F154" s="3"/>
      <c r="G154" s="3"/>
      <c r="H154" s="3"/>
      <c r="I154" s="3"/>
      <c r="J154" s="3"/>
      <c r="K154" s="3"/>
      <c r="L154" s="3"/>
      <c r="M154" s="3"/>
    </row>
    <row r="155" spans="1:13" ht="14.25" customHeight="1" x14ac:dyDescent="0.4">
      <c r="A155" s="100">
        <v>4004003592</v>
      </c>
      <c r="B155" s="125" t="s">
        <v>282</v>
      </c>
      <c r="C155" s="290">
        <v>33887</v>
      </c>
      <c r="D155" s="71">
        <f>(OBSAH!$J$6/100)*Tabulka2111151787[[#This Row],[Sloupec3]]</f>
        <v>0</v>
      </c>
      <c r="E155" s="57">
        <f>Tabulka2111151787[[#This Row],[Sloupec3]]-Tabulka2111151787[[#This Row],[Sloupec4]]</f>
        <v>33887</v>
      </c>
      <c r="F155" s="3"/>
      <c r="G155" s="3"/>
      <c r="H155" s="3"/>
      <c r="I155" s="3"/>
      <c r="J155" s="3"/>
      <c r="K155" s="3"/>
      <c r="L155" s="3"/>
      <c r="M155" s="3"/>
    </row>
    <row r="156" spans="1:13" ht="14.25" customHeight="1" x14ac:dyDescent="0.4">
      <c r="A156" s="100">
        <v>4004003596</v>
      </c>
      <c r="B156" s="125" t="s">
        <v>283</v>
      </c>
      <c r="C156" s="290">
        <v>37380</v>
      </c>
      <c r="D156" s="71">
        <f>(OBSAH!$J$6/100)*Tabulka2111151787[[#This Row],[Sloupec3]]</f>
        <v>0</v>
      </c>
      <c r="E156" s="57">
        <f>Tabulka2111151787[[#This Row],[Sloupec3]]-Tabulka2111151787[[#This Row],[Sloupec4]]</f>
        <v>37380</v>
      </c>
      <c r="F156" s="3"/>
      <c r="G156" s="3"/>
      <c r="H156" s="3"/>
      <c r="I156" s="3"/>
      <c r="J156" s="3"/>
      <c r="K156" s="3"/>
      <c r="L156" s="3"/>
      <c r="M156" s="3"/>
    </row>
    <row r="157" spans="1:13" ht="14.25" customHeight="1" x14ac:dyDescent="0.4">
      <c r="A157" s="100">
        <v>4004003600</v>
      </c>
      <c r="B157" s="125" t="s">
        <v>284</v>
      </c>
      <c r="C157" s="290">
        <v>37593</v>
      </c>
      <c r="D157" s="71">
        <f>(OBSAH!$J$6/100)*Tabulka2111151787[[#This Row],[Sloupec3]]</f>
        <v>0</v>
      </c>
      <c r="E157" s="57">
        <f>Tabulka2111151787[[#This Row],[Sloupec3]]-Tabulka2111151787[[#This Row],[Sloupec4]]</f>
        <v>37593</v>
      </c>
      <c r="F157" s="3"/>
      <c r="G157" s="3"/>
      <c r="H157" s="3"/>
      <c r="I157" s="3"/>
      <c r="J157" s="3"/>
      <c r="K157" s="3"/>
      <c r="L157" s="3"/>
      <c r="M157" s="3"/>
    </row>
    <row r="158" spans="1:13" ht="14.25" customHeight="1" x14ac:dyDescent="0.4">
      <c r="A158" s="100">
        <v>4004003604</v>
      </c>
      <c r="B158" s="125" t="s">
        <v>285</v>
      </c>
      <c r="C158" s="290">
        <v>37917</v>
      </c>
      <c r="D158" s="71">
        <f>(OBSAH!$J$6/100)*Tabulka2111151787[[#This Row],[Sloupec3]]</f>
        <v>0</v>
      </c>
      <c r="E158" s="57">
        <f>Tabulka2111151787[[#This Row],[Sloupec3]]-Tabulka2111151787[[#This Row],[Sloupec4]]</f>
        <v>37917</v>
      </c>
      <c r="F158" s="3"/>
      <c r="G158" s="3"/>
      <c r="H158" s="3"/>
      <c r="I158" s="3"/>
      <c r="J158" s="3"/>
      <c r="K158" s="3"/>
      <c r="L158" s="3"/>
      <c r="M158" s="3"/>
    </row>
    <row r="159" spans="1:13" ht="14.25" customHeight="1" x14ac:dyDescent="0.4">
      <c r="A159" s="100">
        <v>4004003608</v>
      </c>
      <c r="B159" s="125" t="s">
        <v>286</v>
      </c>
      <c r="C159" s="290">
        <v>38300</v>
      </c>
      <c r="D159" s="71">
        <f>(OBSAH!$J$6/100)*Tabulka2111151787[[#This Row],[Sloupec3]]</f>
        <v>0</v>
      </c>
      <c r="E159" s="57">
        <f>Tabulka2111151787[[#This Row],[Sloupec3]]-Tabulka2111151787[[#This Row],[Sloupec4]]</f>
        <v>38300</v>
      </c>
      <c r="F159" s="3"/>
      <c r="G159" s="3"/>
      <c r="H159" s="3"/>
      <c r="I159" s="3"/>
      <c r="J159" s="3"/>
      <c r="K159" s="3"/>
      <c r="L159" s="3"/>
      <c r="M159" s="3"/>
    </row>
    <row r="160" spans="1:13" ht="14.25" customHeight="1" x14ac:dyDescent="0.4">
      <c r="A160" s="101">
        <v>4004003612</v>
      </c>
      <c r="B160" s="102" t="s">
        <v>287</v>
      </c>
      <c r="C160" s="291">
        <v>38511</v>
      </c>
      <c r="D160" s="68">
        <f>(OBSAH!$J$6/100)*Tabulka2111151787[[#This Row],[Sloupec3]]</f>
        <v>0</v>
      </c>
      <c r="E160" s="58">
        <f>Tabulka2111151787[[#This Row],[Sloupec3]]-Tabulka2111151787[[#This Row],[Sloupec4]]</f>
        <v>38511</v>
      </c>
      <c r="F160" s="3"/>
      <c r="G160" s="3"/>
      <c r="H160" s="3"/>
      <c r="I160" s="3"/>
      <c r="J160" s="3"/>
      <c r="K160" s="3"/>
      <c r="L160" s="3"/>
      <c r="M160" s="3"/>
    </row>
    <row r="161" spans="1:13" ht="15" customHeight="1" x14ac:dyDescent="0.4">
      <c r="A161" s="441" t="s">
        <v>120</v>
      </c>
      <c r="B161" s="441"/>
      <c r="C161" s="441"/>
      <c r="D161" s="441"/>
      <c r="E161" s="441"/>
      <c r="F161" s="3"/>
      <c r="G161" s="3"/>
      <c r="H161" s="3"/>
      <c r="I161" s="3"/>
      <c r="J161" s="3"/>
      <c r="K161" s="3"/>
      <c r="L161" s="3"/>
      <c r="M161" s="3"/>
    </row>
    <row r="162" spans="1:13" ht="15" customHeight="1" x14ac:dyDescent="0.4">
      <c r="A162" s="37"/>
      <c r="B162" s="38"/>
      <c r="C162" s="106"/>
      <c r="D162" s="61"/>
      <c r="E162" s="62"/>
      <c r="F162" s="3"/>
      <c r="G162" s="3"/>
      <c r="H162" s="3"/>
      <c r="I162" s="3"/>
      <c r="J162" s="3"/>
      <c r="K162" s="3"/>
      <c r="L162" s="3"/>
      <c r="M162" s="3"/>
    </row>
    <row r="163" spans="1:13" ht="15" customHeight="1" x14ac:dyDescent="0.4">
      <c r="A163" s="37"/>
      <c r="B163" s="38"/>
      <c r="C163" s="106"/>
      <c r="D163" s="61"/>
      <c r="E163" s="62"/>
      <c r="F163" s="3"/>
      <c r="G163" s="3"/>
      <c r="H163" s="3"/>
      <c r="I163" s="3"/>
      <c r="J163" s="3"/>
      <c r="K163" s="3"/>
      <c r="L163" s="3"/>
      <c r="M163" s="3"/>
    </row>
    <row r="164" spans="1:13" ht="36" customHeight="1" x14ac:dyDescent="0.4">
      <c r="A164" s="442" t="s">
        <v>152</v>
      </c>
      <c r="B164" s="442"/>
      <c r="C164" s="442"/>
      <c r="D164" s="442"/>
      <c r="E164" s="442"/>
      <c r="F164" s="3"/>
      <c r="G164" s="3"/>
      <c r="H164" s="3"/>
      <c r="I164" s="3"/>
      <c r="J164" s="3"/>
      <c r="K164" s="3"/>
      <c r="L164" s="3"/>
      <c r="M164" s="3"/>
    </row>
    <row r="165" spans="1:13" ht="36" customHeight="1" x14ac:dyDescent="0.4">
      <c r="A165" s="443" t="s">
        <v>288</v>
      </c>
      <c r="B165" s="443"/>
      <c r="C165" s="443"/>
      <c r="D165" s="443"/>
      <c r="E165" s="443"/>
      <c r="F165" s="3"/>
      <c r="G165" s="3"/>
      <c r="H165" s="3"/>
      <c r="I165" s="3"/>
      <c r="J165" s="3"/>
      <c r="K165" s="3"/>
      <c r="L165" s="3"/>
      <c r="M165" s="3"/>
    </row>
    <row r="166" spans="1:13" ht="24" customHeight="1" x14ac:dyDescent="0.4">
      <c r="A166" s="444" t="s">
        <v>83</v>
      </c>
      <c r="B166" s="444"/>
      <c r="C166" s="444"/>
      <c r="D166" s="444"/>
      <c r="E166" s="444"/>
      <c r="F166" s="3"/>
      <c r="G166" s="3"/>
      <c r="H166" s="3"/>
      <c r="I166" s="3"/>
      <c r="J166" s="3"/>
      <c r="K166" s="3"/>
      <c r="L166" s="3"/>
      <c r="M166" s="3"/>
    </row>
    <row r="167" spans="1:13" ht="24" customHeight="1" x14ac:dyDescent="0.4">
      <c r="A167" s="39" t="s">
        <v>56</v>
      </c>
      <c r="B167" s="39" t="s">
        <v>57</v>
      </c>
      <c r="C167" s="40" t="s">
        <v>58</v>
      </c>
      <c r="D167" s="40" t="s">
        <v>59</v>
      </c>
      <c r="E167" s="41" t="s">
        <v>60</v>
      </c>
      <c r="F167" s="3"/>
      <c r="G167" s="3"/>
      <c r="H167" s="3"/>
      <c r="I167" s="3"/>
      <c r="J167" s="3"/>
      <c r="K167" s="3"/>
      <c r="L167" s="3"/>
      <c r="M167" s="3"/>
    </row>
    <row r="168" spans="1:13" ht="14.25" customHeight="1" x14ac:dyDescent="0.4">
      <c r="A168" s="98">
        <v>4004003629</v>
      </c>
      <c r="B168" s="99" t="s">
        <v>289</v>
      </c>
      <c r="C168" s="289">
        <v>15398</v>
      </c>
      <c r="D168" s="69">
        <f>(OBSAH!$J$6/100)*Tabulka201014162589[[#This Row],[Sloupec3]]</f>
        <v>0</v>
      </c>
      <c r="E168" s="70">
        <f>Tabulka201014162589[[#This Row],[Sloupec3]]-Tabulka201014162589[[#This Row],[Sloupec4]]</f>
        <v>15398</v>
      </c>
      <c r="F168" s="3"/>
      <c r="G168" s="3"/>
      <c r="H168" s="3"/>
      <c r="I168" s="3"/>
      <c r="J168" s="3"/>
      <c r="K168" s="3"/>
      <c r="L168" s="3"/>
      <c r="M168" s="3"/>
    </row>
    <row r="169" spans="1:13" ht="14.25" customHeight="1" x14ac:dyDescent="0.4">
      <c r="A169" s="100">
        <v>4004003633</v>
      </c>
      <c r="B169" s="125" t="s">
        <v>290</v>
      </c>
      <c r="C169" s="290">
        <v>15675</v>
      </c>
      <c r="D169" s="71">
        <f>(OBSAH!$J$6/100)*Tabulka201014162589[[#This Row],[Sloupec3]]</f>
        <v>0</v>
      </c>
      <c r="E169" s="57">
        <f>Tabulka201014162589[[#This Row],[Sloupec3]]-Tabulka201014162589[[#This Row],[Sloupec4]]</f>
        <v>15675</v>
      </c>
      <c r="F169" s="3"/>
      <c r="G169" s="3"/>
      <c r="H169" s="3"/>
      <c r="I169" s="3"/>
      <c r="J169" s="3"/>
      <c r="K169" s="3"/>
      <c r="L169" s="3"/>
      <c r="M169" s="3"/>
    </row>
    <row r="170" spans="1:13" ht="14.25" customHeight="1" x14ac:dyDescent="0.4">
      <c r="A170" s="100">
        <v>4004003637</v>
      </c>
      <c r="B170" s="125" t="s">
        <v>291</v>
      </c>
      <c r="C170" s="290">
        <v>15943</v>
      </c>
      <c r="D170" s="71">
        <f>(OBSAH!$J$6/100)*Tabulka201014162589[[#This Row],[Sloupec3]]</f>
        <v>0</v>
      </c>
      <c r="E170" s="57">
        <f>Tabulka201014162589[[#This Row],[Sloupec3]]-Tabulka201014162589[[#This Row],[Sloupec4]]</f>
        <v>15943</v>
      </c>
      <c r="F170" s="3"/>
      <c r="G170" s="3"/>
      <c r="H170" s="3"/>
      <c r="I170" s="3"/>
      <c r="J170" s="3"/>
      <c r="K170" s="3"/>
      <c r="L170" s="3"/>
      <c r="M170" s="3"/>
    </row>
    <row r="171" spans="1:13" ht="14.25" customHeight="1" x14ac:dyDescent="0.4">
      <c r="A171" s="100">
        <v>4004003641</v>
      </c>
      <c r="B171" s="125" t="s">
        <v>292</v>
      </c>
      <c r="C171" s="290">
        <v>15980</v>
      </c>
      <c r="D171" s="71">
        <f>(OBSAH!$J$6/100)*Tabulka201014162589[[#This Row],[Sloupec3]]</f>
        <v>0</v>
      </c>
      <c r="E171" s="57">
        <f>Tabulka201014162589[[#This Row],[Sloupec3]]-Tabulka201014162589[[#This Row],[Sloupec4]]</f>
        <v>15980</v>
      </c>
      <c r="F171" s="3"/>
      <c r="G171" s="3"/>
      <c r="H171" s="3"/>
      <c r="I171" s="3"/>
      <c r="J171" s="3"/>
      <c r="K171" s="3"/>
      <c r="L171" s="3"/>
      <c r="M171" s="3"/>
    </row>
    <row r="172" spans="1:13" ht="14.25" customHeight="1" x14ac:dyDescent="0.4">
      <c r="A172" s="100">
        <v>4004003645</v>
      </c>
      <c r="B172" s="125" t="s">
        <v>293</v>
      </c>
      <c r="C172" s="290">
        <v>16249</v>
      </c>
      <c r="D172" s="71">
        <f>(OBSAH!$J$6/100)*Tabulka201014162589[[#This Row],[Sloupec3]]</f>
        <v>0</v>
      </c>
      <c r="E172" s="57">
        <f>Tabulka201014162589[[#This Row],[Sloupec3]]-Tabulka201014162589[[#This Row],[Sloupec4]]</f>
        <v>16249</v>
      </c>
      <c r="F172" s="3"/>
      <c r="G172" s="3"/>
      <c r="H172" s="3"/>
      <c r="I172" s="3"/>
      <c r="J172" s="3"/>
      <c r="K172" s="3"/>
      <c r="L172" s="3"/>
      <c r="M172" s="3"/>
    </row>
    <row r="173" spans="1:13" ht="14.25" customHeight="1" x14ac:dyDescent="0.4">
      <c r="A173" s="100">
        <v>4004003649</v>
      </c>
      <c r="B173" s="125" t="s">
        <v>294</v>
      </c>
      <c r="C173" s="290">
        <v>17930</v>
      </c>
      <c r="D173" s="71">
        <f>(OBSAH!$J$6/100)*Tabulka201014162589[[#This Row],[Sloupec3]]</f>
        <v>0</v>
      </c>
      <c r="E173" s="57">
        <f>Tabulka201014162589[[#This Row],[Sloupec3]]-Tabulka201014162589[[#This Row],[Sloupec4]]</f>
        <v>17930</v>
      </c>
      <c r="F173" s="3"/>
      <c r="G173" s="3"/>
      <c r="H173" s="3"/>
      <c r="I173" s="3"/>
      <c r="J173" s="3"/>
      <c r="K173" s="3"/>
      <c r="L173" s="3"/>
      <c r="M173" s="3"/>
    </row>
    <row r="174" spans="1:13" ht="14.25" customHeight="1" x14ac:dyDescent="0.4">
      <c r="A174" s="100">
        <v>4004003653</v>
      </c>
      <c r="B174" s="125" t="s">
        <v>295</v>
      </c>
      <c r="C174" s="290">
        <v>20261</v>
      </c>
      <c r="D174" s="71">
        <f>(OBSAH!$J$6/100)*Tabulka201014162589[[#This Row],[Sloupec3]]</f>
        <v>0</v>
      </c>
      <c r="E174" s="57">
        <f>Tabulka201014162589[[#This Row],[Sloupec3]]-Tabulka201014162589[[#This Row],[Sloupec4]]</f>
        <v>20261</v>
      </c>
      <c r="F174" s="3"/>
      <c r="G174" s="3"/>
      <c r="H174" s="3"/>
      <c r="I174" s="3"/>
      <c r="J174" s="3"/>
      <c r="K174" s="3"/>
      <c r="L174" s="3"/>
      <c r="M174" s="3"/>
    </row>
    <row r="175" spans="1:13" ht="14.25" customHeight="1" x14ac:dyDescent="0.4">
      <c r="A175" s="100">
        <v>4004003657</v>
      </c>
      <c r="B175" s="125" t="s">
        <v>296</v>
      </c>
      <c r="C175" s="290">
        <v>20470</v>
      </c>
      <c r="D175" s="71">
        <f>(OBSAH!$J$6/100)*Tabulka201014162589[[#This Row],[Sloupec3]]</f>
        <v>0</v>
      </c>
      <c r="E175" s="57">
        <f>Tabulka201014162589[[#This Row],[Sloupec3]]-Tabulka201014162589[[#This Row],[Sloupec4]]</f>
        <v>20470</v>
      </c>
      <c r="F175" s="3"/>
      <c r="G175" s="3"/>
      <c r="H175" s="3"/>
      <c r="I175" s="3"/>
      <c r="J175" s="3"/>
      <c r="K175" s="3"/>
      <c r="L175" s="3"/>
      <c r="M175" s="3"/>
    </row>
    <row r="176" spans="1:13" ht="14.25" customHeight="1" x14ac:dyDescent="0.4">
      <c r="A176" s="100">
        <v>4004003661</v>
      </c>
      <c r="B176" s="125" t="s">
        <v>297</v>
      </c>
      <c r="C176" s="290">
        <v>20818</v>
      </c>
      <c r="D176" s="71">
        <f>(OBSAH!$J$6/100)*Tabulka201014162589[[#This Row],[Sloupec3]]</f>
        <v>0</v>
      </c>
      <c r="E176" s="57">
        <f>Tabulka201014162589[[#This Row],[Sloupec3]]-Tabulka201014162589[[#This Row],[Sloupec4]]</f>
        <v>20818</v>
      </c>
      <c r="F176" s="3"/>
      <c r="G176" s="3"/>
      <c r="H176" s="3"/>
      <c r="I176" s="3"/>
      <c r="J176" s="3"/>
      <c r="K176" s="3"/>
      <c r="L176" s="3"/>
      <c r="M176" s="3"/>
    </row>
    <row r="177" spans="1:13" ht="14.25" customHeight="1" x14ac:dyDescent="0.4">
      <c r="A177" s="100">
        <v>4004003665</v>
      </c>
      <c r="B177" s="125" t="s">
        <v>298</v>
      </c>
      <c r="C177" s="290">
        <v>20834</v>
      </c>
      <c r="D177" s="71">
        <f>(OBSAH!$J$6/100)*Tabulka201014162589[[#This Row],[Sloupec3]]</f>
        <v>0</v>
      </c>
      <c r="E177" s="57">
        <f>Tabulka201014162589[[#This Row],[Sloupec3]]-Tabulka201014162589[[#This Row],[Sloupec4]]</f>
        <v>20834</v>
      </c>
      <c r="F177" s="3"/>
      <c r="G177" s="3"/>
      <c r="H177" s="3"/>
      <c r="I177" s="3"/>
      <c r="J177" s="3"/>
      <c r="K177" s="3"/>
      <c r="L177" s="3"/>
      <c r="M177" s="3"/>
    </row>
    <row r="178" spans="1:13" ht="14.25" customHeight="1" x14ac:dyDescent="0.4">
      <c r="A178" s="100">
        <v>4004003669</v>
      </c>
      <c r="B178" s="125" t="s">
        <v>299</v>
      </c>
      <c r="C178" s="290">
        <v>21072</v>
      </c>
      <c r="D178" s="71">
        <f>(OBSAH!$J$6/100)*Tabulka201014162589[[#This Row],[Sloupec3]]</f>
        <v>0</v>
      </c>
      <c r="E178" s="57">
        <f>Tabulka201014162589[[#This Row],[Sloupec3]]-Tabulka201014162589[[#This Row],[Sloupec4]]</f>
        <v>21072</v>
      </c>
      <c r="F178" s="3"/>
      <c r="G178" s="3"/>
      <c r="H178" s="3"/>
      <c r="I178" s="3"/>
      <c r="J178" s="3"/>
      <c r="K178" s="3"/>
      <c r="L178" s="3"/>
      <c r="M178" s="3"/>
    </row>
    <row r="179" spans="1:13" ht="14.25" customHeight="1" x14ac:dyDescent="0.4">
      <c r="A179" s="100">
        <v>4004003673</v>
      </c>
      <c r="B179" s="125" t="s">
        <v>300</v>
      </c>
      <c r="C179" s="290">
        <v>24148</v>
      </c>
      <c r="D179" s="71">
        <f>(OBSAH!$J$6/100)*Tabulka201014162589[[#This Row],[Sloupec3]]</f>
        <v>0</v>
      </c>
      <c r="E179" s="57">
        <f>Tabulka201014162589[[#This Row],[Sloupec3]]-Tabulka201014162589[[#This Row],[Sloupec4]]</f>
        <v>24148</v>
      </c>
      <c r="F179" s="3"/>
      <c r="G179" s="3"/>
      <c r="H179" s="3"/>
      <c r="I179" s="3"/>
      <c r="J179" s="3"/>
      <c r="K179" s="3"/>
      <c r="L179" s="3"/>
      <c r="M179" s="3"/>
    </row>
    <row r="180" spans="1:13" ht="14.25" customHeight="1" x14ac:dyDescent="0.4">
      <c r="A180" s="100">
        <v>4004003677</v>
      </c>
      <c r="B180" s="125" t="s">
        <v>301</v>
      </c>
      <c r="C180" s="290">
        <v>24358</v>
      </c>
      <c r="D180" s="71">
        <f>(OBSAH!$J$6/100)*Tabulka201014162589[[#This Row],[Sloupec3]]</f>
        <v>0</v>
      </c>
      <c r="E180" s="57">
        <f>Tabulka201014162589[[#This Row],[Sloupec3]]-Tabulka201014162589[[#This Row],[Sloupec4]]</f>
        <v>24358</v>
      </c>
      <c r="F180" s="3"/>
      <c r="G180" s="3"/>
      <c r="H180" s="3"/>
      <c r="I180" s="3"/>
      <c r="J180" s="3"/>
      <c r="K180" s="3"/>
      <c r="L180" s="3"/>
      <c r="M180" s="3"/>
    </row>
    <row r="181" spans="1:13" ht="14.25" customHeight="1" x14ac:dyDescent="0.4">
      <c r="A181" s="100">
        <v>4004003681</v>
      </c>
      <c r="B181" s="125" t="s">
        <v>302</v>
      </c>
      <c r="C181" s="290">
        <v>24453</v>
      </c>
      <c r="D181" s="71">
        <f>(OBSAH!$J$6/100)*Tabulka201014162589[[#This Row],[Sloupec3]]</f>
        <v>0</v>
      </c>
      <c r="E181" s="57">
        <f>Tabulka201014162589[[#This Row],[Sloupec3]]-Tabulka201014162589[[#This Row],[Sloupec4]]</f>
        <v>24453</v>
      </c>
      <c r="F181" s="3"/>
      <c r="G181" s="3"/>
      <c r="H181" s="3"/>
      <c r="I181" s="3"/>
      <c r="J181" s="3"/>
      <c r="K181" s="3"/>
      <c r="L181" s="3"/>
      <c r="M181" s="3"/>
    </row>
    <row r="182" spans="1:13" ht="14.25" customHeight="1" x14ac:dyDescent="0.4">
      <c r="A182" s="100">
        <v>4004003685</v>
      </c>
      <c r="B182" s="125" t="s">
        <v>303</v>
      </c>
      <c r="C182" s="290">
        <v>24721</v>
      </c>
      <c r="D182" s="71">
        <f>(OBSAH!$J$6/100)*Tabulka201014162589[[#This Row],[Sloupec3]]</f>
        <v>0</v>
      </c>
      <c r="E182" s="57">
        <f>Tabulka201014162589[[#This Row],[Sloupec3]]-Tabulka201014162589[[#This Row],[Sloupec4]]</f>
        <v>24721</v>
      </c>
      <c r="F182" s="3"/>
      <c r="G182" s="3"/>
      <c r="H182" s="3"/>
      <c r="I182" s="3"/>
      <c r="J182" s="3"/>
      <c r="K182" s="3"/>
      <c r="L182" s="3"/>
      <c r="M182" s="3"/>
    </row>
    <row r="183" spans="1:13" ht="14.25" customHeight="1" x14ac:dyDescent="0.4">
      <c r="A183" s="100">
        <v>4004003689</v>
      </c>
      <c r="B183" s="125" t="s">
        <v>304</v>
      </c>
      <c r="C183" s="290">
        <v>24959</v>
      </c>
      <c r="D183" s="71">
        <f>(OBSAH!$J$6/100)*Tabulka201014162589[[#This Row],[Sloupec3]]</f>
        <v>0</v>
      </c>
      <c r="E183" s="57">
        <f>Tabulka201014162589[[#This Row],[Sloupec3]]-Tabulka201014162589[[#This Row],[Sloupec4]]</f>
        <v>24959</v>
      </c>
      <c r="F183" s="3"/>
      <c r="G183" s="3"/>
      <c r="H183" s="3"/>
      <c r="I183" s="3"/>
      <c r="J183" s="3"/>
      <c r="K183" s="3"/>
      <c r="L183" s="3"/>
      <c r="M183" s="3"/>
    </row>
    <row r="184" spans="1:13" ht="14.25" customHeight="1" x14ac:dyDescent="0.4">
      <c r="A184" s="100">
        <v>4004003693</v>
      </c>
      <c r="B184" s="125" t="s">
        <v>305</v>
      </c>
      <c r="C184" s="290">
        <v>28734</v>
      </c>
      <c r="D184" s="71">
        <f>(OBSAH!$J$6/100)*Tabulka201014162589[[#This Row],[Sloupec3]]</f>
        <v>0</v>
      </c>
      <c r="E184" s="57">
        <f>Tabulka201014162589[[#This Row],[Sloupec3]]-Tabulka201014162589[[#This Row],[Sloupec4]]</f>
        <v>28734</v>
      </c>
      <c r="F184" s="3"/>
      <c r="G184" s="3"/>
      <c r="H184" s="3"/>
      <c r="I184" s="3"/>
      <c r="J184" s="3"/>
      <c r="K184" s="3"/>
      <c r="L184" s="3"/>
      <c r="M184" s="3"/>
    </row>
    <row r="185" spans="1:13" ht="14.25" customHeight="1" x14ac:dyDescent="0.4">
      <c r="A185" s="100">
        <v>4004003697</v>
      </c>
      <c r="B185" s="125" t="s">
        <v>306</v>
      </c>
      <c r="C185" s="290">
        <v>28943</v>
      </c>
      <c r="D185" s="71">
        <f>(OBSAH!$J$6/100)*Tabulka201014162589[[#This Row],[Sloupec3]]</f>
        <v>0</v>
      </c>
      <c r="E185" s="57">
        <f>Tabulka201014162589[[#This Row],[Sloupec3]]-Tabulka201014162589[[#This Row],[Sloupec4]]</f>
        <v>28943</v>
      </c>
      <c r="F185" s="3"/>
      <c r="G185" s="3"/>
      <c r="H185" s="3"/>
      <c r="I185" s="3"/>
      <c r="J185" s="3"/>
      <c r="K185" s="3"/>
      <c r="L185" s="3"/>
      <c r="M185" s="3"/>
    </row>
    <row r="186" spans="1:13" ht="14.25" customHeight="1" x14ac:dyDescent="0.4">
      <c r="A186" s="100">
        <v>4004003701</v>
      </c>
      <c r="B186" s="125" t="s">
        <v>307</v>
      </c>
      <c r="C186" s="290">
        <v>29036</v>
      </c>
      <c r="D186" s="71">
        <f>(OBSAH!$J$6/100)*Tabulka201014162589[[#This Row],[Sloupec3]]</f>
        <v>0</v>
      </c>
      <c r="E186" s="57">
        <f>Tabulka201014162589[[#This Row],[Sloupec3]]-Tabulka201014162589[[#This Row],[Sloupec4]]</f>
        <v>29036</v>
      </c>
      <c r="F186" s="3"/>
      <c r="G186" s="3"/>
      <c r="H186" s="3"/>
      <c r="I186" s="3"/>
      <c r="J186" s="3"/>
      <c r="K186" s="3"/>
      <c r="L186" s="3"/>
      <c r="M186" s="3"/>
    </row>
    <row r="187" spans="1:13" ht="14.25" customHeight="1" x14ac:dyDescent="0.4">
      <c r="A187" s="100">
        <v>4004003705</v>
      </c>
      <c r="B187" s="125" t="s">
        <v>308</v>
      </c>
      <c r="C187" s="290">
        <v>29335</v>
      </c>
      <c r="D187" s="71">
        <f>(OBSAH!$J$6/100)*Tabulka201014162589[[#This Row],[Sloupec3]]</f>
        <v>0</v>
      </c>
      <c r="E187" s="57">
        <f>Tabulka201014162589[[#This Row],[Sloupec3]]-Tabulka201014162589[[#This Row],[Sloupec4]]</f>
        <v>29335</v>
      </c>
      <c r="F187" s="3"/>
      <c r="G187" s="3"/>
      <c r="H187" s="3"/>
      <c r="I187" s="3"/>
      <c r="J187" s="3"/>
      <c r="K187" s="3"/>
      <c r="L187" s="3"/>
      <c r="M187" s="3"/>
    </row>
    <row r="188" spans="1:13" ht="14.25" customHeight="1" x14ac:dyDescent="0.4">
      <c r="A188" s="100">
        <v>4004003709</v>
      </c>
      <c r="B188" s="125" t="s">
        <v>309</v>
      </c>
      <c r="C188" s="290">
        <v>29545</v>
      </c>
      <c r="D188" s="71">
        <f>(OBSAH!$J$6/100)*Tabulka201014162589[[#This Row],[Sloupec3]]</f>
        <v>0</v>
      </c>
      <c r="E188" s="57">
        <f>Tabulka201014162589[[#This Row],[Sloupec3]]-Tabulka201014162589[[#This Row],[Sloupec4]]</f>
        <v>29545</v>
      </c>
      <c r="F188" s="3"/>
      <c r="G188" s="3"/>
      <c r="H188" s="3"/>
      <c r="I188" s="3"/>
      <c r="J188" s="3"/>
      <c r="K188" s="3"/>
      <c r="L188" s="3"/>
      <c r="M188" s="3"/>
    </row>
    <row r="189" spans="1:13" ht="14.25" customHeight="1" x14ac:dyDescent="0.4">
      <c r="A189" s="100">
        <v>4004003713</v>
      </c>
      <c r="B189" s="125" t="s">
        <v>310</v>
      </c>
      <c r="C189" s="290">
        <v>32896</v>
      </c>
      <c r="D189" s="71">
        <f>(OBSAH!$J$6/100)*Tabulka201014162589[[#This Row],[Sloupec3]]</f>
        <v>0</v>
      </c>
      <c r="E189" s="57">
        <f>Tabulka201014162589[[#This Row],[Sloupec3]]-Tabulka201014162589[[#This Row],[Sloupec4]]</f>
        <v>32896</v>
      </c>
      <c r="F189" s="3"/>
      <c r="G189" s="3"/>
      <c r="H189" s="3"/>
      <c r="I189" s="3"/>
      <c r="J189" s="3"/>
      <c r="K189" s="3"/>
      <c r="L189" s="3"/>
      <c r="M189" s="3"/>
    </row>
    <row r="190" spans="1:13" ht="14.25" customHeight="1" x14ac:dyDescent="0.4">
      <c r="A190" s="100">
        <v>4004003717</v>
      </c>
      <c r="B190" s="125" t="s">
        <v>311</v>
      </c>
      <c r="C190" s="290">
        <v>33108</v>
      </c>
      <c r="D190" s="71">
        <f>(OBSAH!$J$6/100)*Tabulka201014162589[[#This Row],[Sloupec3]]</f>
        <v>0</v>
      </c>
      <c r="E190" s="57">
        <f>Tabulka201014162589[[#This Row],[Sloupec3]]-Tabulka201014162589[[#This Row],[Sloupec4]]</f>
        <v>33108</v>
      </c>
      <c r="F190" s="3"/>
      <c r="G190" s="3"/>
      <c r="H190" s="3"/>
      <c r="I190" s="3"/>
      <c r="J190" s="3"/>
      <c r="K190" s="3"/>
      <c r="L190" s="3"/>
      <c r="M190" s="3"/>
    </row>
    <row r="191" spans="1:13" ht="14.25" customHeight="1" x14ac:dyDescent="0.4">
      <c r="A191" s="100">
        <v>4004003721</v>
      </c>
      <c r="B191" s="125" t="s">
        <v>312</v>
      </c>
      <c r="C191" s="290">
        <v>33203</v>
      </c>
      <c r="D191" s="71">
        <f>(OBSAH!$J$6/100)*Tabulka201014162589[[#This Row],[Sloupec3]]</f>
        <v>0</v>
      </c>
      <c r="E191" s="57">
        <f>Tabulka201014162589[[#This Row],[Sloupec3]]-Tabulka201014162589[[#This Row],[Sloupec4]]</f>
        <v>33203</v>
      </c>
      <c r="F191" s="3"/>
      <c r="G191" s="3"/>
      <c r="H191" s="3"/>
      <c r="I191" s="3"/>
      <c r="J191" s="3"/>
      <c r="K191" s="3"/>
      <c r="L191" s="3"/>
      <c r="M191" s="3"/>
    </row>
    <row r="192" spans="1:13" ht="14.25" customHeight="1" x14ac:dyDescent="0.4">
      <c r="A192" s="100">
        <v>4004003725</v>
      </c>
      <c r="B192" s="125" t="s">
        <v>313</v>
      </c>
      <c r="C192" s="290">
        <v>33469</v>
      </c>
      <c r="D192" s="71">
        <f>(OBSAH!$J$6/100)*Tabulka201014162589[[#This Row],[Sloupec3]]</f>
        <v>0</v>
      </c>
      <c r="E192" s="57">
        <f>Tabulka201014162589[[#This Row],[Sloupec3]]-Tabulka201014162589[[#This Row],[Sloupec4]]</f>
        <v>33469</v>
      </c>
      <c r="F192" s="3"/>
      <c r="G192" s="3"/>
      <c r="H192" s="3"/>
      <c r="I192" s="3"/>
      <c r="J192" s="3"/>
      <c r="K192" s="3"/>
      <c r="L192" s="3"/>
      <c r="M192" s="3"/>
    </row>
    <row r="193" spans="1:13" ht="14.25" customHeight="1" x14ac:dyDescent="0.4">
      <c r="A193" s="100">
        <v>4004003729</v>
      </c>
      <c r="B193" s="125" t="s">
        <v>314</v>
      </c>
      <c r="C193" s="290">
        <v>33681</v>
      </c>
      <c r="D193" s="71">
        <f>(OBSAH!$J$6/100)*Tabulka201014162589[[#This Row],[Sloupec3]]</f>
        <v>0</v>
      </c>
      <c r="E193" s="57">
        <f>Tabulka201014162589[[#This Row],[Sloupec3]]-Tabulka201014162589[[#This Row],[Sloupec4]]</f>
        <v>33681</v>
      </c>
      <c r="F193" s="3"/>
      <c r="G193" s="3"/>
      <c r="H193" s="3"/>
      <c r="I193" s="3"/>
      <c r="J193" s="3"/>
      <c r="K193" s="3"/>
      <c r="L193" s="3"/>
      <c r="M193" s="3"/>
    </row>
    <row r="194" spans="1:13" ht="14.25" customHeight="1" x14ac:dyDescent="0.4">
      <c r="A194" s="100">
        <v>4004003733</v>
      </c>
      <c r="B194" s="125" t="s">
        <v>315</v>
      </c>
      <c r="C194" s="290">
        <v>37432</v>
      </c>
      <c r="D194" s="71">
        <f>(OBSAH!$J$6/100)*Tabulka201014162589[[#This Row],[Sloupec3]]</f>
        <v>0</v>
      </c>
      <c r="E194" s="57">
        <f>Tabulka201014162589[[#This Row],[Sloupec3]]-Tabulka201014162589[[#This Row],[Sloupec4]]</f>
        <v>37432</v>
      </c>
      <c r="F194" s="3"/>
      <c r="G194" s="3"/>
      <c r="H194" s="3"/>
      <c r="I194" s="3"/>
      <c r="J194" s="3"/>
      <c r="K194" s="3"/>
      <c r="L194" s="3"/>
      <c r="M194" s="3"/>
    </row>
    <row r="195" spans="1:13" ht="14.25" customHeight="1" x14ac:dyDescent="0.4">
      <c r="A195" s="100">
        <v>4004003737</v>
      </c>
      <c r="B195" s="125" t="s">
        <v>316</v>
      </c>
      <c r="C195" s="290">
        <v>37642</v>
      </c>
      <c r="D195" s="71">
        <f>(OBSAH!$J$6/100)*Tabulka201014162589[[#This Row],[Sloupec3]]</f>
        <v>0</v>
      </c>
      <c r="E195" s="57">
        <f>Tabulka201014162589[[#This Row],[Sloupec3]]-Tabulka201014162589[[#This Row],[Sloupec4]]</f>
        <v>37642</v>
      </c>
      <c r="F195" s="3"/>
      <c r="G195" s="3"/>
      <c r="H195" s="3"/>
      <c r="I195" s="3"/>
      <c r="J195" s="3"/>
      <c r="K195" s="3"/>
      <c r="L195" s="3"/>
      <c r="M195" s="3"/>
    </row>
    <row r="196" spans="1:13" ht="14.25" customHeight="1" x14ac:dyDescent="0.4">
      <c r="A196" s="100">
        <v>4004003741</v>
      </c>
      <c r="B196" s="125" t="s">
        <v>317</v>
      </c>
      <c r="C196" s="290">
        <v>37708</v>
      </c>
      <c r="D196" s="71">
        <f>(OBSAH!$J$6/100)*Tabulka201014162589[[#This Row],[Sloupec3]]</f>
        <v>0</v>
      </c>
      <c r="E196" s="57">
        <f>Tabulka201014162589[[#This Row],[Sloupec3]]-Tabulka201014162589[[#This Row],[Sloupec4]]</f>
        <v>37708</v>
      </c>
      <c r="F196" s="3"/>
      <c r="G196" s="3"/>
      <c r="H196" s="3"/>
      <c r="I196" s="3"/>
      <c r="J196" s="3"/>
      <c r="K196" s="3"/>
      <c r="L196" s="3"/>
      <c r="M196" s="3"/>
    </row>
    <row r="197" spans="1:13" ht="14.25" customHeight="1" x14ac:dyDescent="0.4">
      <c r="A197" s="100">
        <v>4004003745</v>
      </c>
      <c r="B197" s="125" t="s">
        <v>318</v>
      </c>
      <c r="C197" s="290">
        <v>37977</v>
      </c>
      <c r="D197" s="71">
        <f>(OBSAH!$J$6/100)*Tabulka201014162589[[#This Row],[Sloupec3]]</f>
        <v>0</v>
      </c>
      <c r="E197" s="57">
        <f>Tabulka201014162589[[#This Row],[Sloupec3]]-Tabulka201014162589[[#This Row],[Sloupec4]]</f>
        <v>37977</v>
      </c>
      <c r="F197" s="3"/>
      <c r="G197" s="3"/>
      <c r="H197" s="3"/>
      <c r="I197" s="3"/>
      <c r="J197" s="3"/>
      <c r="K197" s="3"/>
      <c r="L197" s="3"/>
      <c r="M197" s="3"/>
    </row>
    <row r="198" spans="1:13" ht="14.25" customHeight="1" x14ac:dyDescent="0.4">
      <c r="A198" s="101">
        <v>4004003749</v>
      </c>
      <c r="B198" s="102" t="s">
        <v>319</v>
      </c>
      <c r="C198" s="291">
        <v>38189</v>
      </c>
      <c r="D198" s="68">
        <f>(OBSAH!$J$6/100)*Tabulka201014162589[[#This Row],[Sloupec3]]</f>
        <v>0</v>
      </c>
      <c r="E198" s="58">
        <f>Tabulka201014162589[[#This Row],[Sloupec3]]-Tabulka201014162589[[#This Row],[Sloupec4]]</f>
        <v>38189</v>
      </c>
      <c r="F198" s="3"/>
      <c r="G198" s="3"/>
      <c r="H198" s="3"/>
      <c r="I198" s="3"/>
      <c r="J198" s="3"/>
      <c r="K198" s="3"/>
      <c r="L198" s="3"/>
      <c r="M198" s="3"/>
    </row>
    <row r="199" spans="1:13" ht="15" customHeight="1" x14ac:dyDescent="0.4">
      <c r="A199" s="103"/>
      <c r="B199" s="84"/>
      <c r="C199" s="85"/>
      <c r="D199" s="61"/>
      <c r="E199" s="62"/>
      <c r="F199" s="3"/>
      <c r="G199" s="3"/>
      <c r="H199" s="3"/>
      <c r="I199" s="3"/>
      <c r="J199" s="3"/>
      <c r="K199" s="3"/>
      <c r="L199" s="3"/>
      <c r="M199" s="3"/>
    </row>
    <row r="200" spans="1:13" ht="24" customHeight="1" x14ac:dyDescent="0.4">
      <c r="A200" s="440" t="s">
        <v>91</v>
      </c>
      <c r="B200" s="440"/>
      <c r="C200" s="440"/>
      <c r="D200" s="440"/>
      <c r="E200" s="440"/>
      <c r="F200" s="3"/>
      <c r="G200" s="3"/>
      <c r="H200" s="3"/>
      <c r="I200" s="3"/>
      <c r="J200" s="3"/>
      <c r="K200" s="3"/>
      <c r="L200" s="3"/>
      <c r="M200" s="3"/>
    </row>
    <row r="201" spans="1:13" ht="24" customHeight="1" x14ac:dyDescent="0.4">
      <c r="A201" s="39" t="s">
        <v>56</v>
      </c>
      <c r="B201" s="39" t="s">
        <v>57</v>
      </c>
      <c r="C201" s="40" t="s">
        <v>58</v>
      </c>
      <c r="D201" s="40" t="s">
        <v>59</v>
      </c>
      <c r="E201" s="41" t="s">
        <v>60</v>
      </c>
      <c r="F201" s="3"/>
      <c r="G201" s="3"/>
      <c r="H201" s="3"/>
      <c r="I201" s="3"/>
      <c r="J201" s="3"/>
      <c r="K201" s="3"/>
      <c r="L201" s="3"/>
      <c r="M201" s="3"/>
    </row>
    <row r="202" spans="1:13" ht="14.25" customHeight="1" x14ac:dyDescent="0.4">
      <c r="A202" s="98">
        <v>4004003497</v>
      </c>
      <c r="B202" s="99" t="s">
        <v>320</v>
      </c>
      <c r="C202" s="289">
        <v>15839</v>
      </c>
      <c r="D202" s="69">
        <f>(OBSAH!$J$6/100)*Tabulka211115176890[[#This Row],[Sloupec3]]</f>
        <v>0</v>
      </c>
      <c r="E202" s="70">
        <f>Tabulka211115176890[[#This Row],[Sloupec3]]-Tabulka211115176890[[#This Row],[Sloupec4]]</f>
        <v>15839</v>
      </c>
      <c r="F202" s="3"/>
      <c r="G202" s="3"/>
      <c r="H202" s="3"/>
      <c r="I202" s="3"/>
      <c r="J202" s="3"/>
      <c r="K202" s="3"/>
      <c r="L202" s="3"/>
      <c r="M202" s="3"/>
    </row>
    <row r="203" spans="1:13" ht="14.25" customHeight="1" x14ac:dyDescent="0.4">
      <c r="A203" s="100">
        <v>4004003498</v>
      </c>
      <c r="B203" s="125" t="s">
        <v>321</v>
      </c>
      <c r="C203" s="290">
        <v>16117</v>
      </c>
      <c r="D203" s="71">
        <f>(OBSAH!$J$6/100)*Tabulka211115176890[[#This Row],[Sloupec3]]</f>
        <v>0</v>
      </c>
      <c r="E203" s="57">
        <f>Tabulka211115176890[[#This Row],[Sloupec3]]-Tabulka211115176890[[#This Row],[Sloupec4]]</f>
        <v>16117</v>
      </c>
      <c r="F203" s="3"/>
      <c r="G203" s="3"/>
      <c r="H203" s="3"/>
      <c r="I203" s="3"/>
      <c r="J203" s="3"/>
      <c r="K203" s="3"/>
      <c r="L203" s="3"/>
      <c r="M203" s="3"/>
    </row>
    <row r="204" spans="1:13" ht="14.25" customHeight="1" x14ac:dyDescent="0.4">
      <c r="A204" s="100">
        <v>4004003499</v>
      </c>
      <c r="B204" s="125" t="s">
        <v>322</v>
      </c>
      <c r="C204" s="290">
        <v>16384</v>
      </c>
      <c r="D204" s="71">
        <f>(OBSAH!$J$6/100)*Tabulka211115176890[[#This Row],[Sloupec3]]</f>
        <v>0</v>
      </c>
      <c r="E204" s="57">
        <f>Tabulka211115176890[[#This Row],[Sloupec3]]-Tabulka211115176890[[#This Row],[Sloupec4]]</f>
        <v>16384</v>
      </c>
      <c r="F204" s="3"/>
      <c r="G204" s="3"/>
      <c r="H204" s="3"/>
      <c r="I204" s="3"/>
      <c r="J204" s="3"/>
      <c r="K204" s="3"/>
      <c r="L204" s="3"/>
      <c r="M204" s="3"/>
    </row>
    <row r="205" spans="1:13" ht="14.25" customHeight="1" x14ac:dyDescent="0.4">
      <c r="A205" s="100">
        <v>4004003505</v>
      </c>
      <c r="B205" s="125" t="s">
        <v>323</v>
      </c>
      <c r="C205" s="290">
        <v>16420</v>
      </c>
      <c r="D205" s="71">
        <f>(OBSAH!$J$6/100)*Tabulka211115176890[[#This Row],[Sloupec3]]</f>
        <v>0</v>
      </c>
      <c r="E205" s="57">
        <f>Tabulka211115176890[[#This Row],[Sloupec3]]-Tabulka211115176890[[#This Row],[Sloupec4]]</f>
        <v>16420</v>
      </c>
      <c r="F205" s="3"/>
      <c r="G205" s="3"/>
      <c r="H205" s="3"/>
      <c r="I205" s="3"/>
      <c r="J205" s="3"/>
      <c r="K205" s="3"/>
      <c r="L205" s="3"/>
      <c r="M205" s="3"/>
    </row>
    <row r="206" spans="1:13" ht="14.25" customHeight="1" x14ac:dyDescent="0.4">
      <c r="A206" s="100">
        <v>4004003509</v>
      </c>
      <c r="B206" s="125" t="s">
        <v>324</v>
      </c>
      <c r="C206" s="290">
        <v>16690</v>
      </c>
      <c r="D206" s="71">
        <f>(OBSAH!$J$6/100)*Tabulka211115176890[[#This Row],[Sloupec3]]</f>
        <v>0</v>
      </c>
      <c r="E206" s="57">
        <f>Tabulka211115176890[[#This Row],[Sloupec3]]-Tabulka211115176890[[#This Row],[Sloupec4]]</f>
        <v>16690</v>
      </c>
      <c r="F206" s="3"/>
      <c r="G206" s="3"/>
      <c r="H206" s="3"/>
      <c r="I206" s="3"/>
      <c r="J206" s="3"/>
      <c r="K206" s="3"/>
      <c r="L206" s="3"/>
      <c r="M206" s="3"/>
    </row>
    <row r="207" spans="1:13" ht="14.25" customHeight="1" x14ac:dyDescent="0.4">
      <c r="A207" s="100">
        <v>4004003513</v>
      </c>
      <c r="B207" s="125" t="s">
        <v>325</v>
      </c>
      <c r="C207" s="290">
        <v>18371</v>
      </c>
      <c r="D207" s="71">
        <f>(OBSAH!$J$6/100)*Tabulka211115176890[[#This Row],[Sloupec3]]</f>
        <v>0</v>
      </c>
      <c r="E207" s="57">
        <f>Tabulka211115176890[[#This Row],[Sloupec3]]-Tabulka211115176890[[#This Row],[Sloupec4]]</f>
        <v>18371</v>
      </c>
      <c r="F207" s="3"/>
      <c r="G207" s="3"/>
      <c r="H207" s="3"/>
      <c r="I207" s="3"/>
      <c r="J207" s="3"/>
      <c r="K207" s="3"/>
      <c r="L207" s="3"/>
      <c r="M207" s="3"/>
    </row>
    <row r="208" spans="1:13" ht="14.25" customHeight="1" x14ac:dyDescent="0.4">
      <c r="A208" s="100">
        <v>4004003517</v>
      </c>
      <c r="B208" s="125" t="s">
        <v>326</v>
      </c>
      <c r="C208" s="290">
        <v>20701</v>
      </c>
      <c r="D208" s="71">
        <f>(OBSAH!$J$6/100)*Tabulka211115176890[[#This Row],[Sloupec3]]</f>
        <v>0</v>
      </c>
      <c r="E208" s="57">
        <f>Tabulka211115176890[[#This Row],[Sloupec3]]-Tabulka211115176890[[#This Row],[Sloupec4]]</f>
        <v>20701</v>
      </c>
      <c r="F208" s="3"/>
      <c r="G208" s="3"/>
      <c r="H208" s="3"/>
      <c r="I208" s="3"/>
      <c r="J208" s="3"/>
      <c r="K208" s="3"/>
      <c r="L208" s="3"/>
      <c r="M208" s="3"/>
    </row>
    <row r="209" spans="1:13" ht="14.25" customHeight="1" x14ac:dyDescent="0.4">
      <c r="A209" s="100">
        <v>4004003521</v>
      </c>
      <c r="B209" s="125" t="s">
        <v>327</v>
      </c>
      <c r="C209" s="290">
        <v>20910</v>
      </c>
      <c r="D209" s="71">
        <f>(OBSAH!$J$6/100)*Tabulka211115176890[[#This Row],[Sloupec3]]</f>
        <v>0</v>
      </c>
      <c r="E209" s="57">
        <f>Tabulka211115176890[[#This Row],[Sloupec3]]-Tabulka211115176890[[#This Row],[Sloupec4]]</f>
        <v>20910</v>
      </c>
      <c r="F209" s="3"/>
      <c r="G209" s="3"/>
      <c r="H209" s="3"/>
      <c r="I209" s="3"/>
      <c r="J209" s="3"/>
      <c r="K209" s="3"/>
      <c r="L209" s="3"/>
      <c r="M209" s="3"/>
    </row>
    <row r="210" spans="1:13" ht="14.25" customHeight="1" x14ac:dyDescent="0.4">
      <c r="A210" s="100">
        <v>4004003525</v>
      </c>
      <c r="B210" s="125" t="s">
        <v>328</v>
      </c>
      <c r="C210" s="290">
        <v>21259</v>
      </c>
      <c r="D210" s="71">
        <f>(OBSAH!$J$6/100)*Tabulka211115176890[[#This Row],[Sloupec3]]</f>
        <v>0</v>
      </c>
      <c r="E210" s="57">
        <f>Tabulka211115176890[[#This Row],[Sloupec3]]-Tabulka211115176890[[#This Row],[Sloupec4]]</f>
        <v>21259</v>
      </c>
      <c r="F210" s="3"/>
      <c r="G210" s="3"/>
      <c r="H210" s="3"/>
      <c r="I210" s="3"/>
      <c r="J210" s="3"/>
      <c r="K210" s="3"/>
      <c r="L210" s="3"/>
      <c r="M210" s="3"/>
    </row>
    <row r="211" spans="1:13" ht="14.25" customHeight="1" x14ac:dyDescent="0.4">
      <c r="A211" s="100">
        <v>4004003529</v>
      </c>
      <c r="B211" s="125" t="s">
        <v>329</v>
      </c>
      <c r="C211" s="290">
        <v>21276</v>
      </c>
      <c r="D211" s="71">
        <f>(OBSAH!$J$6/100)*Tabulka211115176890[[#This Row],[Sloupec3]]</f>
        <v>0</v>
      </c>
      <c r="E211" s="57">
        <f>Tabulka211115176890[[#This Row],[Sloupec3]]-Tabulka211115176890[[#This Row],[Sloupec4]]</f>
        <v>21276</v>
      </c>
      <c r="F211" s="3"/>
      <c r="G211" s="3"/>
      <c r="H211" s="3"/>
      <c r="I211" s="3"/>
      <c r="J211" s="3"/>
      <c r="K211" s="3"/>
      <c r="L211" s="3"/>
      <c r="M211" s="3"/>
    </row>
    <row r="212" spans="1:13" ht="14.25" customHeight="1" x14ac:dyDescent="0.4">
      <c r="A212" s="100">
        <v>4004003533</v>
      </c>
      <c r="B212" s="125" t="s">
        <v>330</v>
      </c>
      <c r="C212" s="290">
        <v>21513</v>
      </c>
      <c r="D212" s="71">
        <f>(OBSAH!$J$6/100)*Tabulka211115176890[[#This Row],[Sloupec3]]</f>
        <v>0</v>
      </c>
      <c r="E212" s="57">
        <f>Tabulka211115176890[[#This Row],[Sloupec3]]-Tabulka211115176890[[#This Row],[Sloupec4]]</f>
        <v>21513</v>
      </c>
      <c r="F212" s="3"/>
      <c r="G212" s="3"/>
      <c r="H212" s="3"/>
      <c r="I212" s="3"/>
      <c r="J212" s="3"/>
      <c r="K212" s="3"/>
      <c r="L212" s="3"/>
      <c r="M212" s="3"/>
    </row>
    <row r="213" spans="1:13" ht="14.25" customHeight="1" x14ac:dyDescent="0.4">
      <c r="A213" s="100">
        <v>4004003537</v>
      </c>
      <c r="B213" s="125" t="s">
        <v>331</v>
      </c>
      <c r="C213" s="290">
        <v>24588</v>
      </c>
      <c r="D213" s="71">
        <f>(OBSAH!$J$6/100)*Tabulka211115176890[[#This Row],[Sloupec3]]</f>
        <v>0</v>
      </c>
      <c r="E213" s="57">
        <f>Tabulka211115176890[[#This Row],[Sloupec3]]-Tabulka211115176890[[#This Row],[Sloupec4]]</f>
        <v>24588</v>
      </c>
      <c r="F213" s="3"/>
      <c r="G213" s="3"/>
      <c r="H213" s="3"/>
      <c r="I213" s="3"/>
      <c r="J213" s="3"/>
      <c r="K213" s="3"/>
      <c r="L213" s="3"/>
      <c r="M213" s="3"/>
    </row>
    <row r="214" spans="1:13" ht="14.25" customHeight="1" x14ac:dyDescent="0.4">
      <c r="A214" s="100">
        <v>4004003541</v>
      </c>
      <c r="B214" s="125" t="s">
        <v>332</v>
      </c>
      <c r="C214" s="290">
        <v>24798</v>
      </c>
      <c r="D214" s="71">
        <f>(OBSAH!$J$6/100)*Tabulka211115176890[[#This Row],[Sloupec3]]</f>
        <v>0</v>
      </c>
      <c r="E214" s="57">
        <f>Tabulka211115176890[[#This Row],[Sloupec3]]-Tabulka211115176890[[#This Row],[Sloupec4]]</f>
        <v>24798</v>
      </c>
      <c r="F214" s="3"/>
      <c r="G214" s="3"/>
      <c r="H214" s="3"/>
      <c r="I214" s="3"/>
      <c r="J214" s="3"/>
      <c r="K214" s="3"/>
      <c r="L214" s="3"/>
      <c r="M214" s="3"/>
    </row>
    <row r="215" spans="1:13" ht="14.25" customHeight="1" x14ac:dyDescent="0.4">
      <c r="A215" s="100">
        <v>4004003545</v>
      </c>
      <c r="B215" s="125" t="s">
        <v>333</v>
      </c>
      <c r="C215" s="290">
        <v>24893</v>
      </c>
      <c r="D215" s="71">
        <f>(OBSAH!$J$6/100)*Tabulka211115176890[[#This Row],[Sloupec3]]</f>
        <v>0</v>
      </c>
      <c r="E215" s="57">
        <f>Tabulka211115176890[[#This Row],[Sloupec3]]-Tabulka211115176890[[#This Row],[Sloupec4]]</f>
        <v>24893</v>
      </c>
      <c r="F215" s="3"/>
      <c r="G215" s="3"/>
      <c r="H215" s="3"/>
      <c r="I215" s="3"/>
      <c r="J215" s="3"/>
      <c r="K215" s="3"/>
      <c r="L215" s="3"/>
      <c r="M215" s="3"/>
    </row>
    <row r="216" spans="1:13" ht="14.25" customHeight="1" x14ac:dyDescent="0.4">
      <c r="A216" s="100">
        <v>4004003549</v>
      </c>
      <c r="B216" s="125" t="s">
        <v>334</v>
      </c>
      <c r="C216" s="290">
        <v>25162</v>
      </c>
      <c r="D216" s="71">
        <f>(OBSAH!$J$6/100)*Tabulka211115176890[[#This Row],[Sloupec3]]</f>
        <v>0</v>
      </c>
      <c r="E216" s="57">
        <f>Tabulka211115176890[[#This Row],[Sloupec3]]-Tabulka211115176890[[#This Row],[Sloupec4]]</f>
        <v>25162</v>
      </c>
      <c r="F216" s="3"/>
      <c r="G216" s="3"/>
      <c r="H216" s="3"/>
      <c r="I216" s="3"/>
      <c r="J216" s="3"/>
      <c r="K216" s="3"/>
      <c r="L216" s="3"/>
      <c r="M216" s="3"/>
    </row>
    <row r="217" spans="1:13" ht="14.25" customHeight="1" x14ac:dyDescent="0.4">
      <c r="A217" s="100">
        <v>4004003553</v>
      </c>
      <c r="B217" s="125" t="s">
        <v>335</v>
      </c>
      <c r="C217" s="290">
        <v>25401</v>
      </c>
      <c r="D217" s="71">
        <f>(OBSAH!$J$6/100)*Tabulka211115176890[[#This Row],[Sloupec3]]</f>
        <v>0</v>
      </c>
      <c r="E217" s="57">
        <f>Tabulka211115176890[[#This Row],[Sloupec3]]-Tabulka211115176890[[#This Row],[Sloupec4]]</f>
        <v>25401</v>
      </c>
      <c r="F217" s="3"/>
      <c r="G217" s="3"/>
      <c r="H217" s="3"/>
      <c r="I217" s="3"/>
      <c r="J217" s="3"/>
      <c r="K217" s="3"/>
      <c r="L217" s="3"/>
      <c r="M217" s="3"/>
    </row>
    <row r="218" spans="1:13" ht="14.25" customHeight="1" x14ac:dyDescent="0.4">
      <c r="A218" s="100">
        <v>4004003557</v>
      </c>
      <c r="B218" s="125" t="s">
        <v>336</v>
      </c>
      <c r="C218" s="290">
        <v>29174</v>
      </c>
      <c r="D218" s="71">
        <f>(OBSAH!$J$6/100)*Tabulka211115176890[[#This Row],[Sloupec3]]</f>
        <v>0</v>
      </c>
      <c r="E218" s="57">
        <f>Tabulka211115176890[[#This Row],[Sloupec3]]-Tabulka211115176890[[#This Row],[Sloupec4]]</f>
        <v>29174</v>
      </c>
      <c r="F218" s="3"/>
      <c r="G218" s="3"/>
      <c r="H218" s="3"/>
      <c r="I218" s="3"/>
      <c r="J218" s="3"/>
      <c r="K218" s="3"/>
      <c r="L218" s="3"/>
      <c r="M218" s="3"/>
    </row>
    <row r="219" spans="1:13" ht="14.25" customHeight="1" x14ac:dyDescent="0.4">
      <c r="A219" s="100">
        <v>4004003561</v>
      </c>
      <c r="B219" s="125" t="s">
        <v>337</v>
      </c>
      <c r="C219" s="290">
        <v>29384</v>
      </c>
      <c r="D219" s="71">
        <f>(OBSAH!$J$6/100)*Tabulka211115176890[[#This Row],[Sloupec3]]</f>
        <v>0</v>
      </c>
      <c r="E219" s="57">
        <f>Tabulka211115176890[[#This Row],[Sloupec3]]-Tabulka211115176890[[#This Row],[Sloupec4]]</f>
        <v>29384</v>
      </c>
      <c r="F219" s="3"/>
      <c r="G219" s="3"/>
      <c r="H219" s="3"/>
      <c r="I219" s="3"/>
      <c r="J219" s="3"/>
      <c r="K219" s="3"/>
      <c r="L219" s="3"/>
      <c r="M219" s="3"/>
    </row>
    <row r="220" spans="1:13" ht="14.25" customHeight="1" x14ac:dyDescent="0.4">
      <c r="A220" s="100">
        <v>4004003565</v>
      </c>
      <c r="B220" s="125" t="s">
        <v>338</v>
      </c>
      <c r="C220" s="290">
        <v>29478</v>
      </c>
      <c r="D220" s="71">
        <f>(OBSAH!$J$6/100)*Tabulka211115176890[[#This Row],[Sloupec3]]</f>
        <v>0</v>
      </c>
      <c r="E220" s="57">
        <f>Tabulka211115176890[[#This Row],[Sloupec3]]-Tabulka211115176890[[#This Row],[Sloupec4]]</f>
        <v>29478</v>
      </c>
      <c r="F220" s="3"/>
      <c r="G220" s="3"/>
      <c r="H220" s="3"/>
      <c r="I220" s="3"/>
      <c r="J220" s="3"/>
      <c r="K220" s="3"/>
      <c r="L220" s="3"/>
      <c r="M220" s="3"/>
    </row>
    <row r="221" spans="1:13" ht="14.25" customHeight="1" x14ac:dyDescent="0.4">
      <c r="A221" s="100">
        <v>4004003569</v>
      </c>
      <c r="B221" s="125" t="s">
        <v>339</v>
      </c>
      <c r="C221" s="290">
        <v>29776</v>
      </c>
      <c r="D221" s="71">
        <f>(OBSAH!$J$6/100)*Tabulka211115176890[[#This Row],[Sloupec3]]</f>
        <v>0</v>
      </c>
      <c r="E221" s="57">
        <f>Tabulka211115176890[[#This Row],[Sloupec3]]-Tabulka211115176890[[#This Row],[Sloupec4]]</f>
        <v>29776</v>
      </c>
      <c r="F221" s="3"/>
      <c r="G221" s="3"/>
      <c r="H221" s="3"/>
      <c r="I221" s="3"/>
      <c r="J221" s="3"/>
      <c r="K221" s="3"/>
      <c r="L221" s="3"/>
      <c r="M221" s="3"/>
    </row>
    <row r="222" spans="1:13" ht="14.25" customHeight="1" x14ac:dyDescent="0.4">
      <c r="A222" s="100">
        <v>4004003573</v>
      </c>
      <c r="B222" s="125" t="s">
        <v>340</v>
      </c>
      <c r="C222" s="290">
        <v>29987</v>
      </c>
      <c r="D222" s="71">
        <f>(OBSAH!$J$6/100)*Tabulka211115176890[[#This Row],[Sloupec3]]</f>
        <v>0</v>
      </c>
      <c r="E222" s="57">
        <f>Tabulka211115176890[[#This Row],[Sloupec3]]-Tabulka211115176890[[#This Row],[Sloupec4]]</f>
        <v>29987</v>
      </c>
      <c r="F222" s="3"/>
      <c r="G222" s="3"/>
      <c r="H222" s="3"/>
      <c r="I222" s="3"/>
      <c r="J222" s="3"/>
      <c r="K222" s="3"/>
      <c r="L222" s="3"/>
      <c r="M222" s="3"/>
    </row>
    <row r="223" spans="1:13" ht="14.25" customHeight="1" x14ac:dyDescent="0.4">
      <c r="A223" s="100">
        <v>4004003577</v>
      </c>
      <c r="B223" s="125" t="s">
        <v>341</v>
      </c>
      <c r="C223" s="290">
        <v>33337</v>
      </c>
      <c r="D223" s="71">
        <f>(OBSAH!$J$6/100)*Tabulka211115176890[[#This Row],[Sloupec3]]</f>
        <v>0</v>
      </c>
      <c r="E223" s="57">
        <f>Tabulka211115176890[[#This Row],[Sloupec3]]-Tabulka211115176890[[#This Row],[Sloupec4]]</f>
        <v>33337</v>
      </c>
      <c r="F223" s="3"/>
      <c r="G223" s="3"/>
      <c r="H223" s="3"/>
      <c r="I223" s="3"/>
      <c r="J223" s="3"/>
      <c r="K223" s="3"/>
      <c r="L223" s="3"/>
      <c r="M223" s="3"/>
    </row>
    <row r="224" spans="1:13" ht="14.25" customHeight="1" x14ac:dyDescent="0.4">
      <c r="A224" s="100">
        <v>4004003581</v>
      </c>
      <c r="B224" s="125" t="s">
        <v>342</v>
      </c>
      <c r="C224" s="290">
        <v>33548</v>
      </c>
      <c r="D224" s="71">
        <f>(OBSAH!$J$6/100)*Tabulka211115176890[[#This Row],[Sloupec3]]</f>
        <v>0</v>
      </c>
      <c r="E224" s="57">
        <f>Tabulka211115176890[[#This Row],[Sloupec3]]-Tabulka211115176890[[#This Row],[Sloupec4]]</f>
        <v>33548</v>
      </c>
      <c r="F224" s="3"/>
      <c r="G224" s="3"/>
      <c r="H224" s="3"/>
      <c r="I224" s="3"/>
      <c r="J224" s="3"/>
      <c r="K224" s="3"/>
      <c r="L224" s="3"/>
      <c r="M224" s="3"/>
    </row>
    <row r="225" spans="1:13" ht="14.25" customHeight="1" x14ac:dyDescent="0.4">
      <c r="A225" s="100">
        <v>4004003585</v>
      </c>
      <c r="B225" s="125" t="s">
        <v>343</v>
      </c>
      <c r="C225" s="290">
        <v>33642</v>
      </c>
      <c r="D225" s="71">
        <f>(OBSAH!$J$6/100)*Tabulka211115176890[[#This Row],[Sloupec3]]</f>
        <v>0</v>
      </c>
      <c r="E225" s="57">
        <f>Tabulka211115176890[[#This Row],[Sloupec3]]-Tabulka211115176890[[#This Row],[Sloupec4]]</f>
        <v>33642</v>
      </c>
      <c r="F225" s="3"/>
      <c r="G225" s="3"/>
      <c r="H225" s="3"/>
      <c r="I225" s="3"/>
      <c r="J225" s="3"/>
      <c r="K225" s="3"/>
      <c r="L225" s="3"/>
      <c r="M225" s="3"/>
    </row>
    <row r="226" spans="1:13" ht="14.25" customHeight="1" x14ac:dyDescent="0.4">
      <c r="A226" s="100">
        <v>4004003589</v>
      </c>
      <c r="B226" s="125" t="s">
        <v>344</v>
      </c>
      <c r="C226" s="290">
        <v>33912</v>
      </c>
      <c r="D226" s="71">
        <f>(OBSAH!$J$6/100)*Tabulka211115176890[[#This Row],[Sloupec3]]</f>
        <v>0</v>
      </c>
      <c r="E226" s="57">
        <f>Tabulka211115176890[[#This Row],[Sloupec3]]-Tabulka211115176890[[#This Row],[Sloupec4]]</f>
        <v>33912</v>
      </c>
      <c r="F226" s="3"/>
      <c r="G226" s="3"/>
      <c r="H226" s="3"/>
      <c r="I226" s="3"/>
      <c r="J226" s="3"/>
      <c r="K226" s="3"/>
      <c r="L226" s="3"/>
      <c r="M226" s="3"/>
    </row>
    <row r="227" spans="1:13" ht="14.25" customHeight="1" x14ac:dyDescent="0.4">
      <c r="A227" s="100">
        <v>4004003593</v>
      </c>
      <c r="B227" s="125" t="s">
        <v>345</v>
      </c>
      <c r="C227" s="290">
        <v>34121</v>
      </c>
      <c r="D227" s="71">
        <f>(OBSAH!$J$6/100)*Tabulka211115176890[[#This Row],[Sloupec3]]</f>
        <v>0</v>
      </c>
      <c r="E227" s="57">
        <f>Tabulka211115176890[[#This Row],[Sloupec3]]-Tabulka211115176890[[#This Row],[Sloupec4]]</f>
        <v>34121</v>
      </c>
      <c r="F227" s="3"/>
      <c r="G227" s="3"/>
      <c r="H227" s="3"/>
      <c r="I227" s="3"/>
      <c r="J227" s="3"/>
      <c r="K227" s="3"/>
      <c r="L227" s="3"/>
      <c r="M227" s="3"/>
    </row>
    <row r="228" spans="1:13" ht="14.25" customHeight="1" x14ac:dyDescent="0.4">
      <c r="A228" s="100">
        <v>4004003597</v>
      </c>
      <c r="B228" s="125" t="s">
        <v>346</v>
      </c>
      <c r="C228" s="290">
        <v>37873</v>
      </c>
      <c r="D228" s="71">
        <f>(OBSAH!$J$6/100)*Tabulka211115176890[[#This Row],[Sloupec3]]</f>
        <v>0</v>
      </c>
      <c r="E228" s="57">
        <f>Tabulka211115176890[[#This Row],[Sloupec3]]-Tabulka211115176890[[#This Row],[Sloupec4]]</f>
        <v>37873</v>
      </c>
      <c r="F228" s="3"/>
      <c r="G228" s="3"/>
      <c r="H228" s="3"/>
      <c r="I228" s="3"/>
      <c r="J228" s="3"/>
      <c r="K228" s="3"/>
      <c r="L228" s="3"/>
      <c r="M228" s="3"/>
    </row>
    <row r="229" spans="1:13" ht="14.25" customHeight="1" x14ac:dyDescent="0.4">
      <c r="A229" s="100">
        <v>4004003601</v>
      </c>
      <c r="B229" s="125" t="s">
        <v>347</v>
      </c>
      <c r="C229" s="290">
        <v>38083</v>
      </c>
      <c r="D229" s="71">
        <f>(OBSAH!$J$6/100)*Tabulka211115176890[[#This Row],[Sloupec3]]</f>
        <v>0</v>
      </c>
      <c r="E229" s="57">
        <f>Tabulka211115176890[[#This Row],[Sloupec3]]-Tabulka211115176890[[#This Row],[Sloupec4]]</f>
        <v>38083</v>
      </c>
      <c r="F229" s="3"/>
      <c r="G229" s="3"/>
      <c r="H229" s="3"/>
      <c r="I229" s="3"/>
      <c r="J229" s="3"/>
      <c r="K229" s="3"/>
      <c r="L229" s="3"/>
      <c r="M229" s="3"/>
    </row>
    <row r="230" spans="1:13" ht="14.25" customHeight="1" x14ac:dyDescent="0.4">
      <c r="A230" s="100">
        <v>4004003605</v>
      </c>
      <c r="B230" s="125" t="s">
        <v>348</v>
      </c>
      <c r="C230" s="290">
        <v>38149</v>
      </c>
      <c r="D230" s="71">
        <f>(OBSAH!$J$6/100)*Tabulka211115176890[[#This Row],[Sloupec3]]</f>
        <v>0</v>
      </c>
      <c r="E230" s="57">
        <f>Tabulka211115176890[[#This Row],[Sloupec3]]-Tabulka211115176890[[#This Row],[Sloupec4]]</f>
        <v>38149</v>
      </c>
      <c r="F230" s="3"/>
      <c r="G230" s="3"/>
      <c r="H230" s="3"/>
      <c r="I230" s="3"/>
      <c r="J230" s="3"/>
      <c r="K230" s="3"/>
      <c r="L230" s="3"/>
      <c r="M230" s="3"/>
    </row>
    <row r="231" spans="1:13" ht="14.25" customHeight="1" x14ac:dyDescent="0.4">
      <c r="A231" s="100">
        <v>4004003609</v>
      </c>
      <c r="B231" s="125" t="s">
        <v>349</v>
      </c>
      <c r="C231" s="290">
        <v>38419</v>
      </c>
      <c r="D231" s="71">
        <f>(OBSAH!$J$6/100)*Tabulka211115176890[[#This Row],[Sloupec3]]</f>
        <v>0</v>
      </c>
      <c r="E231" s="57">
        <f>Tabulka211115176890[[#This Row],[Sloupec3]]-Tabulka211115176890[[#This Row],[Sloupec4]]</f>
        <v>38419</v>
      </c>
      <c r="F231" s="3"/>
      <c r="G231" s="3"/>
      <c r="H231" s="3"/>
      <c r="I231" s="3"/>
      <c r="J231" s="3"/>
      <c r="K231" s="3"/>
      <c r="L231" s="3"/>
      <c r="M231" s="3"/>
    </row>
    <row r="232" spans="1:13" ht="14.25" customHeight="1" x14ac:dyDescent="0.4">
      <c r="A232" s="101">
        <v>4004003613</v>
      </c>
      <c r="B232" s="102" t="s">
        <v>350</v>
      </c>
      <c r="C232" s="291">
        <v>38630</v>
      </c>
      <c r="D232" s="68">
        <f>(OBSAH!$J$6/100)*Tabulka211115176890[[#This Row],[Sloupec3]]</f>
        <v>0</v>
      </c>
      <c r="E232" s="58">
        <f>Tabulka211115176890[[#This Row],[Sloupec3]]-Tabulka211115176890[[#This Row],[Sloupec4]]</f>
        <v>38630</v>
      </c>
      <c r="F232" s="3"/>
      <c r="G232" s="3"/>
      <c r="H232" s="3"/>
      <c r="I232" s="3"/>
      <c r="J232" s="3"/>
      <c r="K232" s="3"/>
      <c r="L232" s="3"/>
      <c r="M232" s="3"/>
    </row>
    <row r="233" spans="1:13" ht="15" customHeight="1" x14ac:dyDescent="0.4">
      <c r="A233" s="37"/>
      <c r="B233" s="38"/>
      <c r="C233" s="106"/>
      <c r="D233" s="61"/>
      <c r="E233" s="62"/>
      <c r="F233" s="3"/>
      <c r="G233" s="3"/>
      <c r="H233" s="3"/>
      <c r="I233" s="3"/>
      <c r="J233" s="3"/>
      <c r="K233" s="3"/>
      <c r="L233" s="3"/>
      <c r="M233" s="3"/>
    </row>
    <row r="234" spans="1:13" ht="15" customHeight="1" x14ac:dyDescent="0.4">
      <c r="A234" s="37"/>
      <c r="B234" s="38"/>
      <c r="C234" s="106"/>
      <c r="D234" s="61"/>
      <c r="E234" s="62"/>
      <c r="F234" s="3"/>
      <c r="G234" s="3"/>
      <c r="H234" s="3"/>
      <c r="I234" s="3"/>
      <c r="J234" s="3"/>
      <c r="K234" s="3"/>
      <c r="L234" s="3"/>
      <c r="M234" s="3"/>
    </row>
    <row r="235" spans="1:13" ht="15" customHeight="1" x14ac:dyDescent="0.4">
      <c r="A235" s="37"/>
      <c r="B235" s="38"/>
      <c r="C235" s="106"/>
      <c r="D235" s="61"/>
      <c r="E235" s="62"/>
      <c r="F235" s="3"/>
      <c r="G235" s="3"/>
      <c r="H235" s="3"/>
      <c r="I235" s="3"/>
      <c r="J235" s="3"/>
      <c r="K235" s="3"/>
      <c r="L235" s="3"/>
      <c r="M235" s="3"/>
    </row>
    <row r="236" spans="1:13" ht="36" customHeight="1" x14ac:dyDescent="0.4">
      <c r="A236" s="442" t="s">
        <v>152</v>
      </c>
      <c r="B236" s="442"/>
      <c r="C236" s="442"/>
      <c r="D236" s="442"/>
      <c r="E236" s="442"/>
      <c r="F236" s="3"/>
      <c r="G236" s="3"/>
      <c r="H236" s="3"/>
      <c r="I236" s="3"/>
      <c r="J236" s="3"/>
      <c r="K236" s="3"/>
      <c r="L236" s="3"/>
      <c r="M236" s="3"/>
    </row>
    <row r="237" spans="1:13" ht="36" customHeight="1" x14ac:dyDescent="0.4">
      <c r="A237" s="443" t="s">
        <v>351</v>
      </c>
      <c r="B237" s="443"/>
      <c r="C237" s="443"/>
      <c r="D237" s="443"/>
      <c r="E237" s="443"/>
      <c r="F237" s="3"/>
      <c r="G237" s="3"/>
      <c r="H237" s="3"/>
      <c r="I237" s="3"/>
      <c r="J237" s="3"/>
      <c r="K237" s="3"/>
      <c r="L237" s="3"/>
      <c r="M237" s="3"/>
    </row>
    <row r="238" spans="1:13" ht="24" customHeight="1" x14ac:dyDescent="0.4">
      <c r="A238" s="444" t="s">
        <v>83</v>
      </c>
      <c r="B238" s="444"/>
      <c r="C238" s="444"/>
      <c r="D238" s="444"/>
      <c r="E238" s="444"/>
      <c r="F238" s="3"/>
      <c r="G238" s="3"/>
      <c r="H238" s="3"/>
      <c r="I238" s="3"/>
      <c r="J238" s="3"/>
      <c r="K238" s="3"/>
      <c r="L238" s="3"/>
      <c r="M238" s="3"/>
    </row>
    <row r="239" spans="1:13" ht="24" customHeight="1" x14ac:dyDescent="0.4">
      <c r="A239" s="39" t="s">
        <v>56</v>
      </c>
      <c r="B239" s="39" t="s">
        <v>57</v>
      </c>
      <c r="C239" s="40" t="s">
        <v>58</v>
      </c>
      <c r="D239" s="40" t="s">
        <v>59</v>
      </c>
      <c r="E239" s="41" t="s">
        <v>60</v>
      </c>
      <c r="F239" s="3"/>
      <c r="G239" s="3"/>
      <c r="H239" s="3"/>
      <c r="I239" s="3"/>
      <c r="J239" s="3"/>
      <c r="K239" s="3"/>
      <c r="L239" s="3"/>
      <c r="M239" s="3"/>
    </row>
    <row r="240" spans="1:13" ht="14.25" customHeight="1" x14ac:dyDescent="0.4">
      <c r="A240" s="98">
        <v>4004003630</v>
      </c>
      <c r="B240" s="99" t="s">
        <v>352</v>
      </c>
      <c r="C240" s="289">
        <v>17866</v>
      </c>
      <c r="D240" s="69">
        <f>(OBSAH!$J$6/100)*Tabulka201014168091[[#This Row],[Sloupec3]]</f>
        <v>0</v>
      </c>
      <c r="E240" s="70">
        <f>Tabulka201014168091[[#This Row],[Sloupec3]]-Tabulka201014168091[[#This Row],[Sloupec4]]</f>
        <v>17866</v>
      </c>
      <c r="F240" s="3"/>
      <c r="G240" s="3"/>
      <c r="H240" s="3"/>
      <c r="I240" s="3"/>
      <c r="J240" s="3"/>
      <c r="K240" s="3"/>
      <c r="L240" s="3"/>
      <c r="M240" s="3"/>
    </row>
    <row r="241" spans="1:13" ht="14.25" customHeight="1" x14ac:dyDescent="0.4">
      <c r="A241" s="100">
        <v>4004003634</v>
      </c>
      <c r="B241" s="125" t="s">
        <v>353</v>
      </c>
      <c r="C241" s="290">
        <v>18076</v>
      </c>
      <c r="D241" s="71">
        <f>(OBSAH!$J$6/100)*Tabulka201014168091[[#This Row],[Sloupec3]]</f>
        <v>0</v>
      </c>
      <c r="E241" s="57">
        <f>Tabulka201014168091[[#This Row],[Sloupec3]]-Tabulka201014168091[[#This Row],[Sloupec4]]</f>
        <v>18076</v>
      </c>
      <c r="F241" s="3"/>
      <c r="G241" s="3"/>
      <c r="H241" s="3"/>
      <c r="I241" s="3"/>
      <c r="J241" s="3"/>
      <c r="K241" s="3"/>
      <c r="L241" s="3"/>
      <c r="M241" s="3"/>
    </row>
    <row r="242" spans="1:13" ht="14.25" customHeight="1" x14ac:dyDescent="0.4">
      <c r="A242" s="100">
        <v>4004003638</v>
      </c>
      <c r="B242" s="125" t="s">
        <v>354</v>
      </c>
      <c r="C242" s="290">
        <v>18285</v>
      </c>
      <c r="D242" s="71">
        <f>(OBSAH!$J$6/100)*Tabulka201014168091[[#This Row],[Sloupec3]]</f>
        <v>0</v>
      </c>
      <c r="E242" s="57">
        <f>Tabulka201014168091[[#This Row],[Sloupec3]]-Tabulka201014168091[[#This Row],[Sloupec4]]</f>
        <v>18285</v>
      </c>
      <c r="F242" s="3"/>
      <c r="G242" s="3"/>
      <c r="H242" s="3"/>
      <c r="I242" s="3"/>
      <c r="J242" s="3"/>
      <c r="K242" s="3"/>
      <c r="L242" s="3"/>
      <c r="M242" s="3"/>
    </row>
    <row r="243" spans="1:13" ht="14.25" customHeight="1" x14ac:dyDescent="0.4">
      <c r="A243" s="100">
        <v>4004003642</v>
      </c>
      <c r="B243" s="125" t="s">
        <v>355</v>
      </c>
      <c r="C243" s="290">
        <v>18906</v>
      </c>
      <c r="D243" s="71">
        <f>(OBSAH!$J$6/100)*Tabulka201014168091[[#This Row],[Sloupec3]]</f>
        <v>0</v>
      </c>
      <c r="E243" s="57">
        <f>Tabulka201014168091[[#This Row],[Sloupec3]]-Tabulka201014168091[[#This Row],[Sloupec4]]</f>
        <v>18906</v>
      </c>
      <c r="F243" s="3"/>
      <c r="G243" s="3"/>
      <c r="H243" s="3"/>
      <c r="I243" s="3"/>
      <c r="J243" s="3"/>
      <c r="K243" s="3"/>
      <c r="L243" s="3"/>
      <c r="M243" s="3"/>
    </row>
    <row r="244" spans="1:13" ht="14.25" customHeight="1" x14ac:dyDescent="0.4">
      <c r="A244" s="100">
        <v>4004003646</v>
      </c>
      <c r="B244" s="125" t="s">
        <v>356</v>
      </c>
      <c r="C244" s="290">
        <v>19442</v>
      </c>
      <c r="D244" s="71">
        <f>(OBSAH!$J$6/100)*Tabulka201014168091[[#This Row],[Sloupec3]]</f>
        <v>0</v>
      </c>
      <c r="E244" s="57">
        <f>Tabulka201014168091[[#This Row],[Sloupec3]]-Tabulka201014168091[[#This Row],[Sloupec4]]</f>
        <v>19442</v>
      </c>
      <c r="F244" s="3"/>
      <c r="G244" s="3"/>
      <c r="H244" s="3"/>
      <c r="I244" s="3"/>
      <c r="J244" s="3"/>
      <c r="K244" s="3"/>
      <c r="L244" s="3"/>
      <c r="M244" s="3"/>
    </row>
    <row r="245" spans="1:13" ht="14.25" customHeight="1" x14ac:dyDescent="0.4">
      <c r="A245" s="100">
        <v>4004003650</v>
      </c>
      <c r="B245" s="125" t="s">
        <v>357</v>
      </c>
      <c r="C245" s="290">
        <v>23256</v>
      </c>
      <c r="D245" s="71">
        <f>(OBSAH!$J$6/100)*Tabulka201014168091[[#This Row],[Sloupec3]]</f>
        <v>0</v>
      </c>
      <c r="E245" s="57">
        <f>Tabulka201014168091[[#This Row],[Sloupec3]]-Tabulka201014168091[[#This Row],[Sloupec4]]</f>
        <v>23256</v>
      </c>
      <c r="F245" s="3"/>
      <c r="G245" s="3"/>
      <c r="H245" s="3"/>
      <c r="I245" s="3"/>
      <c r="J245" s="3"/>
      <c r="K245" s="3"/>
      <c r="L245" s="3"/>
      <c r="M245" s="3"/>
    </row>
    <row r="246" spans="1:13" ht="14.25" customHeight="1" x14ac:dyDescent="0.4">
      <c r="A246" s="100">
        <v>4004003654</v>
      </c>
      <c r="B246" s="125" t="s">
        <v>358</v>
      </c>
      <c r="C246" s="290">
        <v>23350</v>
      </c>
      <c r="D246" s="71">
        <f>(OBSAH!$J$6/100)*Tabulka201014168091[[#This Row],[Sloupec3]]</f>
        <v>0</v>
      </c>
      <c r="E246" s="57">
        <f>Tabulka201014168091[[#This Row],[Sloupec3]]-Tabulka201014168091[[#This Row],[Sloupec4]]</f>
        <v>23350</v>
      </c>
      <c r="F246" s="3"/>
      <c r="G246" s="3"/>
      <c r="H246" s="3"/>
      <c r="I246" s="3"/>
      <c r="J246" s="3"/>
      <c r="K246" s="3"/>
      <c r="L246" s="3"/>
      <c r="M246" s="3"/>
    </row>
    <row r="247" spans="1:13" ht="14.25" customHeight="1" x14ac:dyDescent="0.4">
      <c r="A247" s="100">
        <v>4004003658</v>
      </c>
      <c r="B247" s="125" t="s">
        <v>359</v>
      </c>
      <c r="C247" s="290">
        <v>23429</v>
      </c>
      <c r="D247" s="71">
        <f>(OBSAH!$J$6/100)*Tabulka201014168091[[#This Row],[Sloupec3]]</f>
        <v>0</v>
      </c>
      <c r="E247" s="57">
        <f>Tabulka201014168091[[#This Row],[Sloupec3]]-Tabulka201014168091[[#This Row],[Sloupec4]]</f>
        <v>23429</v>
      </c>
      <c r="F247" s="3"/>
      <c r="G247" s="3"/>
      <c r="H247" s="3"/>
      <c r="I247" s="3"/>
      <c r="J247" s="3"/>
      <c r="K247" s="3"/>
      <c r="L247" s="3"/>
      <c r="M247" s="3"/>
    </row>
    <row r="248" spans="1:13" ht="14.25" customHeight="1" x14ac:dyDescent="0.4">
      <c r="A248" s="100">
        <v>4004003662</v>
      </c>
      <c r="B248" s="125" t="s">
        <v>360</v>
      </c>
      <c r="C248" s="290">
        <v>23940</v>
      </c>
      <c r="D248" s="71">
        <f>(OBSAH!$J$6/100)*Tabulka201014168091[[#This Row],[Sloupec3]]</f>
        <v>0</v>
      </c>
      <c r="E248" s="57">
        <f>Tabulka201014168091[[#This Row],[Sloupec3]]-Tabulka201014168091[[#This Row],[Sloupec4]]</f>
        <v>23940</v>
      </c>
      <c r="F248" s="3"/>
      <c r="G248" s="3"/>
      <c r="H248" s="3"/>
      <c r="I248" s="3"/>
      <c r="J248" s="3"/>
      <c r="K248" s="3"/>
      <c r="L248" s="3"/>
      <c r="M248" s="3"/>
    </row>
    <row r="249" spans="1:13" ht="14.25" customHeight="1" x14ac:dyDescent="0.4">
      <c r="A249" s="100">
        <v>4004003666</v>
      </c>
      <c r="B249" s="125" t="s">
        <v>361</v>
      </c>
      <c r="C249" s="290">
        <v>23968</v>
      </c>
      <c r="D249" s="71">
        <f>(OBSAH!$J$6/100)*Tabulka201014168091[[#This Row],[Sloupec3]]</f>
        <v>0</v>
      </c>
      <c r="E249" s="57">
        <f>Tabulka201014168091[[#This Row],[Sloupec3]]-Tabulka201014168091[[#This Row],[Sloupec4]]</f>
        <v>23968</v>
      </c>
      <c r="F249" s="3"/>
      <c r="G249" s="3"/>
      <c r="H249" s="3"/>
      <c r="I249" s="3"/>
      <c r="J249" s="3"/>
      <c r="K249" s="3"/>
      <c r="L249" s="3"/>
      <c r="M249" s="3"/>
    </row>
    <row r="250" spans="1:13" ht="14.25" customHeight="1" x14ac:dyDescent="0.4">
      <c r="A250" s="100">
        <v>4004003670</v>
      </c>
      <c r="B250" s="125" t="s">
        <v>362</v>
      </c>
      <c r="C250" s="290">
        <v>26533</v>
      </c>
      <c r="D250" s="71">
        <f>(OBSAH!$J$6/100)*Tabulka201014168091[[#This Row],[Sloupec3]]</f>
        <v>0</v>
      </c>
      <c r="E250" s="57">
        <f>Tabulka201014168091[[#This Row],[Sloupec3]]-Tabulka201014168091[[#This Row],[Sloupec4]]</f>
        <v>26533</v>
      </c>
      <c r="F250" s="3"/>
      <c r="G250" s="3"/>
      <c r="H250" s="3"/>
      <c r="I250" s="3"/>
      <c r="J250" s="3"/>
      <c r="K250" s="3"/>
      <c r="L250" s="3"/>
      <c r="M250" s="3"/>
    </row>
    <row r="251" spans="1:13" ht="14.25" customHeight="1" x14ac:dyDescent="0.4">
      <c r="A251" s="100">
        <v>4004003674</v>
      </c>
      <c r="B251" s="125" t="s">
        <v>363</v>
      </c>
      <c r="C251" s="290">
        <v>26607</v>
      </c>
      <c r="D251" s="71">
        <f>(OBSAH!$J$6/100)*Tabulka201014168091[[#This Row],[Sloupec3]]</f>
        <v>0</v>
      </c>
      <c r="E251" s="57">
        <f>Tabulka201014168091[[#This Row],[Sloupec3]]-Tabulka201014168091[[#This Row],[Sloupec4]]</f>
        <v>26607</v>
      </c>
      <c r="F251" s="3"/>
      <c r="G251" s="3"/>
      <c r="H251" s="3"/>
      <c r="I251" s="3"/>
      <c r="J251" s="3"/>
      <c r="K251" s="3"/>
      <c r="L251" s="3"/>
      <c r="M251" s="3"/>
    </row>
    <row r="252" spans="1:13" ht="14.25" customHeight="1" x14ac:dyDescent="0.4">
      <c r="A252" s="100">
        <v>4004003678</v>
      </c>
      <c r="B252" s="125" t="s">
        <v>364</v>
      </c>
      <c r="C252" s="290">
        <v>26819</v>
      </c>
      <c r="D252" s="71">
        <f>(OBSAH!$J$6/100)*Tabulka201014168091[[#This Row],[Sloupec3]]</f>
        <v>0</v>
      </c>
      <c r="E252" s="57">
        <f>Tabulka201014168091[[#This Row],[Sloupec3]]-Tabulka201014168091[[#This Row],[Sloupec4]]</f>
        <v>26819</v>
      </c>
      <c r="F252" s="3"/>
      <c r="G252" s="3"/>
      <c r="H252" s="3"/>
      <c r="I252" s="3"/>
      <c r="J252" s="3"/>
      <c r="K252" s="3"/>
      <c r="L252" s="3"/>
      <c r="M252" s="3"/>
    </row>
    <row r="253" spans="1:13" ht="14.25" customHeight="1" x14ac:dyDescent="0.4">
      <c r="A253" s="100">
        <v>4004003682</v>
      </c>
      <c r="B253" s="125" t="s">
        <v>365</v>
      </c>
      <c r="C253" s="290">
        <v>27480</v>
      </c>
      <c r="D253" s="71">
        <f>(OBSAH!$J$6/100)*Tabulka201014168091[[#This Row],[Sloupec3]]</f>
        <v>0</v>
      </c>
      <c r="E253" s="57">
        <f>Tabulka201014168091[[#This Row],[Sloupec3]]-Tabulka201014168091[[#This Row],[Sloupec4]]</f>
        <v>27480</v>
      </c>
      <c r="F253" s="3"/>
      <c r="G253" s="3"/>
      <c r="H253" s="3"/>
      <c r="I253" s="3"/>
      <c r="J253" s="3"/>
      <c r="K253" s="3"/>
      <c r="L253" s="3"/>
      <c r="M253" s="3"/>
    </row>
    <row r="254" spans="1:13" ht="14.25" customHeight="1" x14ac:dyDescent="0.4">
      <c r="A254" s="100">
        <v>4004003686</v>
      </c>
      <c r="B254" s="125" t="s">
        <v>366</v>
      </c>
      <c r="C254" s="290">
        <v>27620</v>
      </c>
      <c r="D254" s="71">
        <f>(OBSAH!$J$6/100)*Tabulka201014168091[[#This Row],[Sloupec3]]</f>
        <v>0</v>
      </c>
      <c r="E254" s="57">
        <f>Tabulka201014168091[[#This Row],[Sloupec3]]-Tabulka201014168091[[#This Row],[Sloupec4]]</f>
        <v>27620</v>
      </c>
      <c r="F254" s="3"/>
      <c r="G254" s="3"/>
      <c r="H254" s="3"/>
      <c r="I254" s="3"/>
      <c r="J254" s="3"/>
      <c r="K254" s="3"/>
      <c r="L254" s="3"/>
      <c r="M254" s="3"/>
    </row>
    <row r="255" spans="1:13" ht="14.25" customHeight="1" x14ac:dyDescent="0.4">
      <c r="A255" s="100">
        <v>4004003690</v>
      </c>
      <c r="B255" s="125" t="s">
        <v>367</v>
      </c>
      <c r="C255" s="290">
        <v>31116</v>
      </c>
      <c r="D255" s="71">
        <f>(OBSAH!$J$6/100)*Tabulka201014168091[[#This Row],[Sloupec3]]</f>
        <v>0</v>
      </c>
      <c r="E255" s="57">
        <f>Tabulka201014168091[[#This Row],[Sloupec3]]-Tabulka201014168091[[#This Row],[Sloupec4]]</f>
        <v>31116</v>
      </c>
      <c r="F255" s="3"/>
      <c r="G255" s="3"/>
      <c r="H255" s="3"/>
      <c r="I255" s="3"/>
      <c r="J255" s="3"/>
      <c r="K255" s="3"/>
      <c r="L255" s="3"/>
      <c r="M255" s="3"/>
    </row>
    <row r="256" spans="1:13" ht="14.25" customHeight="1" x14ac:dyDescent="0.4">
      <c r="A256" s="100">
        <v>4004003694</v>
      </c>
      <c r="B256" s="125" t="s">
        <v>368</v>
      </c>
      <c r="C256" s="290">
        <v>31219</v>
      </c>
      <c r="D256" s="71">
        <f>(OBSAH!$J$6/100)*Tabulka201014168091[[#This Row],[Sloupec3]]</f>
        <v>0</v>
      </c>
      <c r="E256" s="57">
        <f>Tabulka201014168091[[#This Row],[Sloupec3]]-Tabulka201014168091[[#This Row],[Sloupec4]]</f>
        <v>31219</v>
      </c>
      <c r="F256" s="3"/>
      <c r="G256" s="3"/>
      <c r="H256" s="3"/>
      <c r="I256" s="3"/>
      <c r="J256" s="3"/>
      <c r="K256" s="3"/>
      <c r="L256" s="3"/>
      <c r="M256" s="3"/>
    </row>
    <row r="257" spans="1:13" ht="14.25" customHeight="1" x14ac:dyDescent="0.4">
      <c r="A257" s="100">
        <v>4004003698</v>
      </c>
      <c r="B257" s="125" t="s">
        <v>369</v>
      </c>
      <c r="C257" s="290">
        <v>31430</v>
      </c>
      <c r="D257" s="71">
        <f>(OBSAH!$J$6/100)*Tabulka201014168091[[#This Row],[Sloupec3]]</f>
        <v>0</v>
      </c>
      <c r="E257" s="57">
        <f>Tabulka201014168091[[#This Row],[Sloupec3]]-Tabulka201014168091[[#This Row],[Sloupec4]]</f>
        <v>31430</v>
      </c>
      <c r="F257" s="3"/>
      <c r="G257" s="3"/>
      <c r="H257" s="3"/>
      <c r="I257" s="3"/>
      <c r="J257" s="3"/>
      <c r="K257" s="3"/>
      <c r="L257" s="3"/>
      <c r="M257" s="3"/>
    </row>
    <row r="258" spans="1:13" ht="14.25" customHeight="1" x14ac:dyDescent="0.4">
      <c r="A258" s="100">
        <v>4004003702</v>
      </c>
      <c r="B258" s="125" t="s">
        <v>370</v>
      </c>
      <c r="C258" s="290">
        <v>32093</v>
      </c>
      <c r="D258" s="71">
        <f>(OBSAH!$J$6/100)*Tabulka201014168091[[#This Row],[Sloupec3]]</f>
        <v>0</v>
      </c>
      <c r="E258" s="57">
        <f>Tabulka201014168091[[#This Row],[Sloupec3]]-Tabulka201014168091[[#This Row],[Sloupec4]]</f>
        <v>32093</v>
      </c>
      <c r="F258" s="3"/>
      <c r="G258" s="3"/>
      <c r="H258" s="3"/>
      <c r="I258" s="3"/>
      <c r="J258" s="3"/>
      <c r="K258" s="3"/>
      <c r="L258" s="3"/>
      <c r="M258" s="3"/>
    </row>
    <row r="259" spans="1:13" ht="14.25" customHeight="1" x14ac:dyDescent="0.4">
      <c r="A259" s="100">
        <v>4004003706</v>
      </c>
      <c r="B259" s="125" t="s">
        <v>371</v>
      </c>
      <c r="C259" s="290">
        <v>32263</v>
      </c>
      <c r="D259" s="71">
        <f>(OBSAH!$J$6/100)*Tabulka201014168091[[#This Row],[Sloupec3]]</f>
        <v>0</v>
      </c>
      <c r="E259" s="57">
        <f>Tabulka201014168091[[#This Row],[Sloupec3]]-Tabulka201014168091[[#This Row],[Sloupec4]]</f>
        <v>32263</v>
      </c>
      <c r="F259" s="3"/>
      <c r="G259" s="3"/>
      <c r="H259" s="3"/>
      <c r="I259" s="3"/>
      <c r="J259" s="3"/>
      <c r="K259" s="3"/>
      <c r="L259" s="3"/>
      <c r="M259" s="3"/>
    </row>
    <row r="260" spans="1:13" ht="14.25" customHeight="1" x14ac:dyDescent="0.4">
      <c r="A260" s="100">
        <v>4004003710</v>
      </c>
      <c r="B260" s="125" t="s">
        <v>372</v>
      </c>
      <c r="C260" s="290">
        <v>35465</v>
      </c>
      <c r="D260" s="71">
        <f>(OBSAH!$J$6/100)*Tabulka201014168091[[#This Row],[Sloupec3]]</f>
        <v>0</v>
      </c>
      <c r="E260" s="57">
        <f>Tabulka201014168091[[#This Row],[Sloupec3]]-Tabulka201014168091[[#This Row],[Sloupec4]]</f>
        <v>35465</v>
      </c>
      <c r="F260" s="3"/>
      <c r="G260" s="3"/>
      <c r="H260" s="3"/>
      <c r="I260" s="3"/>
      <c r="J260" s="3"/>
      <c r="K260" s="3"/>
      <c r="L260" s="3"/>
      <c r="M260" s="3"/>
    </row>
    <row r="261" spans="1:13" ht="14.25" customHeight="1" x14ac:dyDescent="0.4">
      <c r="A261" s="100">
        <v>4004003714</v>
      </c>
      <c r="B261" s="125" t="s">
        <v>373</v>
      </c>
      <c r="C261" s="290">
        <v>35539</v>
      </c>
      <c r="D261" s="71">
        <f>(OBSAH!$J$6/100)*Tabulka201014168091[[#This Row],[Sloupec3]]</f>
        <v>0</v>
      </c>
      <c r="E261" s="57">
        <f>Tabulka201014168091[[#This Row],[Sloupec3]]-Tabulka201014168091[[#This Row],[Sloupec4]]</f>
        <v>35539</v>
      </c>
      <c r="F261" s="3"/>
      <c r="G261" s="3"/>
      <c r="H261" s="3"/>
      <c r="I261" s="3"/>
      <c r="J261" s="3"/>
      <c r="K261" s="3"/>
      <c r="L261" s="3"/>
      <c r="M261" s="3"/>
    </row>
    <row r="262" spans="1:13" ht="14.25" customHeight="1" x14ac:dyDescent="0.4">
      <c r="A262" s="100">
        <v>4004003718</v>
      </c>
      <c r="B262" s="125" t="s">
        <v>374</v>
      </c>
      <c r="C262" s="290">
        <v>35595</v>
      </c>
      <c r="D262" s="71">
        <f>(OBSAH!$J$6/100)*Tabulka201014168091[[#This Row],[Sloupec3]]</f>
        <v>0</v>
      </c>
      <c r="E262" s="57">
        <f>Tabulka201014168091[[#This Row],[Sloupec3]]-Tabulka201014168091[[#This Row],[Sloupec4]]</f>
        <v>35595</v>
      </c>
      <c r="F262" s="3"/>
      <c r="G262" s="3"/>
      <c r="H262" s="3"/>
      <c r="I262" s="3"/>
      <c r="J262" s="3"/>
      <c r="K262" s="3"/>
      <c r="L262" s="3"/>
      <c r="M262" s="3"/>
    </row>
    <row r="263" spans="1:13" ht="14.25" customHeight="1" x14ac:dyDescent="0.4">
      <c r="A263" s="100">
        <v>4004003722</v>
      </c>
      <c r="B263" s="125" t="s">
        <v>375</v>
      </c>
      <c r="C263" s="290">
        <v>36144</v>
      </c>
      <c r="D263" s="71">
        <f>(OBSAH!$J$6/100)*Tabulka201014168091[[#This Row],[Sloupec3]]</f>
        <v>0</v>
      </c>
      <c r="E263" s="57">
        <f>Tabulka201014168091[[#This Row],[Sloupec3]]-Tabulka201014168091[[#This Row],[Sloupec4]]</f>
        <v>36144</v>
      </c>
      <c r="F263" s="3"/>
      <c r="G263" s="3"/>
      <c r="H263" s="3"/>
      <c r="I263" s="3"/>
      <c r="J263" s="3"/>
      <c r="K263" s="3"/>
      <c r="L263" s="3"/>
      <c r="M263" s="3"/>
    </row>
    <row r="264" spans="1:13" ht="14.25" customHeight="1" x14ac:dyDescent="0.4">
      <c r="A264" s="100">
        <v>4004003726</v>
      </c>
      <c r="B264" s="125" t="s">
        <v>376</v>
      </c>
      <c r="C264" s="290">
        <v>36284</v>
      </c>
      <c r="D264" s="71">
        <f>(OBSAH!$J$6/100)*Tabulka201014168091[[#This Row],[Sloupec3]]</f>
        <v>0</v>
      </c>
      <c r="E264" s="57">
        <f>Tabulka201014168091[[#This Row],[Sloupec3]]-Tabulka201014168091[[#This Row],[Sloupec4]]</f>
        <v>36284</v>
      </c>
      <c r="F264" s="3"/>
      <c r="G264" s="3"/>
      <c r="H264" s="3"/>
      <c r="I264" s="3"/>
      <c r="J264" s="3"/>
      <c r="K264" s="3"/>
      <c r="L264" s="3"/>
      <c r="M264" s="3"/>
    </row>
    <row r="265" spans="1:13" ht="14.25" customHeight="1" x14ac:dyDescent="0.4">
      <c r="A265" s="100">
        <v>4004003730</v>
      </c>
      <c r="B265" s="125" t="s">
        <v>377</v>
      </c>
      <c r="C265" s="290">
        <v>39731</v>
      </c>
      <c r="D265" s="71">
        <f>(OBSAH!$J$6/100)*Tabulka201014168091[[#This Row],[Sloupec3]]</f>
        <v>0</v>
      </c>
      <c r="E265" s="57">
        <f>Tabulka201014168091[[#This Row],[Sloupec3]]-Tabulka201014168091[[#This Row],[Sloupec4]]</f>
        <v>39731</v>
      </c>
      <c r="F265" s="3"/>
      <c r="G265" s="3"/>
      <c r="H265" s="3"/>
      <c r="I265" s="3"/>
      <c r="J265" s="3"/>
      <c r="K265" s="3"/>
      <c r="L265" s="3"/>
      <c r="M265" s="3"/>
    </row>
    <row r="266" spans="1:13" ht="14.25" customHeight="1" x14ac:dyDescent="0.4">
      <c r="A266" s="100">
        <v>4004003734</v>
      </c>
      <c r="B266" s="125" t="s">
        <v>378</v>
      </c>
      <c r="C266" s="290">
        <v>39804</v>
      </c>
      <c r="D266" s="71">
        <f>(OBSAH!$J$6/100)*Tabulka201014168091[[#This Row],[Sloupec3]]</f>
        <v>0</v>
      </c>
      <c r="E266" s="57">
        <f>Tabulka201014168091[[#This Row],[Sloupec3]]-Tabulka201014168091[[#This Row],[Sloupec4]]</f>
        <v>39804</v>
      </c>
      <c r="F266" s="3"/>
      <c r="G266" s="3"/>
      <c r="H266" s="3"/>
      <c r="I266" s="3"/>
      <c r="J266" s="3"/>
      <c r="K266" s="3"/>
      <c r="L266" s="3"/>
      <c r="M266" s="3"/>
    </row>
    <row r="267" spans="1:13" ht="14.25" customHeight="1" x14ac:dyDescent="0.4">
      <c r="A267" s="100">
        <v>4004003738</v>
      </c>
      <c r="B267" s="125" t="s">
        <v>379</v>
      </c>
      <c r="C267" s="290">
        <v>40016</v>
      </c>
      <c r="D267" s="71">
        <f>(OBSAH!$J$6/100)*Tabulka201014168091[[#This Row],[Sloupec3]]</f>
        <v>0</v>
      </c>
      <c r="E267" s="57">
        <f>Tabulka201014168091[[#This Row],[Sloupec3]]-Tabulka201014168091[[#This Row],[Sloupec4]]</f>
        <v>40016</v>
      </c>
      <c r="F267" s="3"/>
      <c r="G267" s="3"/>
      <c r="H267" s="3"/>
      <c r="I267" s="3"/>
      <c r="J267" s="3"/>
      <c r="K267" s="3"/>
      <c r="L267" s="3"/>
      <c r="M267" s="3"/>
    </row>
    <row r="268" spans="1:13" ht="14.25" customHeight="1" x14ac:dyDescent="0.4">
      <c r="A268" s="100">
        <v>4004003742</v>
      </c>
      <c r="B268" s="125" t="s">
        <v>380</v>
      </c>
      <c r="C268" s="290">
        <v>40649</v>
      </c>
      <c r="D268" s="71">
        <f>(OBSAH!$J$6/100)*Tabulka201014168091[[#This Row],[Sloupec3]]</f>
        <v>0</v>
      </c>
      <c r="E268" s="57">
        <f>Tabulka201014168091[[#This Row],[Sloupec3]]-Tabulka201014168091[[#This Row],[Sloupec4]]</f>
        <v>40649</v>
      </c>
      <c r="F268" s="3"/>
      <c r="G268" s="3"/>
      <c r="H268" s="3"/>
      <c r="I268" s="3"/>
      <c r="J268" s="3"/>
      <c r="K268" s="3"/>
      <c r="L268" s="3"/>
      <c r="M268" s="3"/>
    </row>
    <row r="269" spans="1:13" ht="14.25" customHeight="1" x14ac:dyDescent="0.4">
      <c r="A269" s="101">
        <v>4004003746</v>
      </c>
      <c r="B269" s="102" t="s">
        <v>381</v>
      </c>
      <c r="C269" s="291">
        <v>40790</v>
      </c>
      <c r="D269" s="68">
        <f>(OBSAH!$J$6/100)*Tabulka201014168091[[#This Row],[Sloupec3]]</f>
        <v>0</v>
      </c>
      <c r="E269" s="58">
        <f>Tabulka201014168091[[#This Row],[Sloupec3]]-Tabulka201014168091[[#This Row],[Sloupec4]]</f>
        <v>40790</v>
      </c>
      <c r="F269" s="3"/>
      <c r="G269" s="3"/>
      <c r="H269" s="3"/>
      <c r="I269" s="3"/>
      <c r="J269" s="3"/>
      <c r="K269" s="3"/>
      <c r="L269" s="3"/>
      <c r="M269" s="3"/>
    </row>
    <row r="270" spans="1:13" ht="15" customHeight="1" x14ac:dyDescent="0.4">
      <c r="A270" s="103"/>
      <c r="B270" s="84"/>
      <c r="C270" s="85"/>
      <c r="D270" s="61"/>
      <c r="E270" s="62"/>
      <c r="F270" s="3"/>
      <c r="G270" s="3"/>
      <c r="H270" s="3"/>
      <c r="I270" s="3"/>
      <c r="J270" s="3"/>
      <c r="K270" s="3"/>
      <c r="L270" s="3"/>
      <c r="M270" s="3"/>
    </row>
    <row r="271" spans="1:13" ht="24" customHeight="1" x14ac:dyDescent="0.4">
      <c r="A271" s="440" t="s">
        <v>91</v>
      </c>
      <c r="B271" s="440"/>
      <c r="C271" s="440"/>
      <c r="D271" s="440"/>
      <c r="E271" s="440"/>
      <c r="F271" s="3"/>
      <c r="G271" s="3"/>
      <c r="H271" s="3"/>
      <c r="I271" s="3"/>
      <c r="J271" s="3"/>
      <c r="K271" s="3"/>
      <c r="L271" s="3"/>
      <c r="M271" s="3"/>
    </row>
    <row r="272" spans="1:13" ht="24" customHeight="1" x14ac:dyDescent="0.4">
      <c r="A272" s="39" t="s">
        <v>56</v>
      </c>
      <c r="B272" s="39" t="s">
        <v>57</v>
      </c>
      <c r="C272" s="40" t="s">
        <v>58</v>
      </c>
      <c r="D272" s="40" t="s">
        <v>59</v>
      </c>
      <c r="E272" s="41" t="s">
        <v>60</v>
      </c>
      <c r="F272" s="3"/>
      <c r="G272" s="3"/>
      <c r="H272" s="3"/>
      <c r="I272" s="3"/>
      <c r="J272" s="3"/>
      <c r="K272" s="3"/>
      <c r="L272" s="3"/>
      <c r="M272" s="3"/>
    </row>
    <row r="273" spans="1:13" ht="14.25" customHeight="1" x14ac:dyDescent="0.4">
      <c r="A273" s="98">
        <v>4004003500</v>
      </c>
      <c r="B273" s="99" t="s">
        <v>382</v>
      </c>
      <c r="C273" s="289">
        <v>18307</v>
      </c>
      <c r="D273" s="69">
        <f>(OBSAH!$J$6/100)*Tabulka211115178192[[#This Row],[Sloupec3]]</f>
        <v>0</v>
      </c>
      <c r="E273" s="70">
        <f>Tabulka211115178192[[#This Row],[Sloupec3]]-Tabulka211115178192[[#This Row],[Sloupec4]]</f>
        <v>18307</v>
      </c>
      <c r="F273" s="3"/>
      <c r="G273" s="3"/>
      <c r="H273" s="3"/>
      <c r="I273" s="3"/>
      <c r="J273" s="3"/>
      <c r="K273" s="3"/>
      <c r="L273" s="3"/>
      <c r="M273" s="3"/>
    </row>
    <row r="274" spans="1:13" ht="14.25" customHeight="1" x14ac:dyDescent="0.4">
      <c r="A274" s="100">
        <v>4004003501</v>
      </c>
      <c r="B274" s="125" t="s">
        <v>383</v>
      </c>
      <c r="C274" s="290">
        <v>18516</v>
      </c>
      <c r="D274" s="71">
        <f>(OBSAH!$J$6/100)*Tabulka211115178192[[#This Row],[Sloupec3]]</f>
        <v>0</v>
      </c>
      <c r="E274" s="57">
        <f>Tabulka211115178192[[#This Row],[Sloupec3]]-Tabulka211115178192[[#This Row],[Sloupec4]]</f>
        <v>18516</v>
      </c>
      <c r="F274" s="3"/>
      <c r="G274" s="3"/>
      <c r="H274" s="3"/>
      <c r="I274" s="3"/>
      <c r="J274" s="3"/>
      <c r="K274" s="3"/>
      <c r="L274" s="3"/>
      <c r="M274" s="3"/>
    </row>
    <row r="275" spans="1:13" ht="14.25" customHeight="1" x14ac:dyDescent="0.4">
      <c r="A275" s="100">
        <v>4004003502</v>
      </c>
      <c r="B275" s="125" t="s">
        <v>384</v>
      </c>
      <c r="C275" s="290">
        <v>18727</v>
      </c>
      <c r="D275" s="71">
        <f>(OBSAH!$J$6/100)*Tabulka211115178192[[#This Row],[Sloupec3]]</f>
        <v>0</v>
      </c>
      <c r="E275" s="57">
        <f>Tabulka211115178192[[#This Row],[Sloupec3]]-Tabulka211115178192[[#This Row],[Sloupec4]]</f>
        <v>18727</v>
      </c>
      <c r="F275" s="3"/>
      <c r="G275" s="3"/>
      <c r="H275" s="3"/>
      <c r="I275" s="3"/>
      <c r="J275" s="3"/>
      <c r="K275" s="3"/>
      <c r="L275" s="3"/>
      <c r="M275" s="3"/>
    </row>
    <row r="276" spans="1:13" ht="14.25" customHeight="1" x14ac:dyDescent="0.4">
      <c r="A276" s="100">
        <v>4004003506</v>
      </c>
      <c r="B276" s="125" t="s">
        <v>385</v>
      </c>
      <c r="C276" s="290">
        <v>19348</v>
      </c>
      <c r="D276" s="71">
        <f>(OBSAH!$J$6/100)*Tabulka211115178192[[#This Row],[Sloupec3]]</f>
        <v>0</v>
      </c>
      <c r="E276" s="57">
        <f>Tabulka211115178192[[#This Row],[Sloupec3]]-Tabulka211115178192[[#This Row],[Sloupec4]]</f>
        <v>19348</v>
      </c>
      <c r="F276" s="3"/>
      <c r="G276" s="3"/>
      <c r="H276" s="3"/>
      <c r="I276" s="3"/>
      <c r="J276" s="3"/>
      <c r="K276" s="3"/>
      <c r="L276" s="3"/>
      <c r="M276" s="3"/>
    </row>
    <row r="277" spans="1:13" ht="14.25" customHeight="1" x14ac:dyDescent="0.4">
      <c r="A277" s="100">
        <v>4004003510</v>
      </c>
      <c r="B277" s="125" t="s">
        <v>386</v>
      </c>
      <c r="C277" s="290">
        <v>19882</v>
      </c>
      <c r="D277" s="71">
        <f>(OBSAH!$J$6/100)*Tabulka211115178192[[#This Row],[Sloupec3]]</f>
        <v>0</v>
      </c>
      <c r="E277" s="57">
        <f>Tabulka211115178192[[#This Row],[Sloupec3]]-Tabulka211115178192[[#This Row],[Sloupec4]]</f>
        <v>19882</v>
      </c>
      <c r="F277" s="3"/>
      <c r="G277" s="3"/>
      <c r="H277" s="3"/>
      <c r="I277" s="3"/>
      <c r="J277" s="3"/>
      <c r="K277" s="3"/>
      <c r="L277" s="3"/>
      <c r="M277" s="3"/>
    </row>
    <row r="278" spans="1:13" ht="14.25" customHeight="1" x14ac:dyDescent="0.4">
      <c r="A278" s="100">
        <v>4004003514</v>
      </c>
      <c r="B278" s="125" t="s">
        <v>387</v>
      </c>
      <c r="C278" s="290">
        <v>23696</v>
      </c>
      <c r="D278" s="71">
        <f>(OBSAH!$J$6/100)*Tabulka211115178192[[#This Row],[Sloupec3]]</f>
        <v>0</v>
      </c>
      <c r="E278" s="57">
        <f>Tabulka211115178192[[#This Row],[Sloupec3]]-Tabulka211115178192[[#This Row],[Sloupec4]]</f>
        <v>23696</v>
      </c>
      <c r="F278" s="3"/>
      <c r="G278" s="3"/>
      <c r="H278" s="3"/>
      <c r="I278" s="3"/>
      <c r="J278" s="3"/>
      <c r="K278" s="3"/>
      <c r="L278" s="3"/>
      <c r="M278" s="3"/>
    </row>
    <row r="279" spans="1:13" ht="14.25" customHeight="1" x14ac:dyDescent="0.4">
      <c r="A279" s="100">
        <v>4004003518</v>
      </c>
      <c r="B279" s="125" t="s">
        <v>388</v>
      </c>
      <c r="C279" s="290">
        <v>23792</v>
      </c>
      <c r="D279" s="71">
        <f>(OBSAH!$J$6/100)*Tabulka211115178192[[#This Row],[Sloupec3]]</f>
        <v>0</v>
      </c>
      <c r="E279" s="57">
        <f>Tabulka211115178192[[#This Row],[Sloupec3]]-Tabulka211115178192[[#This Row],[Sloupec4]]</f>
        <v>23792</v>
      </c>
      <c r="F279" s="3"/>
      <c r="G279" s="3"/>
      <c r="H279" s="3"/>
      <c r="I279" s="3"/>
      <c r="J279" s="3"/>
      <c r="K279" s="3"/>
      <c r="L279" s="3"/>
      <c r="M279" s="3"/>
    </row>
    <row r="280" spans="1:13" ht="14.25" customHeight="1" x14ac:dyDescent="0.4">
      <c r="A280" s="100">
        <v>4004003522</v>
      </c>
      <c r="B280" s="125" t="s">
        <v>389</v>
      </c>
      <c r="C280" s="290">
        <v>23870</v>
      </c>
      <c r="D280" s="71">
        <f>(OBSAH!$J$6/100)*Tabulka211115178192[[#This Row],[Sloupec3]]</f>
        <v>0</v>
      </c>
      <c r="E280" s="57">
        <f>Tabulka211115178192[[#This Row],[Sloupec3]]-Tabulka211115178192[[#This Row],[Sloupec4]]</f>
        <v>23870</v>
      </c>
      <c r="F280" s="3"/>
      <c r="G280" s="3"/>
      <c r="H280" s="3"/>
      <c r="I280" s="3"/>
      <c r="J280" s="3"/>
      <c r="K280" s="3"/>
      <c r="L280" s="3"/>
      <c r="M280" s="3"/>
    </row>
    <row r="281" spans="1:13" ht="14.25" customHeight="1" x14ac:dyDescent="0.4">
      <c r="A281" s="100">
        <v>4004003526</v>
      </c>
      <c r="B281" s="125" t="s">
        <v>390</v>
      </c>
      <c r="C281" s="290">
        <v>24383</v>
      </c>
      <c r="D281" s="71">
        <f>(OBSAH!$J$6/100)*Tabulka211115178192[[#This Row],[Sloupec3]]</f>
        <v>0</v>
      </c>
      <c r="E281" s="57">
        <f>Tabulka211115178192[[#This Row],[Sloupec3]]-Tabulka211115178192[[#This Row],[Sloupec4]]</f>
        <v>24383</v>
      </c>
      <c r="F281" s="3"/>
      <c r="G281" s="3"/>
      <c r="H281" s="3"/>
      <c r="I281" s="3"/>
      <c r="J281" s="3"/>
      <c r="K281" s="3"/>
      <c r="L281" s="3"/>
      <c r="M281" s="3"/>
    </row>
    <row r="282" spans="1:13" ht="14.25" customHeight="1" x14ac:dyDescent="0.4">
      <c r="A282" s="100">
        <v>4004003530</v>
      </c>
      <c r="B282" s="125" t="s">
        <v>391</v>
      </c>
      <c r="C282" s="290">
        <v>24410</v>
      </c>
      <c r="D282" s="71">
        <f>(OBSAH!$J$6/100)*Tabulka211115178192[[#This Row],[Sloupec3]]</f>
        <v>0</v>
      </c>
      <c r="E282" s="57">
        <f>Tabulka211115178192[[#This Row],[Sloupec3]]-Tabulka211115178192[[#This Row],[Sloupec4]]</f>
        <v>24410</v>
      </c>
      <c r="F282" s="3"/>
      <c r="G282" s="3"/>
      <c r="H282" s="3"/>
      <c r="I282" s="3"/>
      <c r="J282" s="3"/>
      <c r="K282" s="3"/>
      <c r="L282" s="3"/>
      <c r="M282" s="3"/>
    </row>
    <row r="283" spans="1:13" ht="14.25" customHeight="1" x14ac:dyDescent="0.4">
      <c r="A283" s="100">
        <v>4004003534</v>
      </c>
      <c r="B283" s="125" t="s">
        <v>392</v>
      </c>
      <c r="C283" s="290">
        <v>26975</v>
      </c>
      <c r="D283" s="71">
        <f>(OBSAH!$J$6/100)*Tabulka211115178192[[#This Row],[Sloupec3]]</f>
        <v>0</v>
      </c>
      <c r="E283" s="57">
        <f>Tabulka211115178192[[#This Row],[Sloupec3]]-Tabulka211115178192[[#This Row],[Sloupec4]]</f>
        <v>26975</v>
      </c>
      <c r="F283" s="3"/>
      <c r="G283" s="3"/>
      <c r="H283" s="3"/>
      <c r="I283" s="3"/>
      <c r="J283" s="3"/>
      <c r="K283" s="3"/>
      <c r="L283" s="3"/>
      <c r="M283" s="3"/>
    </row>
    <row r="284" spans="1:13" ht="14.25" customHeight="1" x14ac:dyDescent="0.4">
      <c r="A284" s="100">
        <v>4004003538</v>
      </c>
      <c r="B284" s="125" t="s">
        <v>393</v>
      </c>
      <c r="C284" s="290">
        <v>27048</v>
      </c>
      <c r="D284" s="71">
        <f>(OBSAH!$J$6/100)*Tabulka211115178192[[#This Row],[Sloupec3]]</f>
        <v>0</v>
      </c>
      <c r="E284" s="57">
        <f>Tabulka211115178192[[#This Row],[Sloupec3]]-Tabulka211115178192[[#This Row],[Sloupec4]]</f>
        <v>27048</v>
      </c>
      <c r="F284" s="3"/>
      <c r="G284" s="3"/>
      <c r="H284" s="3"/>
      <c r="I284" s="3"/>
      <c r="J284" s="3"/>
      <c r="K284" s="3"/>
      <c r="L284" s="3"/>
      <c r="M284" s="3"/>
    </row>
    <row r="285" spans="1:13" ht="14.25" customHeight="1" x14ac:dyDescent="0.4">
      <c r="A285" s="100">
        <v>4004003542</v>
      </c>
      <c r="B285" s="125" t="s">
        <v>394</v>
      </c>
      <c r="C285" s="290">
        <v>27260</v>
      </c>
      <c r="D285" s="71">
        <f>(OBSAH!$J$6/100)*Tabulka211115178192[[#This Row],[Sloupec3]]</f>
        <v>0</v>
      </c>
      <c r="E285" s="57">
        <f>Tabulka211115178192[[#This Row],[Sloupec3]]-Tabulka211115178192[[#This Row],[Sloupec4]]</f>
        <v>27260</v>
      </c>
      <c r="F285" s="3"/>
      <c r="G285" s="3"/>
      <c r="H285" s="3"/>
      <c r="I285" s="3"/>
      <c r="J285" s="3"/>
      <c r="K285" s="3"/>
      <c r="L285" s="3"/>
      <c r="M285" s="3"/>
    </row>
    <row r="286" spans="1:13" ht="14.25" customHeight="1" x14ac:dyDescent="0.4">
      <c r="A286" s="100">
        <v>4004003546</v>
      </c>
      <c r="B286" s="125" t="s">
        <v>395</v>
      </c>
      <c r="C286" s="290">
        <v>27920</v>
      </c>
      <c r="D286" s="71">
        <f>(OBSAH!$J$6/100)*Tabulka211115178192[[#This Row],[Sloupec3]]</f>
        <v>0</v>
      </c>
      <c r="E286" s="57">
        <f>Tabulka211115178192[[#This Row],[Sloupec3]]-Tabulka211115178192[[#This Row],[Sloupec4]]</f>
        <v>27920</v>
      </c>
      <c r="F286" s="3"/>
      <c r="G286" s="3"/>
      <c r="H286" s="3"/>
      <c r="I286" s="3"/>
      <c r="J286" s="3"/>
      <c r="K286" s="3"/>
      <c r="L286" s="3"/>
      <c r="M286" s="3"/>
    </row>
    <row r="287" spans="1:13" ht="14.25" customHeight="1" x14ac:dyDescent="0.4">
      <c r="A287" s="100">
        <v>4004003550</v>
      </c>
      <c r="B287" s="125" t="s">
        <v>396</v>
      </c>
      <c r="C287" s="290">
        <v>28062</v>
      </c>
      <c r="D287" s="71">
        <f>(OBSAH!$J$6/100)*Tabulka211115178192[[#This Row],[Sloupec3]]</f>
        <v>0</v>
      </c>
      <c r="E287" s="57">
        <f>Tabulka211115178192[[#This Row],[Sloupec3]]-Tabulka211115178192[[#This Row],[Sloupec4]]</f>
        <v>28062</v>
      </c>
      <c r="F287" s="3"/>
      <c r="G287" s="3"/>
      <c r="H287" s="3"/>
      <c r="I287" s="3"/>
      <c r="J287" s="3"/>
      <c r="K287" s="3"/>
      <c r="L287" s="3"/>
      <c r="M287" s="3"/>
    </row>
    <row r="288" spans="1:13" ht="14.25" customHeight="1" x14ac:dyDescent="0.4">
      <c r="A288" s="100">
        <v>4004003554</v>
      </c>
      <c r="B288" s="125" t="s">
        <v>397</v>
      </c>
      <c r="C288" s="290">
        <v>31558</v>
      </c>
      <c r="D288" s="71">
        <f>(OBSAH!$J$6/100)*Tabulka211115178192[[#This Row],[Sloupec3]]</f>
        <v>0</v>
      </c>
      <c r="E288" s="57">
        <f>Tabulka211115178192[[#This Row],[Sloupec3]]-Tabulka211115178192[[#This Row],[Sloupec4]]</f>
        <v>31558</v>
      </c>
      <c r="F288" s="3"/>
      <c r="G288" s="3"/>
      <c r="H288" s="3"/>
      <c r="I288" s="3"/>
      <c r="J288" s="3"/>
      <c r="K288" s="3"/>
      <c r="L288" s="3"/>
      <c r="M288" s="3"/>
    </row>
    <row r="289" spans="1:13" ht="14.25" customHeight="1" x14ac:dyDescent="0.4">
      <c r="A289" s="100">
        <v>4004003558</v>
      </c>
      <c r="B289" s="125" t="s">
        <v>398</v>
      </c>
      <c r="C289" s="290">
        <v>31660</v>
      </c>
      <c r="D289" s="71">
        <f>(OBSAH!$J$6/100)*Tabulka211115178192[[#This Row],[Sloupec3]]</f>
        <v>0</v>
      </c>
      <c r="E289" s="57">
        <f>Tabulka211115178192[[#This Row],[Sloupec3]]-Tabulka211115178192[[#This Row],[Sloupec4]]</f>
        <v>31660</v>
      </c>
      <c r="F289" s="3"/>
      <c r="G289" s="3"/>
      <c r="H289" s="3"/>
      <c r="I289" s="3"/>
      <c r="J289" s="3"/>
      <c r="K289" s="3"/>
      <c r="L289" s="3"/>
      <c r="M289" s="3"/>
    </row>
    <row r="290" spans="1:13" ht="14.25" customHeight="1" x14ac:dyDescent="0.4">
      <c r="A290" s="100">
        <v>4004003562</v>
      </c>
      <c r="B290" s="125" t="s">
        <v>399</v>
      </c>
      <c r="C290" s="290">
        <v>31871</v>
      </c>
      <c r="D290" s="71">
        <f>(OBSAH!$J$6/100)*Tabulka211115178192[[#This Row],[Sloupec3]]</f>
        <v>0</v>
      </c>
      <c r="E290" s="57">
        <f>Tabulka211115178192[[#This Row],[Sloupec3]]-Tabulka211115178192[[#This Row],[Sloupec4]]</f>
        <v>31871</v>
      </c>
      <c r="F290" s="3"/>
      <c r="G290" s="3"/>
      <c r="H290" s="3"/>
      <c r="I290" s="3"/>
      <c r="J290" s="3"/>
      <c r="K290" s="3"/>
      <c r="L290" s="3"/>
      <c r="M290" s="3"/>
    </row>
    <row r="291" spans="1:13" ht="14.25" customHeight="1" x14ac:dyDescent="0.4">
      <c r="A291" s="100">
        <v>4004003566</v>
      </c>
      <c r="B291" s="125" t="s">
        <v>400</v>
      </c>
      <c r="C291" s="290">
        <v>32533</v>
      </c>
      <c r="D291" s="71">
        <f>(OBSAH!$J$6/100)*Tabulka211115178192[[#This Row],[Sloupec3]]</f>
        <v>0</v>
      </c>
      <c r="E291" s="57">
        <f>Tabulka211115178192[[#This Row],[Sloupec3]]-Tabulka211115178192[[#This Row],[Sloupec4]]</f>
        <v>32533</v>
      </c>
      <c r="F291" s="3"/>
      <c r="G291" s="3"/>
      <c r="H291" s="3"/>
      <c r="I291" s="3"/>
      <c r="J291" s="3"/>
      <c r="K291" s="3"/>
      <c r="L291" s="3"/>
      <c r="M291" s="3"/>
    </row>
    <row r="292" spans="1:13" ht="14.25" customHeight="1" x14ac:dyDescent="0.4">
      <c r="A292" s="100">
        <v>4004003570</v>
      </c>
      <c r="B292" s="125" t="s">
        <v>401</v>
      </c>
      <c r="C292" s="290">
        <v>32703</v>
      </c>
      <c r="D292" s="71">
        <f>(OBSAH!$J$6/100)*Tabulka211115178192[[#This Row],[Sloupec3]]</f>
        <v>0</v>
      </c>
      <c r="E292" s="57">
        <f>Tabulka211115178192[[#This Row],[Sloupec3]]-Tabulka211115178192[[#This Row],[Sloupec4]]</f>
        <v>32703</v>
      </c>
      <c r="F292" s="3"/>
      <c r="G292" s="3"/>
      <c r="H292" s="3"/>
      <c r="I292" s="3"/>
      <c r="J292" s="3"/>
      <c r="K292" s="3"/>
      <c r="L292" s="3"/>
      <c r="M292" s="3"/>
    </row>
    <row r="293" spans="1:13" ht="14.25" customHeight="1" x14ac:dyDescent="0.4">
      <c r="A293" s="100">
        <v>4004003574</v>
      </c>
      <c r="B293" s="125" t="s">
        <v>402</v>
      </c>
      <c r="C293" s="290">
        <v>35906</v>
      </c>
      <c r="D293" s="71">
        <f>(OBSAH!$J$6/100)*Tabulka211115178192[[#This Row],[Sloupec3]]</f>
        <v>0</v>
      </c>
      <c r="E293" s="57">
        <f>Tabulka211115178192[[#This Row],[Sloupec3]]-Tabulka211115178192[[#This Row],[Sloupec4]]</f>
        <v>35906</v>
      </c>
      <c r="F293" s="3"/>
      <c r="G293" s="3"/>
      <c r="H293" s="3"/>
      <c r="I293" s="3"/>
      <c r="J293" s="3"/>
      <c r="K293" s="3"/>
      <c r="L293" s="3"/>
      <c r="M293" s="3"/>
    </row>
    <row r="294" spans="1:13" ht="14.25" customHeight="1" x14ac:dyDescent="0.4">
      <c r="A294" s="100">
        <v>4004003578</v>
      </c>
      <c r="B294" s="125" t="s">
        <v>403</v>
      </c>
      <c r="C294" s="290">
        <v>35981</v>
      </c>
      <c r="D294" s="71">
        <f>(OBSAH!$J$6/100)*Tabulka211115178192[[#This Row],[Sloupec3]]</f>
        <v>0</v>
      </c>
      <c r="E294" s="57">
        <f>Tabulka211115178192[[#This Row],[Sloupec3]]-Tabulka211115178192[[#This Row],[Sloupec4]]</f>
        <v>35981</v>
      </c>
      <c r="F294" s="3"/>
      <c r="G294" s="3"/>
      <c r="H294" s="3"/>
      <c r="I294" s="3"/>
      <c r="J294" s="3"/>
      <c r="K294" s="3"/>
      <c r="L294" s="3"/>
      <c r="M294" s="3"/>
    </row>
    <row r="295" spans="1:13" ht="14.25" customHeight="1" x14ac:dyDescent="0.4">
      <c r="A295" s="100">
        <v>4004003582</v>
      </c>
      <c r="B295" s="125" t="s">
        <v>404</v>
      </c>
      <c r="C295" s="290">
        <v>36036</v>
      </c>
      <c r="D295" s="71">
        <f>(OBSAH!$J$6/100)*Tabulka211115178192[[#This Row],[Sloupec3]]</f>
        <v>0</v>
      </c>
      <c r="E295" s="57">
        <f>Tabulka211115178192[[#This Row],[Sloupec3]]-Tabulka211115178192[[#This Row],[Sloupec4]]</f>
        <v>36036</v>
      </c>
      <c r="F295" s="3"/>
      <c r="G295" s="3"/>
      <c r="H295" s="3"/>
      <c r="I295" s="3"/>
      <c r="J295" s="3"/>
      <c r="K295" s="3"/>
      <c r="L295" s="3"/>
      <c r="M295" s="3"/>
    </row>
    <row r="296" spans="1:13" ht="14.25" customHeight="1" x14ac:dyDescent="0.4">
      <c r="A296" s="100">
        <v>4004003586</v>
      </c>
      <c r="B296" s="125" t="s">
        <v>405</v>
      </c>
      <c r="C296" s="290">
        <v>36586</v>
      </c>
      <c r="D296" s="71">
        <f>(OBSAH!$J$6/100)*Tabulka211115178192[[#This Row],[Sloupec3]]</f>
        <v>0</v>
      </c>
      <c r="E296" s="57">
        <f>Tabulka211115178192[[#This Row],[Sloupec3]]-Tabulka211115178192[[#This Row],[Sloupec4]]</f>
        <v>36586</v>
      </c>
      <c r="F296" s="3"/>
      <c r="G296" s="3"/>
      <c r="H296" s="3"/>
      <c r="I296" s="3"/>
      <c r="J296" s="3"/>
      <c r="K296" s="3"/>
      <c r="L296" s="3"/>
      <c r="M296" s="3"/>
    </row>
    <row r="297" spans="1:13" ht="14.25" customHeight="1" x14ac:dyDescent="0.4">
      <c r="A297" s="100">
        <v>4004003590</v>
      </c>
      <c r="B297" s="125" t="s">
        <v>406</v>
      </c>
      <c r="C297" s="290">
        <v>36725</v>
      </c>
      <c r="D297" s="71">
        <f>(OBSAH!$J$6/100)*Tabulka211115178192[[#This Row],[Sloupec3]]</f>
        <v>0</v>
      </c>
      <c r="E297" s="57">
        <f>Tabulka211115178192[[#This Row],[Sloupec3]]-Tabulka211115178192[[#This Row],[Sloupec4]]</f>
        <v>36725</v>
      </c>
      <c r="F297" s="3"/>
      <c r="G297" s="3"/>
      <c r="H297" s="3"/>
      <c r="I297" s="3"/>
      <c r="J297" s="3"/>
      <c r="K297" s="3"/>
      <c r="L297" s="3"/>
      <c r="M297" s="3"/>
    </row>
    <row r="298" spans="1:13" ht="14.25" customHeight="1" x14ac:dyDescent="0.4">
      <c r="A298" s="100">
        <v>4004003594</v>
      </c>
      <c r="B298" s="125" t="s">
        <v>407</v>
      </c>
      <c r="C298" s="290">
        <v>40172</v>
      </c>
      <c r="D298" s="71">
        <f>(OBSAH!$J$6/100)*Tabulka211115178192[[#This Row],[Sloupec3]]</f>
        <v>0</v>
      </c>
      <c r="E298" s="57">
        <f>Tabulka211115178192[[#This Row],[Sloupec3]]-Tabulka211115178192[[#This Row],[Sloupec4]]</f>
        <v>40172</v>
      </c>
      <c r="F298" s="3"/>
      <c r="G298" s="3"/>
      <c r="H298" s="3"/>
      <c r="I298" s="3"/>
      <c r="J298" s="3"/>
      <c r="K298" s="3"/>
      <c r="L298" s="3"/>
      <c r="M298" s="3"/>
    </row>
    <row r="299" spans="1:13" ht="14.25" customHeight="1" x14ac:dyDescent="0.4">
      <c r="A299" s="100">
        <v>4004003598</v>
      </c>
      <c r="B299" s="125" t="s">
        <v>408</v>
      </c>
      <c r="C299" s="290">
        <v>40246</v>
      </c>
      <c r="D299" s="71">
        <f>(OBSAH!$J$6/100)*Tabulka211115178192[[#This Row],[Sloupec3]]</f>
        <v>0</v>
      </c>
      <c r="E299" s="57">
        <f>Tabulka211115178192[[#This Row],[Sloupec3]]-Tabulka211115178192[[#This Row],[Sloupec4]]</f>
        <v>40246</v>
      </c>
      <c r="F299" s="3"/>
      <c r="G299" s="3"/>
      <c r="H299" s="3"/>
      <c r="I299" s="3"/>
      <c r="J299" s="3"/>
      <c r="K299" s="3"/>
      <c r="L299" s="3"/>
      <c r="M299" s="3"/>
    </row>
    <row r="300" spans="1:13" ht="14.25" customHeight="1" x14ac:dyDescent="0.4">
      <c r="A300" s="100">
        <v>4004003602</v>
      </c>
      <c r="B300" s="125" t="s">
        <v>409</v>
      </c>
      <c r="C300" s="290">
        <v>40457</v>
      </c>
      <c r="D300" s="71">
        <f>(OBSAH!$J$6/100)*Tabulka211115178192[[#This Row],[Sloupec3]]</f>
        <v>0</v>
      </c>
      <c r="E300" s="57">
        <f>Tabulka211115178192[[#This Row],[Sloupec3]]-Tabulka211115178192[[#This Row],[Sloupec4]]</f>
        <v>40457</v>
      </c>
      <c r="F300" s="3"/>
      <c r="G300" s="3"/>
      <c r="H300" s="3"/>
      <c r="I300" s="3"/>
      <c r="J300" s="3"/>
      <c r="K300" s="3"/>
      <c r="L300" s="3"/>
      <c r="M300" s="3"/>
    </row>
    <row r="301" spans="1:13" ht="14.25" customHeight="1" x14ac:dyDescent="0.4">
      <c r="A301" s="100">
        <v>4004003606</v>
      </c>
      <c r="B301" s="125" t="s">
        <v>410</v>
      </c>
      <c r="C301" s="290">
        <v>41091</v>
      </c>
      <c r="D301" s="71">
        <f>(OBSAH!$J$6/100)*Tabulka211115178192[[#This Row],[Sloupec3]]</f>
        <v>0</v>
      </c>
      <c r="E301" s="57">
        <f>Tabulka211115178192[[#This Row],[Sloupec3]]-Tabulka211115178192[[#This Row],[Sloupec4]]</f>
        <v>41091</v>
      </c>
      <c r="F301" s="3"/>
      <c r="G301" s="3"/>
      <c r="H301" s="3"/>
      <c r="I301" s="3"/>
      <c r="J301" s="3"/>
      <c r="K301" s="3"/>
      <c r="L301" s="3"/>
      <c r="M301" s="3"/>
    </row>
    <row r="302" spans="1:13" ht="14.25" customHeight="1" x14ac:dyDescent="0.4">
      <c r="A302" s="101">
        <v>4004003610</v>
      </c>
      <c r="B302" s="102" t="s">
        <v>411</v>
      </c>
      <c r="C302" s="291">
        <v>41231</v>
      </c>
      <c r="D302" s="68">
        <f>(OBSAH!$J$6/100)*Tabulka211115178192[[#This Row],[Sloupec3]]</f>
        <v>0</v>
      </c>
      <c r="E302" s="58">
        <f>Tabulka211115178192[[#This Row],[Sloupec3]]-Tabulka211115178192[[#This Row],[Sloupec4]]</f>
        <v>41231</v>
      </c>
      <c r="F302" s="3"/>
      <c r="G302" s="3"/>
      <c r="H302" s="3"/>
      <c r="I302" s="3"/>
      <c r="J302" s="3"/>
      <c r="K302" s="3"/>
      <c r="L302" s="3"/>
      <c r="M302" s="3"/>
    </row>
    <row r="303" spans="1:13" ht="15" customHeight="1" x14ac:dyDescent="0.4">
      <c r="A303" s="441" t="s">
        <v>120</v>
      </c>
      <c r="B303" s="441"/>
      <c r="C303" s="441"/>
      <c r="D303" s="441"/>
      <c r="E303" s="441"/>
      <c r="F303" s="3"/>
      <c r="G303" s="3"/>
      <c r="H303" s="3"/>
      <c r="I303" s="3"/>
      <c r="J303" s="3"/>
      <c r="K303" s="3"/>
      <c r="L303" s="3"/>
      <c r="M303" s="3"/>
    </row>
    <row r="304" spans="1:13" ht="15" customHeight="1" x14ac:dyDescent="0.4">
      <c r="A304" s="37"/>
      <c r="B304" s="38"/>
      <c r="C304" s="38"/>
      <c r="D304" s="3"/>
      <c r="E304" s="3"/>
      <c r="F304" s="3"/>
      <c r="G304" s="3"/>
      <c r="H304" s="3"/>
      <c r="I304" s="3"/>
      <c r="J304" s="3"/>
      <c r="K304" s="3"/>
      <c r="L304" s="3"/>
      <c r="M304" s="3"/>
    </row>
  </sheetData>
  <mergeCells count="47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G23:L23"/>
    <mergeCell ref="G24:L24"/>
    <mergeCell ref="G25:L25"/>
    <mergeCell ref="G26:L26"/>
    <mergeCell ref="A44:E44"/>
    <mergeCell ref="G45:L45"/>
    <mergeCell ref="G52:L52"/>
    <mergeCell ref="G53:L53"/>
    <mergeCell ref="G69:L69"/>
    <mergeCell ref="G70:L70"/>
    <mergeCell ref="A80:E80"/>
    <mergeCell ref="A83:E83"/>
    <mergeCell ref="A84:E84"/>
    <mergeCell ref="A85:E85"/>
    <mergeCell ref="A86:E86"/>
    <mergeCell ref="A87:E87"/>
    <mergeCell ref="A92:E92"/>
    <mergeCell ref="A93:E93"/>
    <mergeCell ref="A94:E94"/>
    <mergeCell ref="G94:L94"/>
    <mergeCell ref="G95:L95"/>
    <mergeCell ref="A128:E128"/>
    <mergeCell ref="A161:E161"/>
    <mergeCell ref="A164:E164"/>
    <mergeCell ref="A165:E165"/>
    <mergeCell ref="A166:E166"/>
    <mergeCell ref="A303:E303"/>
    <mergeCell ref="A200:E200"/>
    <mergeCell ref="A236:E236"/>
    <mergeCell ref="A237:E237"/>
    <mergeCell ref="A238:E238"/>
    <mergeCell ref="A271:E271"/>
  </mergeCells>
  <hyperlinks>
    <hyperlink ref="F2" location="OBSAH!I128" display="PŘEJÍT NA UPOZORNĚNÍ" xr:uid="{00000000-0004-0000-0300-000000000000}"/>
    <hyperlink ref="A161" location="'PŘÍSTUPOVÉ SYSTÉMY'!A67" display="ODKAZ NA ČIPY RFID 125kHz" xr:uid="{00000000-0004-0000-0300-000001000000}"/>
    <hyperlink ref="A303" location="'PŘÍSTUPOVÉ SYSTÉMY'!A67" display="ODKAZ NA ČIPY RFID 125kHz" xr:uid="{00000000-0004-0000-0300-000002000000}"/>
  </hyperlinks>
  <pageMargins left="0.7" right="0.7" top="0.78749999999999998" bottom="0.78749999999999998" header="0.51180555555555496" footer="0.51180555555555496"/>
  <pageSetup paperSize="9" firstPageNumber="0" fitToHeight="0" orientation="portrait" horizontalDpi="300" verticalDpi="300" r:id="rId1"/>
  <drawing r:id="rId2"/>
  <tableParts count="9">
    <tablePart r:id="rId3"/>
    <tablePart r:id="rId4"/>
    <tablePart r:id="rId5"/>
    <tablePart r:id="rId6"/>
    <tablePart r:id="rId7"/>
    <tablePart r:id="rId8"/>
    <tablePart r:id="rId9"/>
    <tablePart r:id="rId10"/>
    <tablePart r:id="rId1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58ED5"/>
    <pageSetUpPr fitToPage="1"/>
  </sheetPr>
  <dimension ref="A1:AMK76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6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6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6" ht="39" customHeight="1" x14ac:dyDescent="0.7">
      <c r="A3" s="463" t="s">
        <v>81</v>
      </c>
      <c r="B3" s="463"/>
      <c r="C3" s="463"/>
      <c r="D3" s="463"/>
      <c r="E3" s="463"/>
      <c r="F3" s="454"/>
      <c r="G3" s="454"/>
      <c r="H3" s="454"/>
      <c r="I3" s="454"/>
      <c r="J3" s="454"/>
      <c r="K3" s="454"/>
      <c r="L3" s="454"/>
      <c r="M3" s="454"/>
    </row>
    <row r="4" spans="1:16" ht="15" customHeight="1" x14ac:dyDescent="0.4">
      <c r="A4" s="461"/>
      <c r="B4" s="461"/>
      <c r="C4" s="461"/>
      <c r="D4" s="461"/>
      <c r="E4" s="461"/>
      <c r="F4" s="451"/>
      <c r="G4" s="451"/>
      <c r="H4" s="451"/>
      <c r="I4" s="451"/>
      <c r="J4" s="452"/>
      <c r="K4" s="452"/>
      <c r="L4" s="452"/>
      <c r="M4" s="452"/>
    </row>
    <row r="5" spans="1:16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6" ht="54" customHeight="1" x14ac:dyDescent="0.4">
      <c r="A6" s="462" t="s">
        <v>412</v>
      </c>
      <c r="B6" s="462"/>
      <c r="C6" s="462"/>
      <c r="D6" s="462"/>
      <c r="E6" s="462"/>
      <c r="F6" s="3"/>
      <c r="G6" s="3"/>
      <c r="H6" s="3"/>
      <c r="I6" s="3"/>
      <c r="J6" s="3"/>
      <c r="K6" s="3"/>
      <c r="L6" s="3"/>
      <c r="M6" s="3"/>
      <c r="N6" s="43"/>
    </row>
    <row r="7" spans="1:16" ht="36" customHeight="1" x14ac:dyDescent="0.4">
      <c r="A7" s="460" t="s">
        <v>82</v>
      </c>
      <c r="B7" s="460"/>
      <c r="C7" s="460"/>
      <c r="D7" s="460"/>
      <c r="E7" s="460"/>
      <c r="F7" s="3"/>
      <c r="G7" s="3"/>
      <c r="H7" s="3"/>
      <c r="I7" s="3"/>
      <c r="J7" s="3"/>
      <c r="K7" s="3"/>
      <c r="L7" s="3"/>
      <c r="M7" s="3"/>
    </row>
    <row r="8" spans="1:16" ht="22.5" customHeight="1" x14ac:dyDescent="0.4">
      <c r="A8" s="457" t="s">
        <v>83</v>
      </c>
      <c r="B8" s="457"/>
      <c r="C8" s="457"/>
      <c r="D8" s="457"/>
      <c r="E8" s="457"/>
      <c r="F8" s="3"/>
      <c r="G8" s="445"/>
      <c r="H8" s="445"/>
      <c r="I8" s="445"/>
      <c r="J8" s="445"/>
      <c r="K8" s="445"/>
      <c r="L8" s="445"/>
      <c r="M8" s="3"/>
      <c r="N8" s="47"/>
      <c r="O8" s="47"/>
      <c r="P8" s="47"/>
    </row>
    <row r="9" spans="1:16" s="44" customFormat="1" ht="22.5" customHeight="1" x14ac:dyDescent="0.3">
      <c r="A9" s="107" t="s">
        <v>56</v>
      </c>
      <c r="B9" s="107" t="s">
        <v>57</v>
      </c>
      <c r="C9" s="108" t="s">
        <v>58</v>
      </c>
      <c r="D9" s="108" t="s">
        <v>59</v>
      </c>
      <c r="E9" s="109" t="s">
        <v>60</v>
      </c>
      <c r="F9" s="76"/>
      <c r="G9" s="433"/>
      <c r="H9" s="433"/>
      <c r="I9" s="433"/>
      <c r="J9" s="433"/>
      <c r="K9" s="433"/>
      <c r="L9" s="433"/>
      <c r="M9" s="42"/>
      <c r="N9" s="47"/>
      <c r="O9" s="47"/>
      <c r="P9" s="47"/>
    </row>
    <row r="10" spans="1:16" ht="14.25" customHeight="1" x14ac:dyDescent="0.4">
      <c r="A10" s="110">
        <v>4004004945</v>
      </c>
      <c r="B10" s="111" t="s">
        <v>413</v>
      </c>
      <c r="C10" s="282">
        <v>14181</v>
      </c>
      <c r="D10" s="69">
        <f>(OBSAH!$J$6/100)*Tabulka201049[[#This Row],[Sloupec3]]</f>
        <v>0</v>
      </c>
      <c r="E10" s="70">
        <f>Tabulka201049[[#This Row],[Sloupec3]]-Tabulka201049[[#This Row],[Sloupec4]]</f>
        <v>14181</v>
      </c>
      <c r="F10" s="3"/>
      <c r="G10" s="3"/>
      <c r="H10" s="3"/>
      <c r="I10" s="3"/>
      <c r="J10" s="3"/>
      <c r="K10" s="3"/>
      <c r="L10" s="3"/>
      <c r="M10" s="3"/>
      <c r="N10" s="47"/>
      <c r="O10" s="47"/>
      <c r="P10" s="47"/>
    </row>
    <row r="11" spans="1:16" ht="14.25" customHeight="1" x14ac:dyDescent="0.4">
      <c r="A11" s="112">
        <v>4004004981</v>
      </c>
      <c r="B11" s="113" t="s">
        <v>414</v>
      </c>
      <c r="C11" s="283">
        <v>14465</v>
      </c>
      <c r="D11" s="71">
        <f>(OBSAH!$J$6/100)*Tabulka201049[[#This Row],[Sloupec3]]</f>
        <v>0</v>
      </c>
      <c r="E11" s="57">
        <f>Tabulka201049[[#This Row],[Sloupec3]]-Tabulka201049[[#This Row],[Sloupec4]]</f>
        <v>14465</v>
      </c>
      <c r="F11" s="3"/>
      <c r="G11" s="3"/>
      <c r="H11" s="3"/>
      <c r="I11" s="3"/>
      <c r="J11" s="3"/>
      <c r="K11" s="3"/>
      <c r="L11" s="3"/>
      <c r="M11" s="3"/>
      <c r="N11" s="47"/>
      <c r="O11" s="47"/>
    </row>
    <row r="12" spans="1:16" ht="14.25" customHeight="1" x14ac:dyDescent="0.4">
      <c r="A12" s="112">
        <v>4004004985</v>
      </c>
      <c r="B12" s="113" t="s">
        <v>415</v>
      </c>
      <c r="C12" s="283">
        <v>18275</v>
      </c>
      <c r="D12" s="71">
        <f>(OBSAH!$J$6/100)*Tabulka201049[[#This Row],[Sloupec3]]</f>
        <v>0</v>
      </c>
      <c r="E12" s="57">
        <f>Tabulka201049[[#This Row],[Sloupec3]]-Tabulka201049[[#This Row],[Sloupec4]]</f>
        <v>18275</v>
      </c>
      <c r="F12" s="3"/>
      <c r="G12" s="3"/>
      <c r="H12" s="3"/>
      <c r="I12" s="3"/>
      <c r="J12" s="3"/>
      <c r="K12" s="3"/>
      <c r="L12" s="3"/>
      <c r="M12" s="3"/>
      <c r="N12" s="47"/>
      <c r="O12" s="47"/>
      <c r="P12" s="47"/>
    </row>
    <row r="13" spans="1:16" ht="14.25" customHeight="1" x14ac:dyDescent="0.4">
      <c r="A13" s="112">
        <v>4004004987</v>
      </c>
      <c r="B13" s="113" t="s">
        <v>416</v>
      </c>
      <c r="C13" s="283">
        <v>18473</v>
      </c>
      <c r="D13" s="71">
        <f>(OBSAH!$J$6/100)*Tabulka201049[[#This Row],[Sloupec3]]</f>
        <v>0</v>
      </c>
      <c r="E13" s="57">
        <f>Tabulka201049[[#This Row],[Sloupec3]]-Tabulka201049[[#This Row],[Sloupec4]]</f>
        <v>18473</v>
      </c>
      <c r="F13" s="3"/>
      <c r="G13" s="3"/>
      <c r="H13" s="3"/>
      <c r="I13" s="3"/>
      <c r="J13" s="3"/>
      <c r="K13" s="3"/>
      <c r="L13" s="3"/>
      <c r="M13" s="3"/>
      <c r="N13" s="47"/>
      <c r="O13" s="47"/>
      <c r="P13" s="47"/>
    </row>
    <row r="14" spans="1:16" ht="14.25" customHeight="1" x14ac:dyDescent="0.4">
      <c r="A14" s="112">
        <v>4004004990</v>
      </c>
      <c r="B14" s="113" t="s">
        <v>417</v>
      </c>
      <c r="C14" s="283">
        <v>21909</v>
      </c>
      <c r="D14" s="71">
        <f>(OBSAH!$J$6/100)*Tabulka201049[[#This Row],[Sloupec3]]</f>
        <v>0</v>
      </c>
      <c r="E14" s="57">
        <f>Tabulka201049[[#This Row],[Sloupec3]]-Tabulka201049[[#This Row],[Sloupec4]]</f>
        <v>21909</v>
      </c>
      <c r="F14" s="3"/>
      <c r="G14" s="3"/>
      <c r="H14" s="3"/>
      <c r="I14" s="3"/>
      <c r="J14" s="3"/>
      <c r="K14" s="3"/>
      <c r="L14" s="3"/>
      <c r="M14" s="3"/>
      <c r="N14" s="47"/>
      <c r="O14" s="47"/>
      <c r="P14" s="47"/>
    </row>
    <row r="15" spans="1:16" ht="14.25" customHeight="1" x14ac:dyDescent="0.4">
      <c r="A15" s="114">
        <v>4004004993</v>
      </c>
      <c r="B15" s="115" t="s">
        <v>418</v>
      </c>
      <c r="C15" s="283">
        <v>25919</v>
      </c>
      <c r="D15" s="71">
        <f>(OBSAH!$J$6/100)*Tabulka201049[[#This Row],[Sloupec3]]</f>
        <v>0</v>
      </c>
      <c r="E15" s="57">
        <f>Tabulka201049[[#This Row],[Sloupec3]]-Tabulka201049[[#This Row],[Sloupec4]]</f>
        <v>25919</v>
      </c>
      <c r="F15" s="3"/>
      <c r="G15" s="3"/>
      <c r="H15" s="3"/>
      <c r="I15" s="3"/>
      <c r="J15" s="3"/>
      <c r="K15" s="3"/>
      <c r="L15" s="3"/>
      <c r="M15" s="3"/>
      <c r="N15" s="47"/>
      <c r="O15" s="47"/>
      <c r="P15" s="47"/>
    </row>
    <row r="16" spans="1:16" ht="14.25" customHeight="1" x14ac:dyDescent="0.4">
      <c r="A16" s="116">
        <v>4004004997</v>
      </c>
      <c r="B16" s="117" t="s">
        <v>419</v>
      </c>
      <c r="C16" s="284">
        <v>29392</v>
      </c>
      <c r="D16" s="68">
        <f>(OBSAH!$J$6/100)*Tabulka201049[[#This Row],[Sloupec3]]</f>
        <v>0</v>
      </c>
      <c r="E16" s="58">
        <f>Tabulka201049[[#This Row],[Sloupec3]]-Tabulka201049[[#This Row],[Sloupec4]]</f>
        <v>29392</v>
      </c>
      <c r="F16" s="3"/>
      <c r="G16" s="3"/>
      <c r="H16" s="3"/>
      <c r="I16" s="3"/>
      <c r="J16" s="3"/>
      <c r="K16" s="3"/>
      <c r="L16" s="3"/>
      <c r="M16" s="3"/>
      <c r="N16" s="47"/>
      <c r="O16" s="47"/>
      <c r="P16" s="47"/>
    </row>
    <row r="17" spans="1:16" ht="15" customHeight="1" x14ac:dyDescent="0.4">
      <c r="A17" s="83"/>
      <c r="B17" s="84"/>
      <c r="C17" s="85"/>
      <c r="D17" s="61"/>
      <c r="E17" s="62"/>
      <c r="F17" s="3"/>
      <c r="G17" s="3"/>
      <c r="H17" s="3"/>
      <c r="I17" s="3"/>
      <c r="J17" s="3"/>
      <c r="K17" s="3"/>
      <c r="L17" s="3"/>
      <c r="M17" s="3"/>
      <c r="O17" s="47"/>
    </row>
    <row r="18" spans="1:16" ht="22.5" customHeight="1" x14ac:dyDescent="0.4">
      <c r="A18" s="458" t="s">
        <v>91</v>
      </c>
      <c r="B18" s="458"/>
      <c r="C18" s="458"/>
      <c r="D18" s="458"/>
      <c r="E18" s="458"/>
      <c r="F18" s="3"/>
      <c r="G18" s="3"/>
      <c r="H18" s="3"/>
      <c r="I18" s="3"/>
      <c r="J18" s="3"/>
      <c r="K18" s="3"/>
      <c r="L18" s="3"/>
      <c r="M18" s="3"/>
      <c r="N18" s="47"/>
      <c r="O18" s="47"/>
      <c r="P18" s="47"/>
    </row>
    <row r="19" spans="1:16" s="44" customFormat="1" ht="22.5" customHeight="1" x14ac:dyDescent="0.3">
      <c r="A19" s="107" t="s">
        <v>56</v>
      </c>
      <c r="B19" s="107" t="s">
        <v>57</v>
      </c>
      <c r="C19" s="108" t="s">
        <v>58</v>
      </c>
      <c r="D19" s="108" t="s">
        <v>59</v>
      </c>
      <c r="E19" s="109" t="s">
        <v>60</v>
      </c>
      <c r="F19" s="42"/>
      <c r="G19" s="42"/>
      <c r="H19" s="42"/>
      <c r="I19" s="42"/>
      <c r="J19" s="42"/>
      <c r="K19" s="42"/>
      <c r="L19" s="42"/>
      <c r="M19" s="42"/>
      <c r="N19" s="47"/>
      <c r="O19" s="47"/>
      <c r="P19" s="47"/>
    </row>
    <row r="20" spans="1:16" ht="14.25" customHeight="1" x14ac:dyDescent="0.4">
      <c r="A20" s="110">
        <v>4004005000</v>
      </c>
      <c r="B20" s="111" t="s">
        <v>420</v>
      </c>
      <c r="C20" s="282">
        <v>14622</v>
      </c>
      <c r="D20" s="69">
        <f>(OBSAH!$J$6/100)*Tabulka211150[[#This Row],[Sloupec3]]</f>
        <v>0</v>
      </c>
      <c r="E20" s="70">
        <f>Tabulka211150[[#This Row],[Sloupec3]]-Tabulka211150[[#This Row],[Sloupec4]]</f>
        <v>14622</v>
      </c>
      <c r="F20" s="3"/>
      <c r="G20" s="3"/>
      <c r="H20" s="3"/>
      <c r="I20" s="3"/>
      <c r="J20" s="3"/>
      <c r="K20" s="3"/>
      <c r="L20" s="3"/>
      <c r="M20" s="3"/>
      <c r="N20" s="47"/>
      <c r="O20" s="47"/>
      <c r="P20" s="47"/>
    </row>
    <row r="21" spans="1:16" ht="14.25" customHeight="1" x14ac:dyDescent="0.4">
      <c r="A21" s="114">
        <v>4004004973</v>
      </c>
      <c r="B21" s="115" t="s">
        <v>421</v>
      </c>
      <c r="C21" s="283">
        <v>14905</v>
      </c>
      <c r="D21" s="71">
        <f>(OBSAH!$J$6/100)*Tabulka211150[[#This Row],[Sloupec3]]</f>
        <v>0</v>
      </c>
      <c r="E21" s="57">
        <f>Tabulka211150[[#This Row],[Sloupec3]]-Tabulka211150[[#This Row],[Sloupec4]]</f>
        <v>14905</v>
      </c>
      <c r="F21" s="3"/>
      <c r="G21" s="3"/>
      <c r="H21" s="3"/>
      <c r="I21" s="3"/>
      <c r="J21" s="3"/>
      <c r="K21" s="3"/>
      <c r="L21" s="3"/>
      <c r="M21" s="3"/>
      <c r="O21" s="47"/>
    </row>
    <row r="22" spans="1:16" ht="14.25" customHeight="1" x14ac:dyDescent="0.4">
      <c r="A22" s="114">
        <v>4004005005</v>
      </c>
      <c r="B22" s="115" t="s">
        <v>422</v>
      </c>
      <c r="C22" s="283">
        <v>18717</v>
      </c>
      <c r="D22" s="71">
        <f>(OBSAH!$J$6/100)*Tabulka211150[[#This Row],[Sloupec3]]</f>
        <v>0</v>
      </c>
      <c r="E22" s="57">
        <f>Tabulka211150[[#This Row],[Sloupec3]]-Tabulka211150[[#This Row],[Sloupec4]]</f>
        <v>18717</v>
      </c>
      <c r="F22" s="3"/>
      <c r="G22" s="3"/>
      <c r="H22" s="3"/>
      <c r="I22" s="3"/>
      <c r="J22" s="3"/>
      <c r="K22" s="3"/>
      <c r="L22" s="3"/>
      <c r="M22" s="3"/>
      <c r="N22" s="47"/>
      <c r="O22" s="47"/>
      <c r="P22" s="47"/>
    </row>
    <row r="23" spans="1:16" ht="14.25" customHeight="1" x14ac:dyDescent="0.4">
      <c r="A23" s="114">
        <v>4004005007</v>
      </c>
      <c r="B23" s="115" t="s">
        <v>423</v>
      </c>
      <c r="C23" s="283">
        <v>18914</v>
      </c>
      <c r="D23" s="71">
        <f>(OBSAH!$J$6/100)*Tabulka211150[[#This Row],[Sloupec3]]</f>
        <v>0</v>
      </c>
      <c r="E23" s="57">
        <f>Tabulka211150[[#This Row],[Sloupec3]]-Tabulka211150[[#This Row],[Sloupec4]]</f>
        <v>18914</v>
      </c>
      <c r="F23" s="3"/>
      <c r="G23" s="3"/>
      <c r="H23" s="3"/>
      <c r="I23" s="3"/>
      <c r="J23" s="3"/>
      <c r="K23" s="3"/>
      <c r="L23" s="3"/>
      <c r="M23" s="3"/>
      <c r="N23" s="47"/>
      <c r="O23" s="47"/>
      <c r="P23" s="47"/>
    </row>
    <row r="24" spans="1:16" ht="14.25" customHeight="1" x14ac:dyDescent="0.4">
      <c r="A24" s="114">
        <v>4004005010</v>
      </c>
      <c r="B24" s="115" t="s">
        <v>424</v>
      </c>
      <c r="C24" s="283">
        <v>22349</v>
      </c>
      <c r="D24" s="71">
        <f>(OBSAH!$J$6/100)*Tabulka211150[[#This Row],[Sloupec3]]</f>
        <v>0</v>
      </c>
      <c r="E24" s="57">
        <f>Tabulka211150[[#This Row],[Sloupec3]]-Tabulka211150[[#This Row],[Sloupec4]]</f>
        <v>22349</v>
      </c>
      <c r="F24" s="3"/>
      <c r="G24" s="448"/>
      <c r="H24" s="448"/>
      <c r="I24" s="448"/>
      <c r="J24" s="448"/>
      <c r="K24" s="448"/>
      <c r="L24" s="448"/>
      <c r="M24" s="3"/>
      <c r="N24" s="47"/>
      <c r="O24" s="47"/>
      <c r="P24" s="47"/>
    </row>
    <row r="25" spans="1:16" ht="14.25" customHeight="1" x14ac:dyDescent="0.4">
      <c r="A25" s="114">
        <v>4004005013</v>
      </c>
      <c r="B25" s="115" t="s">
        <v>425</v>
      </c>
      <c r="C25" s="283">
        <v>26361</v>
      </c>
      <c r="D25" s="71">
        <f>(OBSAH!$J$6/100)*Tabulka211150[[#This Row],[Sloupec3]]</f>
        <v>0</v>
      </c>
      <c r="E25" s="57">
        <f>Tabulka211150[[#This Row],[Sloupec3]]-Tabulka211150[[#This Row],[Sloupec4]]</f>
        <v>26361</v>
      </c>
      <c r="F25" s="3"/>
      <c r="G25" s="430"/>
      <c r="H25" s="430"/>
      <c r="I25" s="430"/>
      <c r="J25" s="430"/>
      <c r="K25" s="430"/>
      <c r="L25" s="430"/>
      <c r="M25" s="3"/>
      <c r="N25" s="47"/>
      <c r="O25" s="47"/>
      <c r="P25" s="47"/>
    </row>
    <row r="26" spans="1:16" ht="14.25" customHeight="1" x14ac:dyDescent="0.4">
      <c r="A26" s="116">
        <v>4004004995</v>
      </c>
      <c r="B26" s="117" t="s">
        <v>426</v>
      </c>
      <c r="C26" s="284">
        <v>29834</v>
      </c>
      <c r="D26" s="68">
        <f>(OBSAH!$J$6/100)*Tabulka211150[[#This Row],[Sloupec3]]</f>
        <v>0</v>
      </c>
      <c r="E26" s="58">
        <f>Tabulka211150[[#This Row],[Sloupec3]]-Tabulka211150[[#This Row],[Sloupec4]]</f>
        <v>29834</v>
      </c>
      <c r="F26" s="3"/>
      <c r="G26" s="448"/>
      <c r="H26" s="448"/>
      <c r="I26" s="448"/>
      <c r="J26" s="448"/>
      <c r="K26" s="448"/>
      <c r="L26" s="448"/>
      <c r="M26" s="3"/>
      <c r="N26" s="47"/>
      <c r="O26" s="47"/>
      <c r="P26" s="47"/>
    </row>
    <row r="27" spans="1:16" ht="15" customHeight="1" x14ac:dyDescent="0.4">
      <c r="A27" s="38"/>
      <c r="B27" s="38"/>
      <c r="C27" s="106"/>
      <c r="D27" s="61"/>
      <c r="E27" s="62"/>
      <c r="F27" s="3"/>
      <c r="G27" s="430"/>
      <c r="H27" s="430"/>
      <c r="I27" s="430"/>
      <c r="J27" s="430"/>
      <c r="K27" s="430"/>
      <c r="L27" s="430"/>
      <c r="M27" s="3"/>
      <c r="O27" s="47"/>
    </row>
    <row r="28" spans="1:16" ht="15" customHeight="1" x14ac:dyDescent="0.4">
      <c r="A28" s="38"/>
      <c r="B28" s="38"/>
      <c r="C28" s="106"/>
      <c r="D28" s="61"/>
      <c r="E28" s="62"/>
      <c r="F28" s="3"/>
      <c r="G28" s="67"/>
      <c r="H28" s="67"/>
      <c r="I28" s="38"/>
      <c r="J28" s="38"/>
      <c r="K28" s="38"/>
      <c r="L28" s="38"/>
      <c r="M28" s="3"/>
      <c r="N28" s="47"/>
      <c r="O28" s="47"/>
      <c r="P28" s="47"/>
    </row>
    <row r="29" spans="1:16" ht="15" customHeight="1" x14ac:dyDescent="0.4">
      <c r="A29" s="38"/>
      <c r="B29" s="38"/>
      <c r="C29" s="106"/>
      <c r="D29" s="61"/>
      <c r="E29" s="62"/>
      <c r="F29" s="3"/>
      <c r="G29" s="3"/>
      <c r="H29" s="3"/>
      <c r="I29" s="3"/>
      <c r="J29" s="3"/>
      <c r="K29" s="3"/>
      <c r="L29" s="3"/>
      <c r="M29" s="3"/>
      <c r="N29" s="47"/>
      <c r="O29" s="47"/>
      <c r="P29" s="47"/>
    </row>
    <row r="30" spans="1:16" ht="36" customHeight="1" x14ac:dyDescent="0.4">
      <c r="A30" s="459" t="s">
        <v>82</v>
      </c>
      <c r="B30" s="459"/>
      <c r="C30" s="459"/>
      <c r="D30" s="459"/>
      <c r="E30" s="459"/>
      <c r="F30" s="3"/>
      <c r="G30" s="3"/>
      <c r="H30" s="3"/>
      <c r="I30" s="3"/>
      <c r="J30" s="3"/>
      <c r="K30" s="3"/>
      <c r="L30" s="3"/>
      <c r="M30" s="3"/>
      <c r="N30" s="47"/>
      <c r="O30" s="47"/>
      <c r="P30" s="47"/>
    </row>
    <row r="31" spans="1:16" ht="36" customHeight="1" x14ac:dyDescent="0.4">
      <c r="A31" s="456" t="s">
        <v>427</v>
      </c>
      <c r="B31" s="456"/>
      <c r="C31" s="456"/>
      <c r="D31" s="456"/>
      <c r="E31" s="456"/>
      <c r="F31" s="3"/>
      <c r="G31" s="3"/>
      <c r="H31" s="3"/>
      <c r="I31" s="3"/>
      <c r="J31" s="3"/>
      <c r="K31" s="3"/>
      <c r="L31" s="3"/>
      <c r="M31" s="3"/>
      <c r="O31" s="47"/>
    </row>
    <row r="32" spans="1:16" ht="22.5" customHeight="1" x14ac:dyDescent="0.4">
      <c r="A32" s="457" t="s">
        <v>83</v>
      </c>
      <c r="B32" s="457"/>
      <c r="C32" s="457"/>
      <c r="D32" s="457"/>
      <c r="E32" s="457"/>
      <c r="F32" s="3"/>
      <c r="G32" s="3"/>
      <c r="H32" s="3"/>
      <c r="I32" s="3"/>
      <c r="J32" s="3"/>
      <c r="K32" s="3"/>
      <c r="L32" s="3"/>
      <c r="M32" s="3"/>
      <c r="N32" s="47"/>
      <c r="O32" s="47"/>
      <c r="P32" s="47"/>
    </row>
    <row r="33" spans="1:16" s="44" customFormat="1" ht="22.5" customHeight="1" x14ac:dyDescent="0.3">
      <c r="A33" s="107" t="s">
        <v>56</v>
      </c>
      <c r="B33" s="107" t="s">
        <v>57</v>
      </c>
      <c r="C33" s="108" t="s">
        <v>58</v>
      </c>
      <c r="D33" s="108" t="s">
        <v>59</v>
      </c>
      <c r="E33" s="109" t="s">
        <v>60</v>
      </c>
      <c r="F33" s="42"/>
      <c r="G33" s="42"/>
      <c r="H33" s="42"/>
      <c r="I33" s="42"/>
      <c r="J33" s="42"/>
      <c r="K33" s="42"/>
      <c r="L33" s="42"/>
      <c r="M33" s="42"/>
      <c r="N33" s="47"/>
      <c r="O33" s="47"/>
      <c r="P33" s="47"/>
    </row>
    <row r="34" spans="1:16" ht="14.25" customHeight="1" x14ac:dyDescent="0.4">
      <c r="A34" s="110">
        <v>4004004980</v>
      </c>
      <c r="B34" s="111" t="s">
        <v>428</v>
      </c>
      <c r="C34" s="282">
        <v>20450</v>
      </c>
      <c r="D34" s="69">
        <f>(OBSAH!$J$6/100)*Tabulka20101451[[#This Row],[Sloupec3]]</f>
        <v>0</v>
      </c>
      <c r="E34" s="70">
        <f>Tabulka20101451[[#This Row],[Sloupec3]]-Tabulka20101451[[#This Row],[Sloupec4]]</f>
        <v>20450</v>
      </c>
      <c r="F34" s="3"/>
      <c r="G34" s="3"/>
      <c r="H34" s="3"/>
      <c r="I34" s="3"/>
      <c r="J34" s="3"/>
      <c r="K34" s="3"/>
      <c r="L34" s="3"/>
      <c r="M34" s="3"/>
      <c r="N34" s="47"/>
      <c r="O34" s="47"/>
      <c r="P34" s="47"/>
    </row>
    <row r="35" spans="1:16" ht="14.25" customHeight="1" x14ac:dyDescent="0.4">
      <c r="A35" s="114">
        <v>4004004982</v>
      </c>
      <c r="B35" s="115" t="s">
        <v>429</v>
      </c>
      <c r="C35" s="283">
        <v>20541</v>
      </c>
      <c r="D35" s="71">
        <f>(OBSAH!$J$6/100)*Tabulka20101451[[#This Row],[Sloupec3]]</f>
        <v>0</v>
      </c>
      <c r="E35" s="57">
        <f>Tabulka20101451[[#This Row],[Sloupec3]]-Tabulka20101451[[#This Row],[Sloupec4]]</f>
        <v>20541</v>
      </c>
      <c r="F35" s="3"/>
      <c r="G35" s="3"/>
      <c r="H35" s="3"/>
      <c r="I35" s="3"/>
      <c r="J35" s="3"/>
      <c r="K35" s="3"/>
      <c r="L35" s="3"/>
      <c r="M35" s="3"/>
      <c r="O35" s="47"/>
    </row>
    <row r="36" spans="1:16" ht="14.25" customHeight="1" x14ac:dyDescent="0.4">
      <c r="A36" s="114">
        <v>4004004984</v>
      </c>
      <c r="B36" s="115" t="s">
        <v>430</v>
      </c>
      <c r="C36" s="283">
        <v>24514</v>
      </c>
      <c r="D36" s="71">
        <f>(OBSAH!$J$6/100)*Tabulka20101451[[#This Row],[Sloupec3]]</f>
        <v>0</v>
      </c>
      <c r="E36" s="57">
        <f>Tabulka20101451[[#This Row],[Sloupec3]]-Tabulka20101451[[#This Row],[Sloupec4]]</f>
        <v>24514</v>
      </c>
      <c r="F36" s="3"/>
      <c r="G36" s="3"/>
      <c r="H36" s="3"/>
      <c r="I36" s="3"/>
      <c r="J36" s="3"/>
      <c r="K36" s="3"/>
      <c r="L36" s="3"/>
      <c r="M36" s="3"/>
      <c r="N36" s="47"/>
      <c r="O36" s="47"/>
      <c r="P36" s="47"/>
    </row>
    <row r="37" spans="1:16" ht="14.25" customHeight="1" x14ac:dyDescent="0.4">
      <c r="A37" s="114">
        <v>4004004986</v>
      </c>
      <c r="B37" s="115" t="s">
        <v>431</v>
      </c>
      <c r="C37" s="283">
        <v>24578</v>
      </c>
      <c r="D37" s="71">
        <f>(OBSAH!$J$6/100)*Tabulka20101451[[#This Row],[Sloupec3]]</f>
        <v>0</v>
      </c>
      <c r="E37" s="57">
        <f>Tabulka20101451[[#This Row],[Sloupec3]]-Tabulka20101451[[#This Row],[Sloupec4]]</f>
        <v>24578</v>
      </c>
      <c r="F37" s="3"/>
      <c r="G37" s="3"/>
      <c r="H37" s="3"/>
      <c r="I37" s="3"/>
      <c r="J37" s="3"/>
      <c r="K37" s="3"/>
      <c r="L37" s="3"/>
      <c r="M37" s="3"/>
      <c r="N37" s="47"/>
      <c r="O37" s="47"/>
      <c r="P37" s="47"/>
    </row>
    <row r="38" spans="1:16" ht="14.25" customHeight="1" x14ac:dyDescent="0.4">
      <c r="A38" s="114">
        <v>4004004989</v>
      </c>
      <c r="B38" s="115" t="s">
        <v>432</v>
      </c>
      <c r="C38" s="283">
        <v>27953</v>
      </c>
      <c r="D38" s="71">
        <f>(OBSAH!$J$6/100)*Tabulka20101451[[#This Row],[Sloupec3]]</f>
        <v>0</v>
      </c>
      <c r="E38" s="57">
        <f>Tabulka20101451[[#This Row],[Sloupec3]]-Tabulka20101451[[#This Row],[Sloupec4]]</f>
        <v>27953</v>
      </c>
      <c r="F38" s="3"/>
      <c r="G38" s="3"/>
      <c r="H38" s="3"/>
      <c r="I38" s="3"/>
      <c r="J38" s="3"/>
      <c r="K38" s="3"/>
      <c r="L38" s="3"/>
      <c r="M38" s="3"/>
      <c r="N38" s="47"/>
      <c r="O38" s="47"/>
      <c r="P38" s="47"/>
    </row>
    <row r="39" spans="1:16" ht="14.25" customHeight="1" x14ac:dyDescent="0.4">
      <c r="A39" s="114">
        <v>4004004992</v>
      </c>
      <c r="B39" s="115" t="s">
        <v>433</v>
      </c>
      <c r="C39" s="283">
        <v>31966</v>
      </c>
      <c r="D39" s="71">
        <f>(OBSAH!$J$6/100)*Tabulka20101451[[#This Row],[Sloupec3]]</f>
        <v>0</v>
      </c>
      <c r="E39" s="57">
        <f>Tabulka20101451[[#This Row],[Sloupec3]]-Tabulka20101451[[#This Row],[Sloupec4]]</f>
        <v>31966</v>
      </c>
      <c r="F39" s="3"/>
      <c r="G39" s="3"/>
      <c r="H39" s="3"/>
      <c r="I39" s="3"/>
      <c r="J39" s="3"/>
      <c r="K39" s="3"/>
      <c r="L39" s="3"/>
      <c r="M39" s="3"/>
      <c r="N39" s="47"/>
      <c r="O39" s="47"/>
      <c r="P39" s="47"/>
    </row>
    <row r="40" spans="1:16" ht="14.25" customHeight="1" x14ac:dyDescent="0.4">
      <c r="A40" s="116">
        <v>4004004996</v>
      </c>
      <c r="B40" s="117" t="s">
        <v>434</v>
      </c>
      <c r="C40" s="284">
        <v>35467</v>
      </c>
      <c r="D40" s="68">
        <f>(OBSAH!$J$6/100)*Tabulka20101451[[#This Row],[Sloupec3]]</f>
        <v>0</v>
      </c>
      <c r="E40" s="58">
        <f>Tabulka20101451[[#This Row],[Sloupec3]]-Tabulka20101451[[#This Row],[Sloupec4]]</f>
        <v>35467</v>
      </c>
      <c r="F40" s="3"/>
      <c r="G40" s="3"/>
      <c r="H40" s="3"/>
      <c r="I40" s="3"/>
      <c r="J40" s="3"/>
      <c r="K40" s="3"/>
      <c r="L40" s="3"/>
      <c r="M40" s="3"/>
      <c r="N40" s="47"/>
      <c r="O40" s="47"/>
      <c r="P40" s="47"/>
    </row>
    <row r="41" spans="1:16" ht="15" customHeight="1" x14ac:dyDescent="0.4">
      <c r="A41" s="83"/>
      <c r="B41" s="84"/>
      <c r="C41" s="85"/>
      <c r="D41" s="61"/>
      <c r="E41" s="62"/>
      <c r="F41" s="3"/>
      <c r="G41" s="3"/>
      <c r="H41" s="3"/>
      <c r="I41" s="3"/>
      <c r="J41" s="3"/>
      <c r="K41" s="3"/>
      <c r="L41" s="3"/>
      <c r="M41" s="3"/>
      <c r="O41" s="47"/>
    </row>
    <row r="42" spans="1:16" ht="22.5" customHeight="1" x14ac:dyDescent="0.4">
      <c r="A42" s="458" t="s">
        <v>91</v>
      </c>
      <c r="B42" s="458"/>
      <c r="C42" s="458"/>
      <c r="D42" s="458"/>
      <c r="E42" s="458"/>
      <c r="F42" s="3"/>
      <c r="G42" s="3"/>
      <c r="H42" s="3"/>
      <c r="I42" s="3"/>
      <c r="J42" s="3"/>
      <c r="K42" s="3"/>
      <c r="L42" s="3"/>
      <c r="M42" s="3"/>
      <c r="O42" s="47"/>
    </row>
    <row r="43" spans="1:16" s="44" customFormat="1" ht="22.5" customHeight="1" x14ac:dyDescent="0.3">
      <c r="A43" s="107" t="s">
        <v>56</v>
      </c>
      <c r="B43" s="107" t="s">
        <v>57</v>
      </c>
      <c r="C43" s="108" t="s">
        <v>58</v>
      </c>
      <c r="D43" s="108" t="s">
        <v>59</v>
      </c>
      <c r="E43" s="109" t="s">
        <v>60</v>
      </c>
      <c r="F43" s="42"/>
      <c r="G43" s="42"/>
      <c r="H43" s="42"/>
      <c r="I43" s="42"/>
      <c r="J43" s="42"/>
      <c r="K43" s="42"/>
      <c r="L43" s="42"/>
      <c r="M43" s="42"/>
      <c r="O43" s="47"/>
    </row>
    <row r="44" spans="1:16" ht="14.25" customHeight="1" x14ac:dyDescent="0.4">
      <c r="A44" s="110">
        <v>4004005001</v>
      </c>
      <c r="B44" s="111" t="s">
        <v>435</v>
      </c>
      <c r="C44" s="282">
        <v>20890</v>
      </c>
      <c r="D44" s="69">
        <f>(OBSAH!$J$6/100)*Tabulka21111552[[#This Row],[Sloupec3]]</f>
        <v>0</v>
      </c>
      <c r="E44" s="70">
        <f>Tabulka21111552[[#This Row],[Sloupec3]]-Tabulka21111552[[#This Row],[Sloupec4]]</f>
        <v>20890</v>
      </c>
      <c r="F44" s="3"/>
      <c r="G44" s="3"/>
      <c r="H44" s="3"/>
      <c r="I44" s="3"/>
      <c r="J44" s="3"/>
      <c r="K44" s="3"/>
      <c r="L44" s="3"/>
      <c r="M44" s="3"/>
      <c r="O44" s="47"/>
    </row>
    <row r="45" spans="1:16" ht="14.25" customHeight="1" x14ac:dyDescent="0.4">
      <c r="A45" s="114">
        <v>4004005002</v>
      </c>
      <c r="B45" s="115" t="s">
        <v>436</v>
      </c>
      <c r="C45" s="283">
        <v>20981</v>
      </c>
      <c r="D45" s="71">
        <f>(OBSAH!$J$6/100)*Tabulka21111552[[#This Row],[Sloupec3]]</f>
        <v>0</v>
      </c>
      <c r="E45" s="57">
        <f>Tabulka21111552[[#This Row],[Sloupec3]]-Tabulka21111552[[#This Row],[Sloupec4]]</f>
        <v>20981</v>
      </c>
      <c r="F45" s="3"/>
      <c r="G45" s="3"/>
      <c r="H45" s="3"/>
      <c r="I45" s="3"/>
      <c r="J45" s="3"/>
      <c r="K45" s="3"/>
      <c r="L45" s="3"/>
      <c r="M45" s="3"/>
      <c r="O45" s="47"/>
    </row>
    <row r="46" spans="1:16" ht="14.25" customHeight="1" x14ac:dyDescent="0.4">
      <c r="A46" s="114">
        <v>4004005004</v>
      </c>
      <c r="B46" s="115" t="s">
        <v>437</v>
      </c>
      <c r="C46" s="283">
        <v>24956</v>
      </c>
      <c r="D46" s="71">
        <f>(OBSAH!$J$6/100)*Tabulka21111552[[#This Row],[Sloupec3]]</f>
        <v>0</v>
      </c>
      <c r="E46" s="57">
        <f>Tabulka21111552[[#This Row],[Sloupec3]]-Tabulka21111552[[#This Row],[Sloupec4]]</f>
        <v>24956</v>
      </c>
      <c r="F46" s="3"/>
      <c r="G46" s="3"/>
      <c r="H46" s="3"/>
      <c r="I46" s="3"/>
      <c r="J46" s="3"/>
      <c r="K46" s="3"/>
      <c r="L46" s="3"/>
      <c r="M46" s="3"/>
      <c r="O46" s="47"/>
    </row>
    <row r="47" spans="1:16" ht="14.25" customHeight="1" x14ac:dyDescent="0.4">
      <c r="A47" s="114">
        <v>4004005006</v>
      </c>
      <c r="B47" s="115" t="s">
        <v>438</v>
      </c>
      <c r="C47" s="283">
        <v>25018</v>
      </c>
      <c r="D47" s="71">
        <f>(OBSAH!$J$6/100)*Tabulka21111552[[#This Row],[Sloupec3]]</f>
        <v>0</v>
      </c>
      <c r="E47" s="57">
        <f>Tabulka21111552[[#This Row],[Sloupec3]]-Tabulka21111552[[#This Row],[Sloupec4]]</f>
        <v>25018</v>
      </c>
      <c r="F47" s="3"/>
      <c r="G47" s="3"/>
      <c r="H47" s="3"/>
      <c r="I47" s="3"/>
      <c r="J47" s="3"/>
      <c r="K47" s="3"/>
      <c r="L47" s="3"/>
      <c r="M47" s="3"/>
      <c r="O47" s="47"/>
    </row>
    <row r="48" spans="1:16" ht="14.25" customHeight="1" x14ac:dyDescent="0.4">
      <c r="A48" s="114">
        <v>4004005009</v>
      </c>
      <c r="B48" s="115" t="s">
        <v>439</v>
      </c>
      <c r="C48" s="283">
        <v>28395</v>
      </c>
      <c r="D48" s="71">
        <f>(OBSAH!$J$6/100)*Tabulka21111552[[#This Row],[Sloupec3]]</f>
        <v>0</v>
      </c>
      <c r="E48" s="57">
        <f>Tabulka21111552[[#This Row],[Sloupec3]]-Tabulka21111552[[#This Row],[Sloupec4]]</f>
        <v>28395</v>
      </c>
      <c r="F48" s="3"/>
      <c r="G48" s="3"/>
      <c r="H48" s="3"/>
      <c r="I48" s="3"/>
      <c r="J48" s="3"/>
      <c r="K48" s="3"/>
      <c r="L48" s="3"/>
      <c r="M48" s="3"/>
      <c r="O48" s="47"/>
    </row>
    <row r="49" spans="1:15" ht="14.25" customHeight="1" x14ac:dyDescent="0.4">
      <c r="A49" s="114">
        <v>4004005012</v>
      </c>
      <c r="B49" s="115" t="s">
        <v>440</v>
      </c>
      <c r="C49" s="283">
        <v>32406</v>
      </c>
      <c r="D49" s="71">
        <f>(OBSAH!$J$6/100)*Tabulka21111552[[#This Row],[Sloupec3]]</f>
        <v>0</v>
      </c>
      <c r="E49" s="57">
        <f>Tabulka21111552[[#This Row],[Sloupec3]]-Tabulka21111552[[#This Row],[Sloupec4]]</f>
        <v>32406</v>
      </c>
      <c r="F49" s="3"/>
      <c r="G49" s="3"/>
      <c r="H49" s="3"/>
      <c r="I49" s="3"/>
      <c r="J49" s="3"/>
      <c r="K49" s="3"/>
      <c r="L49" s="3"/>
      <c r="M49" s="3"/>
      <c r="O49" s="47"/>
    </row>
    <row r="50" spans="1:15" ht="14.25" customHeight="1" x14ac:dyDescent="0.4">
      <c r="A50" s="116">
        <v>4004005015</v>
      </c>
      <c r="B50" s="117" t="s">
        <v>441</v>
      </c>
      <c r="C50" s="284">
        <v>35909</v>
      </c>
      <c r="D50" s="68">
        <f>(OBSAH!$J$6/100)*Tabulka21111552[[#This Row],[Sloupec3]]</f>
        <v>0</v>
      </c>
      <c r="E50" s="58">
        <f>Tabulka21111552[[#This Row],[Sloupec3]]-Tabulka21111552[[#This Row],[Sloupec4]]</f>
        <v>35909</v>
      </c>
      <c r="F50" s="3"/>
      <c r="G50" s="3"/>
      <c r="H50" s="3"/>
      <c r="I50" s="3"/>
      <c r="J50" s="3"/>
      <c r="K50" s="3"/>
      <c r="L50" s="3"/>
      <c r="M50" s="3"/>
      <c r="O50" s="47"/>
    </row>
    <row r="51" spans="1:15" ht="15" customHeight="1" x14ac:dyDescent="0.4">
      <c r="A51" s="441" t="s">
        <v>120</v>
      </c>
      <c r="B51" s="441"/>
      <c r="C51" s="441"/>
      <c r="D51" s="441"/>
      <c r="E51" s="441"/>
      <c r="F51" s="3"/>
      <c r="G51" s="3"/>
      <c r="H51" s="3"/>
      <c r="I51" s="3"/>
      <c r="J51" s="3"/>
      <c r="K51" s="3"/>
      <c r="L51" s="3"/>
      <c r="M51" s="3"/>
      <c r="O51" s="47"/>
    </row>
    <row r="52" spans="1:15" ht="15" customHeight="1" x14ac:dyDescent="0.4">
      <c r="A52" s="38"/>
      <c r="B52" s="38"/>
      <c r="C52" s="38"/>
      <c r="D52" s="3"/>
      <c r="E52" s="3"/>
      <c r="F52" s="3"/>
      <c r="G52" s="3"/>
      <c r="H52" s="3"/>
      <c r="I52" s="3"/>
      <c r="J52" s="3"/>
      <c r="K52" s="3"/>
      <c r="L52" s="3"/>
      <c r="M52" s="3"/>
      <c r="O52" s="47"/>
    </row>
    <row r="53" spans="1:15" ht="15" customHeight="1" x14ac:dyDescent="0.4">
      <c r="A53" s="38"/>
      <c r="B53" s="38"/>
      <c r="C53" s="38"/>
      <c r="D53" s="3"/>
      <c r="E53" s="3"/>
      <c r="F53" s="3"/>
      <c r="G53" s="3"/>
      <c r="H53" s="3"/>
      <c r="I53" s="3"/>
      <c r="J53" s="3"/>
      <c r="K53" s="3"/>
      <c r="L53" s="3"/>
      <c r="M53" s="3"/>
      <c r="O53" s="47"/>
    </row>
    <row r="54" spans="1:15" ht="36" customHeight="1" x14ac:dyDescent="0.4">
      <c r="A54" s="459" t="s">
        <v>82</v>
      </c>
      <c r="B54" s="459"/>
      <c r="C54" s="459"/>
      <c r="D54" s="459"/>
      <c r="E54" s="459"/>
      <c r="F54" s="3"/>
      <c r="G54" s="3"/>
      <c r="H54" s="3"/>
      <c r="I54" s="3"/>
      <c r="J54" s="3"/>
      <c r="K54" s="3"/>
      <c r="L54" s="3"/>
      <c r="M54" s="3"/>
      <c r="O54" s="47"/>
    </row>
    <row r="55" spans="1:15" ht="36" customHeight="1" x14ac:dyDescent="0.4">
      <c r="A55" s="456" t="s">
        <v>442</v>
      </c>
      <c r="B55" s="456"/>
      <c r="C55" s="456"/>
      <c r="D55" s="456"/>
      <c r="E55" s="456"/>
      <c r="F55" s="3"/>
      <c r="G55" s="3"/>
      <c r="H55" s="3"/>
      <c r="I55" s="3"/>
      <c r="J55" s="3"/>
      <c r="K55" s="3"/>
      <c r="L55" s="3"/>
      <c r="M55" s="3"/>
      <c r="O55" s="47"/>
    </row>
    <row r="56" spans="1:15" ht="22.5" customHeight="1" x14ac:dyDescent="0.4">
      <c r="A56" s="457" t="s">
        <v>83</v>
      </c>
      <c r="B56" s="457"/>
      <c r="C56" s="457"/>
      <c r="D56" s="457"/>
      <c r="E56" s="457"/>
      <c r="F56" s="3"/>
      <c r="G56" s="3"/>
      <c r="H56" s="3"/>
      <c r="I56" s="3"/>
      <c r="J56" s="3"/>
      <c r="K56" s="3"/>
      <c r="L56" s="3"/>
      <c r="M56" s="3"/>
      <c r="O56" s="47"/>
    </row>
    <row r="57" spans="1:15" ht="22.5" customHeight="1" x14ac:dyDescent="0.4">
      <c r="A57" s="107" t="s">
        <v>56</v>
      </c>
      <c r="B57" s="107" t="s">
        <v>57</v>
      </c>
      <c r="C57" s="108" t="s">
        <v>58</v>
      </c>
      <c r="D57" s="108" t="s">
        <v>59</v>
      </c>
      <c r="E57" s="109" t="s">
        <v>60</v>
      </c>
      <c r="F57" s="3"/>
      <c r="G57" s="3"/>
      <c r="H57" s="3"/>
      <c r="I57" s="3"/>
      <c r="J57" s="3"/>
      <c r="K57" s="3"/>
      <c r="L57" s="3"/>
      <c r="M57" s="3"/>
      <c r="O57" s="47"/>
    </row>
    <row r="58" spans="1:15" ht="14.25" customHeight="1" x14ac:dyDescent="0.4">
      <c r="A58" s="110">
        <v>4004005578</v>
      </c>
      <c r="B58" s="111" t="s">
        <v>443</v>
      </c>
      <c r="C58" s="282">
        <v>20992</v>
      </c>
      <c r="D58" s="69">
        <f>(OBSAH!$J$6/100)*Tabulka201014516[[#This Row],[Sloupec3]]</f>
        <v>0</v>
      </c>
      <c r="E58" s="70">
        <f>Tabulka201014516[[#This Row],[Sloupec3]]-Tabulka201014516[[#This Row],[Sloupec4]]</f>
        <v>20992</v>
      </c>
      <c r="F58" s="3"/>
      <c r="G58" s="3"/>
      <c r="H58" s="3"/>
      <c r="I58" s="3"/>
      <c r="J58" s="3"/>
      <c r="K58" s="3"/>
      <c r="L58" s="3"/>
      <c r="M58" s="3"/>
      <c r="O58" s="47"/>
    </row>
    <row r="59" spans="1:15" ht="14.25" customHeight="1" x14ac:dyDescent="0.4">
      <c r="A59" s="114">
        <v>4004005579</v>
      </c>
      <c r="B59" s="115" t="s">
        <v>444</v>
      </c>
      <c r="C59" s="283">
        <v>21084</v>
      </c>
      <c r="D59" s="71">
        <f>(OBSAH!$J$6/100)*Tabulka201014516[[#This Row],[Sloupec3]]</f>
        <v>0</v>
      </c>
      <c r="E59" s="57">
        <f>Tabulka201014516[[#This Row],[Sloupec3]]-Tabulka201014516[[#This Row],[Sloupec4]]</f>
        <v>21084</v>
      </c>
      <c r="F59" s="3"/>
      <c r="G59" s="3"/>
      <c r="H59" s="3"/>
      <c r="I59" s="3"/>
      <c r="J59" s="3"/>
      <c r="K59" s="3"/>
      <c r="L59" s="3"/>
      <c r="M59" s="3"/>
      <c r="O59" s="47"/>
    </row>
    <row r="60" spans="1:15" ht="14.25" customHeight="1" x14ac:dyDescent="0.4">
      <c r="A60" s="114">
        <v>4004005580</v>
      </c>
      <c r="B60" s="115" t="s">
        <v>445</v>
      </c>
      <c r="C60" s="283">
        <v>25058</v>
      </c>
      <c r="D60" s="71">
        <f>(OBSAH!$J$6/100)*Tabulka201014516[[#This Row],[Sloupec3]]</f>
        <v>0</v>
      </c>
      <c r="E60" s="57">
        <f>Tabulka201014516[[#This Row],[Sloupec3]]-Tabulka201014516[[#This Row],[Sloupec4]]</f>
        <v>25058</v>
      </c>
      <c r="F60" s="3"/>
      <c r="G60" s="3"/>
      <c r="H60" s="3"/>
      <c r="I60" s="3"/>
      <c r="J60" s="3"/>
      <c r="K60" s="3"/>
      <c r="L60" s="3"/>
      <c r="M60" s="3"/>
      <c r="O60" s="47"/>
    </row>
    <row r="61" spans="1:15" ht="14.25" customHeight="1" x14ac:dyDescent="0.4">
      <c r="A61" s="114">
        <v>4004005581</v>
      </c>
      <c r="B61" s="115" t="s">
        <v>446</v>
      </c>
      <c r="C61" s="283">
        <v>25122</v>
      </c>
      <c r="D61" s="71">
        <f>(OBSAH!$J$6/100)*Tabulka201014516[[#This Row],[Sloupec3]]</f>
        <v>0</v>
      </c>
      <c r="E61" s="57">
        <f>Tabulka201014516[[#This Row],[Sloupec3]]-Tabulka201014516[[#This Row],[Sloupec4]]</f>
        <v>25122</v>
      </c>
      <c r="F61" s="3"/>
      <c r="G61" s="3"/>
      <c r="H61" s="3"/>
      <c r="I61" s="3"/>
      <c r="J61" s="3"/>
      <c r="K61" s="3"/>
      <c r="L61" s="3"/>
      <c r="M61" s="3"/>
      <c r="O61" s="47"/>
    </row>
    <row r="62" spans="1:15" ht="14.25" customHeight="1" x14ac:dyDescent="0.4">
      <c r="A62" s="114">
        <v>4004005582</v>
      </c>
      <c r="B62" s="115" t="s">
        <v>447</v>
      </c>
      <c r="C62" s="283">
        <v>28496</v>
      </c>
      <c r="D62" s="71">
        <f>(OBSAH!$J$6/100)*Tabulka201014516[[#This Row],[Sloupec3]]</f>
        <v>0</v>
      </c>
      <c r="E62" s="57">
        <f>Tabulka201014516[[#This Row],[Sloupec3]]-Tabulka201014516[[#This Row],[Sloupec4]]</f>
        <v>28496</v>
      </c>
      <c r="F62" s="3"/>
      <c r="G62" s="3"/>
      <c r="H62" s="3"/>
      <c r="I62" s="3"/>
      <c r="J62" s="3"/>
      <c r="K62" s="3"/>
      <c r="L62" s="3"/>
      <c r="M62" s="3"/>
      <c r="O62" s="47"/>
    </row>
    <row r="63" spans="1:15" ht="14.25" customHeight="1" x14ac:dyDescent="0.4">
      <c r="A63" s="114">
        <v>4004005583</v>
      </c>
      <c r="B63" s="115" t="s">
        <v>448</v>
      </c>
      <c r="C63" s="283">
        <v>32510</v>
      </c>
      <c r="D63" s="71">
        <f>(OBSAH!$J$6/100)*Tabulka201014516[[#This Row],[Sloupec3]]</f>
        <v>0</v>
      </c>
      <c r="E63" s="57">
        <f>Tabulka201014516[[#This Row],[Sloupec3]]-Tabulka201014516[[#This Row],[Sloupec4]]</f>
        <v>32510</v>
      </c>
      <c r="F63" s="3"/>
      <c r="G63" s="3"/>
      <c r="H63" s="3"/>
      <c r="I63" s="3"/>
      <c r="J63" s="3"/>
      <c r="K63" s="3"/>
      <c r="L63" s="3"/>
      <c r="M63" s="3"/>
      <c r="O63" s="47"/>
    </row>
    <row r="64" spans="1:15" ht="14.25" customHeight="1" x14ac:dyDescent="0.4">
      <c r="A64" s="116">
        <v>4004005584</v>
      </c>
      <c r="B64" s="117" t="s">
        <v>449</v>
      </c>
      <c r="C64" s="284">
        <v>36012</v>
      </c>
      <c r="D64" s="68">
        <f>(OBSAH!$J$6/100)*Tabulka201014516[[#This Row],[Sloupec3]]</f>
        <v>0</v>
      </c>
      <c r="E64" s="58">
        <f>Tabulka201014516[[#This Row],[Sloupec3]]-Tabulka201014516[[#This Row],[Sloupec4]]</f>
        <v>36012</v>
      </c>
      <c r="F64" s="3"/>
      <c r="G64" s="3"/>
      <c r="H64" s="3"/>
      <c r="I64" s="3"/>
      <c r="J64" s="3"/>
      <c r="K64" s="3"/>
      <c r="L64" s="3"/>
      <c r="M64" s="3"/>
      <c r="O64" s="47"/>
    </row>
    <row r="65" spans="1:15" ht="15" customHeight="1" x14ac:dyDescent="0.4">
      <c r="A65" s="83"/>
      <c r="B65" s="84"/>
      <c r="C65" s="85"/>
      <c r="D65" s="61"/>
      <c r="E65" s="62"/>
      <c r="F65" s="3"/>
      <c r="G65" s="3"/>
      <c r="H65" s="3"/>
      <c r="I65" s="3"/>
      <c r="J65" s="3"/>
      <c r="K65" s="3"/>
      <c r="L65" s="3"/>
      <c r="M65" s="3"/>
      <c r="O65" s="47"/>
    </row>
    <row r="66" spans="1:15" ht="22.5" customHeight="1" x14ac:dyDescent="0.4">
      <c r="A66" s="458" t="s">
        <v>91</v>
      </c>
      <c r="B66" s="458"/>
      <c r="C66" s="458"/>
      <c r="D66" s="458"/>
      <c r="E66" s="458"/>
      <c r="F66" s="3"/>
      <c r="G66" s="3"/>
      <c r="H66" s="3"/>
      <c r="I66" s="3"/>
      <c r="J66" s="3"/>
      <c r="K66" s="3"/>
      <c r="L66" s="3"/>
      <c r="M66" s="3"/>
      <c r="O66" s="47"/>
    </row>
    <row r="67" spans="1:15" ht="22.3" x14ac:dyDescent="0.4">
      <c r="A67" s="107" t="s">
        <v>56</v>
      </c>
      <c r="B67" s="107" t="s">
        <v>57</v>
      </c>
      <c r="C67" s="108" t="s">
        <v>58</v>
      </c>
      <c r="D67" s="108" t="s">
        <v>59</v>
      </c>
      <c r="E67" s="109" t="s">
        <v>60</v>
      </c>
      <c r="F67" s="3"/>
      <c r="G67" s="3"/>
      <c r="H67" s="3"/>
      <c r="I67" s="3"/>
      <c r="J67" s="3"/>
      <c r="K67" s="3"/>
      <c r="L67" s="3"/>
      <c r="M67" s="3"/>
      <c r="O67" s="47"/>
    </row>
    <row r="68" spans="1:15" ht="14.25" customHeight="1" x14ac:dyDescent="0.4">
      <c r="A68" s="110">
        <v>4004005585</v>
      </c>
      <c r="B68" s="111" t="s">
        <v>450</v>
      </c>
      <c r="C68" s="282">
        <v>21433</v>
      </c>
      <c r="D68" s="69">
        <f>(OBSAH!$J$6/100)*Tabulka211115527[[#This Row],[Sloupec3]]</f>
        <v>0</v>
      </c>
      <c r="E68" s="70">
        <f>Tabulka211115527[[#This Row],[Sloupec3]]-Tabulka211115527[[#This Row],[Sloupec4]]</f>
        <v>21433</v>
      </c>
      <c r="F68" s="3"/>
      <c r="G68" s="3"/>
      <c r="H68" s="3"/>
      <c r="I68" s="3"/>
      <c r="J68" s="3"/>
      <c r="K68" s="3"/>
      <c r="L68" s="3"/>
      <c r="M68" s="3"/>
      <c r="O68" s="47"/>
    </row>
    <row r="69" spans="1:15" ht="14.25" customHeight="1" x14ac:dyDescent="0.4">
      <c r="A69" s="114">
        <v>4004005586</v>
      </c>
      <c r="B69" s="115" t="s">
        <v>451</v>
      </c>
      <c r="C69" s="283">
        <v>21524</v>
      </c>
      <c r="D69" s="71">
        <f>(OBSAH!$J$6/100)*Tabulka211115527[[#This Row],[Sloupec3]]</f>
        <v>0</v>
      </c>
      <c r="E69" s="57">
        <f>Tabulka211115527[[#This Row],[Sloupec3]]-Tabulka211115527[[#This Row],[Sloupec4]]</f>
        <v>21524</v>
      </c>
      <c r="F69" s="3"/>
      <c r="G69" s="3"/>
      <c r="H69" s="3"/>
      <c r="I69" s="3"/>
      <c r="J69" s="3"/>
      <c r="K69" s="3"/>
      <c r="L69" s="3"/>
      <c r="M69" s="3"/>
      <c r="O69" s="47"/>
    </row>
    <row r="70" spans="1:15" ht="14.25" customHeight="1" x14ac:dyDescent="0.4">
      <c r="A70" s="114">
        <v>4004005587</v>
      </c>
      <c r="B70" s="115" t="s">
        <v>452</v>
      </c>
      <c r="C70" s="283">
        <v>25499</v>
      </c>
      <c r="D70" s="71">
        <f>(OBSAH!$J$6/100)*Tabulka211115527[[#This Row],[Sloupec3]]</f>
        <v>0</v>
      </c>
      <c r="E70" s="57">
        <f>Tabulka211115527[[#This Row],[Sloupec3]]-Tabulka211115527[[#This Row],[Sloupec4]]</f>
        <v>25499</v>
      </c>
      <c r="F70" s="3"/>
      <c r="G70" s="3"/>
      <c r="H70" s="3"/>
      <c r="I70" s="3"/>
      <c r="J70" s="3"/>
      <c r="K70" s="3"/>
      <c r="L70" s="3"/>
      <c r="M70" s="3"/>
      <c r="O70" s="47"/>
    </row>
    <row r="71" spans="1:15" ht="14.25" customHeight="1" x14ac:dyDescent="0.4">
      <c r="A71" s="114">
        <v>4004005588</v>
      </c>
      <c r="B71" s="115" t="s">
        <v>453</v>
      </c>
      <c r="C71" s="283">
        <v>25562</v>
      </c>
      <c r="D71" s="71">
        <f>(OBSAH!$J$6/100)*Tabulka211115527[[#This Row],[Sloupec3]]</f>
        <v>0</v>
      </c>
      <c r="E71" s="57">
        <f>Tabulka211115527[[#This Row],[Sloupec3]]-Tabulka211115527[[#This Row],[Sloupec4]]</f>
        <v>25562</v>
      </c>
      <c r="F71" s="3"/>
      <c r="G71" s="3"/>
      <c r="H71" s="3"/>
      <c r="I71" s="3"/>
      <c r="J71" s="3"/>
      <c r="K71" s="3"/>
      <c r="L71" s="3"/>
      <c r="M71" s="3"/>
      <c r="O71" s="47"/>
    </row>
    <row r="72" spans="1:15" ht="14.25" customHeight="1" x14ac:dyDescent="0.4">
      <c r="A72" s="114">
        <v>4004005589</v>
      </c>
      <c r="B72" s="115" t="s">
        <v>454</v>
      </c>
      <c r="C72" s="283">
        <v>28938</v>
      </c>
      <c r="D72" s="71">
        <f>(OBSAH!$J$6/100)*Tabulka211115527[[#This Row],[Sloupec3]]</f>
        <v>0</v>
      </c>
      <c r="E72" s="57">
        <f>Tabulka211115527[[#This Row],[Sloupec3]]-Tabulka211115527[[#This Row],[Sloupec4]]</f>
        <v>28938</v>
      </c>
      <c r="F72" s="3"/>
      <c r="G72" s="3"/>
      <c r="H72" s="3"/>
      <c r="I72" s="3"/>
      <c r="J72" s="3"/>
      <c r="K72" s="3"/>
      <c r="L72" s="3"/>
      <c r="M72" s="3"/>
      <c r="O72" s="47"/>
    </row>
    <row r="73" spans="1:15" ht="14.25" customHeight="1" x14ac:dyDescent="0.4">
      <c r="A73" s="114">
        <v>4004005590</v>
      </c>
      <c r="B73" s="115" t="s">
        <v>455</v>
      </c>
      <c r="C73" s="283">
        <v>32949</v>
      </c>
      <c r="D73" s="71">
        <f>(OBSAH!$J$6/100)*Tabulka211115527[[#This Row],[Sloupec3]]</f>
        <v>0</v>
      </c>
      <c r="E73" s="57">
        <f>Tabulka211115527[[#This Row],[Sloupec3]]-Tabulka211115527[[#This Row],[Sloupec4]]</f>
        <v>32949</v>
      </c>
      <c r="F73" s="3"/>
      <c r="G73" s="3"/>
      <c r="H73" s="3"/>
      <c r="I73" s="3"/>
      <c r="J73" s="3"/>
      <c r="K73" s="3"/>
      <c r="L73" s="3"/>
      <c r="M73" s="3"/>
      <c r="O73" s="47"/>
    </row>
    <row r="74" spans="1:15" ht="14.25" customHeight="1" x14ac:dyDescent="0.4">
      <c r="A74" s="116">
        <v>4004005591</v>
      </c>
      <c r="B74" s="117" t="s">
        <v>456</v>
      </c>
      <c r="C74" s="284">
        <v>36453</v>
      </c>
      <c r="D74" s="68">
        <f>(OBSAH!$J$6/100)*Tabulka211115527[[#This Row],[Sloupec3]]</f>
        <v>0</v>
      </c>
      <c r="E74" s="58">
        <f>Tabulka211115527[[#This Row],[Sloupec3]]-Tabulka211115527[[#This Row],[Sloupec4]]</f>
        <v>36453</v>
      </c>
      <c r="F74" s="3"/>
      <c r="G74" s="3"/>
      <c r="H74" s="3"/>
      <c r="I74" s="3"/>
      <c r="J74" s="3"/>
      <c r="K74" s="3"/>
      <c r="L74" s="3"/>
      <c r="M74" s="3"/>
      <c r="O74" s="47"/>
    </row>
    <row r="75" spans="1:15" ht="15" customHeight="1" x14ac:dyDescent="0.4">
      <c r="A75" s="441" t="s">
        <v>457</v>
      </c>
      <c r="B75" s="441"/>
      <c r="C75" s="441"/>
      <c r="D75" s="441"/>
      <c r="E75" s="441"/>
      <c r="F75" s="3"/>
      <c r="G75" s="3"/>
      <c r="H75" s="3"/>
      <c r="I75" s="3"/>
      <c r="J75" s="3"/>
      <c r="K75" s="3"/>
      <c r="L75" s="3"/>
      <c r="M75" s="3"/>
    </row>
    <row r="76" spans="1:15" ht="15" customHeight="1" x14ac:dyDescent="0.4">
      <c r="A76" s="38"/>
      <c r="B76" s="38"/>
      <c r="C76" s="38"/>
      <c r="D76" s="3"/>
      <c r="E76" s="3"/>
      <c r="F76" s="3"/>
      <c r="G76" s="3"/>
      <c r="H76" s="3"/>
      <c r="I76" s="3"/>
      <c r="J76" s="3"/>
      <c r="K76" s="3"/>
      <c r="L76" s="3"/>
      <c r="M76" s="3"/>
    </row>
  </sheetData>
  <mergeCells count="30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18:E18"/>
    <mergeCell ref="G24:L24"/>
    <mergeCell ref="G25:L25"/>
    <mergeCell ref="G26:L26"/>
    <mergeCell ref="G27:L27"/>
    <mergeCell ref="A30:E30"/>
    <mergeCell ref="A55:E55"/>
    <mergeCell ref="A56:E56"/>
    <mergeCell ref="A66:E66"/>
    <mergeCell ref="A75:E75"/>
    <mergeCell ref="A31:E31"/>
    <mergeCell ref="A32:E32"/>
    <mergeCell ref="A42:E42"/>
    <mergeCell ref="A51:E51"/>
    <mergeCell ref="A54:E54"/>
  </mergeCells>
  <hyperlinks>
    <hyperlink ref="F2" location="OBSAH!I128" display="PŘEJÍT NA UPOZORNĚNÍ" xr:uid="{00000000-0004-0000-0400-000000000000}"/>
    <hyperlink ref="A51" location="'PŘÍSTUPOVÉ SYSTÉMY'!A67" display="ODKAZ NA ČIPY RFID 125kHz" xr:uid="{00000000-0004-0000-0400-000001000000}"/>
    <hyperlink ref="A75" location="'PŘÍSTUPOVÉ SYSTÉMY'!A69" display="ODKAZ NA ČIPY MIFARE" xr:uid="{00000000-0004-0000-0400-000002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58ED5"/>
  </sheetPr>
  <dimension ref="A1:AMK224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454"/>
      <c r="G3" s="454"/>
      <c r="H3" s="454"/>
      <c r="I3" s="454"/>
      <c r="J3" s="454"/>
      <c r="K3" s="454"/>
      <c r="L3" s="454"/>
      <c r="M3" s="454"/>
    </row>
    <row r="4" spans="1:14" ht="15" customHeight="1" x14ac:dyDescent="0.55000000000000004">
      <c r="A4" s="450"/>
      <c r="B4" s="450"/>
      <c r="C4" s="450"/>
      <c r="D4" s="450"/>
      <c r="E4" s="450"/>
      <c r="F4" s="451"/>
      <c r="G4" s="451"/>
      <c r="H4" s="451"/>
      <c r="I4" s="451"/>
      <c r="J4" s="452"/>
      <c r="K4" s="452"/>
      <c r="L4" s="452"/>
      <c r="M4" s="452"/>
    </row>
    <row r="5" spans="1:14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4" ht="54.75" customHeight="1" x14ac:dyDescent="0.4">
      <c r="A6" s="462" t="s">
        <v>412</v>
      </c>
      <c r="B6" s="462"/>
      <c r="C6" s="462"/>
      <c r="D6" s="462"/>
      <c r="E6" s="462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60" t="s">
        <v>152</v>
      </c>
      <c r="B7" s="460"/>
      <c r="C7" s="460"/>
      <c r="D7" s="460"/>
      <c r="E7" s="460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57" t="s">
        <v>83</v>
      </c>
      <c r="B8" s="457"/>
      <c r="C8" s="457"/>
      <c r="D8" s="457"/>
      <c r="E8" s="457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118" t="s">
        <v>56</v>
      </c>
      <c r="B9" s="118" t="s">
        <v>57</v>
      </c>
      <c r="C9" s="119" t="s">
        <v>58</v>
      </c>
      <c r="D9" s="119" t="s">
        <v>59</v>
      </c>
      <c r="E9" s="120" t="s">
        <v>60</v>
      </c>
      <c r="F9" s="42"/>
      <c r="G9" s="433"/>
      <c r="H9" s="433"/>
      <c r="I9" s="433"/>
      <c r="J9" s="433"/>
      <c r="K9" s="433"/>
      <c r="L9" s="433"/>
      <c r="M9" s="42"/>
    </row>
    <row r="10" spans="1:14" ht="14.25" customHeight="1" x14ac:dyDescent="0.4">
      <c r="A10" s="98">
        <v>4004005073</v>
      </c>
      <c r="B10" s="207" t="s">
        <v>458</v>
      </c>
      <c r="C10" s="307">
        <v>9306</v>
      </c>
      <c r="D10" s="69">
        <f>(OBSAH!$J$6/100)*Tabulka20107953[[#This Row],[Sloupec3]]</f>
        <v>0</v>
      </c>
      <c r="E10" s="70">
        <f>Tabulka20107953[[#This Row],[Sloupec3]]-Tabulka20107953[[#This Row],[Sloupec4]]</f>
        <v>9306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100">
        <v>4004005074</v>
      </c>
      <c r="B11" s="121" t="s">
        <v>459</v>
      </c>
      <c r="C11" s="308">
        <v>9574</v>
      </c>
      <c r="D11" s="71">
        <f>(OBSAH!$J$6/100)*Tabulka20107953[[#This Row],[Sloupec3]]</f>
        <v>0</v>
      </c>
      <c r="E11" s="57">
        <f>Tabulka20107953[[#This Row],[Sloupec3]]-Tabulka20107953[[#This Row],[Sloupec4]]</f>
        <v>9574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100">
        <v>4004005075</v>
      </c>
      <c r="B12" s="121" t="s">
        <v>460</v>
      </c>
      <c r="C12" s="308">
        <v>9784</v>
      </c>
      <c r="D12" s="71">
        <f>(OBSAH!$J$6/100)*Tabulka20107953[[#This Row],[Sloupec3]]</f>
        <v>0</v>
      </c>
      <c r="E12" s="57">
        <f>Tabulka20107953[[#This Row],[Sloupec3]]-Tabulka20107953[[#This Row],[Sloupec4]]</f>
        <v>9784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100">
        <v>4004005145</v>
      </c>
      <c r="B13" s="121" t="s">
        <v>461</v>
      </c>
      <c r="C13" s="308">
        <v>11902</v>
      </c>
      <c r="D13" s="71">
        <f>(OBSAH!$J$6/100)*Tabulka20107953[[#This Row],[Sloupec3]]</f>
        <v>0</v>
      </c>
      <c r="E13" s="57">
        <f>Tabulka20107953[[#This Row],[Sloupec3]]-Tabulka20107953[[#This Row],[Sloupec4]]</f>
        <v>11902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100">
        <v>4004005016</v>
      </c>
      <c r="B14" s="121" t="s">
        <v>462</v>
      </c>
      <c r="C14" s="308">
        <v>12602</v>
      </c>
      <c r="D14" s="71">
        <f>(OBSAH!$J$6/100)*Tabulka20107953[[#This Row],[Sloupec3]]</f>
        <v>0</v>
      </c>
      <c r="E14" s="57">
        <f>Tabulka20107953[[#This Row],[Sloupec3]]-Tabulka20107953[[#This Row],[Sloupec4]]</f>
        <v>12602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100">
        <v>4004004956</v>
      </c>
      <c r="B15" s="121" t="s">
        <v>463</v>
      </c>
      <c r="C15" s="308">
        <v>12743</v>
      </c>
      <c r="D15" s="71">
        <f>(OBSAH!$J$6/100)*Tabulka20107953[[#This Row],[Sloupec3]]</f>
        <v>0</v>
      </c>
      <c r="E15" s="57">
        <f>Tabulka20107953[[#This Row],[Sloupec3]]-Tabulka20107953[[#This Row],[Sloupec4]]</f>
        <v>12743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100">
        <v>4004005019</v>
      </c>
      <c r="B16" s="121" t="s">
        <v>464</v>
      </c>
      <c r="C16" s="308">
        <v>12857</v>
      </c>
      <c r="D16" s="71">
        <f>(OBSAH!$J$6/100)*Tabulka20107953[[#This Row],[Sloupec3]]</f>
        <v>0</v>
      </c>
      <c r="E16" s="57">
        <f>Tabulka20107953[[#This Row],[Sloupec3]]-Tabulka20107953[[#This Row],[Sloupec4]]</f>
        <v>12857</v>
      </c>
      <c r="F16" s="3"/>
      <c r="G16" s="3"/>
      <c r="H16" s="3"/>
      <c r="I16" s="3"/>
      <c r="J16" s="3"/>
      <c r="K16" s="3"/>
      <c r="L16" s="3"/>
      <c r="M16" s="3"/>
    </row>
    <row r="17" spans="1:13" ht="14.25" customHeight="1" x14ac:dyDescent="0.4">
      <c r="A17" s="100">
        <v>4004005021</v>
      </c>
      <c r="B17" s="121" t="s">
        <v>465</v>
      </c>
      <c r="C17" s="308">
        <v>13069</v>
      </c>
      <c r="D17" s="71">
        <f>(OBSAH!$J$6/100)*Tabulka20107953[[#This Row],[Sloupec3]]</f>
        <v>0</v>
      </c>
      <c r="E17" s="57">
        <f>Tabulka20107953[[#This Row],[Sloupec3]]-Tabulka20107953[[#This Row],[Sloupec4]]</f>
        <v>13069</v>
      </c>
      <c r="F17" s="3"/>
      <c r="G17" s="3"/>
      <c r="H17" s="3"/>
      <c r="I17" s="3"/>
      <c r="J17" s="3"/>
      <c r="K17" s="3"/>
      <c r="L17" s="3"/>
      <c r="M17" s="3"/>
    </row>
    <row r="18" spans="1:13" ht="14.25" customHeight="1" x14ac:dyDescent="0.4">
      <c r="A18" s="100">
        <v>4004005023</v>
      </c>
      <c r="B18" s="121" t="s">
        <v>466</v>
      </c>
      <c r="C18" s="308">
        <v>17202</v>
      </c>
      <c r="D18" s="71">
        <f>(OBSAH!$J$6/100)*Tabulka20107953[[#This Row],[Sloupec3]]</f>
        <v>0</v>
      </c>
      <c r="E18" s="57">
        <f>Tabulka20107953[[#This Row],[Sloupec3]]-Tabulka20107953[[#This Row],[Sloupec4]]</f>
        <v>17202</v>
      </c>
      <c r="F18" s="3"/>
      <c r="G18" s="3"/>
      <c r="H18" s="3"/>
      <c r="I18" s="3"/>
      <c r="J18" s="3"/>
      <c r="K18" s="3"/>
      <c r="L18" s="3"/>
      <c r="M18" s="3"/>
    </row>
    <row r="19" spans="1:13" ht="14.25" customHeight="1" x14ac:dyDescent="0.4">
      <c r="A19" s="100">
        <v>4004005026</v>
      </c>
      <c r="B19" s="121" t="s">
        <v>467</v>
      </c>
      <c r="C19" s="308">
        <v>17414</v>
      </c>
      <c r="D19" s="71">
        <f>(OBSAH!$J$6/100)*Tabulka20107953[[#This Row],[Sloupec3]]</f>
        <v>0</v>
      </c>
      <c r="E19" s="57">
        <f>Tabulka20107953[[#This Row],[Sloupec3]]-Tabulka20107953[[#This Row],[Sloupec4]]</f>
        <v>17414</v>
      </c>
      <c r="F19" s="3"/>
      <c r="G19" s="3"/>
      <c r="H19" s="3"/>
      <c r="I19" s="3"/>
      <c r="J19" s="3"/>
      <c r="K19" s="3"/>
      <c r="L19" s="3"/>
      <c r="M19" s="3"/>
    </row>
    <row r="20" spans="1:13" ht="14.25" customHeight="1" x14ac:dyDescent="0.4">
      <c r="A20" s="100">
        <v>4004005027</v>
      </c>
      <c r="B20" s="121" t="s">
        <v>468</v>
      </c>
      <c r="C20" s="308">
        <v>17483</v>
      </c>
      <c r="D20" s="71">
        <f>(OBSAH!$J$6/100)*Tabulka20107953[[#This Row],[Sloupec3]]</f>
        <v>0</v>
      </c>
      <c r="E20" s="57">
        <f>Tabulka20107953[[#This Row],[Sloupec3]]-Tabulka20107953[[#This Row],[Sloupec4]]</f>
        <v>17483</v>
      </c>
      <c r="F20" s="3"/>
      <c r="G20" s="448"/>
      <c r="H20" s="448"/>
      <c r="I20" s="448"/>
      <c r="J20" s="448"/>
      <c r="K20" s="448"/>
      <c r="L20" s="448"/>
      <c r="M20" s="3"/>
    </row>
    <row r="21" spans="1:13" ht="14.25" customHeight="1" x14ac:dyDescent="0.4">
      <c r="A21" s="100">
        <v>4004005029</v>
      </c>
      <c r="B21" s="121" t="s">
        <v>469</v>
      </c>
      <c r="C21" s="308">
        <v>17597</v>
      </c>
      <c r="D21" s="71">
        <f>(OBSAH!$J$6/100)*Tabulka20107953[[#This Row],[Sloupec3]]</f>
        <v>0</v>
      </c>
      <c r="E21" s="57">
        <f>Tabulka20107953[[#This Row],[Sloupec3]]-Tabulka20107953[[#This Row],[Sloupec4]]</f>
        <v>17597</v>
      </c>
      <c r="F21" s="3"/>
      <c r="G21" s="430"/>
      <c r="H21" s="430"/>
      <c r="I21" s="430"/>
      <c r="J21" s="430"/>
      <c r="K21" s="430"/>
      <c r="L21" s="430"/>
      <c r="M21" s="3"/>
    </row>
    <row r="22" spans="1:13" ht="14.25" customHeight="1" x14ac:dyDescent="0.4">
      <c r="A22" s="100">
        <v>4004005031</v>
      </c>
      <c r="B22" s="121" t="s">
        <v>470</v>
      </c>
      <c r="C22" s="308">
        <v>17653</v>
      </c>
      <c r="D22" s="71">
        <f>(OBSAH!$J$6/100)*Tabulka20107953[[#This Row],[Sloupec3]]</f>
        <v>0</v>
      </c>
      <c r="E22" s="57">
        <f>Tabulka20107953[[#This Row],[Sloupec3]]-Tabulka20107953[[#This Row],[Sloupec4]]</f>
        <v>17653</v>
      </c>
      <c r="F22" s="3"/>
      <c r="G22" s="448"/>
      <c r="H22" s="448"/>
      <c r="I22" s="448"/>
      <c r="J22" s="448"/>
      <c r="K22" s="448"/>
      <c r="L22" s="448"/>
      <c r="M22" s="3"/>
    </row>
    <row r="23" spans="1:13" ht="14.25" customHeight="1" x14ac:dyDescent="0.4">
      <c r="A23" s="100">
        <v>4004005033</v>
      </c>
      <c r="B23" s="121" t="s">
        <v>471</v>
      </c>
      <c r="C23" s="308">
        <v>20808</v>
      </c>
      <c r="D23" s="71">
        <f>(OBSAH!$J$6/100)*Tabulka20107953[[#This Row],[Sloupec3]]</f>
        <v>0</v>
      </c>
      <c r="E23" s="57">
        <f>Tabulka20107953[[#This Row],[Sloupec3]]-Tabulka20107953[[#This Row],[Sloupec4]]</f>
        <v>20808</v>
      </c>
      <c r="F23" s="3"/>
      <c r="G23" s="430"/>
      <c r="H23" s="430"/>
      <c r="I23" s="430"/>
      <c r="J23" s="430"/>
      <c r="K23" s="430"/>
      <c r="L23" s="430"/>
      <c r="M23" s="3"/>
    </row>
    <row r="24" spans="1:13" ht="14.25" customHeight="1" x14ac:dyDescent="0.4">
      <c r="A24" s="100">
        <v>4004005035</v>
      </c>
      <c r="B24" s="121" t="s">
        <v>472</v>
      </c>
      <c r="C24" s="308">
        <v>21075</v>
      </c>
      <c r="D24" s="71">
        <f>(OBSAH!$J$6/100)*Tabulka20107953[[#This Row],[Sloupec3]]</f>
        <v>0</v>
      </c>
      <c r="E24" s="57">
        <f>Tabulka20107953[[#This Row],[Sloupec3]]-Tabulka20107953[[#This Row],[Sloupec4]]</f>
        <v>21075</v>
      </c>
      <c r="F24" s="3"/>
      <c r="G24" s="3"/>
      <c r="H24" s="3"/>
      <c r="I24" s="3"/>
      <c r="J24" s="3"/>
      <c r="K24" s="3"/>
      <c r="L24" s="3"/>
      <c r="M24" s="3"/>
    </row>
    <row r="25" spans="1:13" ht="14.25" customHeight="1" x14ac:dyDescent="0.4">
      <c r="A25" s="100">
        <v>4004005037</v>
      </c>
      <c r="B25" s="121" t="s">
        <v>473</v>
      </c>
      <c r="C25" s="308">
        <v>21217</v>
      </c>
      <c r="D25" s="71">
        <f>(OBSAH!$J$6/100)*Tabulka20107953[[#This Row],[Sloupec3]]</f>
        <v>0</v>
      </c>
      <c r="E25" s="57">
        <f>Tabulka20107953[[#This Row],[Sloupec3]]-Tabulka20107953[[#This Row],[Sloupec4]]</f>
        <v>21217</v>
      </c>
      <c r="F25" s="3"/>
      <c r="G25" s="3"/>
      <c r="H25" s="3"/>
      <c r="I25" s="3"/>
      <c r="J25" s="3"/>
      <c r="K25" s="3"/>
      <c r="L25" s="3"/>
      <c r="M25" s="3"/>
    </row>
    <row r="26" spans="1:13" ht="14.25" customHeight="1" x14ac:dyDescent="0.4">
      <c r="A26" s="100">
        <v>4004005039</v>
      </c>
      <c r="B26" s="121" t="s">
        <v>474</v>
      </c>
      <c r="C26" s="308">
        <v>21331</v>
      </c>
      <c r="D26" s="71">
        <f>(OBSAH!$J$6/100)*Tabulka20107953[[#This Row],[Sloupec3]]</f>
        <v>0</v>
      </c>
      <c r="E26" s="57">
        <f>Tabulka20107953[[#This Row],[Sloupec3]]-Tabulka20107953[[#This Row],[Sloupec4]]</f>
        <v>21331</v>
      </c>
      <c r="F26" s="3"/>
      <c r="G26" s="3"/>
      <c r="H26" s="3"/>
      <c r="I26" s="3"/>
      <c r="J26" s="3"/>
      <c r="K26" s="3"/>
      <c r="L26" s="3"/>
      <c r="M26" s="3"/>
    </row>
    <row r="27" spans="1:13" ht="14.25" customHeight="1" x14ac:dyDescent="0.4">
      <c r="A27" s="100">
        <v>4004005041</v>
      </c>
      <c r="B27" s="121" t="s">
        <v>475</v>
      </c>
      <c r="C27" s="308">
        <v>21540</v>
      </c>
      <c r="D27" s="71">
        <f>(OBSAH!$J$6/100)*Tabulka20107953[[#This Row],[Sloupec3]]</f>
        <v>0</v>
      </c>
      <c r="E27" s="57">
        <f>Tabulka20107953[[#This Row],[Sloupec3]]-Tabulka20107953[[#This Row],[Sloupec4]]</f>
        <v>21540</v>
      </c>
      <c r="F27" s="3"/>
      <c r="G27" s="3"/>
      <c r="H27" s="3"/>
      <c r="I27" s="3"/>
      <c r="J27" s="3"/>
      <c r="K27" s="3"/>
      <c r="L27" s="3"/>
      <c r="M27" s="3"/>
    </row>
    <row r="28" spans="1:13" ht="14.25" customHeight="1" x14ac:dyDescent="0.4">
      <c r="A28" s="100">
        <v>4004005043</v>
      </c>
      <c r="B28" s="121" t="s">
        <v>476</v>
      </c>
      <c r="C28" s="308">
        <v>25392</v>
      </c>
      <c r="D28" s="71">
        <f>(OBSAH!$J$6/100)*Tabulka20107953[[#This Row],[Sloupec3]]</f>
        <v>0</v>
      </c>
      <c r="E28" s="57">
        <f>Tabulka20107953[[#This Row],[Sloupec3]]-Tabulka20107953[[#This Row],[Sloupec4]]</f>
        <v>25392</v>
      </c>
      <c r="F28" s="3"/>
      <c r="G28" s="3"/>
      <c r="H28" s="3"/>
      <c r="I28" s="3"/>
      <c r="J28" s="3"/>
      <c r="K28" s="3"/>
      <c r="L28" s="3"/>
      <c r="M28" s="3"/>
    </row>
    <row r="29" spans="1:13" ht="14.25" customHeight="1" x14ac:dyDescent="0.4">
      <c r="A29" s="100">
        <v>4004005046</v>
      </c>
      <c r="B29" s="121" t="s">
        <v>477</v>
      </c>
      <c r="C29" s="308">
        <v>25658</v>
      </c>
      <c r="D29" s="71">
        <f>(OBSAH!$J$6/100)*Tabulka20107953[[#This Row],[Sloupec3]]</f>
        <v>0</v>
      </c>
      <c r="E29" s="57">
        <f>Tabulka20107953[[#This Row],[Sloupec3]]-Tabulka20107953[[#This Row],[Sloupec4]]</f>
        <v>25658</v>
      </c>
      <c r="F29" s="3"/>
      <c r="G29" s="3"/>
      <c r="H29" s="3"/>
      <c r="I29" s="3"/>
      <c r="J29" s="3"/>
      <c r="K29" s="3"/>
      <c r="L29" s="3"/>
      <c r="M29" s="3"/>
    </row>
    <row r="30" spans="1:13" ht="14.25" customHeight="1" x14ac:dyDescent="0.4">
      <c r="A30" s="100">
        <v>4004005048</v>
      </c>
      <c r="B30" s="121" t="s">
        <v>478</v>
      </c>
      <c r="C30" s="308">
        <v>25774</v>
      </c>
      <c r="D30" s="71">
        <f>(OBSAH!$J$6/100)*Tabulka20107953[[#This Row],[Sloupec3]]</f>
        <v>0</v>
      </c>
      <c r="E30" s="57">
        <f>Tabulka20107953[[#This Row],[Sloupec3]]-Tabulka20107953[[#This Row],[Sloupec4]]</f>
        <v>25774</v>
      </c>
      <c r="F30" s="3"/>
      <c r="G30" s="3"/>
      <c r="H30" s="3"/>
      <c r="I30" s="3"/>
      <c r="J30" s="3"/>
      <c r="K30" s="3"/>
      <c r="L30" s="3"/>
      <c r="M30" s="3"/>
    </row>
    <row r="31" spans="1:13" ht="14.25" customHeight="1" x14ac:dyDescent="0.4">
      <c r="A31" s="100">
        <v>4004005050</v>
      </c>
      <c r="B31" s="121" t="s">
        <v>479</v>
      </c>
      <c r="C31" s="308">
        <v>25886</v>
      </c>
      <c r="D31" s="71">
        <f>(OBSAH!$J$6/100)*Tabulka20107953[[#This Row],[Sloupec3]]</f>
        <v>0</v>
      </c>
      <c r="E31" s="57">
        <f>Tabulka20107953[[#This Row],[Sloupec3]]-Tabulka20107953[[#This Row],[Sloupec4]]</f>
        <v>25886</v>
      </c>
      <c r="F31" s="3"/>
      <c r="G31" s="3"/>
      <c r="H31" s="3"/>
      <c r="I31" s="3"/>
      <c r="J31" s="3"/>
      <c r="K31" s="3"/>
      <c r="L31" s="3"/>
      <c r="M31" s="3"/>
    </row>
    <row r="32" spans="1:13" ht="14.25" customHeight="1" x14ac:dyDescent="0.4">
      <c r="A32" s="100">
        <v>4004005052</v>
      </c>
      <c r="B32" s="121" t="s">
        <v>480</v>
      </c>
      <c r="C32" s="308">
        <v>26096</v>
      </c>
      <c r="D32" s="71">
        <f>(OBSAH!$J$6/100)*Tabulka20107953[[#This Row],[Sloupec3]]</f>
        <v>0</v>
      </c>
      <c r="E32" s="57">
        <f>Tabulka20107953[[#This Row],[Sloupec3]]-Tabulka20107953[[#This Row],[Sloupec4]]</f>
        <v>26096</v>
      </c>
      <c r="F32" s="3"/>
      <c r="G32" s="3"/>
      <c r="H32" s="3"/>
      <c r="I32" s="3"/>
      <c r="J32" s="3"/>
      <c r="K32" s="3"/>
      <c r="L32" s="3"/>
      <c r="M32" s="3"/>
    </row>
    <row r="33" spans="1:15" ht="14.25" customHeight="1" x14ac:dyDescent="0.4">
      <c r="A33" s="100">
        <v>4004005054</v>
      </c>
      <c r="B33" s="121" t="s">
        <v>481</v>
      </c>
      <c r="C33" s="308">
        <v>29555</v>
      </c>
      <c r="D33" s="71">
        <f>(OBSAH!$J$6/100)*Tabulka20107953[[#This Row],[Sloupec3]]</f>
        <v>0</v>
      </c>
      <c r="E33" s="57">
        <f>Tabulka20107953[[#This Row],[Sloupec3]]-Tabulka20107953[[#This Row],[Sloupec4]]</f>
        <v>29555</v>
      </c>
      <c r="F33" s="3"/>
      <c r="G33" s="3"/>
      <c r="H33" s="3"/>
      <c r="I33" s="3"/>
      <c r="J33" s="3"/>
      <c r="K33" s="3"/>
      <c r="L33" s="3"/>
      <c r="M33" s="3"/>
    </row>
    <row r="34" spans="1:15" ht="14.25" customHeight="1" x14ac:dyDescent="0.4">
      <c r="A34" s="100">
        <v>4004005056</v>
      </c>
      <c r="B34" s="121" t="s">
        <v>482</v>
      </c>
      <c r="C34" s="308">
        <v>29825</v>
      </c>
      <c r="D34" s="71">
        <f>(OBSAH!$J$6/100)*Tabulka20107953[[#This Row],[Sloupec3]]</f>
        <v>0</v>
      </c>
      <c r="E34" s="57">
        <f>Tabulka20107953[[#This Row],[Sloupec3]]-Tabulka20107953[[#This Row],[Sloupec4]]</f>
        <v>29825</v>
      </c>
      <c r="F34" s="3"/>
      <c r="G34" s="3"/>
      <c r="H34" s="3"/>
      <c r="I34" s="3"/>
      <c r="J34" s="3"/>
      <c r="K34" s="3"/>
      <c r="L34" s="3"/>
      <c r="M34" s="3"/>
    </row>
    <row r="35" spans="1:15" ht="14.25" customHeight="1" x14ac:dyDescent="0.4">
      <c r="A35" s="100">
        <v>4004005058</v>
      </c>
      <c r="B35" s="121" t="s">
        <v>483</v>
      </c>
      <c r="C35" s="308">
        <v>29938</v>
      </c>
      <c r="D35" s="71">
        <f>(OBSAH!$J$6/100)*Tabulka20107953[[#This Row],[Sloupec3]]</f>
        <v>0</v>
      </c>
      <c r="E35" s="57">
        <f>Tabulka20107953[[#This Row],[Sloupec3]]-Tabulka20107953[[#This Row],[Sloupec4]]</f>
        <v>29938</v>
      </c>
      <c r="F35" s="3"/>
      <c r="G35" s="3"/>
      <c r="H35" s="3"/>
      <c r="I35" s="3"/>
      <c r="J35" s="3"/>
      <c r="K35" s="3"/>
      <c r="L35" s="3"/>
      <c r="M35" s="3"/>
    </row>
    <row r="36" spans="1:15" ht="14.25" customHeight="1" x14ac:dyDescent="0.4">
      <c r="A36" s="100">
        <v>4004005060</v>
      </c>
      <c r="B36" s="121" t="s">
        <v>484</v>
      </c>
      <c r="C36" s="308">
        <v>30049</v>
      </c>
      <c r="D36" s="71">
        <f>(OBSAH!$J$6/100)*Tabulka20107953[[#This Row],[Sloupec3]]</f>
        <v>0</v>
      </c>
      <c r="E36" s="57">
        <f>Tabulka20107953[[#This Row],[Sloupec3]]-Tabulka20107953[[#This Row],[Sloupec4]]</f>
        <v>30049</v>
      </c>
      <c r="F36" s="3"/>
      <c r="G36" s="3"/>
      <c r="H36" s="3"/>
      <c r="I36" s="3"/>
      <c r="J36" s="3"/>
      <c r="K36" s="3"/>
      <c r="L36" s="3"/>
      <c r="M36" s="3"/>
    </row>
    <row r="37" spans="1:15" ht="14.25" customHeight="1" x14ac:dyDescent="0.4">
      <c r="A37" s="100">
        <v>4004005062</v>
      </c>
      <c r="B37" s="121" t="s">
        <v>485</v>
      </c>
      <c r="C37" s="308">
        <v>30263</v>
      </c>
      <c r="D37" s="71">
        <f>(OBSAH!$J$6/100)*Tabulka20107953[[#This Row],[Sloupec3]]</f>
        <v>0</v>
      </c>
      <c r="E37" s="57">
        <f>Tabulka20107953[[#This Row],[Sloupec3]]-Tabulka20107953[[#This Row],[Sloupec4]]</f>
        <v>30263</v>
      </c>
      <c r="F37" s="3"/>
      <c r="G37" s="3"/>
      <c r="H37" s="3"/>
      <c r="I37" s="3"/>
      <c r="J37" s="3"/>
      <c r="K37" s="3"/>
      <c r="L37" s="3"/>
      <c r="M37" s="3"/>
    </row>
    <row r="38" spans="1:15" ht="14.25" customHeight="1" x14ac:dyDescent="0.4">
      <c r="A38" s="100">
        <v>4004005064</v>
      </c>
      <c r="B38" s="121" t="s">
        <v>486</v>
      </c>
      <c r="C38" s="308">
        <v>34090</v>
      </c>
      <c r="D38" s="71">
        <f>(OBSAH!$J$6/100)*Tabulka20107953[[#This Row],[Sloupec3]]</f>
        <v>0</v>
      </c>
      <c r="E38" s="57">
        <f>Tabulka20107953[[#This Row],[Sloupec3]]-Tabulka20107953[[#This Row],[Sloupec4]]</f>
        <v>34090</v>
      </c>
      <c r="F38" s="3"/>
      <c r="G38" s="3"/>
      <c r="H38" s="3"/>
      <c r="I38" s="3"/>
      <c r="J38" s="3"/>
      <c r="K38" s="3"/>
      <c r="L38" s="3"/>
      <c r="M38" s="3"/>
    </row>
    <row r="39" spans="1:15" ht="14.25" customHeight="1" x14ac:dyDescent="0.4">
      <c r="A39" s="100">
        <v>4004005067</v>
      </c>
      <c r="B39" s="121" t="s">
        <v>487</v>
      </c>
      <c r="C39" s="308">
        <v>34361</v>
      </c>
      <c r="D39" s="71">
        <f>(OBSAH!$J$6/100)*Tabulka20107953[[#This Row],[Sloupec3]]</f>
        <v>0</v>
      </c>
      <c r="E39" s="57">
        <f>Tabulka20107953[[#This Row],[Sloupec3]]-Tabulka20107953[[#This Row],[Sloupec4]]</f>
        <v>34361</v>
      </c>
      <c r="F39" s="3"/>
      <c r="G39" s="3"/>
      <c r="H39" s="3"/>
      <c r="I39" s="3"/>
      <c r="J39" s="3"/>
      <c r="K39" s="3"/>
      <c r="L39" s="3"/>
      <c r="M39" s="3"/>
    </row>
    <row r="40" spans="1:15" ht="14.25" customHeight="1" x14ac:dyDescent="0.4">
      <c r="A40" s="100">
        <v>4004005069</v>
      </c>
      <c r="B40" s="121" t="s">
        <v>488</v>
      </c>
      <c r="C40" s="308">
        <v>34472</v>
      </c>
      <c r="D40" s="71">
        <f>(OBSAH!$J$6/100)*Tabulka20107953[[#This Row],[Sloupec3]]</f>
        <v>0</v>
      </c>
      <c r="E40" s="57">
        <f>Tabulka20107953[[#This Row],[Sloupec3]]-Tabulka20107953[[#This Row],[Sloupec4]]</f>
        <v>34472</v>
      </c>
      <c r="F40" s="3"/>
      <c r="G40" s="3"/>
      <c r="H40" s="3"/>
      <c r="I40" s="3"/>
      <c r="J40" s="3"/>
      <c r="K40" s="3"/>
      <c r="L40" s="3"/>
      <c r="M40" s="3"/>
    </row>
    <row r="41" spans="1:15" ht="14.25" customHeight="1" x14ac:dyDescent="0.4">
      <c r="A41" s="100">
        <v>4004005071</v>
      </c>
      <c r="B41" s="121" t="s">
        <v>489</v>
      </c>
      <c r="C41" s="308">
        <v>34585</v>
      </c>
      <c r="D41" s="71">
        <f>(OBSAH!$J$6/100)*Tabulka20107953[[#This Row],[Sloupec3]]</f>
        <v>0</v>
      </c>
      <c r="E41" s="57">
        <f>Tabulka20107953[[#This Row],[Sloupec3]]-Tabulka20107953[[#This Row],[Sloupec4]]</f>
        <v>34585</v>
      </c>
      <c r="F41" s="3"/>
      <c r="G41" s="3"/>
      <c r="H41" s="3"/>
      <c r="I41" s="3"/>
      <c r="J41" s="3"/>
      <c r="K41" s="3"/>
      <c r="L41" s="3"/>
      <c r="M41" s="3"/>
    </row>
    <row r="42" spans="1:15" ht="14.25" customHeight="1" x14ac:dyDescent="0.4">
      <c r="A42" s="101">
        <v>4004005072</v>
      </c>
      <c r="B42" s="208" t="s">
        <v>490</v>
      </c>
      <c r="C42" s="309">
        <v>34796</v>
      </c>
      <c r="D42" s="68">
        <f>(OBSAH!$J$6/100)*Tabulka20107953[[#This Row],[Sloupec3]]</f>
        <v>0</v>
      </c>
      <c r="E42" s="58">
        <f>Tabulka20107953[[#This Row],[Sloupec3]]-Tabulka20107953[[#This Row],[Sloupec4]]</f>
        <v>34796</v>
      </c>
      <c r="F42" s="3"/>
      <c r="G42" s="3"/>
      <c r="H42" s="3"/>
      <c r="I42" s="3"/>
      <c r="J42" s="3"/>
      <c r="K42" s="3"/>
      <c r="L42" s="3"/>
      <c r="M42" s="3"/>
    </row>
    <row r="43" spans="1:15" ht="15" customHeight="1" x14ac:dyDescent="0.4">
      <c r="A43" s="83"/>
      <c r="B43" s="84"/>
      <c r="C43" s="85"/>
      <c r="D43" s="61"/>
      <c r="E43" s="62"/>
      <c r="F43" s="3"/>
      <c r="G43" s="3"/>
      <c r="H43" s="3"/>
      <c r="I43" s="3"/>
      <c r="J43" s="3"/>
      <c r="K43" s="3"/>
      <c r="L43" s="3"/>
      <c r="M43" s="3"/>
    </row>
    <row r="44" spans="1:15" ht="22.5" customHeight="1" x14ac:dyDescent="0.4">
      <c r="A44" s="458" t="s">
        <v>91</v>
      </c>
      <c r="B44" s="458"/>
      <c r="C44" s="458"/>
      <c r="D44" s="458"/>
      <c r="E44" s="458"/>
      <c r="F44" s="3"/>
      <c r="G44" s="3"/>
      <c r="H44" s="3"/>
      <c r="I44" s="3"/>
      <c r="J44" s="3"/>
      <c r="K44" s="3"/>
      <c r="L44" s="3"/>
      <c r="M44" s="3"/>
    </row>
    <row r="45" spans="1:15" s="44" customFormat="1" ht="22.5" customHeight="1" x14ac:dyDescent="0.3">
      <c r="A45" s="118" t="s">
        <v>56</v>
      </c>
      <c r="B45" s="118" t="s">
        <v>57</v>
      </c>
      <c r="C45" s="119" t="s">
        <v>58</v>
      </c>
      <c r="D45" s="119" t="s">
        <v>59</v>
      </c>
      <c r="E45" s="120" t="s">
        <v>60</v>
      </c>
      <c r="F45" s="42"/>
      <c r="G45" s="42"/>
      <c r="H45" s="42"/>
      <c r="I45" s="42"/>
      <c r="J45" s="42"/>
      <c r="K45" s="42"/>
      <c r="L45" s="42"/>
      <c r="M45" s="42"/>
      <c r="O45" s="1"/>
    </row>
    <row r="46" spans="1:15" ht="14.25" customHeight="1" x14ac:dyDescent="0.4">
      <c r="A46" s="98">
        <v>4004005134</v>
      </c>
      <c r="B46" s="99" t="s">
        <v>491</v>
      </c>
      <c r="C46" s="304">
        <v>9454</v>
      </c>
      <c r="D46" s="69">
        <f>(OBSAH!$J$6/100)*Tabulka2010798354[[#This Row],[Sloupec3]]</f>
        <v>0</v>
      </c>
      <c r="E46" s="70">
        <f>Tabulka2010798354[[#This Row],[Sloupec3]]-Tabulka2010798354[[#This Row],[Sloupec4]]</f>
        <v>9454</v>
      </c>
      <c r="F46" s="3"/>
      <c r="G46" s="3"/>
      <c r="H46" s="3"/>
      <c r="I46" s="3"/>
      <c r="J46" s="3"/>
      <c r="K46" s="3"/>
      <c r="L46" s="3"/>
      <c r="M46" s="3"/>
    </row>
    <row r="47" spans="1:15" ht="14.25" customHeight="1" x14ac:dyDescent="0.4">
      <c r="A47" s="100">
        <v>4004005135</v>
      </c>
      <c r="B47" s="125" t="s">
        <v>492</v>
      </c>
      <c r="C47" s="305">
        <v>9721</v>
      </c>
      <c r="D47" s="71">
        <f>(OBSAH!$J$6/100)*Tabulka2010798354[[#This Row],[Sloupec3]]</f>
        <v>0</v>
      </c>
      <c r="E47" s="57">
        <f>Tabulka2010798354[[#This Row],[Sloupec3]]-Tabulka2010798354[[#This Row],[Sloupec4]]</f>
        <v>9721</v>
      </c>
      <c r="F47" s="3"/>
      <c r="G47" s="3"/>
      <c r="H47" s="3"/>
      <c r="I47" s="3"/>
      <c r="J47" s="3"/>
      <c r="K47" s="3"/>
      <c r="L47" s="3"/>
      <c r="M47" s="3"/>
    </row>
    <row r="48" spans="1:15" ht="14.25" customHeight="1" x14ac:dyDescent="0.4">
      <c r="A48" s="100">
        <v>4004005136</v>
      </c>
      <c r="B48" s="125" t="s">
        <v>493</v>
      </c>
      <c r="C48" s="305">
        <v>9931</v>
      </c>
      <c r="D48" s="71">
        <f>(OBSAH!$J$6/100)*Tabulka2010798354[[#This Row],[Sloupec3]]</f>
        <v>0</v>
      </c>
      <c r="E48" s="57">
        <f>Tabulka2010798354[[#This Row],[Sloupec3]]-Tabulka2010798354[[#This Row],[Sloupec4]]</f>
        <v>9931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100">
        <v>4004005146</v>
      </c>
      <c r="B49" s="125" t="s">
        <v>494</v>
      </c>
      <c r="C49" s="305">
        <v>12343</v>
      </c>
      <c r="D49" s="71">
        <f>(OBSAH!$J$6/100)*Tabulka2010798354[[#This Row],[Sloupec3]]</f>
        <v>0</v>
      </c>
      <c r="E49" s="57">
        <f>Tabulka2010798354[[#This Row],[Sloupec3]]-Tabulka2010798354[[#This Row],[Sloupec4]]</f>
        <v>12343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100">
        <v>4004005076</v>
      </c>
      <c r="B50" s="125" t="s">
        <v>495</v>
      </c>
      <c r="C50" s="305">
        <v>13043</v>
      </c>
      <c r="D50" s="71">
        <f>(OBSAH!$J$6/100)*Tabulka2010798354[[#This Row],[Sloupec3]]</f>
        <v>0</v>
      </c>
      <c r="E50" s="57">
        <f>Tabulka2010798354[[#This Row],[Sloupec3]]-Tabulka2010798354[[#This Row],[Sloupec4]]</f>
        <v>13043</v>
      </c>
      <c r="F50" s="3"/>
      <c r="G50" s="3"/>
      <c r="H50" s="3"/>
      <c r="I50" s="3"/>
      <c r="J50" s="3"/>
      <c r="K50" s="3"/>
      <c r="L50" s="3"/>
      <c r="M50" s="3"/>
    </row>
    <row r="51" spans="1:13" ht="14.25" customHeight="1" x14ac:dyDescent="0.4">
      <c r="A51" s="100">
        <v>4004005078</v>
      </c>
      <c r="B51" s="125" t="s">
        <v>496</v>
      </c>
      <c r="C51" s="305">
        <v>13183</v>
      </c>
      <c r="D51" s="71">
        <f>(OBSAH!$J$6/100)*Tabulka2010798354[[#This Row],[Sloupec3]]</f>
        <v>0</v>
      </c>
      <c r="E51" s="57">
        <f>Tabulka2010798354[[#This Row],[Sloupec3]]-Tabulka2010798354[[#This Row],[Sloupec4]]</f>
        <v>13183</v>
      </c>
      <c r="F51" s="3"/>
      <c r="G51" s="3"/>
      <c r="H51" s="3"/>
      <c r="I51" s="3"/>
      <c r="J51" s="3"/>
      <c r="K51" s="3"/>
      <c r="L51" s="3"/>
      <c r="M51" s="3"/>
    </row>
    <row r="52" spans="1:13" ht="14.25" customHeight="1" x14ac:dyDescent="0.4">
      <c r="A52" s="100">
        <v>4004005080</v>
      </c>
      <c r="B52" s="125" t="s">
        <v>497</v>
      </c>
      <c r="C52" s="305">
        <v>13298</v>
      </c>
      <c r="D52" s="71">
        <f>(OBSAH!$J$6/100)*Tabulka2010798354[[#This Row],[Sloupec3]]</f>
        <v>0</v>
      </c>
      <c r="E52" s="57">
        <f>Tabulka2010798354[[#This Row],[Sloupec3]]-Tabulka2010798354[[#This Row],[Sloupec4]]</f>
        <v>13298</v>
      </c>
      <c r="F52" s="3"/>
      <c r="G52" s="3"/>
      <c r="H52" s="3"/>
      <c r="I52" s="3"/>
      <c r="J52" s="3"/>
      <c r="K52" s="3"/>
      <c r="L52" s="3"/>
      <c r="M52" s="3"/>
    </row>
    <row r="53" spans="1:13" ht="14.25" customHeight="1" x14ac:dyDescent="0.4">
      <c r="A53" s="100">
        <v>4004005082</v>
      </c>
      <c r="B53" s="125" t="s">
        <v>498</v>
      </c>
      <c r="C53" s="305">
        <v>13510</v>
      </c>
      <c r="D53" s="71">
        <f>(OBSAH!$J$6/100)*Tabulka2010798354[[#This Row],[Sloupec3]]</f>
        <v>0</v>
      </c>
      <c r="E53" s="57">
        <f>Tabulka2010798354[[#This Row],[Sloupec3]]-Tabulka2010798354[[#This Row],[Sloupec4]]</f>
        <v>13510</v>
      </c>
      <c r="F53" s="3"/>
      <c r="G53" s="3"/>
      <c r="H53" s="3"/>
      <c r="I53" s="3"/>
      <c r="J53" s="3"/>
      <c r="K53" s="3"/>
      <c r="L53" s="3"/>
      <c r="M53" s="3"/>
    </row>
    <row r="54" spans="1:13" ht="14.25" customHeight="1" x14ac:dyDescent="0.4">
      <c r="A54" s="100">
        <v>4004005084</v>
      </c>
      <c r="B54" s="125" t="s">
        <v>499</v>
      </c>
      <c r="C54" s="305">
        <v>17643</v>
      </c>
      <c r="D54" s="71">
        <f>(OBSAH!$J$6/100)*Tabulka2010798354[[#This Row],[Sloupec3]]</f>
        <v>0</v>
      </c>
      <c r="E54" s="57">
        <f>Tabulka2010798354[[#This Row],[Sloupec3]]-Tabulka2010798354[[#This Row],[Sloupec4]]</f>
        <v>17643</v>
      </c>
      <c r="F54" s="3"/>
      <c r="G54" s="3"/>
      <c r="H54" s="3"/>
      <c r="I54" s="3"/>
      <c r="J54" s="3"/>
      <c r="K54" s="3"/>
      <c r="L54" s="3"/>
      <c r="M54" s="3"/>
    </row>
    <row r="55" spans="1:13" ht="14.25" customHeight="1" x14ac:dyDescent="0.4">
      <c r="A55" s="100">
        <v>4004005087</v>
      </c>
      <c r="B55" s="125" t="s">
        <v>500</v>
      </c>
      <c r="C55" s="305">
        <v>17855</v>
      </c>
      <c r="D55" s="71">
        <f>(OBSAH!$J$6/100)*Tabulka2010798354[[#This Row],[Sloupec3]]</f>
        <v>0</v>
      </c>
      <c r="E55" s="57">
        <f>Tabulka2010798354[[#This Row],[Sloupec3]]-Tabulka2010798354[[#This Row],[Sloupec4]]</f>
        <v>17855</v>
      </c>
      <c r="F55" s="3"/>
      <c r="G55" s="3"/>
      <c r="H55" s="3"/>
      <c r="I55" s="3"/>
      <c r="J55" s="3"/>
      <c r="K55" s="3"/>
      <c r="L55" s="3"/>
      <c r="M55" s="3"/>
    </row>
    <row r="56" spans="1:13" ht="14.25" customHeight="1" x14ac:dyDescent="0.4">
      <c r="A56" s="100">
        <v>4004005090</v>
      </c>
      <c r="B56" s="125" t="s">
        <v>501</v>
      </c>
      <c r="C56" s="305">
        <v>17924</v>
      </c>
      <c r="D56" s="71">
        <f>(OBSAH!$J$6/100)*Tabulka2010798354[[#This Row],[Sloupec3]]</f>
        <v>0</v>
      </c>
      <c r="E56" s="57">
        <f>Tabulka2010798354[[#This Row],[Sloupec3]]-Tabulka2010798354[[#This Row],[Sloupec4]]</f>
        <v>17924</v>
      </c>
      <c r="F56" s="3"/>
      <c r="G56" s="3"/>
      <c r="H56" s="3"/>
      <c r="I56" s="3"/>
      <c r="J56" s="3"/>
      <c r="K56" s="3"/>
      <c r="L56" s="3"/>
      <c r="M56" s="3"/>
    </row>
    <row r="57" spans="1:13" ht="14.25" customHeight="1" x14ac:dyDescent="0.4">
      <c r="A57" s="100">
        <v>4004005092</v>
      </c>
      <c r="B57" s="125" t="s">
        <v>502</v>
      </c>
      <c r="C57" s="305">
        <v>18038</v>
      </c>
      <c r="D57" s="71">
        <f>(OBSAH!$J$6/100)*Tabulka2010798354[[#This Row],[Sloupec3]]</f>
        <v>0</v>
      </c>
      <c r="E57" s="57">
        <f>Tabulka2010798354[[#This Row],[Sloupec3]]-Tabulka2010798354[[#This Row],[Sloupec4]]</f>
        <v>18038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100">
        <v>4004005094</v>
      </c>
      <c r="B58" s="125" t="s">
        <v>503</v>
      </c>
      <c r="C58" s="305">
        <v>18095</v>
      </c>
      <c r="D58" s="71">
        <f>(OBSAH!$J$6/100)*Tabulka2010798354[[#This Row],[Sloupec3]]</f>
        <v>0</v>
      </c>
      <c r="E58" s="57">
        <f>Tabulka2010798354[[#This Row],[Sloupec3]]-Tabulka2010798354[[#This Row],[Sloupec4]]</f>
        <v>18095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100">
        <v>4004005096</v>
      </c>
      <c r="B59" s="125" t="s">
        <v>504</v>
      </c>
      <c r="C59" s="305">
        <v>21249</v>
      </c>
      <c r="D59" s="71">
        <f>(OBSAH!$J$6/100)*Tabulka2010798354[[#This Row],[Sloupec3]]</f>
        <v>0</v>
      </c>
      <c r="E59" s="57">
        <f>Tabulka2010798354[[#This Row],[Sloupec3]]-Tabulka2010798354[[#This Row],[Sloupec4]]</f>
        <v>21249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100">
        <v>4004005098</v>
      </c>
      <c r="B60" s="125" t="s">
        <v>505</v>
      </c>
      <c r="C60" s="305">
        <v>21518</v>
      </c>
      <c r="D60" s="71">
        <f>(OBSAH!$J$6/100)*Tabulka2010798354[[#This Row],[Sloupec3]]</f>
        <v>0</v>
      </c>
      <c r="E60" s="57">
        <f>Tabulka2010798354[[#This Row],[Sloupec3]]-Tabulka2010798354[[#This Row],[Sloupec4]]</f>
        <v>21518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100">
        <v>4004005100</v>
      </c>
      <c r="B61" s="125" t="s">
        <v>506</v>
      </c>
      <c r="C61" s="305">
        <v>21657</v>
      </c>
      <c r="D61" s="71">
        <f>(OBSAH!$J$6/100)*Tabulka2010798354[[#This Row],[Sloupec3]]</f>
        <v>0</v>
      </c>
      <c r="E61" s="57">
        <f>Tabulka2010798354[[#This Row],[Sloupec3]]-Tabulka2010798354[[#This Row],[Sloupec4]]</f>
        <v>21657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100">
        <v>4004005102</v>
      </c>
      <c r="B62" s="125" t="s">
        <v>507</v>
      </c>
      <c r="C62" s="305">
        <v>21773</v>
      </c>
      <c r="D62" s="71">
        <f>(OBSAH!$J$6/100)*Tabulka2010798354[[#This Row],[Sloupec3]]</f>
        <v>0</v>
      </c>
      <c r="E62" s="57">
        <f>Tabulka2010798354[[#This Row],[Sloupec3]]-Tabulka2010798354[[#This Row],[Sloupec4]]</f>
        <v>21773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100">
        <v>4004005104</v>
      </c>
      <c r="B63" s="125" t="s">
        <v>508</v>
      </c>
      <c r="C63" s="305">
        <v>21982</v>
      </c>
      <c r="D63" s="71">
        <f>(OBSAH!$J$6/100)*Tabulka2010798354[[#This Row],[Sloupec3]]</f>
        <v>0</v>
      </c>
      <c r="E63" s="57">
        <f>Tabulka2010798354[[#This Row],[Sloupec3]]-Tabulka2010798354[[#This Row],[Sloupec4]]</f>
        <v>21982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100">
        <v>4004005106</v>
      </c>
      <c r="B64" s="125" t="s">
        <v>509</v>
      </c>
      <c r="C64" s="305">
        <v>25833</v>
      </c>
      <c r="D64" s="71">
        <f>(OBSAH!$J$6/100)*Tabulka2010798354[[#This Row],[Sloupec3]]</f>
        <v>0</v>
      </c>
      <c r="E64" s="57">
        <f>Tabulka2010798354[[#This Row],[Sloupec3]]-Tabulka2010798354[[#This Row],[Sloupec4]]</f>
        <v>25833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100">
        <v>4004005109</v>
      </c>
      <c r="B65" s="125" t="s">
        <v>510</v>
      </c>
      <c r="C65" s="305">
        <v>26099</v>
      </c>
      <c r="D65" s="71">
        <f>(OBSAH!$J$6/100)*Tabulka2010798354[[#This Row],[Sloupec3]]</f>
        <v>0</v>
      </c>
      <c r="E65" s="57">
        <f>Tabulka2010798354[[#This Row],[Sloupec3]]-Tabulka2010798354[[#This Row],[Sloupec4]]</f>
        <v>26099</v>
      </c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100">
        <v>4004005111</v>
      </c>
      <c r="B66" s="125" t="s">
        <v>511</v>
      </c>
      <c r="C66" s="305">
        <v>26214</v>
      </c>
      <c r="D66" s="71">
        <f>(OBSAH!$J$6/100)*Tabulka2010798354[[#This Row],[Sloupec3]]</f>
        <v>0</v>
      </c>
      <c r="E66" s="57">
        <f>Tabulka2010798354[[#This Row],[Sloupec3]]-Tabulka2010798354[[#This Row],[Sloupec4]]</f>
        <v>26214</v>
      </c>
      <c r="F66" s="3"/>
      <c r="G66" s="3"/>
      <c r="H66" s="3"/>
      <c r="I66" s="3"/>
      <c r="J66" s="3"/>
      <c r="K66" s="3"/>
      <c r="L66" s="3"/>
      <c r="M66" s="3"/>
    </row>
    <row r="67" spans="1:13" ht="14.25" customHeight="1" x14ac:dyDescent="0.4">
      <c r="A67" s="100">
        <v>4004005113</v>
      </c>
      <c r="B67" s="125" t="s">
        <v>512</v>
      </c>
      <c r="C67" s="305">
        <v>26326</v>
      </c>
      <c r="D67" s="71">
        <f>(OBSAH!$J$6/100)*Tabulka2010798354[[#This Row],[Sloupec3]]</f>
        <v>0</v>
      </c>
      <c r="E67" s="57">
        <f>Tabulka2010798354[[#This Row],[Sloupec3]]-Tabulka2010798354[[#This Row],[Sloupec4]]</f>
        <v>26326</v>
      </c>
      <c r="F67" s="3"/>
      <c r="G67" s="3"/>
      <c r="H67" s="3"/>
      <c r="I67" s="3"/>
      <c r="J67" s="3"/>
      <c r="K67" s="3"/>
      <c r="L67" s="3"/>
      <c r="M67" s="3"/>
    </row>
    <row r="68" spans="1:13" ht="14.25" customHeight="1" x14ac:dyDescent="0.4">
      <c r="A68" s="100">
        <v>4004005115</v>
      </c>
      <c r="B68" s="125" t="s">
        <v>513</v>
      </c>
      <c r="C68" s="305">
        <v>26536</v>
      </c>
      <c r="D68" s="71">
        <f>(OBSAH!$J$6/100)*Tabulka2010798354[[#This Row],[Sloupec3]]</f>
        <v>0</v>
      </c>
      <c r="E68" s="57">
        <f>Tabulka2010798354[[#This Row],[Sloupec3]]-Tabulka2010798354[[#This Row],[Sloupec4]]</f>
        <v>26536</v>
      </c>
      <c r="F68" s="3"/>
      <c r="G68" s="3"/>
      <c r="H68" s="3"/>
      <c r="I68" s="3"/>
      <c r="J68" s="3"/>
      <c r="K68" s="3"/>
      <c r="L68" s="3"/>
      <c r="M68" s="3"/>
    </row>
    <row r="69" spans="1:13" ht="14.25" customHeight="1" x14ac:dyDescent="0.4">
      <c r="A69" s="100">
        <v>4004005117</v>
      </c>
      <c r="B69" s="125" t="s">
        <v>514</v>
      </c>
      <c r="C69" s="305">
        <v>29996</v>
      </c>
      <c r="D69" s="71">
        <f>(OBSAH!$J$6/100)*Tabulka2010798354[[#This Row],[Sloupec3]]</f>
        <v>0</v>
      </c>
      <c r="E69" s="57">
        <f>Tabulka2010798354[[#This Row],[Sloupec3]]-Tabulka2010798354[[#This Row],[Sloupec4]]</f>
        <v>29996</v>
      </c>
      <c r="F69" s="3"/>
      <c r="G69" s="3"/>
      <c r="H69" s="3"/>
      <c r="I69" s="3"/>
      <c r="J69" s="3"/>
      <c r="K69" s="3"/>
      <c r="L69" s="3"/>
      <c r="M69" s="3"/>
    </row>
    <row r="70" spans="1:13" ht="14.25" customHeight="1" x14ac:dyDescent="0.4">
      <c r="A70" s="100">
        <v>4004005119</v>
      </c>
      <c r="B70" s="125" t="s">
        <v>515</v>
      </c>
      <c r="C70" s="305">
        <v>30266</v>
      </c>
      <c r="D70" s="71">
        <f>(OBSAH!$J$6/100)*Tabulka2010798354[[#This Row],[Sloupec3]]</f>
        <v>0</v>
      </c>
      <c r="E70" s="57">
        <f>Tabulka2010798354[[#This Row],[Sloupec3]]-Tabulka2010798354[[#This Row],[Sloupec4]]</f>
        <v>30266</v>
      </c>
      <c r="F70" s="3"/>
      <c r="G70" s="3"/>
      <c r="H70" s="3"/>
      <c r="I70" s="3"/>
      <c r="J70" s="3"/>
      <c r="K70" s="3"/>
      <c r="L70" s="3"/>
      <c r="M70" s="3"/>
    </row>
    <row r="71" spans="1:13" ht="14.25" customHeight="1" x14ac:dyDescent="0.4">
      <c r="A71" s="100">
        <v>4004005121</v>
      </c>
      <c r="B71" s="125" t="s">
        <v>516</v>
      </c>
      <c r="C71" s="305">
        <v>30379</v>
      </c>
      <c r="D71" s="71">
        <f>(OBSAH!$J$6/100)*Tabulka2010798354[[#This Row],[Sloupec3]]</f>
        <v>0</v>
      </c>
      <c r="E71" s="57">
        <f>Tabulka2010798354[[#This Row],[Sloupec3]]-Tabulka2010798354[[#This Row],[Sloupec4]]</f>
        <v>30379</v>
      </c>
      <c r="F71" s="3"/>
      <c r="G71" s="3"/>
      <c r="H71" s="3"/>
      <c r="I71" s="3"/>
      <c r="J71" s="3"/>
      <c r="K71" s="3"/>
      <c r="L71" s="3"/>
      <c r="M71" s="3"/>
    </row>
    <row r="72" spans="1:13" ht="14.25" customHeight="1" x14ac:dyDescent="0.4">
      <c r="A72" s="100">
        <v>4004005123</v>
      </c>
      <c r="B72" s="125" t="s">
        <v>517</v>
      </c>
      <c r="C72" s="305">
        <v>30490</v>
      </c>
      <c r="D72" s="71">
        <f>(OBSAH!$J$6/100)*Tabulka2010798354[[#This Row],[Sloupec3]]</f>
        <v>0</v>
      </c>
      <c r="E72" s="57">
        <f>Tabulka2010798354[[#This Row],[Sloupec3]]-Tabulka2010798354[[#This Row],[Sloupec4]]</f>
        <v>30490</v>
      </c>
      <c r="F72" s="3"/>
      <c r="G72" s="3"/>
      <c r="H72" s="3"/>
      <c r="I72" s="3"/>
      <c r="J72" s="3"/>
      <c r="K72" s="3"/>
      <c r="L72" s="3"/>
      <c r="M72" s="3"/>
    </row>
    <row r="73" spans="1:13" ht="14.25" customHeight="1" x14ac:dyDescent="0.4">
      <c r="A73" s="100">
        <v>4004005125</v>
      </c>
      <c r="B73" s="125" t="s">
        <v>518</v>
      </c>
      <c r="C73" s="305">
        <v>30702</v>
      </c>
      <c r="D73" s="71">
        <f>(OBSAH!$J$6/100)*Tabulka2010798354[[#This Row],[Sloupec3]]</f>
        <v>0</v>
      </c>
      <c r="E73" s="57">
        <f>Tabulka2010798354[[#This Row],[Sloupec3]]-Tabulka2010798354[[#This Row],[Sloupec4]]</f>
        <v>30702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100">
        <v>4004005138</v>
      </c>
      <c r="B74" s="125" t="s">
        <v>519</v>
      </c>
      <c r="C74" s="305">
        <v>34533</v>
      </c>
      <c r="D74" s="71">
        <f>(OBSAH!$J$6/100)*Tabulka2010798354[[#This Row],[Sloupec3]]</f>
        <v>0</v>
      </c>
      <c r="E74" s="57">
        <f>Tabulka2010798354[[#This Row],[Sloupec3]]-Tabulka2010798354[[#This Row],[Sloupec4]]</f>
        <v>34533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100">
        <v>4004005128</v>
      </c>
      <c r="B75" s="125" t="s">
        <v>520</v>
      </c>
      <c r="C75" s="305">
        <v>34801</v>
      </c>
      <c r="D75" s="71">
        <f>(OBSAH!$J$6/100)*Tabulka2010798354[[#This Row],[Sloupec3]]</f>
        <v>0</v>
      </c>
      <c r="E75" s="57">
        <f>Tabulka2010798354[[#This Row],[Sloupec3]]-Tabulka2010798354[[#This Row],[Sloupec4]]</f>
        <v>34801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100">
        <v>4004005130</v>
      </c>
      <c r="B76" s="125" t="s">
        <v>521</v>
      </c>
      <c r="C76" s="305">
        <v>34913</v>
      </c>
      <c r="D76" s="71">
        <f>(OBSAH!$J$6/100)*Tabulka2010798354[[#This Row],[Sloupec3]]</f>
        <v>0</v>
      </c>
      <c r="E76" s="57">
        <f>Tabulka2010798354[[#This Row],[Sloupec3]]-Tabulka2010798354[[#This Row],[Sloupec4]]</f>
        <v>34913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100">
        <v>4004005132</v>
      </c>
      <c r="B77" s="125" t="s">
        <v>522</v>
      </c>
      <c r="C77" s="305">
        <v>35025</v>
      </c>
      <c r="D77" s="71">
        <f>(OBSAH!$J$6/100)*Tabulka2010798354[[#This Row],[Sloupec3]]</f>
        <v>0</v>
      </c>
      <c r="E77" s="57">
        <f>Tabulka2010798354[[#This Row],[Sloupec3]]-Tabulka2010798354[[#This Row],[Sloupec4]]</f>
        <v>35025</v>
      </c>
      <c r="F77" s="3"/>
      <c r="G77" s="3"/>
      <c r="H77" s="3"/>
      <c r="I77" s="3"/>
      <c r="J77" s="3"/>
      <c r="K77" s="3"/>
      <c r="L77" s="3"/>
      <c r="M77" s="3"/>
    </row>
    <row r="78" spans="1:13" ht="14.25" customHeight="1" x14ac:dyDescent="0.4">
      <c r="A78" s="101">
        <v>4004005133</v>
      </c>
      <c r="B78" s="102" t="s">
        <v>523</v>
      </c>
      <c r="C78" s="306">
        <v>35238</v>
      </c>
      <c r="D78" s="68">
        <f>(OBSAH!$J$6/100)*Tabulka2010798354[[#This Row],[Sloupec3]]</f>
        <v>0</v>
      </c>
      <c r="E78" s="58">
        <f>Tabulka2010798354[[#This Row],[Sloupec3]]-Tabulka2010798354[[#This Row],[Sloupec4]]</f>
        <v>35238</v>
      </c>
      <c r="F78" s="3"/>
      <c r="G78" s="3"/>
      <c r="H78" s="3"/>
      <c r="I78" s="3"/>
      <c r="J78" s="3"/>
      <c r="K78" s="3"/>
      <c r="L78" s="3"/>
      <c r="M78" s="3"/>
    </row>
    <row r="79" spans="1:13" ht="15" customHeight="1" x14ac:dyDescent="0.4">
      <c r="A79" s="38"/>
      <c r="B79" s="38"/>
      <c r="C79" s="38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1:13" ht="15" customHeight="1" x14ac:dyDescent="0.4">
      <c r="A80" s="38"/>
      <c r="B80" s="38"/>
      <c r="C80" s="38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1:15" ht="15" customHeight="1" x14ac:dyDescent="0.4">
      <c r="A81" s="38"/>
      <c r="B81" s="38"/>
      <c r="C81" s="38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1:15" ht="36" customHeight="1" x14ac:dyDescent="0.4">
      <c r="A82" s="459" t="s">
        <v>152</v>
      </c>
      <c r="B82" s="459"/>
      <c r="C82" s="459"/>
      <c r="D82" s="459"/>
      <c r="E82" s="459"/>
      <c r="F82" s="3"/>
      <c r="G82" s="3"/>
      <c r="H82" s="3"/>
      <c r="I82" s="3"/>
      <c r="J82" s="3"/>
      <c r="K82" s="3"/>
      <c r="L82" s="3"/>
      <c r="M82" s="3"/>
    </row>
    <row r="83" spans="1:15" ht="36" customHeight="1" x14ac:dyDescent="0.4">
      <c r="A83" s="456" t="s">
        <v>427</v>
      </c>
      <c r="B83" s="456"/>
      <c r="C83" s="456"/>
      <c r="D83" s="456"/>
      <c r="E83" s="456"/>
      <c r="F83" s="3"/>
      <c r="G83" s="3"/>
      <c r="H83" s="3"/>
      <c r="I83" s="3"/>
      <c r="J83" s="3"/>
      <c r="K83" s="3"/>
      <c r="L83" s="3"/>
      <c r="M83" s="3"/>
    </row>
    <row r="84" spans="1:15" ht="22.5" customHeight="1" x14ac:dyDescent="0.4">
      <c r="A84" s="457" t="s">
        <v>83</v>
      </c>
      <c r="B84" s="457"/>
      <c r="C84" s="457"/>
      <c r="D84" s="457"/>
      <c r="E84" s="457"/>
      <c r="F84" s="3"/>
      <c r="G84" s="3"/>
      <c r="H84" s="3"/>
      <c r="I84" s="3"/>
      <c r="J84" s="3"/>
      <c r="K84" s="3"/>
      <c r="L84" s="3"/>
      <c r="M84" s="3"/>
    </row>
    <row r="85" spans="1:15" s="44" customFormat="1" ht="22.5" customHeight="1" x14ac:dyDescent="0.3">
      <c r="A85" s="118" t="s">
        <v>56</v>
      </c>
      <c r="B85" s="118" t="s">
        <v>57</v>
      </c>
      <c r="C85" s="119" t="s">
        <v>58</v>
      </c>
      <c r="D85" s="119" t="s">
        <v>59</v>
      </c>
      <c r="E85" s="120" t="s">
        <v>60</v>
      </c>
      <c r="F85" s="42"/>
      <c r="G85" s="42"/>
      <c r="H85" s="42"/>
      <c r="I85" s="42"/>
      <c r="J85" s="42"/>
      <c r="K85" s="42"/>
      <c r="L85" s="42"/>
      <c r="M85" s="42"/>
      <c r="O85" s="1"/>
    </row>
    <row r="86" spans="1:15" ht="14.25" customHeight="1" x14ac:dyDescent="0.4">
      <c r="A86" s="98">
        <v>4004005025</v>
      </c>
      <c r="B86" s="99" t="s">
        <v>524</v>
      </c>
      <c r="C86" s="301">
        <v>17469</v>
      </c>
      <c r="D86" s="69">
        <f>(OBSAH!$J$6/100)*Tabulka2010798455[[#This Row],[Sloupec3]]</f>
        <v>0</v>
      </c>
      <c r="E86" s="70">
        <f>Tabulka2010798455[[#This Row],[Sloupec3]]-Tabulka2010798455[[#This Row],[Sloupec4]]</f>
        <v>17469</v>
      </c>
      <c r="F86" s="3"/>
      <c r="G86" s="3"/>
      <c r="H86" s="3"/>
      <c r="I86" s="3"/>
      <c r="J86" s="3"/>
      <c r="K86" s="3"/>
      <c r="L86" s="3"/>
      <c r="M86" s="3"/>
    </row>
    <row r="87" spans="1:15" ht="14.25" customHeight="1" x14ac:dyDescent="0.4">
      <c r="A87" s="100">
        <v>4004005045</v>
      </c>
      <c r="B87" s="125" t="s">
        <v>525</v>
      </c>
      <c r="C87" s="302">
        <v>17804</v>
      </c>
      <c r="D87" s="71">
        <f>(OBSAH!$J$6/100)*Tabulka2010798455[[#This Row],[Sloupec3]]</f>
        <v>0</v>
      </c>
      <c r="E87" s="57">
        <f>Tabulka2010798455[[#This Row],[Sloupec3]]-Tabulka2010798455[[#This Row],[Sloupec4]]</f>
        <v>17804</v>
      </c>
      <c r="F87" s="3"/>
      <c r="G87" s="3"/>
      <c r="H87" s="3"/>
      <c r="I87" s="3"/>
      <c r="J87" s="3"/>
      <c r="K87" s="3"/>
      <c r="L87" s="3"/>
      <c r="M87" s="3"/>
    </row>
    <row r="88" spans="1:15" ht="14.25" customHeight="1" x14ac:dyDescent="0.4">
      <c r="A88" s="100">
        <v>4004005066</v>
      </c>
      <c r="B88" s="125" t="s">
        <v>526</v>
      </c>
      <c r="C88" s="302">
        <v>18008</v>
      </c>
      <c r="D88" s="71">
        <f>(OBSAH!$J$6/100)*Tabulka2010798455[[#This Row],[Sloupec3]]</f>
        <v>0</v>
      </c>
      <c r="E88" s="57">
        <f>Tabulka2010798455[[#This Row],[Sloupec3]]-Tabulka2010798455[[#This Row],[Sloupec4]]</f>
        <v>18008</v>
      </c>
      <c r="F88" s="3"/>
      <c r="G88" s="3"/>
      <c r="H88" s="3"/>
      <c r="I88" s="3"/>
      <c r="J88" s="3"/>
      <c r="K88" s="3"/>
      <c r="L88" s="3"/>
      <c r="M88" s="3"/>
    </row>
    <row r="89" spans="1:15" ht="14.25" customHeight="1" x14ac:dyDescent="0.4">
      <c r="A89" s="100">
        <v>4004005147</v>
      </c>
      <c r="B89" s="125" t="s">
        <v>527</v>
      </c>
      <c r="C89" s="302">
        <v>18186</v>
      </c>
      <c r="D89" s="71">
        <f>(OBSAH!$J$6/100)*Tabulka2010798455[[#This Row],[Sloupec3]]</f>
        <v>0</v>
      </c>
      <c r="E89" s="57">
        <f>Tabulka2010798455[[#This Row],[Sloupec3]]-Tabulka2010798455[[#This Row],[Sloupec4]]</f>
        <v>18186</v>
      </c>
      <c r="F89" s="3"/>
      <c r="G89" s="3"/>
      <c r="H89" s="3"/>
      <c r="I89" s="3"/>
      <c r="J89" s="3"/>
      <c r="K89" s="3"/>
      <c r="L89" s="3"/>
      <c r="M89" s="3"/>
    </row>
    <row r="90" spans="1:15" ht="14.25" customHeight="1" x14ac:dyDescent="0.4">
      <c r="A90" s="100">
        <v>4004005017</v>
      </c>
      <c r="B90" s="125" t="s">
        <v>528</v>
      </c>
      <c r="C90" s="302">
        <v>18977</v>
      </c>
      <c r="D90" s="71">
        <f>(OBSAH!$J$6/100)*Tabulka2010798455[[#This Row],[Sloupec3]]</f>
        <v>0</v>
      </c>
      <c r="E90" s="57">
        <f>Tabulka2010798455[[#This Row],[Sloupec3]]-Tabulka2010798455[[#This Row],[Sloupec4]]</f>
        <v>18977</v>
      </c>
      <c r="F90" s="3"/>
      <c r="G90" s="3"/>
      <c r="H90" s="3"/>
      <c r="I90" s="3"/>
      <c r="J90" s="3"/>
      <c r="K90" s="3"/>
      <c r="L90" s="3"/>
      <c r="M90" s="3"/>
    </row>
    <row r="91" spans="1:15" ht="14.25" customHeight="1" x14ac:dyDescent="0.4">
      <c r="A91" s="100">
        <v>4004005018</v>
      </c>
      <c r="B91" s="125" t="s">
        <v>529</v>
      </c>
      <c r="C91" s="302">
        <v>19185</v>
      </c>
      <c r="D91" s="71">
        <f>(OBSAH!$J$6/100)*Tabulka2010798455[[#This Row],[Sloupec3]]</f>
        <v>0</v>
      </c>
      <c r="E91" s="57">
        <f>Tabulka2010798455[[#This Row],[Sloupec3]]-Tabulka2010798455[[#This Row],[Sloupec4]]</f>
        <v>19185</v>
      </c>
      <c r="F91" s="3"/>
      <c r="G91" s="3"/>
      <c r="H91" s="3"/>
      <c r="I91" s="3"/>
      <c r="J91" s="3"/>
      <c r="K91" s="3"/>
      <c r="L91" s="3"/>
      <c r="M91" s="3"/>
    </row>
    <row r="92" spans="1:15" ht="14.25" customHeight="1" x14ac:dyDescent="0.4">
      <c r="A92" s="100">
        <v>4004005020</v>
      </c>
      <c r="B92" s="125" t="s">
        <v>530</v>
      </c>
      <c r="C92" s="302">
        <v>22392</v>
      </c>
      <c r="D92" s="71">
        <f>(OBSAH!$J$6/100)*Tabulka2010798455[[#This Row],[Sloupec3]]</f>
        <v>0</v>
      </c>
      <c r="E92" s="57">
        <f>Tabulka2010798455[[#This Row],[Sloupec3]]-Tabulka2010798455[[#This Row],[Sloupec4]]</f>
        <v>22392</v>
      </c>
      <c r="F92" s="3"/>
      <c r="G92" s="3"/>
      <c r="H92" s="3"/>
      <c r="I92" s="3"/>
      <c r="J92" s="3"/>
      <c r="K92" s="3"/>
      <c r="L92" s="3"/>
      <c r="M92" s="3"/>
    </row>
    <row r="93" spans="1:15" ht="14.25" customHeight="1" x14ac:dyDescent="0.4">
      <c r="A93" s="100">
        <v>4004005022</v>
      </c>
      <c r="B93" s="125" t="s">
        <v>531</v>
      </c>
      <c r="C93" s="302">
        <v>22601</v>
      </c>
      <c r="D93" s="71">
        <f>(OBSAH!$J$6/100)*Tabulka2010798455[[#This Row],[Sloupec3]]</f>
        <v>0</v>
      </c>
      <c r="E93" s="57">
        <f>Tabulka2010798455[[#This Row],[Sloupec3]]-Tabulka2010798455[[#This Row],[Sloupec4]]</f>
        <v>22601</v>
      </c>
      <c r="F93" s="3"/>
      <c r="G93" s="3"/>
      <c r="H93" s="3"/>
      <c r="I93" s="3"/>
      <c r="J93" s="3"/>
      <c r="K93" s="3"/>
      <c r="L93" s="3"/>
      <c r="M93" s="3"/>
    </row>
    <row r="94" spans="1:15" ht="14.25" customHeight="1" x14ac:dyDescent="0.4">
      <c r="A94" s="100">
        <v>4004005024</v>
      </c>
      <c r="B94" s="125" t="s">
        <v>532</v>
      </c>
      <c r="C94" s="302">
        <v>23547</v>
      </c>
      <c r="D94" s="71">
        <f>(OBSAH!$J$6/100)*Tabulka2010798455[[#This Row],[Sloupec3]]</f>
        <v>0</v>
      </c>
      <c r="E94" s="57">
        <f>Tabulka2010798455[[#This Row],[Sloupec3]]-Tabulka2010798455[[#This Row],[Sloupec4]]</f>
        <v>23547</v>
      </c>
      <c r="F94" s="3"/>
      <c r="G94" s="3"/>
      <c r="H94" s="3"/>
      <c r="I94" s="3"/>
      <c r="J94" s="3"/>
      <c r="K94" s="3"/>
      <c r="L94" s="3"/>
      <c r="M94" s="3"/>
    </row>
    <row r="95" spans="1:15" ht="14.25" customHeight="1" x14ac:dyDescent="0.4">
      <c r="A95" s="100">
        <v>4004005089</v>
      </c>
      <c r="B95" s="125" t="s">
        <v>533</v>
      </c>
      <c r="C95" s="302">
        <v>23688</v>
      </c>
      <c r="D95" s="71">
        <f>(OBSAH!$J$6/100)*Tabulka2010798455[[#This Row],[Sloupec3]]</f>
        <v>0</v>
      </c>
      <c r="E95" s="57">
        <f>Tabulka2010798455[[#This Row],[Sloupec3]]-Tabulka2010798455[[#This Row],[Sloupec4]]</f>
        <v>23688</v>
      </c>
      <c r="F95" s="3"/>
      <c r="G95" s="3"/>
      <c r="H95" s="3"/>
      <c r="I95" s="3"/>
      <c r="J95" s="3"/>
      <c r="K95" s="3"/>
      <c r="L95" s="3"/>
      <c r="M95" s="3"/>
    </row>
    <row r="96" spans="1:15" ht="14.25" customHeight="1" x14ac:dyDescent="0.4">
      <c r="A96" s="100">
        <v>4004005028</v>
      </c>
      <c r="B96" s="125" t="s">
        <v>534</v>
      </c>
      <c r="C96" s="302">
        <v>23743</v>
      </c>
      <c r="D96" s="71">
        <f>(OBSAH!$J$6/100)*Tabulka2010798455[[#This Row],[Sloupec3]]</f>
        <v>0</v>
      </c>
      <c r="E96" s="57">
        <f>Tabulka2010798455[[#This Row],[Sloupec3]]-Tabulka2010798455[[#This Row],[Sloupec4]]</f>
        <v>23743</v>
      </c>
      <c r="F96" s="3"/>
      <c r="G96" s="3"/>
      <c r="H96" s="3"/>
      <c r="I96" s="3"/>
      <c r="J96" s="3"/>
      <c r="K96" s="3"/>
      <c r="L96" s="3"/>
      <c r="M96" s="3"/>
    </row>
    <row r="97" spans="1:13" ht="14.25" customHeight="1" x14ac:dyDescent="0.4">
      <c r="A97" s="100">
        <v>4004005030</v>
      </c>
      <c r="B97" s="125" t="s">
        <v>535</v>
      </c>
      <c r="C97" s="302">
        <v>26279</v>
      </c>
      <c r="D97" s="71">
        <f>(OBSAH!$J$6/100)*Tabulka2010798455[[#This Row],[Sloupec3]]</f>
        <v>0</v>
      </c>
      <c r="E97" s="57">
        <f>Tabulka2010798455[[#This Row],[Sloupec3]]-Tabulka2010798455[[#This Row],[Sloupec4]]</f>
        <v>26279</v>
      </c>
      <c r="F97" s="3"/>
      <c r="G97" s="3"/>
      <c r="H97" s="3"/>
      <c r="I97" s="3"/>
      <c r="J97" s="3"/>
      <c r="K97" s="3"/>
      <c r="L97" s="3"/>
      <c r="M97" s="3"/>
    </row>
    <row r="98" spans="1:13" ht="14.25" customHeight="1" x14ac:dyDescent="0.4">
      <c r="A98" s="100">
        <v>4004005032</v>
      </c>
      <c r="B98" s="125" t="s">
        <v>536</v>
      </c>
      <c r="C98" s="302">
        <v>26489</v>
      </c>
      <c r="D98" s="71">
        <f>(OBSAH!$J$6/100)*Tabulka2010798455[[#This Row],[Sloupec3]]</f>
        <v>0</v>
      </c>
      <c r="E98" s="57">
        <f>Tabulka2010798455[[#This Row],[Sloupec3]]-Tabulka2010798455[[#This Row],[Sloupec4]]</f>
        <v>26489</v>
      </c>
      <c r="F98" s="3"/>
      <c r="G98" s="3"/>
      <c r="H98" s="3"/>
      <c r="I98" s="3"/>
      <c r="J98" s="3"/>
      <c r="K98" s="3"/>
      <c r="L98" s="3"/>
      <c r="M98" s="3"/>
    </row>
    <row r="99" spans="1:13" ht="14.25" customHeight="1" x14ac:dyDescent="0.4">
      <c r="A99" s="100">
        <v>4004005034</v>
      </c>
      <c r="B99" s="125" t="s">
        <v>537</v>
      </c>
      <c r="C99" s="302">
        <v>27152</v>
      </c>
      <c r="D99" s="71">
        <f>(OBSAH!$J$6/100)*Tabulka2010798455[[#This Row],[Sloupec3]]</f>
        <v>0</v>
      </c>
      <c r="E99" s="57">
        <f>Tabulka2010798455[[#This Row],[Sloupec3]]-Tabulka2010798455[[#This Row],[Sloupec4]]</f>
        <v>27152</v>
      </c>
      <c r="F99" s="3"/>
      <c r="G99" s="3"/>
      <c r="H99" s="3"/>
      <c r="I99" s="3"/>
      <c r="J99" s="3"/>
      <c r="K99" s="3"/>
      <c r="L99" s="3"/>
      <c r="M99" s="3"/>
    </row>
    <row r="100" spans="1:13" ht="14.25" customHeight="1" x14ac:dyDescent="0.4">
      <c r="A100" s="100">
        <v>4004005036</v>
      </c>
      <c r="B100" s="125" t="s">
        <v>538</v>
      </c>
      <c r="C100" s="302">
        <v>27422</v>
      </c>
      <c r="D100" s="71">
        <f>(OBSAH!$J$6/100)*Tabulka2010798455[[#This Row],[Sloupec3]]</f>
        <v>0</v>
      </c>
      <c r="E100" s="57">
        <f>Tabulka2010798455[[#This Row],[Sloupec3]]-Tabulka2010798455[[#This Row],[Sloupec4]]</f>
        <v>27422</v>
      </c>
      <c r="F100" s="3"/>
      <c r="G100" s="3"/>
      <c r="H100" s="3"/>
      <c r="I100" s="3"/>
      <c r="J100" s="3"/>
      <c r="K100" s="3"/>
      <c r="L100" s="3"/>
      <c r="M100" s="3"/>
    </row>
    <row r="101" spans="1:13" ht="14.25" customHeight="1" x14ac:dyDescent="0.4">
      <c r="A101" s="100">
        <v>4004005038</v>
      </c>
      <c r="B101" s="125" t="s">
        <v>539</v>
      </c>
      <c r="C101" s="302">
        <v>27633</v>
      </c>
      <c r="D101" s="71">
        <f>(OBSAH!$J$6/100)*Tabulka2010798455[[#This Row],[Sloupec3]]</f>
        <v>0</v>
      </c>
      <c r="E101" s="57">
        <f>Tabulka2010798455[[#This Row],[Sloupec3]]-Tabulka2010798455[[#This Row],[Sloupec4]]</f>
        <v>27633</v>
      </c>
      <c r="F101" s="3"/>
      <c r="G101" s="3"/>
      <c r="H101" s="3"/>
      <c r="I101" s="3"/>
      <c r="J101" s="3"/>
      <c r="K101" s="3"/>
      <c r="L101" s="3"/>
      <c r="M101" s="3"/>
    </row>
    <row r="102" spans="1:13" ht="14.25" customHeight="1" x14ac:dyDescent="0.4">
      <c r="A102" s="100">
        <v>4004005040</v>
      </c>
      <c r="B102" s="125" t="s">
        <v>540</v>
      </c>
      <c r="C102" s="302">
        <v>30835</v>
      </c>
      <c r="D102" s="71">
        <f>(OBSAH!$J$6/100)*Tabulka2010798455[[#This Row],[Sloupec3]]</f>
        <v>0</v>
      </c>
      <c r="E102" s="57">
        <f>Tabulka2010798455[[#This Row],[Sloupec3]]-Tabulka2010798455[[#This Row],[Sloupec4]]</f>
        <v>30835</v>
      </c>
      <c r="F102" s="3"/>
      <c r="G102" s="3"/>
      <c r="H102" s="3"/>
      <c r="I102" s="3"/>
      <c r="J102" s="3"/>
      <c r="K102" s="3"/>
      <c r="L102" s="3"/>
      <c r="M102" s="3"/>
    </row>
    <row r="103" spans="1:13" ht="14.25" customHeight="1" x14ac:dyDescent="0.4">
      <c r="A103" s="100">
        <v>4004005042</v>
      </c>
      <c r="B103" s="125" t="s">
        <v>541</v>
      </c>
      <c r="C103" s="302">
        <v>31073</v>
      </c>
      <c r="D103" s="71">
        <f>(OBSAH!$J$6/100)*Tabulka2010798455[[#This Row],[Sloupec3]]</f>
        <v>0</v>
      </c>
      <c r="E103" s="57">
        <f>Tabulka2010798455[[#This Row],[Sloupec3]]-Tabulka2010798455[[#This Row],[Sloupec4]]</f>
        <v>31073</v>
      </c>
      <c r="F103" s="3"/>
      <c r="G103" s="3"/>
      <c r="H103" s="3"/>
      <c r="I103" s="3"/>
      <c r="J103" s="3"/>
      <c r="K103" s="3"/>
      <c r="L103" s="3"/>
      <c r="M103" s="3"/>
    </row>
    <row r="104" spans="1:13" ht="14.25" customHeight="1" x14ac:dyDescent="0.4">
      <c r="A104" s="100">
        <v>4004005044</v>
      </c>
      <c r="B104" s="125" t="s">
        <v>542</v>
      </c>
      <c r="C104" s="302">
        <v>31738</v>
      </c>
      <c r="D104" s="71">
        <f>(OBSAH!$J$6/100)*Tabulka2010798455[[#This Row],[Sloupec3]]</f>
        <v>0</v>
      </c>
      <c r="E104" s="57">
        <f>Tabulka2010798455[[#This Row],[Sloupec3]]-Tabulka2010798455[[#This Row],[Sloupec4]]</f>
        <v>31738</v>
      </c>
      <c r="F104" s="3"/>
      <c r="G104" s="3"/>
      <c r="H104" s="3"/>
      <c r="I104" s="3"/>
      <c r="J104" s="3"/>
      <c r="K104" s="3"/>
      <c r="L104" s="3"/>
      <c r="M104" s="3"/>
    </row>
    <row r="105" spans="1:13" ht="14.25" customHeight="1" x14ac:dyDescent="0.4">
      <c r="A105" s="100">
        <v>4004005047</v>
      </c>
      <c r="B105" s="125" t="s">
        <v>543</v>
      </c>
      <c r="C105" s="302">
        <v>32007</v>
      </c>
      <c r="D105" s="71">
        <f>(OBSAH!$J$6/100)*Tabulka2010798455[[#This Row],[Sloupec3]]</f>
        <v>0</v>
      </c>
      <c r="E105" s="57">
        <f>Tabulka2010798455[[#This Row],[Sloupec3]]-Tabulka2010798455[[#This Row],[Sloupec4]]</f>
        <v>32007</v>
      </c>
      <c r="F105" s="3"/>
      <c r="G105" s="3"/>
      <c r="H105" s="3"/>
      <c r="I105" s="3"/>
      <c r="J105" s="3"/>
      <c r="K105" s="3"/>
      <c r="L105" s="3"/>
      <c r="M105" s="3"/>
    </row>
    <row r="106" spans="1:13" ht="14.25" customHeight="1" x14ac:dyDescent="0.4">
      <c r="A106" s="100">
        <v>4004005049</v>
      </c>
      <c r="B106" s="125" t="s">
        <v>544</v>
      </c>
      <c r="C106" s="302">
        <v>32214</v>
      </c>
      <c r="D106" s="71">
        <f>(OBSAH!$J$6/100)*Tabulka2010798455[[#This Row],[Sloupec3]]</f>
        <v>0</v>
      </c>
      <c r="E106" s="57">
        <f>Tabulka2010798455[[#This Row],[Sloupec3]]-Tabulka2010798455[[#This Row],[Sloupec4]]</f>
        <v>32214</v>
      </c>
      <c r="F106" s="3"/>
      <c r="G106" s="3"/>
      <c r="H106" s="3"/>
      <c r="I106" s="3"/>
      <c r="J106" s="3"/>
      <c r="K106" s="3"/>
      <c r="L106" s="3"/>
      <c r="M106" s="3"/>
    </row>
    <row r="107" spans="1:13" ht="14.25" customHeight="1" x14ac:dyDescent="0.4">
      <c r="A107" s="100">
        <v>4004005051</v>
      </c>
      <c r="B107" s="125" t="s">
        <v>545</v>
      </c>
      <c r="C107" s="302">
        <v>34997</v>
      </c>
      <c r="D107" s="71">
        <f>(OBSAH!$J$6/100)*Tabulka2010798455[[#This Row],[Sloupec3]]</f>
        <v>0</v>
      </c>
      <c r="E107" s="57">
        <f>Tabulka2010798455[[#This Row],[Sloupec3]]-Tabulka2010798455[[#This Row],[Sloupec4]]</f>
        <v>34997</v>
      </c>
      <c r="F107" s="3"/>
      <c r="G107" s="3"/>
      <c r="H107" s="3"/>
      <c r="I107" s="3"/>
      <c r="J107" s="3"/>
      <c r="K107" s="3"/>
      <c r="L107" s="3"/>
      <c r="M107" s="3"/>
    </row>
    <row r="108" spans="1:13" ht="14.25" customHeight="1" x14ac:dyDescent="0.4">
      <c r="A108" s="100">
        <v>4004005053</v>
      </c>
      <c r="B108" s="125" t="s">
        <v>546</v>
      </c>
      <c r="C108" s="302">
        <v>35238</v>
      </c>
      <c r="D108" s="71">
        <f>(OBSAH!$J$6/100)*Tabulka2010798455[[#This Row],[Sloupec3]]</f>
        <v>0</v>
      </c>
      <c r="E108" s="57">
        <f>Tabulka2010798455[[#This Row],[Sloupec3]]-Tabulka2010798455[[#This Row],[Sloupec4]]</f>
        <v>35238</v>
      </c>
      <c r="F108" s="3"/>
      <c r="G108" s="3"/>
      <c r="H108" s="3"/>
      <c r="I108" s="3"/>
      <c r="J108" s="3"/>
      <c r="K108" s="3"/>
      <c r="L108" s="3"/>
      <c r="M108" s="3"/>
    </row>
    <row r="109" spans="1:13" ht="14.25" customHeight="1" x14ac:dyDescent="0.4">
      <c r="A109" s="100">
        <v>4004005055</v>
      </c>
      <c r="B109" s="125" t="s">
        <v>547</v>
      </c>
      <c r="C109" s="302">
        <v>35903</v>
      </c>
      <c r="D109" s="71">
        <f>(OBSAH!$J$6/100)*Tabulka2010798455[[#This Row],[Sloupec3]]</f>
        <v>0</v>
      </c>
      <c r="E109" s="57">
        <f>Tabulka2010798455[[#This Row],[Sloupec3]]-Tabulka2010798455[[#This Row],[Sloupec4]]</f>
        <v>35903</v>
      </c>
      <c r="F109" s="3"/>
      <c r="G109" s="3"/>
      <c r="H109" s="3"/>
      <c r="I109" s="3"/>
      <c r="J109" s="3"/>
      <c r="K109" s="3"/>
      <c r="L109" s="3"/>
      <c r="M109" s="3"/>
    </row>
    <row r="110" spans="1:13" ht="14.25" customHeight="1" x14ac:dyDescent="0.4">
      <c r="A110" s="100">
        <v>4004005057</v>
      </c>
      <c r="B110" s="125" t="s">
        <v>548</v>
      </c>
      <c r="C110" s="302">
        <v>36170</v>
      </c>
      <c r="D110" s="71">
        <f>(OBSAH!$J$6/100)*Tabulka2010798455[[#This Row],[Sloupec3]]</f>
        <v>0</v>
      </c>
      <c r="E110" s="57">
        <f>Tabulka2010798455[[#This Row],[Sloupec3]]-Tabulka2010798455[[#This Row],[Sloupec4]]</f>
        <v>36170</v>
      </c>
      <c r="F110" s="3"/>
      <c r="G110" s="3"/>
      <c r="H110" s="3"/>
      <c r="I110" s="3"/>
      <c r="J110" s="3"/>
      <c r="K110" s="3"/>
      <c r="L110" s="3"/>
      <c r="M110" s="3"/>
    </row>
    <row r="111" spans="1:13" ht="14.25" customHeight="1" x14ac:dyDescent="0.4">
      <c r="A111" s="100">
        <v>4004005059</v>
      </c>
      <c r="B111" s="125" t="s">
        <v>549</v>
      </c>
      <c r="C111" s="302">
        <v>36381</v>
      </c>
      <c r="D111" s="71">
        <f>(OBSAH!$J$6/100)*Tabulka2010798455[[#This Row],[Sloupec3]]</f>
        <v>0</v>
      </c>
      <c r="E111" s="57">
        <f>Tabulka2010798455[[#This Row],[Sloupec3]]-Tabulka2010798455[[#This Row],[Sloupec4]]</f>
        <v>36381</v>
      </c>
      <c r="F111" s="3"/>
      <c r="G111" s="3"/>
      <c r="H111" s="3"/>
      <c r="I111" s="3"/>
      <c r="J111" s="3"/>
      <c r="K111" s="3"/>
      <c r="L111" s="3"/>
      <c r="M111" s="3"/>
    </row>
    <row r="112" spans="1:13" ht="14.25" customHeight="1" x14ac:dyDescent="0.4">
      <c r="A112" s="100">
        <v>4004005061</v>
      </c>
      <c r="B112" s="125" t="s">
        <v>550</v>
      </c>
      <c r="C112" s="302">
        <v>39562</v>
      </c>
      <c r="D112" s="71">
        <f>(OBSAH!$J$6/100)*Tabulka2010798455[[#This Row],[Sloupec3]]</f>
        <v>0</v>
      </c>
      <c r="E112" s="57">
        <f>Tabulka2010798455[[#This Row],[Sloupec3]]-Tabulka2010798455[[#This Row],[Sloupec4]]</f>
        <v>39562</v>
      </c>
      <c r="F112" s="3"/>
      <c r="G112" s="3"/>
      <c r="H112" s="3"/>
      <c r="I112" s="3"/>
      <c r="J112" s="3"/>
      <c r="K112" s="3"/>
      <c r="L112" s="3"/>
      <c r="M112" s="3"/>
    </row>
    <row r="113" spans="1:15" ht="14.25" customHeight="1" x14ac:dyDescent="0.4">
      <c r="A113" s="100">
        <v>4004005063</v>
      </c>
      <c r="B113" s="125" t="s">
        <v>551</v>
      </c>
      <c r="C113" s="302">
        <v>39772</v>
      </c>
      <c r="D113" s="71">
        <f>(OBSAH!$J$6/100)*Tabulka2010798455[[#This Row],[Sloupec3]]</f>
        <v>0</v>
      </c>
      <c r="E113" s="57">
        <f>Tabulka2010798455[[#This Row],[Sloupec3]]-Tabulka2010798455[[#This Row],[Sloupec4]]</f>
        <v>39772</v>
      </c>
      <c r="F113" s="3"/>
      <c r="G113" s="3"/>
      <c r="H113" s="3"/>
      <c r="I113" s="3"/>
      <c r="J113" s="3"/>
      <c r="K113" s="3"/>
      <c r="L113" s="3"/>
      <c r="M113" s="3"/>
    </row>
    <row r="114" spans="1:15" ht="14.25" customHeight="1" x14ac:dyDescent="0.4">
      <c r="A114" s="100">
        <v>4004005065</v>
      </c>
      <c r="B114" s="125" t="s">
        <v>552</v>
      </c>
      <c r="C114" s="302">
        <v>40439</v>
      </c>
      <c r="D114" s="71">
        <f>(OBSAH!$J$6/100)*Tabulka2010798455[[#This Row],[Sloupec3]]</f>
        <v>0</v>
      </c>
      <c r="E114" s="57">
        <f>Tabulka2010798455[[#This Row],[Sloupec3]]-Tabulka2010798455[[#This Row],[Sloupec4]]</f>
        <v>40439</v>
      </c>
      <c r="F114" s="3"/>
      <c r="G114" s="3"/>
      <c r="H114" s="3"/>
      <c r="I114" s="3"/>
      <c r="J114" s="3"/>
      <c r="K114" s="3"/>
      <c r="L114" s="3"/>
      <c r="M114" s="3"/>
    </row>
    <row r="115" spans="1:15" ht="14.25" customHeight="1" x14ac:dyDescent="0.4">
      <c r="A115" s="100">
        <v>4004005068</v>
      </c>
      <c r="B115" s="125" t="s">
        <v>553</v>
      </c>
      <c r="C115" s="302">
        <v>40705</v>
      </c>
      <c r="D115" s="71">
        <f>(OBSAH!$J$6/100)*Tabulka2010798455[[#This Row],[Sloupec3]]</f>
        <v>0</v>
      </c>
      <c r="E115" s="57">
        <f>Tabulka2010798455[[#This Row],[Sloupec3]]-Tabulka2010798455[[#This Row],[Sloupec4]]</f>
        <v>40705</v>
      </c>
      <c r="F115" s="3"/>
      <c r="G115" s="3"/>
      <c r="H115" s="3"/>
      <c r="I115" s="3"/>
      <c r="J115" s="3"/>
      <c r="K115" s="3"/>
      <c r="L115" s="3"/>
      <c r="M115" s="3"/>
    </row>
    <row r="116" spans="1:15" ht="14.25" customHeight="1" x14ac:dyDescent="0.4">
      <c r="A116" s="101">
        <v>4004005070</v>
      </c>
      <c r="B116" s="102" t="s">
        <v>554</v>
      </c>
      <c r="C116" s="303">
        <v>40917</v>
      </c>
      <c r="D116" s="68">
        <f>(OBSAH!$J$6/100)*Tabulka2010798455[[#This Row],[Sloupec3]]</f>
        <v>0</v>
      </c>
      <c r="E116" s="58">
        <f>Tabulka2010798455[[#This Row],[Sloupec3]]-Tabulka2010798455[[#This Row],[Sloupec4]]</f>
        <v>40917</v>
      </c>
      <c r="F116" s="3"/>
      <c r="G116" s="3"/>
      <c r="H116" s="3"/>
      <c r="I116" s="3"/>
      <c r="J116" s="3"/>
      <c r="K116" s="3"/>
      <c r="L116" s="3"/>
      <c r="M116" s="3"/>
    </row>
    <row r="117" spans="1:15" ht="15" customHeight="1" x14ac:dyDescent="0.4">
      <c r="A117" s="83"/>
      <c r="B117" s="84"/>
      <c r="C117" s="85"/>
      <c r="D117" s="61"/>
      <c r="E117" s="62"/>
      <c r="F117" s="3"/>
      <c r="G117" s="3"/>
      <c r="H117" s="3"/>
      <c r="I117" s="3"/>
      <c r="J117" s="3"/>
      <c r="K117" s="3"/>
      <c r="L117" s="3"/>
      <c r="M117" s="3"/>
    </row>
    <row r="118" spans="1:15" ht="22.5" customHeight="1" x14ac:dyDescent="0.4">
      <c r="A118" s="458" t="s">
        <v>91</v>
      </c>
      <c r="B118" s="458"/>
      <c r="C118" s="458"/>
      <c r="D118" s="458"/>
      <c r="E118" s="458"/>
      <c r="F118" s="3"/>
      <c r="G118" s="3"/>
      <c r="H118" s="3"/>
      <c r="I118" s="3"/>
      <c r="J118" s="3"/>
      <c r="K118" s="3"/>
      <c r="L118" s="3"/>
      <c r="M118" s="3"/>
    </row>
    <row r="119" spans="1:15" s="44" customFormat="1" ht="22.5" customHeight="1" x14ac:dyDescent="0.3">
      <c r="A119" s="107" t="s">
        <v>56</v>
      </c>
      <c r="B119" s="107" t="s">
        <v>57</v>
      </c>
      <c r="C119" s="108" t="s">
        <v>58</v>
      </c>
      <c r="D119" s="108" t="s">
        <v>59</v>
      </c>
      <c r="E119" s="109" t="s">
        <v>60</v>
      </c>
      <c r="F119" s="42"/>
      <c r="G119" s="42"/>
      <c r="H119" s="42"/>
      <c r="I119" s="42"/>
      <c r="J119" s="42"/>
      <c r="K119" s="42"/>
      <c r="L119" s="42"/>
      <c r="M119" s="42"/>
      <c r="O119" s="1"/>
    </row>
    <row r="120" spans="1:15" ht="14.25" customHeight="1" x14ac:dyDescent="0.4">
      <c r="A120" s="98">
        <v>4004005086</v>
      </c>
      <c r="B120" s="99" t="s">
        <v>555</v>
      </c>
      <c r="C120" s="298">
        <v>17912</v>
      </c>
      <c r="D120" s="69">
        <f>(OBSAH!$J$6/100)*Tabulka201079838556[[#This Row],[Sloupec3]]</f>
        <v>0</v>
      </c>
      <c r="E120" s="70">
        <f>Tabulka201079838556[[#This Row],[Sloupec3]]-Tabulka201079838556[[#This Row],[Sloupec4]]</f>
        <v>17912</v>
      </c>
      <c r="F120" s="3"/>
      <c r="G120" s="3"/>
      <c r="H120" s="3"/>
      <c r="I120" s="3"/>
      <c r="J120" s="3"/>
      <c r="K120" s="3"/>
      <c r="L120" s="3"/>
      <c r="M120" s="3"/>
    </row>
    <row r="121" spans="1:15" ht="14.25" customHeight="1" x14ac:dyDescent="0.4">
      <c r="A121" s="100">
        <v>4004005108</v>
      </c>
      <c r="B121" s="125" t="s">
        <v>556</v>
      </c>
      <c r="C121" s="299">
        <v>18247</v>
      </c>
      <c r="D121" s="71">
        <f>(OBSAH!$J$6/100)*Tabulka201079838556[[#This Row],[Sloupec3]]</f>
        <v>0</v>
      </c>
      <c r="E121" s="57">
        <f>Tabulka201079838556[[#This Row],[Sloupec3]]-Tabulka201079838556[[#This Row],[Sloupec4]]</f>
        <v>18247</v>
      </c>
      <c r="F121" s="3"/>
      <c r="G121" s="3"/>
      <c r="H121" s="3"/>
      <c r="I121" s="3"/>
      <c r="J121" s="3"/>
      <c r="K121" s="3"/>
      <c r="L121" s="3"/>
      <c r="M121" s="3"/>
    </row>
    <row r="122" spans="1:15" ht="14.25" customHeight="1" x14ac:dyDescent="0.4">
      <c r="A122" s="100">
        <v>4004005127</v>
      </c>
      <c r="B122" s="125" t="s">
        <v>557</v>
      </c>
      <c r="C122" s="299">
        <v>18450</v>
      </c>
      <c r="D122" s="71">
        <f>(OBSAH!$J$6/100)*Tabulka201079838556[[#This Row],[Sloupec3]]</f>
        <v>0</v>
      </c>
      <c r="E122" s="57">
        <f>Tabulka201079838556[[#This Row],[Sloupec3]]-Tabulka201079838556[[#This Row],[Sloupec4]]</f>
        <v>18450</v>
      </c>
      <c r="F122" s="3"/>
      <c r="G122" s="3"/>
      <c r="H122" s="3"/>
      <c r="I122" s="3"/>
      <c r="J122" s="3"/>
      <c r="K122" s="3"/>
      <c r="L122" s="3"/>
      <c r="M122" s="3"/>
    </row>
    <row r="123" spans="1:15" ht="14.25" customHeight="1" x14ac:dyDescent="0.4">
      <c r="A123" s="100">
        <v>4004005148</v>
      </c>
      <c r="B123" s="125" t="s">
        <v>558</v>
      </c>
      <c r="C123" s="299">
        <v>18626</v>
      </c>
      <c r="D123" s="71">
        <f>(OBSAH!$J$6/100)*Tabulka201079838556[[#This Row],[Sloupec3]]</f>
        <v>0</v>
      </c>
      <c r="E123" s="57">
        <f>Tabulka201079838556[[#This Row],[Sloupec3]]-Tabulka201079838556[[#This Row],[Sloupec4]]</f>
        <v>18626</v>
      </c>
      <c r="F123" s="3"/>
      <c r="G123" s="3"/>
      <c r="H123" s="3"/>
      <c r="I123" s="3"/>
      <c r="J123" s="3"/>
      <c r="K123" s="3"/>
      <c r="L123" s="3"/>
      <c r="M123" s="3"/>
    </row>
    <row r="124" spans="1:15" ht="14.25" customHeight="1" x14ac:dyDescent="0.4">
      <c r="A124" s="100">
        <v>4004005077</v>
      </c>
      <c r="B124" s="125" t="s">
        <v>559</v>
      </c>
      <c r="C124" s="299">
        <v>19419</v>
      </c>
      <c r="D124" s="71">
        <f>(OBSAH!$J$6/100)*Tabulka201079838556[[#This Row],[Sloupec3]]</f>
        <v>0</v>
      </c>
      <c r="E124" s="57">
        <f>Tabulka201079838556[[#This Row],[Sloupec3]]-Tabulka201079838556[[#This Row],[Sloupec4]]</f>
        <v>19419</v>
      </c>
      <c r="F124" s="3"/>
      <c r="G124" s="3"/>
      <c r="H124" s="3"/>
      <c r="I124" s="3"/>
      <c r="J124" s="3"/>
      <c r="K124" s="3"/>
      <c r="L124" s="3"/>
      <c r="M124" s="3"/>
    </row>
    <row r="125" spans="1:15" ht="14.25" customHeight="1" x14ac:dyDescent="0.4">
      <c r="A125" s="100">
        <v>4004005079</v>
      </c>
      <c r="B125" s="125" t="s">
        <v>560</v>
      </c>
      <c r="C125" s="299">
        <v>19626</v>
      </c>
      <c r="D125" s="71">
        <f>(OBSAH!$J$6/100)*Tabulka201079838556[[#This Row],[Sloupec3]]</f>
        <v>0</v>
      </c>
      <c r="E125" s="57">
        <f>Tabulka201079838556[[#This Row],[Sloupec3]]-Tabulka201079838556[[#This Row],[Sloupec4]]</f>
        <v>19626</v>
      </c>
      <c r="F125" s="3"/>
      <c r="G125" s="3"/>
      <c r="H125" s="3"/>
      <c r="I125" s="3"/>
      <c r="J125" s="3"/>
      <c r="K125" s="3"/>
      <c r="L125" s="3"/>
      <c r="M125" s="3"/>
    </row>
    <row r="126" spans="1:15" ht="14.25" customHeight="1" x14ac:dyDescent="0.4">
      <c r="A126" s="100">
        <v>4004005081</v>
      </c>
      <c r="B126" s="125" t="s">
        <v>561</v>
      </c>
      <c r="C126" s="299">
        <v>22833</v>
      </c>
      <c r="D126" s="71">
        <f>(OBSAH!$J$6/100)*Tabulka201079838556[[#This Row],[Sloupec3]]</f>
        <v>0</v>
      </c>
      <c r="E126" s="57">
        <f>Tabulka201079838556[[#This Row],[Sloupec3]]-Tabulka201079838556[[#This Row],[Sloupec4]]</f>
        <v>22833</v>
      </c>
      <c r="F126" s="3"/>
      <c r="G126" s="3"/>
      <c r="H126" s="3"/>
      <c r="I126" s="3"/>
      <c r="J126" s="3"/>
      <c r="K126" s="3"/>
      <c r="L126" s="3"/>
      <c r="M126" s="3"/>
    </row>
    <row r="127" spans="1:15" ht="14.25" customHeight="1" x14ac:dyDescent="0.4">
      <c r="A127" s="100">
        <v>4004005083</v>
      </c>
      <c r="B127" s="125" t="s">
        <v>562</v>
      </c>
      <c r="C127" s="299">
        <v>23041</v>
      </c>
      <c r="D127" s="71">
        <f>(OBSAH!$J$6/100)*Tabulka201079838556[[#This Row],[Sloupec3]]</f>
        <v>0</v>
      </c>
      <c r="E127" s="57">
        <f>Tabulka201079838556[[#This Row],[Sloupec3]]-Tabulka201079838556[[#This Row],[Sloupec4]]</f>
        <v>23041</v>
      </c>
      <c r="F127" s="3"/>
      <c r="G127" s="3"/>
      <c r="H127" s="3"/>
      <c r="I127" s="3"/>
      <c r="J127" s="3"/>
      <c r="K127" s="3"/>
      <c r="L127" s="3"/>
      <c r="M127" s="3"/>
    </row>
    <row r="128" spans="1:15" ht="14.25" customHeight="1" x14ac:dyDescent="0.4">
      <c r="A128" s="100">
        <v>4004005085</v>
      </c>
      <c r="B128" s="125" t="s">
        <v>563</v>
      </c>
      <c r="C128" s="299">
        <v>23988</v>
      </c>
      <c r="D128" s="71">
        <f>(OBSAH!$J$6/100)*Tabulka201079838556[[#This Row],[Sloupec3]]</f>
        <v>0</v>
      </c>
      <c r="E128" s="57">
        <f>Tabulka201079838556[[#This Row],[Sloupec3]]-Tabulka201079838556[[#This Row],[Sloupec4]]</f>
        <v>23988</v>
      </c>
      <c r="F128" s="3"/>
      <c r="G128" s="3"/>
      <c r="H128" s="3"/>
      <c r="I128" s="3"/>
      <c r="J128" s="3"/>
      <c r="K128" s="3"/>
      <c r="L128" s="3"/>
      <c r="M128" s="3"/>
    </row>
    <row r="129" spans="1:13" ht="14.25" customHeight="1" x14ac:dyDescent="0.4">
      <c r="A129" s="100">
        <v>4004005088</v>
      </c>
      <c r="B129" s="125" t="s">
        <v>564</v>
      </c>
      <c r="C129" s="299">
        <v>24129</v>
      </c>
      <c r="D129" s="71">
        <f>(OBSAH!$J$6/100)*Tabulka201079838556[[#This Row],[Sloupec3]]</f>
        <v>0</v>
      </c>
      <c r="E129" s="57">
        <f>Tabulka201079838556[[#This Row],[Sloupec3]]-Tabulka201079838556[[#This Row],[Sloupec4]]</f>
        <v>24129</v>
      </c>
      <c r="F129" s="3"/>
      <c r="G129" s="3"/>
      <c r="H129" s="3"/>
      <c r="I129" s="3"/>
      <c r="J129" s="3"/>
      <c r="K129" s="3"/>
      <c r="L129" s="3"/>
      <c r="M129" s="3"/>
    </row>
    <row r="130" spans="1:13" ht="14.25" customHeight="1" x14ac:dyDescent="0.4">
      <c r="A130" s="100">
        <v>4004005091</v>
      </c>
      <c r="B130" s="125" t="s">
        <v>565</v>
      </c>
      <c r="C130" s="299">
        <v>24184</v>
      </c>
      <c r="D130" s="71">
        <f>(OBSAH!$J$6/100)*Tabulka201079838556[[#This Row],[Sloupec3]]</f>
        <v>0</v>
      </c>
      <c r="E130" s="57">
        <f>Tabulka201079838556[[#This Row],[Sloupec3]]-Tabulka201079838556[[#This Row],[Sloupec4]]</f>
        <v>24184</v>
      </c>
      <c r="F130" s="3"/>
      <c r="G130" s="3"/>
      <c r="H130" s="3"/>
      <c r="I130" s="3"/>
      <c r="J130" s="3"/>
      <c r="K130" s="3"/>
      <c r="L130" s="3"/>
      <c r="M130" s="3"/>
    </row>
    <row r="131" spans="1:13" ht="14.25" customHeight="1" x14ac:dyDescent="0.4">
      <c r="A131" s="100">
        <v>4004005093</v>
      </c>
      <c r="B131" s="125" t="s">
        <v>566</v>
      </c>
      <c r="C131" s="299">
        <v>26719</v>
      </c>
      <c r="D131" s="71">
        <f>(OBSAH!$J$6/100)*Tabulka201079838556[[#This Row],[Sloupec3]]</f>
        <v>0</v>
      </c>
      <c r="E131" s="57">
        <f>Tabulka201079838556[[#This Row],[Sloupec3]]-Tabulka201079838556[[#This Row],[Sloupec4]]</f>
        <v>26719</v>
      </c>
      <c r="F131" s="3"/>
      <c r="G131" s="3"/>
      <c r="H131" s="3"/>
      <c r="I131" s="3"/>
      <c r="J131" s="3"/>
      <c r="K131" s="3"/>
      <c r="L131" s="3"/>
      <c r="M131" s="3"/>
    </row>
    <row r="132" spans="1:13" ht="14.25" customHeight="1" x14ac:dyDescent="0.4">
      <c r="A132" s="100">
        <v>4004005095</v>
      </c>
      <c r="B132" s="125" t="s">
        <v>567</v>
      </c>
      <c r="C132" s="299">
        <v>26930</v>
      </c>
      <c r="D132" s="71">
        <f>(OBSAH!$J$6/100)*Tabulka201079838556[[#This Row],[Sloupec3]]</f>
        <v>0</v>
      </c>
      <c r="E132" s="57">
        <f>Tabulka201079838556[[#This Row],[Sloupec3]]-Tabulka201079838556[[#This Row],[Sloupec4]]</f>
        <v>26930</v>
      </c>
      <c r="F132" s="3"/>
      <c r="G132" s="3"/>
      <c r="H132" s="3"/>
      <c r="I132" s="3"/>
      <c r="J132" s="3"/>
      <c r="K132" s="3"/>
      <c r="L132" s="3"/>
      <c r="M132" s="3"/>
    </row>
    <row r="133" spans="1:13" ht="14.25" customHeight="1" x14ac:dyDescent="0.4">
      <c r="A133" s="100">
        <v>4004005097</v>
      </c>
      <c r="B133" s="125" t="s">
        <v>568</v>
      </c>
      <c r="C133" s="299">
        <v>27594</v>
      </c>
      <c r="D133" s="71">
        <f>(OBSAH!$J$6/100)*Tabulka201079838556[[#This Row],[Sloupec3]]</f>
        <v>0</v>
      </c>
      <c r="E133" s="57">
        <f>Tabulka201079838556[[#This Row],[Sloupec3]]-Tabulka201079838556[[#This Row],[Sloupec4]]</f>
        <v>27594</v>
      </c>
      <c r="F133" s="3"/>
      <c r="G133" s="3"/>
      <c r="H133" s="3"/>
      <c r="I133" s="3"/>
      <c r="J133" s="3"/>
      <c r="K133" s="3"/>
      <c r="L133" s="3"/>
      <c r="M133" s="3"/>
    </row>
    <row r="134" spans="1:13" ht="14.25" customHeight="1" x14ac:dyDescent="0.4">
      <c r="A134" s="100">
        <v>4004005099</v>
      </c>
      <c r="B134" s="125" t="s">
        <v>569</v>
      </c>
      <c r="C134" s="299">
        <v>27862</v>
      </c>
      <c r="D134" s="71">
        <f>(OBSAH!$J$6/100)*Tabulka201079838556[[#This Row],[Sloupec3]]</f>
        <v>0</v>
      </c>
      <c r="E134" s="57">
        <f>Tabulka201079838556[[#This Row],[Sloupec3]]-Tabulka201079838556[[#This Row],[Sloupec4]]</f>
        <v>27862</v>
      </c>
      <c r="F134" s="3"/>
      <c r="G134" s="3"/>
      <c r="H134" s="3"/>
      <c r="I134" s="3"/>
      <c r="J134" s="3"/>
      <c r="K134" s="3"/>
      <c r="L134" s="3"/>
      <c r="M134" s="3"/>
    </row>
    <row r="135" spans="1:13" ht="14.25" customHeight="1" x14ac:dyDescent="0.4">
      <c r="A135" s="100">
        <v>4004005101</v>
      </c>
      <c r="B135" s="125" t="s">
        <v>570</v>
      </c>
      <c r="C135" s="299">
        <v>28191</v>
      </c>
      <c r="D135" s="71">
        <f>(OBSAH!$J$6/100)*Tabulka201079838556[[#This Row],[Sloupec3]]</f>
        <v>0</v>
      </c>
      <c r="E135" s="57">
        <f>Tabulka201079838556[[#This Row],[Sloupec3]]-Tabulka201079838556[[#This Row],[Sloupec4]]</f>
        <v>28191</v>
      </c>
      <c r="F135" s="3"/>
      <c r="G135" s="3"/>
      <c r="H135" s="3"/>
      <c r="I135" s="3"/>
      <c r="J135" s="3"/>
      <c r="K135" s="3"/>
      <c r="L135" s="3"/>
      <c r="M135" s="3"/>
    </row>
    <row r="136" spans="1:13" ht="14.25" customHeight="1" x14ac:dyDescent="0.4">
      <c r="A136" s="100">
        <v>4004005103</v>
      </c>
      <c r="B136" s="125" t="s">
        <v>571</v>
      </c>
      <c r="C136" s="299">
        <v>31276</v>
      </c>
      <c r="D136" s="71">
        <f>(OBSAH!$J$6/100)*Tabulka201079838556[[#This Row],[Sloupec3]]</f>
        <v>0</v>
      </c>
      <c r="E136" s="57">
        <f>Tabulka201079838556[[#This Row],[Sloupec3]]-Tabulka201079838556[[#This Row],[Sloupec4]]</f>
        <v>31276</v>
      </c>
      <c r="F136" s="3"/>
      <c r="G136" s="3"/>
      <c r="H136" s="3"/>
      <c r="I136" s="3"/>
      <c r="J136" s="3"/>
      <c r="K136" s="3"/>
      <c r="L136" s="3"/>
      <c r="M136" s="3"/>
    </row>
    <row r="137" spans="1:13" ht="14.25" customHeight="1" x14ac:dyDescent="0.4">
      <c r="A137" s="100">
        <v>4004005105</v>
      </c>
      <c r="B137" s="125" t="s">
        <v>572</v>
      </c>
      <c r="C137" s="299">
        <v>31514</v>
      </c>
      <c r="D137" s="71">
        <f>(OBSAH!$J$6/100)*Tabulka201079838556[[#This Row],[Sloupec3]]</f>
        <v>0</v>
      </c>
      <c r="E137" s="57">
        <f>Tabulka201079838556[[#This Row],[Sloupec3]]-Tabulka201079838556[[#This Row],[Sloupec4]]</f>
        <v>31514</v>
      </c>
      <c r="F137" s="3"/>
      <c r="G137" s="3"/>
      <c r="H137" s="3"/>
      <c r="I137" s="3"/>
      <c r="J137" s="3"/>
      <c r="K137" s="3"/>
      <c r="L137" s="3"/>
      <c r="M137" s="3"/>
    </row>
    <row r="138" spans="1:13" ht="14.25" customHeight="1" x14ac:dyDescent="0.4">
      <c r="A138" s="100">
        <v>4004005107</v>
      </c>
      <c r="B138" s="125" t="s">
        <v>573</v>
      </c>
      <c r="C138" s="299">
        <v>32179</v>
      </c>
      <c r="D138" s="71">
        <f>(OBSAH!$J$6/100)*Tabulka201079838556[[#This Row],[Sloupec3]]</f>
        <v>0</v>
      </c>
      <c r="E138" s="57">
        <f>Tabulka201079838556[[#This Row],[Sloupec3]]-Tabulka201079838556[[#This Row],[Sloupec4]]</f>
        <v>32179</v>
      </c>
      <c r="F138" s="3"/>
      <c r="G138" s="3"/>
      <c r="H138" s="3"/>
      <c r="I138" s="3"/>
      <c r="J138" s="3"/>
      <c r="K138" s="3"/>
      <c r="L138" s="3"/>
      <c r="M138" s="3"/>
    </row>
    <row r="139" spans="1:13" ht="14.25" customHeight="1" x14ac:dyDescent="0.4">
      <c r="A139" s="100">
        <v>4004005110</v>
      </c>
      <c r="B139" s="125" t="s">
        <v>574</v>
      </c>
      <c r="C139" s="299">
        <v>32448</v>
      </c>
      <c r="D139" s="71">
        <f>(OBSAH!$J$6/100)*Tabulka201079838556[[#This Row],[Sloupec3]]</f>
        <v>0</v>
      </c>
      <c r="E139" s="57">
        <f>Tabulka201079838556[[#This Row],[Sloupec3]]-Tabulka201079838556[[#This Row],[Sloupec4]]</f>
        <v>32448</v>
      </c>
      <c r="F139" s="3"/>
      <c r="G139" s="3"/>
      <c r="H139" s="3"/>
      <c r="I139" s="3"/>
      <c r="J139" s="3"/>
      <c r="K139" s="3"/>
      <c r="L139" s="3"/>
      <c r="M139" s="3"/>
    </row>
    <row r="140" spans="1:13" ht="14.25" customHeight="1" x14ac:dyDescent="0.4">
      <c r="A140" s="100">
        <v>4004005112</v>
      </c>
      <c r="B140" s="125" t="s">
        <v>575</v>
      </c>
      <c r="C140" s="299">
        <v>32657</v>
      </c>
      <c r="D140" s="71">
        <f>(OBSAH!$J$6/100)*Tabulka201079838556[[#This Row],[Sloupec3]]</f>
        <v>0</v>
      </c>
      <c r="E140" s="57">
        <f>Tabulka201079838556[[#This Row],[Sloupec3]]-Tabulka201079838556[[#This Row],[Sloupec4]]</f>
        <v>32657</v>
      </c>
      <c r="F140" s="3"/>
      <c r="G140" s="3"/>
      <c r="H140" s="3"/>
      <c r="I140" s="3"/>
      <c r="J140" s="3"/>
      <c r="K140" s="3"/>
      <c r="L140" s="3"/>
      <c r="M140" s="3"/>
    </row>
    <row r="141" spans="1:13" ht="14.25" customHeight="1" x14ac:dyDescent="0.4">
      <c r="A141" s="100">
        <v>4004005114</v>
      </c>
      <c r="B141" s="125" t="s">
        <v>576</v>
      </c>
      <c r="C141" s="299">
        <v>35439</v>
      </c>
      <c r="D141" s="71">
        <f>(OBSAH!$J$6/100)*Tabulka201079838556[[#This Row],[Sloupec3]]</f>
        <v>0</v>
      </c>
      <c r="E141" s="57">
        <f>Tabulka201079838556[[#This Row],[Sloupec3]]-Tabulka201079838556[[#This Row],[Sloupec4]]</f>
        <v>35439</v>
      </c>
      <c r="F141" s="3"/>
      <c r="G141" s="3"/>
      <c r="H141" s="3"/>
      <c r="I141" s="3"/>
      <c r="J141" s="3"/>
      <c r="K141" s="3"/>
      <c r="L141" s="3"/>
      <c r="M141" s="3"/>
    </row>
    <row r="142" spans="1:13" ht="14.25" customHeight="1" x14ac:dyDescent="0.4">
      <c r="A142" s="100">
        <v>4004005116</v>
      </c>
      <c r="B142" s="125" t="s">
        <v>577</v>
      </c>
      <c r="C142" s="299">
        <v>35678</v>
      </c>
      <c r="D142" s="71">
        <f>(OBSAH!$J$6/100)*Tabulka201079838556[[#This Row],[Sloupec3]]</f>
        <v>0</v>
      </c>
      <c r="E142" s="57">
        <f>Tabulka201079838556[[#This Row],[Sloupec3]]-Tabulka201079838556[[#This Row],[Sloupec4]]</f>
        <v>35678</v>
      </c>
      <c r="F142" s="3"/>
      <c r="G142" s="3"/>
      <c r="H142" s="3"/>
      <c r="I142" s="3"/>
      <c r="J142" s="3"/>
      <c r="K142" s="3"/>
      <c r="L142" s="3"/>
      <c r="M142" s="3"/>
    </row>
    <row r="143" spans="1:13" ht="14.25" customHeight="1" x14ac:dyDescent="0.4">
      <c r="A143" s="100">
        <v>4004005118</v>
      </c>
      <c r="B143" s="125" t="s">
        <v>578</v>
      </c>
      <c r="C143" s="299">
        <v>36344</v>
      </c>
      <c r="D143" s="71">
        <f>(OBSAH!$J$6/100)*Tabulka201079838556[[#This Row],[Sloupec3]]</f>
        <v>0</v>
      </c>
      <c r="E143" s="57">
        <f>Tabulka201079838556[[#This Row],[Sloupec3]]-Tabulka201079838556[[#This Row],[Sloupec4]]</f>
        <v>36344</v>
      </c>
      <c r="F143" s="3"/>
      <c r="G143" s="3"/>
      <c r="H143" s="3"/>
      <c r="I143" s="3"/>
      <c r="J143" s="3"/>
      <c r="K143" s="3"/>
      <c r="L143" s="3"/>
      <c r="M143" s="3"/>
    </row>
    <row r="144" spans="1:13" ht="14.25" customHeight="1" x14ac:dyDescent="0.4">
      <c r="A144" s="100">
        <v>4004005120</v>
      </c>
      <c r="B144" s="125" t="s">
        <v>579</v>
      </c>
      <c r="C144" s="299">
        <v>36610</v>
      </c>
      <c r="D144" s="71">
        <f>(OBSAH!$J$6/100)*Tabulka201079838556[[#This Row],[Sloupec3]]</f>
        <v>0</v>
      </c>
      <c r="E144" s="57">
        <f>Tabulka201079838556[[#This Row],[Sloupec3]]-Tabulka201079838556[[#This Row],[Sloupec4]]</f>
        <v>36610</v>
      </c>
      <c r="F144" s="3"/>
      <c r="G144" s="3"/>
      <c r="H144" s="3"/>
      <c r="I144" s="3"/>
      <c r="J144" s="3"/>
      <c r="K144" s="3"/>
      <c r="L144" s="3"/>
      <c r="M144" s="3"/>
    </row>
    <row r="145" spans="1:13" ht="14.25" customHeight="1" x14ac:dyDescent="0.4">
      <c r="A145" s="100">
        <v>4004005122</v>
      </c>
      <c r="B145" s="125" t="s">
        <v>580</v>
      </c>
      <c r="C145" s="299">
        <v>36822</v>
      </c>
      <c r="D145" s="71">
        <f>(OBSAH!$J$6/100)*Tabulka201079838556[[#This Row],[Sloupec3]]</f>
        <v>0</v>
      </c>
      <c r="E145" s="57">
        <f>Tabulka201079838556[[#This Row],[Sloupec3]]-Tabulka201079838556[[#This Row],[Sloupec4]]</f>
        <v>36822</v>
      </c>
      <c r="F145" s="3"/>
      <c r="G145" s="3"/>
      <c r="H145" s="3"/>
      <c r="I145" s="3"/>
      <c r="J145" s="3"/>
      <c r="K145" s="3"/>
      <c r="L145" s="3"/>
      <c r="M145" s="3"/>
    </row>
    <row r="146" spans="1:13" ht="14.25" customHeight="1" x14ac:dyDescent="0.4">
      <c r="A146" s="100">
        <v>4004005124</v>
      </c>
      <c r="B146" s="125" t="s">
        <v>581</v>
      </c>
      <c r="C146" s="299">
        <v>40003</v>
      </c>
      <c r="D146" s="71">
        <f>(OBSAH!$J$6/100)*Tabulka201079838556[[#This Row],[Sloupec3]]</f>
        <v>0</v>
      </c>
      <c r="E146" s="57">
        <f>Tabulka201079838556[[#This Row],[Sloupec3]]-Tabulka201079838556[[#This Row],[Sloupec4]]</f>
        <v>40003</v>
      </c>
      <c r="F146" s="3"/>
      <c r="G146" s="3"/>
      <c r="H146" s="3"/>
      <c r="I146" s="3"/>
      <c r="J146" s="3"/>
      <c r="K146" s="3"/>
      <c r="L146" s="3"/>
      <c r="M146" s="3"/>
    </row>
    <row r="147" spans="1:13" ht="14.25" customHeight="1" x14ac:dyDescent="0.4">
      <c r="A147" s="100">
        <v>4004005126</v>
      </c>
      <c r="B147" s="125" t="s">
        <v>582</v>
      </c>
      <c r="C147" s="299">
        <v>40213</v>
      </c>
      <c r="D147" s="71">
        <f>(OBSAH!$J$6/100)*Tabulka201079838556[[#This Row],[Sloupec3]]</f>
        <v>0</v>
      </c>
      <c r="E147" s="57">
        <f>Tabulka201079838556[[#This Row],[Sloupec3]]-Tabulka201079838556[[#This Row],[Sloupec4]]</f>
        <v>40213</v>
      </c>
      <c r="F147" s="3"/>
      <c r="G147" s="3"/>
      <c r="H147" s="3"/>
      <c r="I147" s="3"/>
      <c r="J147" s="3"/>
      <c r="K147" s="3"/>
      <c r="L147" s="3"/>
      <c r="M147" s="3"/>
    </row>
    <row r="148" spans="1:13" ht="14.25" customHeight="1" x14ac:dyDescent="0.4">
      <c r="A148" s="100">
        <v>4004005137</v>
      </c>
      <c r="B148" s="125" t="s">
        <v>583</v>
      </c>
      <c r="C148" s="299">
        <v>40880</v>
      </c>
      <c r="D148" s="71">
        <f>(OBSAH!$J$6/100)*Tabulka201079838556[[#This Row],[Sloupec3]]</f>
        <v>0</v>
      </c>
      <c r="E148" s="57">
        <f>Tabulka201079838556[[#This Row],[Sloupec3]]-Tabulka201079838556[[#This Row],[Sloupec4]]</f>
        <v>40880</v>
      </c>
      <c r="F148" s="3"/>
      <c r="G148" s="3"/>
      <c r="H148" s="3"/>
      <c r="I148" s="3"/>
      <c r="J148" s="3"/>
      <c r="K148" s="3"/>
      <c r="L148" s="3"/>
      <c r="M148" s="3"/>
    </row>
    <row r="149" spans="1:13" ht="14.25" customHeight="1" x14ac:dyDescent="0.4">
      <c r="A149" s="100">
        <v>4004005129</v>
      </c>
      <c r="B149" s="125" t="s">
        <v>584</v>
      </c>
      <c r="C149" s="299">
        <v>41148</v>
      </c>
      <c r="D149" s="71">
        <f>(OBSAH!$J$6/100)*Tabulka201079838556[[#This Row],[Sloupec3]]</f>
        <v>0</v>
      </c>
      <c r="E149" s="57">
        <f>Tabulka201079838556[[#This Row],[Sloupec3]]-Tabulka201079838556[[#This Row],[Sloupec4]]</f>
        <v>41148</v>
      </c>
      <c r="F149" s="3"/>
      <c r="G149" s="3"/>
      <c r="H149" s="3"/>
      <c r="I149" s="3"/>
      <c r="J149" s="3"/>
      <c r="K149" s="3"/>
      <c r="L149" s="3"/>
      <c r="M149" s="3"/>
    </row>
    <row r="150" spans="1:13" ht="14.25" customHeight="1" x14ac:dyDescent="0.4">
      <c r="A150" s="101">
        <v>4004005131</v>
      </c>
      <c r="B150" s="102" t="s">
        <v>585</v>
      </c>
      <c r="C150" s="300">
        <v>41357</v>
      </c>
      <c r="D150" s="68">
        <f>(OBSAH!$J$6/100)*Tabulka201079838556[[#This Row],[Sloupec3]]</f>
        <v>0</v>
      </c>
      <c r="E150" s="58">
        <f>Tabulka201079838556[[#This Row],[Sloupec3]]-Tabulka201079838556[[#This Row],[Sloupec4]]</f>
        <v>41357</v>
      </c>
      <c r="F150" s="3"/>
      <c r="G150" s="3"/>
      <c r="H150" s="3"/>
      <c r="I150" s="3"/>
      <c r="J150" s="3"/>
      <c r="K150" s="3"/>
      <c r="L150" s="3"/>
      <c r="M150" s="3"/>
    </row>
    <row r="151" spans="1:13" ht="15" customHeight="1" x14ac:dyDescent="0.4">
      <c r="A151" s="441" t="s">
        <v>120</v>
      </c>
      <c r="B151" s="441"/>
      <c r="C151" s="441"/>
      <c r="D151" s="441"/>
      <c r="E151" s="441"/>
      <c r="F151" s="3"/>
      <c r="G151" s="3"/>
      <c r="H151" s="3"/>
      <c r="I151" s="3"/>
      <c r="J151" s="3"/>
      <c r="K151" s="3"/>
      <c r="L151" s="3"/>
      <c r="M151" s="3"/>
    </row>
    <row r="152" spans="1:13" ht="15" customHeight="1" x14ac:dyDescent="0.4">
      <c r="A152" s="38"/>
      <c r="B152" s="38"/>
      <c r="C152" s="38"/>
      <c r="D152" s="3"/>
      <c r="E152" s="3"/>
      <c r="F152" s="3"/>
      <c r="G152" s="3"/>
      <c r="H152" s="3"/>
      <c r="I152" s="3"/>
      <c r="J152" s="3"/>
      <c r="K152" s="3"/>
      <c r="L152" s="3"/>
      <c r="M152" s="3"/>
    </row>
    <row r="153" spans="1:13" x14ac:dyDescent="0.4">
      <c r="A153" s="38"/>
      <c r="B153" s="38"/>
      <c r="C153" s="38"/>
      <c r="D153" s="3"/>
      <c r="E153" s="3"/>
      <c r="F153" s="3"/>
      <c r="G153" s="3"/>
      <c r="H153" s="3"/>
      <c r="I153" s="3"/>
      <c r="J153" s="3"/>
      <c r="K153" s="3"/>
      <c r="L153" s="3"/>
      <c r="M153" s="3"/>
    </row>
    <row r="154" spans="1:13" ht="36" customHeight="1" x14ac:dyDescent="0.4">
      <c r="A154" s="459" t="s">
        <v>152</v>
      </c>
      <c r="B154" s="459"/>
      <c r="C154" s="459"/>
      <c r="D154" s="459"/>
      <c r="E154" s="459"/>
      <c r="F154" s="3"/>
      <c r="G154" s="3"/>
      <c r="H154" s="3"/>
      <c r="I154" s="3"/>
      <c r="J154" s="3"/>
      <c r="K154" s="3"/>
      <c r="L154" s="3"/>
      <c r="M154" s="3"/>
    </row>
    <row r="155" spans="1:13" ht="36" customHeight="1" x14ac:dyDescent="0.4">
      <c r="A155" s="456" t="s">
        <v>442</v>
      </c>
      <c r="B155" s="456"/>
      <c r="C155" s="456"/>
      <c r="D155" s="456"/>
      <c r="E155" s="456"/>
      <c r="F155" s="3"/>
      <c r="G155" s="3"/>
      <c r="H155" s="3"/>
      <c r="I155" s="3"/>
      <c r="J155" s="3"/>
      <c r="K155" s="3"/>
      <c r="L155" s="3"/>
      <c r="M155" s="3"/>
    </row>
    <row r="156" spans="1:13" ht="22.5" customHeight="1" x14ac:dyDescent="0.4">
      <c r="A156" s="457" t="s">
        <v>83</v>
      </c>
      <c r="B156" s="457"/>
      <c r="C156" s="457"/>
      <c r="D156" s="457"/>
      <c r="E156" s="457"/>
      <c r="F156" s="3"/>
      <c r="G156" s="3"/>
      <c r="H156" s="3"/>
      <c r="I156" s="3"/>
      <c r="J156" s="3"/>
      <c r="K156" s="3"/>
      <c r="L156" s="3"/>
      <c r="M156" s="3"/>
    </row>
    <row r="157" spans="1:13" ht="22.5" customHeight="1" x14ac:dyDescent="0.4">
      <c r="A157" s="118" t="s">
        <v>56</v>
      </c>
      <c r="B157" s="118" t="s">
        <v>57</v>
      </c>
      <c r="C157" s="119" t="s">
        <v>58</v>
      </c>
      <c r="D157" s="119" t="s">
        <v>59</v>
      </c>
      <c r="E157" s="120" t="s">
        <v>60</v>
      </c>
      <c r="F157" s="3"/>
      <c r="G157" s="3"/>
      <c r="H157" s="3"/>
      <c r="I157" s="3"/>
      <c r="J157" s="3"/>
      <c r="K157" s="3"/>
      <c r="L157" s="3"/>
      <c r="M157" s="3"/>
    </row>
    <row r="158" spans="1:13" x14ac:dyDescent="0.4">
      <c r="A158" s="209" t="s">
        <v>586</v>
      </c>
      <c r="B158" s="210" t="s">
        <v>587</v>
      </c>
      <c r="C158" s="295">
        <v>18015</v>
      </c>
      <c r="D158" s="69">
        <f>(OBSAH!$J$6/100)*Tabulka20107984552[[#This Row],[Sloupec3]]</f>
        <v>0</v>
      </c>
      <c r="E158" s="70">
        <f>Tabulka20107984552[[#This Row],[Sloupec3]]-Tabulka20107984552[[#This Row],[Sloupec4]]</f>
        <v>18015</v>
      </c>
      <c r="F158" s="3"/>
      <c r="G158" s="3"/>
      <c r="H158" s="3"/>
      <c r="I158" s="3"/>
      <c r="J158" s="3"/>
      <c r="K158" s="3"/>
      <c r="L158" s="3"/>
      <c r="M158" s="3"/>
    </row>
    <row r="159" spans="1:13" x14ac:dyDescent="0.4">
      <c r="A159" s="211" t="s">
        <v>588</v>
      </c>
      <c r="B159" s="122" t="s">
        <v>589</v>
      </c>
      <c r="C159" s="296">
        <v>18349</v>
      </c>
      <c r="D159" s="71">
        <f>(OBSAH!$J$6/100)*Tabulka20107984552[[#This Row],[Sloupec3]]</f>
        <v>0</v>
      </c>
      <c r="E159" s="57">
        <f>Tabulka20107984552[[#This Row],[Sloupec3]]-Tabulka20107984552[[#This Row],[Sloupec4]]</f>
        <v>18349</v>
      </c>
      <c r="F159" s="3"/>
      <c r="G159" s="3"/>
      <c r="H159" s="3"/>
      <c r="I159" s="3"/>
      <c r="J159" s="3"/>
      <c r="K159" s="3"/>
      <c r="L159" s="3"/>
      <c r="M159" s="3"/>
    </row>
    <row r="160" spans="1:13" x14ac:dyDescent="0.4">
      <c r="A160" s="211" t="s">
        <v>590</v>
      </c>
      <c r="B160" s="122" t="s">
        <v>591</v>
      </c>
      <c r="C160" s="296">
        <v>18552</v>
      </c>
      <c r="D160" s="71">
        <f>(OBSAH!$J$6/100)*Tabulka20107984552[[#This Row],[Sloupec3]]</f>
        <v>0</v>
      </c>
      <c r="E160" s="57">
        <f>Tabulka20107984552[[#This Row],[Sloupec3]]-Tabulka20107984552[[#This Row],[Sloupec4]]</f>
        <v>18552</v>
      </c>
      <c r="F160" s="3"/>
      <c r="G160" s="3"/>
      <c r="H160" s="3"/>
      <c r="I160" s="3"/>
      <c r="J160" s="3"/>
      <c r="K160" s="3"/>
      <c r="L160" s="3"/>
      <c r="M160" s="3"/>
    </row>
    <row r="161" spans="1:13" x14ac:dyDescent="0.4">
      <c r="A161" s="211" t="s">
        <v>592</v>
      </c>
      <c r="B161" s="122" t="s">
        <v>593</v>
      </c>
      <c r="C161" s="296">
        <v>18730</v>
      </c>
      <c r="D161" s="71">
        <f>(OBSAH!$J$6/100)*Tabulka20107984552[[#This Row],[Sloupec3]]</f>
        <v>0</v>
      </c>
      <c r="E161" s="57">
        <f>Tabulka20107984552[[#This Row],[Sloupec3]]-Tabulka20107984552[[#This Row],[Sloupec4]]</f>
        <v>18730</v>
      </c>
      <c r="F161" s="3"/>
      <c r="G161" s="3"/>
      <c r="H161" s="3"/>
      <c r="I161" s="3"/>
      <c r="J161" s="3"/>
      <c r="K161" s="3"/>
      <c r="L161" s="3"/>
      <c r="M161" s="3"/>
    </row>
    <row r="162" spans="1:13" x14ac:dyDescent="0.4">
      <c r="A162" s="211" t="s">
        <v>594</v>
      </c>
      <c r="B162" s="122" t="s">
        <v>595</v>
      </c>
      <c r="C162" s="296">
        <v>19522</v>
      </c>
      <c r="D162" s="71">
        <f>(OBSAH!$J$6/100)*Tabulka20107984552[[#This Row],[Sloupec3]]</f>
        <v>0</v>
      </c>
      <c r="E162" s="57">
        <f>Tabulka20107984552[[#This Row],[Sloupec3]]-Tabulka20107984552[[#This Row],[Sloupec4]]</f>
        <v>19522</v>
      </c>
      <c r="F162" s="3"/>
      <c r="G162" s="3"/>
      <c r="H162" s="3"/>
      <c r="I162" s="3"/>
      <c r="J162" s="3"/>
      <c r="K162" s="3"/>
      <c r="L162" s="3"/>
      <c r="M162" s="3"/>
    </row>
    <row r="163" spans="1:13" x14ac:dyDescent="0.4">
      <c r="A163" s="211" t="s">
        <v>596</v>
      </c>
      <c r="B163" s="122" t="s">
        <v>597</v>
      </c>
      <c r="C163" s="296">
        <v>19729</v>
      </c>
      <c r="D163" s="71">
        <f>(OBSAH!$J$6/100)*Tabulka20107984552[[#This Row],[Sloupec3]]</f>
        <v>0</v>
      </c>
      <c r="E163" s="57">
        <f>Tabulka20107984552[[#This Row],[Sloupec3]]-Tabulka20107984552[[#This Row],[Sloupec4]]</f>
        <v>19729</v>
      </c>
      <c r="F163" s="3"/>
      <c r="G163" s="3"/>
      <c r="H163" s="3"/>
      <c r="I163" s="3"/>
      <c r="J163" s="3"/>
      <c r="K163" s="3"/>
      <c r="L163" s="3"/>
      <c r="M163" s="3"/>
    </row>
    <row r="164" spans="1:13" x14ac:dyDescent="0.4">
      <c r="A164" s="211" t="s">
        <v>598</v>
      </c>
      <c r="B164" s="122" t="s">
        <v>599</v>
      </c>
      <c r="C164" s="296">
        <v>22936</v>
      </c>
      <c r="D164" s="71">
        <f>(OBSAH!$J$6/100)*Tabulka20107984552[[#This Row],[Sloupec3]]</f>
        <v>0</v>
      </c>
      <c r="E164" s="57">
        <f>Tabulka20107984552[[#This Row],[Sloupec3]]-Tabulka20107984552[[#This Row],[Sloupec4]]</f>
        <v>22936</v>
      </c>
      <c r="F164" s="3"/>
      <c r="G164" s="3"/>
      <c r="H164" s="3"/>
      <c r="I164" s="3"/>
      <c r="J164" s="3"/>
      <c r="K164" s="3"/>
      <c r="L164" s="3"/>
      <c r="M164" s="3"/>
    </row>
    <row r="165" spans="1:13" x14ac:dyDescent="0.4">
      <c r="A165" s="211" t="s">
        <v>600</v>
      </c>
      <c r="B165" s="122" t="s">
        <v>601</v>
      </c>
      <c r="C165" s="296">
        <v>23145</v>
      </c>
      <c r="D165" s="71">
        <f>(OBSAH!$J$6/100)*Tabulka20107984552[[#This Row],[Sloupec3]]</f>
        <v>0</v>
      </c>
      <c r="E165" s="57">
        <f>Tabulka20107984552[[#This Row],[Sloupec3]]-Tabulka20107984552[[#This Row],[Sloupec4]]</f>
        <v>23145</v>
      </c>
      <c r="F165" s="3"/>
      <c r="G165" s="3"/>
      <c r="H165" s="3"/>
      <c r="I165" s="3"/>
      <c r="J165" s="3"/>
      <c r="K165" s="3"/>
      <c r="L165" s="3"/>
      <c r="M165" s="3"/>
    </row>
    <row r="166" spans="1:13" x14ac:dyDescent="0.4">
      <c r="A166" s="211" t="s">
        <v>602</v>
      </c>
      <c r="B166" s="122" t="s">
        <v>603</v>
      </c>
      <c r="C166" s="296">
        <v>24090</v>
      </c>
      <c r="D166" s="71">
        <f>(OBSAH!$J$6/100)*Tabulka20107984552[[#This Row],[Sloupec3]]</f>
        <v>0</v>
      </c>
      <c r="E166" s="57">
        <f>Tabulka20107984552[[#This Row],[Sloupec3]]-Tabulka20107984552[[#This Row],[Sloupec4]]</f>
        <v>24090</v>
      </c>
      <c r="F166" s="3"/>
      <c r="G166" s="3"/>
      <c r="H166" s="3"/>
      <c r="I166" s="3"/>
      <c r="J166" s="3"/>
      <c r="K166" s="3"/>
      <c r="L166" s="3"/>
      <c r="M166" s="3"/>
    </row>
    <row r="167" spans="1:13" x14ac:dyDescent="0.4">
      <c r="A167" s="211" t="s">
        <v>604</v>
      </c>
      <c r="B167" s="122" t="s">
        <v>605</v>
      </c>
      <c r="C167" s="296">
        <v>24231</v>
      </c>
      <c r="D167" s="71">
        <f>(OBSAH!$J$6/100)*Tabulka20107984552[[#This Row],[Sloupec3]]</f>
        <v>0</v>
      </c>
      <c r="E167" s="57">
        <f>Tabulka20107984552[[#This Row],[Sloupec3]]-Tabulka20107984552[[#This Row],[Sloupec4]]</f>
        <v>24231</v>
      </c>
      <c r="F167" s="3"/>
      <c r="G167" s="3"/>
      <c r="H167" s="3"/>
      <c r="I167" s="3"/>
      <c r="J167" s="3"/>
      <c r="K167" s="3"/>
      <c r="L167" s="3"/>
      <c r="M167" s="3"/>
    </row>
    <row r="168" spans="1:13" x14ac:dyDescent="0.4">
      <c r="A168" s="211" t="s">
        <v>606</v>
      </c>
      <c r="B168" s="122" t="s">
        <v>607</v>
      </c>
      <c r="C168" s="296">
        <v>24287</v>
      </c>
      <c r="D168" s="71">
        <f>(OBSAH!$J$6/100)*Tabulka20107984552[[#This Row],[Sloupec3]]</f>
        <v>0</v>
      </c>
      <c r="E168" s="57">
        <f>Tabulka20107984552[[#This Row],[Sloupec3]]-Tabulka20107984552[[#This Row],[Sloupec4]]</f>
        <v>24287</v>
      </c>
      <c r="F168" s="3"/>
      <c r="G168" s="3"/>
      <c r="H168" s="3"/>
      <c r="I168" s="3"/>
      <c r="J168" s="3"/>
      <c r="K168" s="3"/>
      <c r="L168" s="3"/>
      <c r="M168" s="3"/>
    </row>
    <row r="169" spans="1:13" x14ac:dyDescent="0.4">
      <c r="A169" s="211" t="s">
        <v>608</v>
      </c>
      <c r="B169" s="122" t="s">
        <v>609</v>
      </c>
      <c r="C169" s="296">
        <v>26823</v>
      </c>
      <c r="D169" s="71">
        <f>(OBSAH!$J$6/100)*Tabulka20107984552[[#This Row],[Sloupec3]]</f>
        <v>0</v>
      </c>
      <c r="E169" s="57">
        <f>Tabulka20107984552[[#This Row],[Sloupec3]]-Tabulka20107984552[[#This Row],[Sloupec4]]</f>
        <v>26823</v>
      </c>
      <c r="F169" s="3"/>
      <c r="G169" s="3"/>
      <c r="H169" s="3"/>
      <c r="I169" s="3"/>
      <c r="J169" s="3"/>
      <c r="K169" s="3"/>
      <c r="L169" s="3"/>
      <c r="M169" s="3"/>
    </row>
    <row r="170" spans="1:13" x14ac:dyDescent="0.4">
      <c r="A170" s="211" t="s">
        <v>610</v>
      </c>
      <c r="B170" s="122" t="s">
        <v>611</v>
      </c>
      <c r="C170" s="296">
        <v>27034</v>
      </c>
      <c r="D170" s="71">
        <f>(OBSAH!$J$6/100)*Tabulka20107984552[[#This Row],[Sloupec3]]</f>
        <v>0</v>
      </c>
      <c r="E170" s="57">
        <f>Tabulka20107984552[[#This Row],[Sloupec3]]-Tabulka20107984552[[#This Row],[Sloupec4]]</f>
        <v>27034</v>
      </c>
      <c r="F170" s="3"/>
      <c r="G170" s="3"/>
      <c r="H170" s="3"/>
      <c r="I170" s="3"/>
      <c r="J170" s="3"/>
      <c r="K170" s="3"/>
      <c r="L170" s="3"/>
      <c r="M170" s="3"/>
    </row>
    <row r="171" spans="1:13" x14ac:dyDescent="0.4">
      <c r="A171" s="211" t="s">
        <v>612</v>
      </c>
      <c r="B171" s="122" t="s">
        <v>613</v>
      </c>
      <c r="C171" s="296">
        <v>27696</v>
      </c>
      <c r="D171" s="71">
        <f>(OBSAH!$J$6/100)*Tabulka20107984552[[#This Row],[Sloupec3]]</f>
        <v>0</v>
      </c>
      <c r="E171" s="57">
        <f>Tabulka20107984552[[#This Row],[Sloupec3]]-Tabulka20107984552[[#This Row],[Sloupec4]]</f>
        <v>27696</v>
      </c>
      <c r="F171" s="3"/>
      <c r="G171" s="3"/>
      <c r="H171" s="3"/>
      <c r="I171" s="3"/>
      <c r="J171" s="3"/>
      <c r="K171" s="3"/>
      <c r="L171" s="3"/>
      <c r="M171" s="3"/>
    </row>
    <row r="172" spans="1:13" x14ac:dyDescent="0.4">
      <c r="A172" s="211" t="s">
        <v>614</v>
      </c>
      <c r="B172" s="122" t="s">
        <v>615</v>
      </c>
      <c r="C172" s="296">
        <v>27966</v>
      </c>
      <c r="D172" s="71">
        <f>(OBSAH!$J$6/100)*Tabulka20107984552[[#This Row],[Sloupec3]]</f>
        <v>0</v>
      </c>
      <c r="E172" s="57">
        <f>Tabulka20107984552[[#This Row],[Sloupec3]]-Tabulka20107984552[[#This Row],[Sloupec4]]</f>
        <v>27966</v>
      </c>
      <c r="F172" s="3"/>
      <c r="G172" s="3"/>
      <c r="H172" s="3"/>
      <c r="I172" s="3"/>
      <c r="J172" s="3"/>
      <c r="K172" s="3"/>
      <c r="L172" s="3"/>
      <c r="M172" s="3"/>
    </row>
    <row r="173" spans="1:13" x14ac:dyDescent="0.4">
      <c r="A173" s="211" t="s">
        <v>616</v>
      </c>
      <c r="B173" s="122" t="s">
        <v>617</v>
      </c>
      <c r="C173" s="296">
        <v>28177</v>
      </c>
      <c r="D173" s="71">
        <f>(OBSAH!$J$6/100)*Tabulka20107984552[[#This Row],[Sloupec3]]</f>
        <v>0</v>
      </c>
      <c r="E173" s="57">
        <f>Tabulka20107984552[[#This Row],[Sloupec3]]-Tabulka20107984552[[#This Row],[Sloupec4]]</f>
        <v>28177</v>
      </c>
      <c r="F173" s="3"/>
      <c r="G173" s="3"/>
      <c r="H173" s="3"/>
      <c r="I173" s="3"/>
      <c r="J173" s="3"/>
      <c r="K173" s="3"/>
      <c r="L173" s="3"/>
      <c r="M173" s="3"/>
    </row>
    <row r="174" spans="1:13" x14ac:dyDescent="0.4">
      <c r="A174" s="211" t="s">
        <v>618</v>
      </c>
      <c r="B174" s="122" t="s">
        <v>619</v>
      </c>
      <c r="C174" s="296">
        <v>31379</v>
      </c>
      <c r="D174" s="71">
        <f>(OBSAH!$J$6/100)*Tabulka20107984552[[#This Row],[Sloupec3]]</f>
        <v>0</v>
      </c>
      <c r="E174" s="57">
        <f>Tabulka20107984552[[#This Row],[Sloupec3]]-Tabulka20107984552[[#This Row],[Sloupec4]]</f>
        <v>31379</v>
      </c>
      <c r="F174" s="3"/>
      <c r="G174" s="3"/>
      <c r="H174" s="3"/>
      <c r="I174" s="3"/>
      <c r="J174" s="3"/>
      <c r="K174" s="3"/>
      <c r="L174" s="3"/>
      <c r="M174" s="3"/>
    </row>
    <row r="175" spans="1:13" x14ac:dyDescent="0.4">
      <c r="A175" s="211" t="s">
        <v>620</v>
      </c>
      <c r="B175" s="122" t="s">
        <v>621</v>
      </c>
      <c r="C175" s="296">
        <v>31617</v>
      </c>
      <c r="D175" s="71">
        <f>(OBSAH!$J$6/100)*Tabulka20107984552[[#This Row],[Sloupec3]]</f>
        <v>0</v>
      </c>
      <c r="E175" s="57">
        <f>Tabulka20107984552[[#This Row],[Sloupec3]]-Tabulka20107984552[[#This Row],[Sloupec4]]</f>
        <v>31617</v>
      </c>
      <c r="F175" s="3"/>
      <c r="G175" s="3"/>
      <c r="H175" s="3"/>
      <c r="I175" s="3"/>
      <c r="J175" s="3"/>
      <c r="K175" s="3"/>
      <c r="L175" s="3"/>
      <c r="M175" s="3"/>
    </row>
    <row r="176" spans="1:13" x14ac:dyDescent="0.4">
      <c r="A176" s="211" t="s">
        <v>622</v>
      </c>
      <c r="B176" s="122" t="s">
        <v>623</v>
      </c>
      <c r="C176" s="296">
        <v>32282</v>
      </c>
      <c r="D176" s="71">
        <f>(OBSAH!$J$6/100)*Tabulka20107984552[[#This Row],[Sloupec3]]</f>
        <v>0</v>
      </c>
      <c r="E176" s="57">
        <f>Tabulka20107984552[[#This Row],[Sloupec3]]-Tabulka20107984552[[#This Row],[Sloupec4]]</f>
        <v>32282</v>
      </c>
      <c r="F176" s="3"/>
      <c r="G176" s="3"/>
      <c r="H176" s="3"/>
      <c r="I176" s="3"/>
      <c r="J176" s="3"/>
      <c r="K176" s="3"/>
      <c r="L176" s="3"/>
      <c r="M176" s="3"/>
    </row>
    <row r="177" spans="1:13" x14ac:dyDescent="0.4">
      <c r="A177" s="211" t="s">
        <v>624</v>
      </c>
      <c r="B177" s="122" t="s">
        <v>625</v>
      </c>
      <c r="C177" s="296">
        <v>32550</v>
      </c>
      <c r="D177" s="71">
        <f>(OBSAH!$J$6/100)*Tabulka20107984552[[#This Row],[Sloupec3]]</f>
        <v>0</v>
      </c>
      <c r="E177" s="57">
        <f>Tabulka20107984552[[#This Row],[Sloupec3]]-Tabulka20107984552[[#This Row],[Sloupec4]]</f>
        <v>32550</v>
      </c>
      <c r="F177" s="3"/>
      <c r="G177" s="3"/>
      <c r="H177" s="3"/>
      <c r="I177" s="3"/>
      <c r="J177" s="3"/>
      <c r="K177" s="3"/>
      <c r="L177" s="3"/>
      <c r="M177" s="3"/>
    </row>
    <row r="178" spans="1:13" x14ac:dyDescent="0.4">
      <c r="A178" s="211" t="s">
        <v>626</v>
      </c>
      <c r="B178" s="122" t="s">
        <v>627</v>
      </c>
      <c r="C178" s="296">
        <v>32759</v>
      </c>
      <c r="D178" s="71">
        <f>(OBSAH!$J$6/100)*Tabulka20107984552[[#This Row],[Sloupec3]]</f>
        <v>0</v>
      </c>
      <c r="E178" s="57">
        <f>Tabulka20107984552[[#This Row],[Sloupec3]]-Tabulka20107984552[[#This Row],[Sloupec4]]</f>
        <v>32759</v>
      </c>
      <c r="F178" s="3"/>
      <c r="G178" s="3"/>
      <c r="H178" s="3"/>
      <c r="I178" s="3"/>
      <c r="J178" s="3"/>
      <c r="K178" s="3"/>
      <c r="L178" s="3"/>
      <c r="M178" s="3"/>
    </row>
    <row r="179" spans="1:13" x14ac:dyDescent="0.4">
      <c r="A179" s="211" t="s">
        <v>628</v>
      </c>
      <c r="B179" s="122" t="s">
        <v>629</v>
      </c>
      <c r="C179" s="296">
        <v>35540</v>
      </c>
      <c r="D179" s="71">
        <f>(OBSAH!$J$6/100)*Tabulka20107984552[[#This Row],[Sloupec3]]</f>
        <v>0</v>
      </c>
      <c r="E179" s="57">
        <f>Tabulka20107984552[[#This Row],[Sloupec3]]-Tabulka20107984552[[#This Row],[Sloupec4]]</f>
        <v>35540</v>
      </c>
      <c r="F179" s="3"/>
      <c r="G179" s="3"/>
      <c r="H179" s="3"/>
      <c r="I179" s="3"/>
      <c r="J179" s="3"/>
      <c r="K179" s="3"/>
      <c r="L179" s="3"/>
      <c r="M179" s="3"/>
    </row>
    <row r="180" spans="1:13" x14ac:dyDescent="0.4">
      <c r="A180" s="211" t="s">
        <v>630</v>
      </c>
      <c r="B180" s="122" t="s">
        <v>631</v>
      </c>
      <c r="C180" s="296">
        <v>35781</v>
      </c>
      <c r="D180" s="71">
        <f>(OBSAH!$J$6/100)*Tabulka20107984552[[#This Row],[Sloupec3]]</f>
        <v>0</v>
      </c>
      <c r="E180" s="57">
        <f>Tabulka20107984552[[#This Row],[Sloupec3]]-Tabulka20107984552[[#This Row],[Sloupec4]]</f>
        <v>35781</v>
      </c>
      <c r="F180" s="3"/>
      <c r="G180" s="3"/>
      <c r="H180" s="3"/>
      <c r="I180" s="3"/>
      <c r="J180" s="3"/>
      <c r="K180" s="3"/>
      <c r="L180" s="3"/>
      <c r="M180" s="3"/>
    </row>
    <row r="181" spans="1:13" x14ac:dyDescent="0.4">
      <c r="A181" s="211" t="s">
        <v>632</v>
      </c>
      <c r="B181" s="122" t="s">
        <v>633</v>
      </c>
      <c r="C181" s="296">
        <v>36445</v>
      </c>
      <c r="D181" s="71">
        <f>(OBSAH!$J$6/100)*Tabulka20107984552[[#This Row],[Sloupec3]]</f>
        <v>0</v>
      </c>
      <c r="E181" s="57">
        <f>Tabulka20107984552[[#This Row],[Sloupec3]]-Tabulka20107984552[[#This Row],[Sloupec4]]</f>
        <v>36445</v>
      </c>
      <c r="F181" s="3"/>
      <c r="G181" s="3"/>
      <c r="H181" s="3"/>
      <c r="I181" s="3"/>
      <c r="J181" s="3"/>
      <c r="K181" s="3"/>
      <c r="L181" s="3"/>
      <c r="M181" s="3"/>
    </row>
    <row r="182" spans="1:13" x14ac:dyDescent="0.4">
      <c r="A182" s="211" t="s">
        <v>634</v>
      </c>
      <c r="B182" s="122" t="s">
        <v>635</v>
      </c>
      <c r="C182" s="296">
        <v>36715</v>
      </c>
      <c r="D182" s="71">
        <f>(OBSAH!$J$6/100)*Tabulka20107984552[[#This Row],[Sloupec3]]</f>
        <v>0</v>
      </c>
      <c r="E182" s="57">
        <f>Tabulka20107984552[[#This Row],[Sloupec3]]-Tabulka20107984552[[#This Row],[Sloupec4]]</f>
        <v>36715</v>
      </c>
      <c r="F182" s="3"/>
      <c r="G182" s="3"/>
      <c r="H182" s="3"/>
      <c r="I182" s="3"/>
      <c r="J182" s="3"/>
      <c r="K182" s="3"/>
      <c r="L182" s="3"/>
      <c r="M182" s="3"/>
    </row>
    <row r="183" spans="1:13" x14ac:dyDescent="0.4">
      <c r="A183" s="211" t="s">
        <v>636</v>
      </c>
      <c r="B183" s="122" t="s">
        <v>637</v>
      </c>
      <c r="C183" s="296">
        <v>36924</v>
      </c>
      <c r="D183" s="71">
        <f>(OBSAH!$J$6/100)*Tabulka20107984552[[#This Row],[Sloupec3]]</f>
        <v>0</v>
      </c>
      <c r="E183" s="57">
        <f>Tabulka20107984552[[#This Row],[Sloupec3]]-Tabulka20107984552[[#This Row],[Sloupec4]]</f>
        <v>36924</v>
      </c>
      <c r="F183" s="3"/>
      <c r="G183" s="3"/>
      <c r="H183" s="3"/>
      <c r="I183" s="3"/>
      <c r="J183" s="3"/>
      <c r="K183" s="3"/>
      <c r="L183" s="3"/>
      <c r="M183" s="3"/>
    </row>
    <row r="184" spans="1:13" x14ac:dyDescent="0.4">
      <c r="A184" s="211" t="s">
        <v>638</v>
      </c>
      <c r="B184" s="122" t="s">
        <v>639</v>
      </c>
      <c r="C184" s="296">
        <v>40106</v>
      </c>
      <c r="D184" s="71">
        <f>(OBSAH!$J$6/100)*Tabulka20107984552[[#This Row],[Sloupec3]]</f>
        <v>0</v>
      </c>
      <c r="E184" s="57">
        <f>Tabulka20107984552[[#This Row],[Sloupec3]]-Tabulka20107984552[[#This Row],[Sloupec4]]</f>
        <v>40106</v>
      </c>
      <c r="F184" s="3"/>
      <c r="G184" s="3"/>
      <c r="H184" s="3"/>
      <c r="I184" s="3"/>
      <c r="J184" s="3"/>
      <c r="K184" s="3"/>
      <c r="L184" s="3"/>
      <c r="M184" s="3"/>
    </row>
    <row r="185" spans="1:13" x14ac:dyDescent="0.4">
      <c r="A185" s="211" t="s">
        <v>640</v>
      </c>
      <c r="B185" s="122" t="s">
        <v>641</v>
      </c>
      <c r="C185" s="296">
        <v>40315</v>
      </c>
      <c r="D185" s="71">
        <f>(OBSAH!$J$6/100)*Tabulka20107984552[[#This Row],[Sloupec3]]</f>
        <v>0</v>
      </c>
      <c r="E185" s="57">
        <f>Tabulka20107984552[[#This Row],[Sloupec3]]-Tabulka20107984552[[#This Row],[Sloupec4]]</f>
        <v>40315</v>
      </c>
      <c r="F185" s="3"/>
      <c r="G185" s="3"/>
      <c r="H185" s="3"/>
      <c r="I185" s="3"/>
      <c r="J185" s="3"/>
      <c r="K185" s="3"/>
      <c r="L185" s="3"/>
      <c r="M185" s="3"/>
    </row>
    <row r="186" spans="1:13" x14ac:dyDescent="0.4">
      <c r="A186" s="211" t="s">
        <v>642</v>
      </c>
      <c r="B186" s="122" t="s">
        <v>643</v>
      </c>
      <c r="C186" s="296">
        <v>40982</v>
      </c>
      <c r="D186" s="71">
        <f>(OBSAH!$J$6/100)*Tabulka20107984552[[#This Row],[Sloupec3]]</f>
        <v>0</v>
      </c>
      <c r="E186" s="57">
        <f>Tabulka20107984552[[#This Row],[Sloupec3]]-Tabulka20107984552[[#This Row],[Sloupec4]]</f>
        <v>40982</v>
      </c>
      <c r="F186" s="3"/>
      <c r="G186" s="3"/>
      <c r="H186" s="3"/>
      <c r="I186" s="3"/>
      <c r="J186" s="3"/>
      <c r="K186" s="3"/>
      <c r="L186" s="3"/>
      <c r="M186" s="3"/>
    </row>
    <row r="187" spans="1:13" x14ac:dyDescent="0.4">
      <c r="A187" s="211" t="s">
        <v>644</v>
      </c>
      <c r="B187" s="122" t="s">
        <v>645</v>
      </c>
      <c r="C187" s="296">
        <v>41250</v>
      </c>
      <c r="D187" s="71">
        <f>(OBSAH!$J$6/100)*Tabulka20107984552[[#This Row],[Sloupec3]]</f>
        <v>0</v>
      </c>
      <c r="E187" s="57">
        <f>Tabulka20107984552[[#This Row],[Sloupec3]]-Tabulka20107984552[[#This Row],[Sloupec4]]</f>
        <v>41250</v>
      </c>
      <c r="F187" s="3"/>
      <c r="G187" s="3"/>
      <c r="H187" s="3"/>
      <c r="I187" s="3"/>
      <c r="J187" s="3"/>
      <c r="K187" s="3"/>
      <c r="L187" s="3"/>
      <c r="M187" s="3"/>
    </row>
    <row r="188" spans="1:13" x14ac:dyDescent="0.4">
      <c r="A188" s="212" t="s">
        <v>646</v>
      </c>
      <c r="B188" s="213" t="s">
        <v>647</v>
      </c>
      <c r="C188" s="297">
        <v>41460</v>
      </c>
      <c r="D188" s="68">
        <f>(OBSAH!$J$6/100)*Tabulka20107984552[[#This Row],[Sloupec3]]</f>
        <v>0</v>
      </c>
      <c r="E188" s="58">
        <f>Tabulka20107984552[[#This Row],[Sloupec3]]-Tabulka20107984552[[#This Row],[Sloupec4]]</f>
        <v>41460</v>
      </c>
      <c r="F188" s="3"/>
      <c r="G188" s="3"/>
      <c r="H188" s="3"/>
      <c r="I188" s="3"/>
      <c r="J188" s="3"/>
      <c r="K188" s="3"/>
      <c r="L188" s="3"/>
      <c r="M188" s="3"/>
    </row>
    <row r="189" spans="1:13" ht="15" customHeight="1" x14ac:dyDescent="0.4">
      <c r="A189" s="83"/>
      <c r="B189" s="84"/>
      <c r="C189" s="85"/>
      <c r="D189" s="61"/>
      <c r="E189" s="62"/>
      <c r="F189" s="3"/>
      <c r="G189" s="3"/>
      <c r="H189" s="3"/>
      <c r="I189" s="3"/>
      <c r="J189" s="3"/>
      <c r="K189" s="3"/>
      <c r="L189" s="3"/>
      <c r="M189" s="3"/>
    </row>
    <row r="190" spans="1:13" ht="22.5" customHeight="1" x14ac:dyDescent="0.4">
      <c r="A190" s="458" t="s">
        <v>91</v>
      </c>
      <c r="B190" s="458"/>
      <c r="C190" s="458"/>
      <c r="D190" s="458"/>
      <c r="E190" s="458"/>
      <c r="F190" s="3"/>
      <c r="G190" s="3"/>
      <c r="H190" s="3"/>
      <c r="I190" s="3"/>
      <c r="J190" s="3"/>
      <c r="K190" s="3"/>
      <c r="L190" s="3"/>
      <c r="M190" s="3"/>
    </row>
    <row r="191" spans="1:13" ht="22.5" customHeight="1" x14ac:dyDescent="0.4">
      <c r="A191" s="107" t="s">
        <v>56</v>
      </c>
      <c r="B191" s="107" t="s">
        <v>57</v>
      </c>
      <c r="C191" s="108" t="s">
        <v>58</v>
      </c>
      <c r="D191" s="108" t="s">
        <v>59</v>
      </c>
      <c r="E191" s="109" t="s">
        <v>60</v>
      </c>
      <c r="F191" s="3"/>
      <c r="G191" s="3"/>
      <c r="H191" s="3"/>
      <c r="I191" s="3"/>
      <c r="J191" s="3"/>
      <c r="K191" s="3"/>
      <c r="L191" s="3"/>
      <c r="M191" s="3"/>
    </row>
    <row r="192" spans="1:13" x14ac:dyDescent="0.4">
      <c r="A192" s="214" t="s">
        <v>648</v>
      </c>
      <c r="B192" s="215" t="s">
        <v>649</v>
      </c>
      <c r="C192" s="292">
        <v>18455</v>
      </c>
      <c r="D192" s="69">
        <f>(OBSAH!$J$6/100)*Tabulka2010798385563[[#This Row],[Sloupec3]]</f>
        <v>0</v>
      </c>
      <c r="E192" s="70">
        <f>Tabulka2010798385563[[#This Row],[Sloupec3]]-Tabulka2010798385563[[#This Row],[Sloupec4]]</f>
        <v>18455</v>
      </c>
      <c r="F192" s="3"/>
      <c r="G192" s="3"/>
      <c r="H192" s="3"/>
      <c r="I192" s="3"/>
      <c r="J192" s="3"/>
      <c r="K192" s="3"/>
      <c r="L192" s="3"/>
      <c r="M192" s="3"/>
    </row>
    <row r="193" spans="1:13" x14ac:dyDescent="0.4">
      <c r="A193" s="216" t="s">
        <v>650</v>
      </c>
      <c r="B193" s="123" t="s">
        <v>651</v>
      </c>
      <c r="C193" s="293">
        <v>18790</v>
      </c>
      <c r="D193" s="71">
        <f>(OBSAH!$J$6/100)*Tabulka2010798385563[[#This Row],[Sloupec3]]</f>
        <v>0</v>
      </c>
      <c r="E193" s="57">
        <f>Tabulka2010798385563[[#This Row],[Sloupec3]]-Tabulka2010798385563[[#This Row],[Sloupec4]]</f>
        <v>18790</v>
      </c>
      <c r="F193" s="3"/>
      <c r="G193" s="3"/>
      <c r="H193" s="3"/>
      <c r="I193" s="3"/>
      <c r="J193" s="3"/>
      <c r="K193" s="3"/>
      <c r="L193" s="3"/>
      <c r="M193" s="3"/>
    </row>
    <row r="194" spans="1:13" x14ac:dyDescent="0.4">
      <c r="A194" s="216" t="s">
        <v>652</v>
      </c>
      <c r="B194" s="123" t="s">
        <v>653</v>
      </c>
      <c r="C194" s="293">
        <v>18993</v>
      </c>
      <c r="D194" s="71">
        <f>(OBSAH!$J$6/100)*Tabulka2010798385563[[#This Row],[Sloupec3]]</f>
        <v>0</v>
      </c>
      <c r="E194" s="57">
        <f>Tabulka2010798385563[[#This Row],[Sloupec3]]-Tabulka2010798385563[[#This Row],[Sloupec4]]</f>
        <v>18993</v>
      </c>
      <c r="F194" s="3"/>
      <c r="G194" s="3"/>
      <c r="H194" s="3"/>
      <c r="I194" s="3"/>
      <c r="J194" s="3"/>
      <c r="K194" s="3"/>
      <c r="L194" s="3"/>
      <c r="M194" s="3"/>
    </row>
    <row r="195" spans="1:13" x14ac:dyDescent="0.4">
      <c r="A195" s="216" t="s">
        <v>654</v>
      </c>
      <c r="B195" s="123" t="s">
        <v>655</v>
      </c>
      <c r="C195" s="293">
        <v>19170</v>
      </c>
      <c r="D195" s="71">
        <f>(OBSAH!$J$6/100)*Tabulka2010798385563[[#This Row],[Sloupec3]]</f>
        <v>0</v>
      </c>
      <c r="E195" s="57">
        <f>Tabulka2010798385563[[#This Row],[Sloupec3]]-Tabulka2010798385563[[#This Row],[Sloupec4]]</f>
        <v>19170</v>
      </c>
      <c r="F195" s="3"/>
      <c r="G195" s="3"/>
      <c r="H195" s="3"/>
      <c r="I195" s="3"/>
      <c r="J195" s="3"/>
      <c r="K195" s="3"/>
      <c r="L195" s="3"/>
      <c r="M195" s="3"/>
    </row>
    <row r="196" spans="1:13" x14ac:dyDescent="0.4">
      <c r="A196" s="216" t="s">
        <v>656</v>
      </c>
      <c r="B196" s="123" t="s">
        <v>657</v>
      </c>
      <c r="C196" s="293">
        <v>19963</v>
      </c>
      <c r="D196" s="71">
        <f>(OBSAH!$J$6/100)*Tabulka2010798385563[[#This Row],[Sloupec3]]</f>
        <v>0</v>
      </c>
      <c r="E196" s="57">
        <f>Tabulka2010798385563[[#This Row],[Sloupec3]]-Tabulka2010798385563[[#This Row],[Sloupec4]]</f>
        <v>19963</v>
      </c>
      <c r="F196" s="3"/>
      <c r="G196" s="3"/>
      <c r="H196" s="3"/>
      <c r="I196" s="3"/>
      <c r="J196" s="3"/>
      <c r="K196" s="3"/>
      <c r="L196" s="3"/>
      <c r="M196" s="3"/>
    </row>
    <row r="197" spans="1:13" x14ac:dyDescent="0.4">
      <c r="A197" s="216" t="s">
        <v>658</v>
      </c>
      <c r="B197" s="123" t="s">
        <v>659</v>
      </c>
      <c r="C197" s="293">
        <v>20170</v>
      </c>
      <c r="D197" s="71">
        <f>(OBSAH!$J$6/100)*Tabulka2010798385563[[#This Row],[Sloupec3]]</f>
        <v>0</v>
      </c>
      <c r="E197" s="57">
        <f>Tabulka2010798385563[[#This Row],[Sloupec3]]-Tabulka2010798385563[[#This Row],[Sloupec4]]</f>
        <v>20170</v>
      </c>
      <c r="F197" s="3"/>
      <c r="G197" s="3"/>
      <c r="H197" s="3"/>
      <c r="I197" s="3"/>
      <c r="J197" s="3"/>
      <c r="K197" s="3"/>
      <c r="L197" s="3"/>
      <c r="M197" s="3"/>
    </row>
    <row r="198" spans="1:13" x14ac:dyDescent="0.4">
      <c r="A198" s="216" t="s">
        <v>660</v>
      </c>
      <c r="B198" s="123" t="s">
        <v>661</v>
      </c>
      <c r="C198" s="293">
        <v>23376</v>
      </c>
      <c r="D198" s="71">
        <f>(OBSAH!$J$6/100)*Tabulka2010798385563[[#This Row],[Sloupec3]]</f>
        <v>0</v>
      </c>
      <c r="E198" s="57">
        <f>Tabulka2010798385563[[#This Row],[Sloupec3]]-Tabulka2010798385563[[#This Row],[Sloupec4]]</f>
        <v>23376</v>
      </c>
      <c r="F198" s="3"/>
      <c r="G198" s="3"/>
      <c r="H198" s="3"/>
      <c r="I198" s="3"/>
      <c r="J198" s="3"/>
      <c r="K198" s="3"/>
      <c r="L198" s="3"/>
      <c r="M198" s="3"/>
    </row>
    <row r="199" spans="1:13" x14ac:dyDescent="0.4">
      <c r="A199" s="216" t="s">
        <v>662</v>
      </c>
      <c r="B199" s="123" t="s">
        <v>663</v>
      </c>
      <c r="C199" s="293">
        <v>23587</v>
      </c>
      <c r="D199" s="71">
        <f>(OBSAH!$J$6/100)*Tabulka2010798385563[[#This Row],[Sloupec3]]</f>
        <v>0</v>
      </c>
      <c r="E199" s="57">
        <f>Tabulka2010798385563[[#This Row],[Sloupec3]]-Tabulka2010798385563[[#This Row],[Sloupec4]]</f>
        <v>23587</v>
      </c>
      <c r="F199" s="3"/>
      <c r="G199" s="3"/>
      <c r="H199" s="3"/>
      <c r="I199" s="3"/>
      <c r="J199" s="3"/>
      <c r="K199" s="3"/>
      <c r="L199" s="3"/>
      <c r="M199" s="3"/>
    </row>
    <row r="200" spans="1:13" x14ac:dyDescent="0.4">
      <c r="A200" s="216" t="s">
        <v>664</v>
      </c>
      <c r="B200" s="123" t="s">
        <v>665</v>
      </c>
      <c r="C200" s="293">
        <v>24531</v>
      </c>
      <c r="D200" s="71">
        <f>(OBSAH!$J$6/100)*Tabulka2010798385563[[#This Row],[Sloupec3]]</f>
        <v>0</v>
      </c>
      <c r="E200" s="57">
        <f>Tabulka2010798385563[[#This Row],[Sloupec3]]-Tabulka2010798385563[[#This Row],[Sloupec4]]</f>
        <v>24531</v>
      </c>
      <c r="F200" s="3"/>
      <c r="G200" s="3"/>
      <c r="H200" s="3"/>
      <c r="I200" s="3"/>
      <c r="J200" s="3"/>
      <c r="K200" s="3"/>
      <c r="L200" s="3"/>
      <c r="M200" s="3"/>
    </row>
    <row r="201" spans="1:13" x14ac:dyDescent="0.4">
      <c r="A201" s="216" t="s">
        <v>666</v>
      </c>
      <c r="B201" s="123" t="s">
        <v>667</v>
      </c>
      <c r="C201" s="293">
        <v>24672</v>
      </c>
      <c r="D201" s="71">
        <f>(OBSAH!$J$6/100)*Tabulka2010798385563[[#This Row],[Sloupec3]]</f>
        <v>0</v>
      </c>
      <c r="E201" s="57">
        <f>Tabulka2010798385563[[#This Row],[Sloupec3]]-Tabulka2010798385563[[#This Row],[Sloupec4]]</f>
        <v>24672</v>
      </c>
      <c r="F201" s="3"/>
      <c r="G201" s="3"/>
      <c r="H201" s="3"/>
      <c r="I201" s="3"/>
      <c r="J201" s="3"/>
      <c r="K201" s="3"/>
      <c r="L201" s="3"/>
      <c r="M201" s="3"/>
    </row>
    <row r="202" spans="1:13" x14ac:dyDescent="0.4">
      <c r="A202" s="216" t="s">
        <v>668</v>
      </c>
      <c r="B202" s="123" t="s">
        <v>669</v>
      </c>
      <c r="C202" s="293">
        <v>24729</v>
      </c>
      <c r="D202" s="71">
        <f>(OBSAH!$J$6/100)*Tabulka2010798385563[[#This Row],[Sloupec3]]</f>
        <v>0</v>
      </c>
      <c r="E202" s="57">
        <f>Tabulka2010798385563[[#This Row],[Sloupec3]]-Tabulka2010798385563[[#This Row],[Sloupec4]]</f>
        <v>24729</v>
      </c>
      <c r="F202" s="3"/>
      <c r="G202" s="3"/>
      <c r="H202" s="3"/>
      <c r="I202" s="3"/>
      <c r="J202" s="3"/>
      <c r="K202" s="3"/>
      <c r="L202" s="3"/>
      <c r="M202" s="3"/>
    </row>
    <row r="203" spans="1:13" x14ac:dyDescent="0.4">
      <c r="A203" s="216" t="s">
        <v>670</v>
      </c>
      <c r="B203" s="123" t="s">
        <v>671</v>
      </c>
      <c r="C203" s="293">
        <v>27263</v>
      </c>
      <c r="D203" s="71">
        <f>(OBSAH!$J$6/100)*Tabulka2010798385563[[#This Row],[Sloupec3]]</f>
        <v>0</v>
      </c>
      <c r="E203" s="57">
        <f>Tabulka2010798385563[[#This Row],[Sloupec3]]-Tabulka2010798385563[[#This Row],[Sloupec4]]</f>
        <v>27263</v>
      </c>
      <c r="F203" s="3"/>
      <c r="G203" s="3"/>
      <c r="H203" s="3"/>
      <c r="I203" s="3"/>
      <c r="J203" s="3"/>
      <c r="K203" s="3"/>
      <c r="L203" s="3"/>
      <c r="M203" s="3"/>
    </row>
    <row r="204" spans="1:13" x14ac:dyDescent="0.4">
      <c r="A204" s="216" t="s">
        <v>672</v>
      </c>
      <c r="B204" s="123" t="s">
        <v>673</v>
      </c>
      <c r="C204" s="293">
        <v>27475</v>
      </c>
      <c r="D204" s="71">
        <f>(OBSAH!$J$6/100)*Tabulka2010798385563[[#This Row],[Sloupec3]]</f>
        <v>0</v>
      </c>
      <c r="E204" s="57">
        <f>Tabulka2010798385563[[#This Row],[Sloupec3]]-Tabulka2010798385563[[#This Row],[Sloupec4]]</f>
        <v>27475</v>
      </c>
      <c r="F204" s="3"/>
      <c r="G204" s="3"/>
      <c r="H204" s="3"/>
      <c r="I204" s="3"/>
      <c r="J204" s="3"/>
      <c r="K204" s="3"/>
      <c r="L204" s="3"/>
      <c r="M204" s="3"/>
    </row>
    <row r="205" spans="1:13" x14ac:dyDescent="0.4">
      <c r="A205" s="216" t="s">
        <v>674</v>
      </c>
      <c r="B205" s="123" t="s">
        <v>675</v>
      </c>
      <c r="C205" s="293">
        <v>28137</v>
      </c>
      <c r="D205" s="71">
        <f>(OBSAH!$J$6/100)*Tabulka2010798385563[[#This Row],[Sloupec3]]</f>
        <v>0</v>
      </c>
      <c r="E205" s="57">
        <f>Tabulka2010798385563[[#This Row],[Sloupec3]]-Tabulka2010798385563[[#This Row],[Sloupec4]]</f>
        <v>28137</v>
      </c>
      <c r="F205" s="3"/>
      <c r="G205" s="3"/>
      <c r="H205" s="3"/>
      <c r="I205" s="3"/>
      <c r="J205" s="3"/>
      <c r="K205" s="3"/>
      <c r="L205" s="3"/>
      <c r="M205" s="3"/>
    </row>
    <row r="206" spans="1:13" x14ac:dyDescent="0.4">
      <c r="A206" s="216" t="s">
        <v>676</v>
      </c>
      <c r="B206" s="123" t="s">
        <v>677</v>
      </c>
      <c r="C206" s="293">
        <v>28406</v>
      </c>
      <c r="D206" s="71">
        <f>(OBSAH!$J$6/100)*Tabulka2010798385563[[#This Row],[Sloupec3]]</f>
        <v>0</v>
      </c>
      <c r="E206" s="57">
        <f>Tabulka2010798385563[[#This Row],[Sloupec3]]-Tabulka2010798385563[[#This Row],[Sloupec4]]</f>
        <v>28406</v>
      </c>
      <c r="F206" s="3"/>
      <c r="G206" s="3"/>
      <c r="H206" s="3"/>
      <c r="I206" s="3"/>
      <c r="J206" s="3"/>
      <c r="K206" s="3"/>
      <c r="L206" s="3"/>
      <c r="M206" s="3"/>
    </row>
    <row r="207" spans="1:13" x14ac:dyDescent="0.4">
      <c r="A207" s="216" t="s">
        <v>678</v>
      </c>
      <c r="B207" s="123" t="s">
        <v>679</v>
      </c>
      <c r="C207" s="293">
        <v>28618</v>
      </c>
      <c r="D207" s="71">
        <f>(OBSAH!$J$6/100)*Tabulka2010798385563[[#This Row],[Sloupec3]]</f>
        <v>0</v>
      </c>
      <c r="E207" s="57">
        <f>Tabulka2010798385563[[#This Row],[Sloupec3]]-Tabulka2010798385563[[#This Row],[Sloupec4]]</f>
        <v>28618</v>
      </c>
      <c r="F207" s="3"/>
      <c r="G207" s="3"/>
      <c r="H207" s="3"/>
      <c r="I207" s="3"/>
      <c r="J207" s="3"/>
      <c r="K207" s="3"/>
      <c r="L207" s="3"/>
      <c r="M207" s="3"/>
    </row>
    <row r="208" spans="1:13" x14ac:dyDescent="0.4">
      <c r="A208" s="216" t="s">
        <v>680</v>
      </c>
      <c r="B208" s="123" t="s">
        <v>681</v>
      </c>
      <c r="C208" s="293">
        <v>31820</v>
      </c>
      <c r="D208" s="71">
        <f>(OBSAH!$J$6/100)*Tabulka2010798385563[[#This Row],[Sloupec3]]</f>
        <v>0</v>
      </c>
      <c r="E208" s="57">
        <f>Tabulka2010798385563[[#This Row],[Sloupec3]]-Tabulka2010798385563[[#This Row],[Sloupec4]]</f>
        <v>31820</v>
      </c>
      <c r="F208" s="3"/>
      <c r="G208" s="3"/>
      <c r="H208" s="3"/>
      <c r="I208" s="3"/>
      <c r="J208" s="3"/>
      <c r="K208" s="3"/>
      <c r="L208" s="3"/>
      <c r="M208" s="3"/>
    </row>
    <row r="209" spans="1:13" x14ac:dyDescent="0.4">
      <c r="A209" s="216" t="s">
        <v>682</v>
      </c>
      <c r="B209" s="123" t="s">
        <v>683</v>
      </c>
      <c r="C209" s="293">
        <v>32059</v>
      </c>
      <c r="D209" s="71">
        <f>(OBSAH!$J$6/100)*Tabulka2010798385563[[#This Row],[Sloupec3]]</f>
        <v>0</v>
      </c>
      <c r="E209" s="57">
        <f>Tabulka2010798385563[[#This Row],[Sloupec3]]-Tabulka2010798385563[[#This Row],[Sloupec4]]</f>
        <v>32059</v>
      </c>
      <c r="F209" s="3"/>
      <c r="G209" s="3"/>
      <c r="H209" s="3"/>
      <c r="I209" s="3"/>
      <c r="J209" s="3"/>
      <c r="K209" s="3"/>
      <c r="L209" s="3"/>
      <c r="M209" s="3"/>
    </row>
    <row r="210" spans="1:13" x14ac:dyDescent="0.4">
      <c r="A210" s="216" t="s">
        <v>684</v>
      </c>
      <c r="B210" s="123" t="s">
        <v>685</v>
      </c>
      <c r="C210" s="293">
        <v>32722</v>
      </c>
      <c r="D210" s="71">
        <f>(OBSAH!$J$6/100)*Tabulka2010798385563[[#This Row],[Sloupec3]]</f>
        <v>0</v>
      </c>
      <c r="E210" s="57">
        <f>Tabulka2010798385563[[#This Row],[Sloupec3]]-Tabulka2010798385563[[#This Row],[Sloupec4]]</f>
        <v>32722</v>
      </c>
      <c r="F210" s="3"/>
      <c r="G210" s="3"/>
      <c r="H210" s="3"/>
      <c r="I210" s="3"/>
      <c r="J210" s="3"/>
      <c r="K210" s="3"/>
      <c r="L210" s="3"/>
      <c r="M210" s="3"/>
    </row>
    <row r="211" spans="1:13" x14ac:dyDescent="0.4">
      <c r="A211" s="216" t="s">
        <v>686</v>
      </c>
      <c r="B211" s="123" t="s">
        <v>687</v>
      </c>
      <c r="C211" s="293">
        <v>32991</v>
      </c>
      <c r="D211" s="71">
        <f>(OBSAH!$J$6/100)*Tabulka2010798385563[[#This Row],[Sloupec3]]</f>
        <v>0</v>
      </c>
      <c r="E211" s="57">
        <f>Tabulka2010798385563[[#This Row],[Sloupec3]]-Tabulka2010798385563[[#This Row],[Sloupec4]]</f>
        <v>32991</v>
      </c>
      <c r="F211" s="3"/>
      <c r="G211" s="3"/>
      <c r="H211" s="3"/>
      <c r="I211" s="3"/>
      <c r="J211" s="3"/>
      <c r="K211" s="3"/>
      <c r="L211" s="3"/>
      <c r="M211" s="3"/>
    </row>
    <row r="212" spans="1:13" x14ac:dyDescent="0.4">
      <c r="A212" s="216" t="s">
        <v>688</v>
      </c>
      <c r="B212" s="123" t="s">
        <v>689</v>
      </c>
      <c r="C212" s="293">
        <v>33201</v>
      </c>
      <c r="D212" s="71">
        <f>(OBSAH!$J$6/100)*Tabulka2010798385563[[#This Row],[Sloupec3]]</f>
        <v>0</v>
      </c>
      <c r="E212" s="57">
        <f>Tabulka2010798385563[[#This Row],[Sloupec3]]-Tabulka2010798385563[[#This Row],[Sloupec4]]</f>
        <v>33201</v>
      </c>
      <c r="F212" s="3"/>
      <c r="G212" s="3"/>
      <c r="H212" s="3"/>
      <c r="I212" s="3"/>
      <c r="J212" s="3"/>
      <c r="K212" s="3"/>
      <c r="L212" s="3"/>
      <c r="M212" s="3"/>
    </row>
    <row r="213" spans="1:13" x14ac:dyDescent="0.4">
      <c r="A213" s="216" t="s">
        <v>690</v>
      </c>
      <c r="B213" s="123" t="s">
        <v>691</v>
      </c>
      <c r="C213" s="293">
        <v>35982</v>
      </c>
      <c r="D213" s="71">
        <f>(OBSAH!$J$6/100)*Tabulka2010798385563[[#This Row],[Sloupec3]]</f>
        <v>0</v>
      </c>
      <c r="E213" s="57">
        <f>Tabulka2010798385563[[#This Row],[Sloupec3]]-Tabulka2010798385563[[#This Row],[Sloupec4]]</f>
        <v>35982</v>
      </c>
      <c r="F213" s="3"/>
      <c r="G213" s="3"/>
      <c r="H213" s="3"/>
      <c r="I213" s="3"/>
      <c r="J213" s="3"/>
      <c r="K213" s="3"/>
      <c r="L213" s="3"/>
      <c r="M213" s="3"/>
    </row>
    <row r="214" spans="1:13" x14ac:dyDescent="0.4">
      <c r="A214" s="216" t="s">
        <v>692</v>
      </c>
      <c r="B214" s="123" t="s">
        <v>693</v>
      </c>
      <c r="C214" s="293">
        <v>36224</v>
      </c>
      <c r="D214" s="71">
        <f>(OBSAH!$J$6/100)*Tabulka2010798385563[[#This Row],[Sloupec3]]</f>
        <v>0</v>
      </c>
      <c r="E214" s="57">
        <f>Tabulka2010798385563[[#This Row],[Sloupec3]]-Tabulka2010798385563[[#This Row],[Sloupec4]]</f>
        <v>36224</v>
      </c>
      <c r="F214" s="3"/>
      <c r="G214" s="3"/>
      <c r="H214" s="3"/>
      <c r="I214" s="3"/>
      <c r="J214" s="3"/>
      <c r="K214" s="3"/>
      <c r="L214" s="3"/>
      <c r="M214" s="3"/>
    </row>
    <row r="215" spans="1:13" x14ac:dyDescent="0.4">
      <c r="A215" s="216" t="s">
        <v>694</v>
      </c>
      <c r="B215" s="123" t="s">
        <v>695</v>
      </c>
      <c r="C215" s="293">
        <v>36888</v>
      </c>
      <c r="D215" s="71">
        <f>(OBSAH!$J$6/100)*Tabulka2010798385563[[#This Row],[Sloupec3]]</f>
        <v>0</v>
      </c>
      <c r="E215" s="57">
        <f>Tabulka2010798385563[[#This Row],[Sloupec3]]-Tabulka2010798385563[[#This Row],[Sloupec4]]</f>
        <v>36888</v>
      </c>
      <c r="F215" s="3"/>
      <c r="G215" s="3"/>
      <c r="H215" s="3"/>
      <c r="I215" s="3"/>
      <c r="J215" s="3"/>
      <c r="K215" s="3"/>
      <c r="L215" s="3"/>
      <c r="M215" s="3"/>
    </row>
    <row r="216" spans="1:13" x14ac:dyDescent="0.4">
      <c r="A216" s="216" t="s">
        <v>696</v>
      </c>
      <c r="B216" s="123" t="s">
        <v>697</v>
      </c>
      <c r="C216" s="293">
        <v>37155</v>
      </c>
      <c r="D216" s="71">
        <f>(OBSAH!$J$6/100)*Tabulka2010798385563[[#This Row],[Sloupec3]]</f>
        <v>0</v>
      </c>
      <c r="E216" s="57">
        <f>Tabulka2010798385563[[#This Row],[Sloupec3]]-Tabulka2010798385563[[#This Row],[Sloupec4]]</f>
        <v>37155</v>
      </c>
      <c r="F216" s="3"/>
      <c r="G216" s="3"/>
      <c r="H216" s="3"/>
      <c r="I216" s="3"/>
      <c r="J216" s="3"/>
      <c r="K216" s="3"/>
      <c r="L216" s="3"/>
      <c r="M216" s="3"/>
    </row>
    <row r="217" spans="1:13" x14ac:dyDescent="0.4">
      <c r="A217" s="216" t="s">
        <v>698</v>
      </c>
      <c r="B217" s="123" t="s">
        <v>699</v>
      </c>
      <c r="C217" s="293">
        <v>37367</v>
      </c>
      <c r="D217" s="71">
        <f>(OBSAH!$J$6/100)*Tabulka2010798385563[[#This Row],[Sloupec3]]</f>
        <v>0</v>
      </c>
      <c r="E217" s="57">
        <f>Tabulka2010798385563[[#This Row],[Sloupec3]]-Tabulka2010798385563[[#This Row],[Sloupec4]]</f>
        <v>37367</v>
      </c>
      <c r="F217" s="3"/>
      <c r="G217" s="3"/>
      <c r="H217" s="3"/>
      <c r="I217" s="3"/>
      <c r="J217" s="3"/>
      <c r="K217" s="3"/>
      <c r="L217" s="3"/>
      <c r="M217" s="3"/>
    </row>
    <row r="218" spans="1:13" x14ac:dyDescent="0.4">
      <c r="A218" s="216" t="s">
        <v>700</v>
      </c>
      <c r="B218" s="123" t="s">
        <v>701</v>
      </c>
      <c r="C218" s="293">
        <v>40548</v>
      </c>
      <c r="D218" s="71">
        <f>(OBSAH!$J$6/100)*Tabulka2010798385563[[#This Row],[Sloupec3]]</f>
        <v>0</v>
      </c>
      <c r="E218" s="57">
        <f>Tabulka2010798385563[[#This Row],[Sloupec3]]-Tabulka2010798385563[[#This Row],[Sloupec4]]</f>
        <v>40548</v>
      </c>
      <c r="F218" s="3"/>
      <c r="G218" s="3"/>
      <c r="H218" s="3"/>
      <c r="I218" s="3"/>
      <c r="J218" s="3"/>
      <c r="K218" s="3"/>
      <c r="L218" s="3"/>
      <c r="M218" s="3"/>
    </row>
    <row r="219" spans="1:13" x14ac:dyDescent="0.4">
      <c r="A219" s="216" t="s">
        <v>702</v>
      </c>
      <c r="B219" s="123" t="s">
        <v>703</v>
      </c>
      <c r="C219" s="293">
        <v>40756</v>
      </c>
      <c r="D219" s="71">
        <f>(OBSAH!$J$6/100)*Tabulka2010798385563[[#This Row],[Sloupec3]]</f>
        <v>0</v>
      </c>
      <c r="E219" s="57">
        <f>Tabulka2010798385563[[#This Row],[Sloupec3]]-Tabulka2010798385563[[#This Row],[Sloupec4]]</f>
        <v>40756</v>
      </c>
      <c r="F219" s="3"/>
      <c r="G219" s="3"/>
      <c r="H219" s="3"/>
      <c r="I219" s="3"/>
      <c r="J219" s="3"/>
      <c r="K219" s="3"/>
      <c r="L219" s="3"/>
      <c r="M219" s="3"/>
    </row>
    <row r="220" spans="1:13" x14ac:dyDescent="0.4">
      <c r="A220" s="216" t="s">
        <v>704</v>
      </c>
      <c r="B220" s="123" t="s">
        <v>705</v>
      </c>
      <c r="C220" s="293">
        <v>41424</v>
      </c>
      <c r="D220" s="71">
        <f>(OBSAH!$J$6/100)*Tabulka2010798385563[[#This Row],[Sloupec3]]</f>
        <v>0</v>
      </c>
      <c r="E220" s="57">
        <f>Tabulka2010798385563[[#This Row],[Sloupec3]]-Tabulka2010798385563[[#This Row],[Sloupec4]]</f>
        <v>41424</v>
      </c>
      <c r="F220" s="3"/>
      <c r="G220" s="3"/>
      <c r="H220" s="3"/>
      <c r="I220" s="3"/>
      <c r="J220" s="3"/>
      <c r="K220" s="3"/>
      <c r="L220" s="3"/>
      <c r="M220" s="3"/>
    </row>
    <row r="221" spans="1:13" x14ac:dyDescent="0.4">
      <c r="A221" s="216" t="s">
        <v>706</v>
      </c>
      <c r="B221" s="123" t="s">
        <v>707</v>
      </c>
      <c r="C221" s="293">
        <v>41692</v>
      </c>
      <c r="D221" s="71">
        <f>(OBSAH!$J$6/100)*Tabulka2010798385563[[#This Row],[Sloupec3]]</f>
        <v>0</v>
      </c>
      <c r="E221" s="57">
        <f>Tabulka2010798385563[[#This Row],[Sloupec3]]-Tabulka2010798385563[[#This Row],[Sloupec4]]</f>
        <v>41692</v>
      </c>
      <c r="F221" s="3"/>
      <c r="G221" s="3"/>
      <c r="H221" s="3"/>
      <c r="I221" s="3"/>
      <c r="J221" s="3"/>
      <c r="K221" s="3"/>
      <c r="L221" s="3"/>
      <c r="M221" s="3"/>
    </row>
    <row r="222" spans="1:13" x14ac:dyDescent="0.4">
      <c r="A222" s="217" t="s">
        <v>708</v>
      </c>
      <c r="B222" s="218" t="s">
        <v>709</v>
      </c>
      <c r="C222" s="294">
        <v>41902</v>
      </c>
      <c r="D222" s="68">
        <f>(OBSAH!$J$6/100)*Tabulka2010798385563[[#This Row],[Sloupec3]]</f>
        <v>0</v>
      </c>
      <c r="E222" s="58">
        <f>Tabulka2010798385563[[#This Row],[Sloupec3]]-Tabulka2010798385563[[#This Row],[Sloupec4]]</f>
        <v>41902</v>
      </c>
      <c r="F222" s="3"/>
      <c r="G222" s="3"/>
      <c r="H222" s="3"/>
      <c r="I222" s="3"/>
      <c r="J222" s="3"/>
      <c r="K222" s="3"/>
      <c r="L222" s="3"/>
      <c r="M222" s="3"/>
    </row>
    <row r="223" spans="1:13" ht="15" customHeight="1" x14ac:dyDescent="0.4">
      <c r="A223" s="441" t="s">
        <v>457</v>
      </c>
      <c r="B223" s="441"/>
      <c r="C223" s="441"/>
      <c r="D223" s="441"/>
      <c r="E223" s="441"/>
      <c r="F223" s="3"/>
      <c r="G223" s="3"/>
      <c r="H223" s="3"/>
      <c r="I223" s="3"/>
      <c r="J223" s="3"/>
      <c r="K223" s="3"/>
      <c r="L223" s="3"/>
      <c r="M223" s="3"/>
    </row>
    <row r="224" spans="1:13" ht="15" customHeight="1" x14ac:dyDescent="0.4">
      <c r="A224" s="38"/>
      <c r="B224" s="38"/>
      <c r="C224" s="38"/>
      <c r="D224" s="3"/>
      <c r="E224" s="3"/>
      <c r="F224" s="3"/>
      <c r="G224" s="3"/>
      <c r="H224" s="3"/>
      <c r="I224" s="3"/>
      <c r="J224" s="3"/>
      <c r="K224" s="3"/>
      <c r="L224" s="3"/>
      <c r="M224" s="3"/>
    </row>
  </sheetData>
  <mergeCells count="30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G20:L20"/>
    <mergeCell ref="G21:L21"/>
    <mergeCell ref="G22:L22"/>
    <mergeCell ref="G23:L23"/>
    <mergeCell ref="A44:E44"/>
    <mergeCell ref="A82:E82"/>
    <mergeCell ref="A155:E155"/>
    <mergeCell ref="A156:E156"/>
    <mergeCell ref="A190:E190"/>
    <mergeCell ref="A223:E223"/>
    <mergeCell ref="A83:E83"/>
    <mergeCell ref="A84:E84"/>
    <mergeCell ref="A118:E118"/>
    <mergeCell ref="A151:E151"/>
    <mergeCell ref="A154:E154"/>
  </mergeCells>
  <hyperlinks>
    <hyperlink ref="F2" location="OBSAH!I128" display="PŘEJÍT NA UPOZORNĚNÍ" xr:uid="{00000000-0004-0000-0500-000000000000}"/>
    <hyperlink ref="A151" location="'PŘÍSTUPOVÉ SYSTÉMY'!A67" display="ODKAZ NA ČIPY RFID 125kHz" xr:uid="{00000000-0004-0000-0500-000001000000}"/>
    <hyperlink ref="A223" location="'PŘÍSTUPOVÉ SYSTÉMY'!A69" display="ODKAZ NA ČIPY MIFARE" xr:uid="{00000000-0004-0000-0500-000002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79646"/>
    <pageSetUpPr fitToPage="1"/>
  </sheetPr>
  <dimension ref="A1:AMK105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454"/>
      <c r="G3" s="454"/>
      <c r="H3" s="454"/>
      <c r="I3" s="454"/>
      <c r="J3" s="454"/>
      <c r="K3" s="454"/>
      <c r="L3" s="454"/>
      <c r="M3" s="454"/>
    </row>
    <row r="4" spans="1:14" ht="15" customHeight="1" x14ac:dyDescent="0.4">
      <c r="A4" s="461"/>
      <c r="B4" s="461"/>
      <c r="C4" s="461"/>
      <c r="D4" s="461"/>
      <c r="E4" s="461"/>
      <c r="F4" s="451"/>
      <c r="G4" s="451"/>
      <c r="H4" s="451"/>
      <c r="I4" s="451"/>
      <c r="J4" s="452"/>
      <c r="K4" s="452"/>
      <c r="L4" s="452"/>
      <c r="M4" s="452"/>
    </row>
    <row r="5" spans="1:14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4" ht="54" customHeight="1" x14ac:dyDescent="0.4">
      <c r="A6" s="469" t="s">
        <v>25</v>
      </c>
      <c r="B6" s="469"/>
      <c r="C6" s="469"/>
      <c r="D6" s="469"/>
      <c r="E6" s="469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68" t="s">
        <v>82</v>
      </c>
      <c r="B7" s="468"/>
      <c r="C7" s="468"/>
      <c r="D7" s="468"/>
      <c r="E7" s="468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65" t="s">
        <v>83</v>
      </c>
      <c r="B8" s="465"/>
      <c r="C8" s="465"/>
      <c r="D8" s="465"/>
      <c r="E8" s="465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51" t="s">
        <v>56</v>
      </c>
      <c r="B9" s="51" t="s">
        <v>57</v>
      </c>
      <c r="C9" s="52" t="s">
        <v>58</v>
      </c>
      <c r="D9" s="52" t="s">
        <v>59</v>
      </c>
      <c r="E9" s="53" t="s">
        <v>60</v>
      </c>
      <c r="F9" s="76"/>
      <c r="G9" s="433"/>
      <c r="H9" s="433"/>
      <c r="I9" s="433"/>
      <c r="J9" s="433"/>
      <c r="K9" s="433"/>
      <c r="L9" s="433"/>
      <c r="M9" s="42"/>
    </row>
    <row r="10" spans="1:14" ht="14.25" customHeight="1" x14ac:dyDescent="0.4">
      <c r="A10" s="98">
        <v>4004005162</v>
      </c>
      <c r="B10" s="99" t="s">
        <v>710</v>
      </c>
      <c r="C10" s="310">
        <v>12848</v>
      </c>
      <c r="D10" s="69">
        <f>(OBSAH!$J$6/100)*Tabulka20104957[[#This Row],[Sloupec3]]</f>
        <v>0</v>
      </c>
      <c r="E10" s="70">
        <f>Tabulka20104957[[#This Row],[Sloupec3]]-Tabulka20104957[[#This Row],[Sloupec4]]</f>
        <v>12848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100">
        <v>4004005163</v>
      </c>
      <c r="B11" s="125" t="s">
        <v>711</v>
      </c>
      <c r="C11" s="311">
        <v>13107</v>
      </c>
      <c r="D11" s="71">
        <f>(OBSAH!$J$6/100)*Tabulka20104957[[#This Row],[Sloupec3]]</f>
        <v>0</v>
      </c>
      <c r="E11" s="57">
        <f>Tabulka20104957[[#This Row],[Sloupec3]]-Tabulka20104957[[#This Row],[Sloupec4]]</f>
        <v>13107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100">
        <v>4004005164</v>
      </c>
      <c r="B12" s="125" t="s">
        <v>712</v>
      </c>
      <c r="C12" s="311">
        <v>16916</v>
      </c>
      <c r="D12" s="71">
        <f>(OBSAH!$J$6/100)*Tabulka20104957[[#This Row],[Sloupec3]]</f>
        <v>0</v>
      </c>
      <c r="E12" s="57">
        <f>Tabulka20104957[[#This Row],[Sloupec3]]-Tabulka20104957[[#This Row],[Sloupec4]]</f>
        <v>16916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100">
        <v>4004005165</v>
      </c>
      <c r="B13" s="125" t="s">
        <v>713</v>
      </c>
      <c r="C13" s="311">
        <v>17111</v>
      </c>
      <c r="D13" s="71">
        <f>(OBSAH!$J$6/100)*Tabulka20104957[[#This Row],[Sloupec3]]</f>
        <v>0</v>
      </c>
      <c r="E13" s="57">
        <f>Tabulka20104957[[#This Row],[Sloupec3]]-Tabulka20104957[[#This Row],[Sloupec4]]</f>
        <v>17111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100">
        <v>4004005166</v>
      </c>
      <c r="B14" s="125" t="s">
        <v>714</v>
      </c>
      <c r="C14" s="311">
        <v>20550</v>
      </c>
      <c r="D14" s="71">
        <f>(OBSAH!$J$6/100)*Tabulka20104957[[#This Row],[Sloupec3]]</f>
        <v>0</v>
      </c>
      <c r="E14" s="57">
        <f>Tabulka20104957[[#This Row],[Sloupec3]]-Tabulka20104957[[#This Row],[Sloupec4]]</f>
        <v>20550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100">
        <v>4004005160</v>
      </c>
      <c r="B15" s="125" t="s">
        <v>715</v>
      </c>
      <c r="C15" s="311">
        <v>24561</v>
      </c>
      <c r="D15" s="71">
        <f>(OBSAH!$J$6/100)*Tabulka20104957[[#This Row],[Sloupec3]]</f>
        <v>0</v>
      </c>
      <c r="E15" s="57">
        <f>Tabulka20104957[[#This Row],[Sloupec3]]-Tabulka20104957[[#This Row],[Sloupec4]]</f>
        <v>24561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101">
        <v>4004005173</v>
      </c>
      <c r="B16" s="102" t="s">
        <v>716</v>
      </c>
      <c r="C16" s="312">
        <v>28033</v>
      </c>
      <c r="D16" s="68">
        <f>(OBSAH!$J$6/100)*Tabulka20104957[[#This Row],[Sloupec3]]</f>
        <v>0</v>
      </c>
      <c r="E16" s="58">
        <f>Tabulka20104957[[#This Row],[Sloupec3]]-Tabulka20104957[[#This Row],[Sloupec4]]</f>
        <v>28033</v>
      </c>
      <c r="F16" s="3"/>
      <c r="G16" s="3"/>
      <c r="H16" s="3"/>
      <c r="I16" s="3"/>
      <c r="J16" s="3"/>
      <c r="K16" s="3"/>
      <c r="L16" s="3"/>
      <c r="M16" s="3"/>
    </row>
    <row r="17" spans="1:13" ht="15" customHeight="1" x14ac:dyDescent="0.4">
      <c r="A17" s="83"/>
      <c r="B17" s="84"/>
      <c r="C17" s="85"/>
      <c r="D17" s="61"/>
      <c r="E17" s="62"/>
      <c r="F17" s="3"/>
      <c r="G17" s="3"/>
      <c r="H17" s="3"/>
      <c r="I17" s="3"/>
      <c r="J17" s="3"/>
      <c r="K17" s="3"/>
      <c r="L17" s="3"/>
      <c r="M17" s="3"/>
    </row>
    <row r="18" spans="1:13" ht="22.5" customHeight="1" x14ac:dyDescent="0.4">
      <c r="A18" s="466" t="s">
        <v>91</v>
      </c>
      <c r="B18" s="466"/>
      <c r="C18" s="466"/>
      <c r="D18" s="466"/>
      <c r="E18" s="466"/>
      <c r="F18" s="3"/>
      <c r="G18" s="3"/>
      <c r="H18" s="3"/>
      <c r="I18" s="3"/>
      <c r="J18" s="3"/>
      <c r="K18" s="3"/>
      <c r="L18" s="3"/>
      <c r="M18" s="3"/>
    </row>
    <row r="19" spans="1:13" s="44" customFormat="1" ht="22.5" customHeight="1" x14ac:dyDescent="0.25">
      <c r="A19" s="51" t="s">
        <v>56</v>
      </c>
      <c r="B19" s="51" t="s">
        <v>57</v>
      </c>
      <c r="C19" s="52" t="s">
        <v>58</v>
      </c>
      <c r="D19" s="52" t="s">
        <v>59</v>
      </c>
      <c r="E19" s="53" t="s">
        <v>60</v>
      </c>
      <c r="F19" s="42"/>
      <c r="G19" s="42"/>
      <c r="H19" s="42"/>
      <c r="I19" s="42"/>
      <c r="J19" s="42"/>
      <c r="K19" s="42"/>
      <c r="L19" s="42"/>
      <c r="M19" s="42"/>
    </row>
    <row r="20" spans="1:13" ht="14.25" customHeight="1" x14ac:dyDescent="0.4">
      <c r="A20" s="98">
        <v>4004005174</v>
      </c>
      <c r="B20" s="99" t="s">
        <v>717</v>
      </c>
      <c r="C20" s="310">
        <v>13289</v>
      </c>
      <c r="D20" s="69">
        <f>(OBSAH!$J$6/100)*Tabulka21115058[[#This Row],[Sloupec3]]</f>
        <v>0</v>
      </c>
      <c r="E20" s="70">
        <f>Tabulka21115058[[#This Row],[Sloupec3]]-Tabulka21115058[[#This Row],[Sloupec4]]</f>
        <v>13289</v>
      </c>
      <c r="F20" s="3"/>
      <c r="G20" s="3"/>
      <c r="H20" s="3"/>
      <c r="I20" s="3"/>
      <c r="J20" s="3"/>
      <c r="K20" s="3"/>
      <c r="L20" s="3"/>
      <c r="M20" s="3"/>
    </row>
    <row r="21" spans="1:13" ht="14.25" customHeight="1" x14ac:dyDescent="0.4">
      <c r="A21" s="100">
        <v>4004005175</v>
      </c>
      <c r="B21" s="125" t="s">
        <v>718</v>
      </c>
      <c r="C21" s="311">
        <v>13548</v>
      </c>
      <c r="D21" s="71">
        <f>(OBSAH!$J$6/100)*Tabulka21115058[[#This Row],[Sloupec3]]</f>
        <v>0</v>
      </c>
      <c r="E21" s="57">
        <f>Tabulka21115058[[#This Row],[Sloupec3]]-Tabulka21115058[[#This Row],[Sloupec4]]</f>
        <v>13548</v>
      </c>
      <c r="F21" s="3"/>
      <c r="G21" s="3"/>
      <c r="H21" s="3"/>
      <c r="I21" s="3"/>
      <c r="J21" s="3"/>
      <c r="K21" s="3"/>
      <c r="L21" s="3"/>
      <c r="M21" s="3"/>
    </row>
    <row r="22" spans="1:13" ht="14.25" customHeight="1" x14ac:dyDescent="0.4">
      <c r="A22" s="100">
        <v>4004005176</v>
      </c>
      <c r="B22" s="125" t="s">
        <v>719</v>
      </c>
      <c r="C22" s="311">
        <v>17356</v>
      </c>
      <c r="D22" s="71">
        <f>(OBSAH!$J$6/100)*Tabulka21115058[[#This Row],[Sloupec3]]</f>
        <v>0</v>
      </c>
      <c r="E22" s="57">
        <f>Tabulka21115058[[#This Row],[Sloupec3]]-Tabulka21115058[[#This Row],[Sloupec4]]</f>
        <v>17356</v>
      </c>
      <c r="F22" s="3"/>
      <c r="G22" s="3"/>
      <c r="H22" s="3"/>
      <c r="I22" s="3"/>
      <c r="J22" s="3"/>
      <c r="K22" s="3"/>
      <c r="L22" s="3"/>
      <c r="M22" s="3"/>
    </row>
    <row r="23" spans="1:13" ht="14.25" customHeight="1" x14ac:dyDescent="0.4">
      <c r="A23" s="100">
        <v>4004005177</v>
      </c>
      <c r="B23" s="125" t="s">
        <v>720</v>
      </c>
      <c r="C23" s="311">
        <v>17553</v>
      </c>
      <c r="D23" s="71">
        <f>(OBSAH!$J$6/100)*Tabulka21115058[[#This Row],[Sloupec3]]</f>
        <v>0</v>
      </c>
      <c r="E23" s="57">
        <f>Tabulka21115058[[#This Row],[Sloupec3]]-Tabulka21115058[[#This Row],[Sloupec4]]</f>
        <v>17553</v>
      </c>
      <c r="F23" s="3"/>
      <c r="G23" s="3"/>
      <c r="H23" s="3"/>
      <c r="I23" s="3"/>
      <c r="J23" s="3"/>
      <c r="K23" s="3"/>
      <c r="L23" s="3"/>
      <c r="M23" s="3"/>
    </row>
    <row r="24" spans="1:13" ht="14.25" customHeight="1" x14ac:dyDescent="0.4">
      <c r="A24" s="100">
        <v>4004005178</v>
      </c>
      <c r="B24" s="125" t="s">
        <v>721</v>
      </c>
      <c r="C24" s="311">
        <v>20991</v>
      </c>
      <c r="D24" s="71">
        <f>(OBSAH!$J$6/100)*Tabulka21115058[[#This Row],[Sloupec3]]</f>
        <v>0</v>
      </c>
      <c r="E24" s="57">
        <f>Tabulka21115058[[#This Row],[Sloupec3]]-Tabulka21115058[[#This Row],[Sloupec4]]</f>
        <v>20991</v>
      </c>
      <c r="F24" s="3"/>
      <c r="G24" s="448"/>
      <c r="H24" s="448"/>
      <c r="I24" s="448"/>
      <c r="J24" s="448"/>
      <c r="K24" s="448"/>
      <c r="L24" s="448"/>
      <c r="M24" s="3"/>
    </row>
    <row r="25" spans="1:13" ht="14.25" customHeight="1" x14ac:dyDescent="0.4">
      <c r="A25" s="100">
        <v>4004005179</v>
      </c>
      <c r="B25" s="125" t="s">
        <v>722</v>
      </c>
      <c r="C25" s="311">
        <v>25001</v>
      </c>
      <c r="D25" s="71">
        <f>(OBSAH!$J$6/100)*Tabulka21115058[[#This Row],[Sloupec3]]</f>
        <v>0</v>
      </c>
      <c r="E25" s="57">
        <f>Tabulka21115058[[#This Row],[Sloupec3]]-Tabulka21115058[[#This Row],[Sloupec4]]</f>
        <v>25001</v>
      </c>
      <c r="F25" s="3"/>
      <c r="G25" s="430"/>
      <c r="H25" s="430"/>
      <c r="I25" s="430"/>
      <c r="J25" s="430"/>
      <c r="K25" s="430"/>
      <c r="L25" s="430"/>
      <c r="M25" s="3"/>
    </row>
    <row r="26" spans="1:13" ht="14.25" customHeight="1" x14ac:dyDescent="0.4">
      <c r="A26" s="101">
        <v>4004005180</v>
      </c>
      <c r="B26" s="102" t="s">
        <v>723</v>
      </c>
      <c r="C26" s="312">
        <v>28474</v>
      </c>
      <c r="D26" s="68">
        <f>(OBSAH!$J$6/100)*Tabulka21115058[[#This Row],[Sloupec3]]</f>
        <v>0</v>
      </c>
      <c r="E26" s="58">
        <f>Tabulka21115058[[#This Row],[Sloupec3]]-Tabulka21115058[[#This Row],[Sloupec4]]</f>
        <v>28474</v>
      </c>
      <c r="F26" s="3"/>
      <c r="G26" s="448"/>
      <c r="H26" s="448"/>
      <c r="I26" s="448"/>
      <c r="J26" s="448"/>
      <c r="K26" s="448"/>
      <c r="L26" s="448"/>
      <c r="M26" s="3"/>
    </row>
    <row r="27" spans="1:13" ht="15" customHeight="1" x14ac:dyDescent="0.4">
      <c r="A27" s="38"/>
      <c r="B27" s="38"/>
      <c r="C27" s="106"/>
      <c r="D27" s="61"/>
      <c r="E27" s="62"/>
      <c r="F27" s="3"/>
      <c r="G27" s="430"/>
      <c r="H27" s="430"/>
      <c r="I27" s="430"/>
      <c r="J27" s="430"/>
      <c r="K27" s="430"/>
      <c r="L27" s="430"/>
      <c r="M27" s="3"/>
    </row>
    <row r="28" spans="1:13" ht="15" customHeight="1" x14ac:dyDescent="0.4">
      <c r="A28" s="38"/>
      <c r="B28" s="38"/>
      <c r="C28" s="106"/>
      <c r="D28" s="61"/>
      <c r="E28" s="62"/>
      <c r="F28" s="3"/>
      <c r="G28" s="67"/>
      <c r="H28" s="67"/>
      <c r="I28" s="38"/>
      <c r="J28" s="38"/>
      <c r="K28" s="38"/>
      <c r="L28" s="38"/>
      <c r="M28" s="3"/>
    </row>
    <row r="29" spans="1:13" ht="15" customHeight="1" x14ac:dyDescent="0.4">
      <c r="A29" s="38"/>
      <c r="B29" s="38"/>
      <c r="C29" s="106"/>
      <c r="D29" s="61"/>
      <c r="E29" s="62"/>
      <c r="F29" s="3"/>
      <c r="G29" s="3"/>
      <c r="H29" s="3"/>
      <c r="I29" s="3"/>
      <c r="J29" s="3"/>
      <c r="K29" s="3"/>
      <c r="L29" s="3"/>
      <c r="M29" s="3"/>
    </row>
    <row r="30" spans="1:13" ht="36" customHeight="1" x14ac:dyDescent="0.4">
      <c r="A30" s="467" t="s">
        <v>82</v>
      </c>
      <c r="B30" s="467"/>
      <c r="C30" s="467"/>
      <c r="D30" s="467"/>
      <c r="E30" s="467"/>
      <c r="F30" s="3"/>
      <c r="G30" s="3"/>
      <c r="H30" s="3"/>
      <c r="I30" s="3"/>
      <c r="J30" s="3"/>
      <c r="K30" s="3"/>
      <c r="L30" s="3"/>
      <c r="M30" s="3"/>
    </row>
    <row r="31" spans="1:13" ht="36" customHeight="1" x14ac:dyDescent="0.4">
      <c r="A31" s="464" t="s">
        <v>427</v>
      </c>
      <c r="B31" s="464"/>
      <c r="C31" s="464"/>
      <c r="D31" s="464"/>
      <c r="E31" s="464"/>
      <c r="F31" s="3"/>
      <c r="G31" s="3"/>
      <c r="H31" s="3"/>
      <c r="I31" s="3"/>
      <c r="J31" s="3"/>
      <c r="K31" s="3"/>
      <c r="L31" s="3"/>
      <c r="M31" s="3"/>
    </row>
    <row r="32" spans="1:13" ht="22.5" customHeight="1" x14ac:dyDescent="0.4">
      <c r="A32" s="465" t="s">
        <v>83</v>
      </c>
      <c r="B32" s="465"/>
      <c r="C32" s="465"/>
      <c r="D32" s="465"/>
      <c r="E32" s="465"/>
      <c r="F32" s="3"/>
      <c r="G32" s="3"/>
      <c r="H32" s="3"/>
      <c r="I32" s="3"/>
      <c r="J32" s="3"/>
      <c r="K32" s="3"/>
      <c r="L32" s="3"/>
      <c r="M32" s="3"/>
    </row>
    <row r="33" spans="1:13" s="44" customFormat="1" ht="22.5" customHeight="1" x14ac:dyDescent="0.25">
      <c r="A33" s="51" t="s">
        <v>56</v>
      </c>
      <c r="B33" s="51" t="s">
        <v>57</v>
      </c>
      <c r="C33" s="52" t="s">
        <v>58</v>
      </c>
      <c r="D33" s="52" t="s">
        <v>59</v>
      </c>
      <c r="E33" s="53" t="s">
        <v>60</v>
      </c>
      <c r="F33" s="42"/>
      <c r="G33" s="42"/>
      <c r="H33" s="42"/>
      <c r="I33" s="42"/>
      <c r="J33" s="42"/>
      <c r="K33" s="42"/>
      <c r="L33" s="42"/>
      <c r="M33" s="42"/>
    </row>
    <row r="34" spans="1:13" ht="14.25" customHeight="1" x14ac:dyDescent="0.4">
      <c r="A34" s="98">
        <v>4004005171</v>
      </c>
      <c r="B34" s="99" t="s">
        <v>724</v>
      </c>
      <c r="C34" s="310">
        <v>19096</v>
      </c>
      <c r="D34" s="69">
        <f>(OBSAH!$J$6/100)*Tabulka2010145159[[#This Row],[Sloupec3]]</f>
        <v>0</v>
      </c>
      <c r="E34" s="70">
        <f>Tabulka2010145159[[#This Row],[Sloupec3]]-Tabulka2010145159[[#This Row],[Sloupec4]]</f>
        <v>19096</v>
      </c>
      <c r="F34" s="3"/>
      <c r="G34" s="3"/>
      <c r="H34" s="3"/>
      <c r="I34" s="3"/>
      <c r="J34" s="3"/>
      <c r="K34" s="3"/>
      <c r="L34" s="3"/>
      <c r="M34" s="3"/>
    </row>
    <row r="35" spans="1:13" ht="14.25" customHeight="1" x14ac:dyDescent="0.4">
      <c r="A35" s="100">
        <v>4004005170</v>
      </c>
      <c r="B35" s="125" t="s">
        <v>725</v>
      </c>
      <c r="C35" s="311">
        <v>19187</v>
      </c>
      <c r="D35" s="71">
        <f>(OBSAH!$J$6/100)*Tabulka2010145159[[#This Row],[Sloupec3]]</f>
        <v>0</v>
      </c>
      <c r="E35" s="57">
        <f>Tabulka2010145159[[#This Row],[Sloupec3]]-Tabulka2010145159[[#This Row],[Sloupec4]]</f>
        <v>19187</v>
      </c>
      <c r="F35" s="3"/>
      <c r="G35" s="3"/>
      <c r="H35" s="3"/>
      <c r="I35" s="3"/>
      <c r="J35" s="3"/>
      <c r="K35" s="3"/>
      <c r="L35" s="3"/>
      <c r="M35" s="3"/>
    </row>
    <row r="36" spans="1:13" ht="14.25" customHeight="1" x14ac:dyDescent="0.4">
      <c r="A36" s="100">
        <v>4004005169</v>
      </c>
      <c r="B36" s="125" t="s">
        <v>726</v>
      </c>
      <c r="C36" s="311">
        <v>23161</v>
      </c>
      <c r="D36" s="71">
        <f>(OBSAH!$J$6/100)*Tabulka2010145159[[#This Row],[Sloupec3]]</f>
        <v>0</v>
      </c>
      <c r="E36" s="57">
        <f>Tabulka2010145159[[#This Row],[Sloupec3]]-Tabulka2010145159[[#This Row],[Sloupec4]]</f>
        <v>23161</v>
      </c>
      <c r="F36" s="3"/>
      <c r="G36" s="3"/>
      <c r="H36" s="3"/>
      <c r="I36" s="3"/>
      <c r="J36" s="3"/>
      <c r="K36" s="3"/>
      <c r="L36" s="3"/>
      <c r="M36" s="3"/>
    </row>
    <row r="37" spans="1:13" ht="14.25" customHeight="1" x14ac:dyDescent="0.4">
      <c r="A37" s="100">
        <v>4004005188</v>
      </c>
      <c r="B37" s="125" t="s">
        <v>727</v>
      </c>
      <c r="C37" s="311">
        <v>23263</v>
      </c>
      <c r="D37" s="71">
        <f>(OBSAH!$J$6/100)*Tabulka2010145159[[#This Row],[Sloupec3]]</f>
        <v>0</v>
      </c>
      <c r="E37" s="57">
        <f>Tabulka2010145159[[#This Row],[Sloupec3]]-Tabulka2010145159[[#This Row],[Sloupec4]]</f>
        <v>23263</v>
      </c>
      <c r="F37" s="3"/>
      <c r="G37" s="3"/>
      <c r="H37" s="3"/>
      <c r="I37" s="3"/>
      <c r="J37" s="3"/>
      <c r="K37" s="3"/>
      <c r="L37" s="3"/>
      <c r="M37" s="3"/>
    </row>
    <row r="38" spans="1:13" ht="14.25" customHeight="1" x14ac:dyDescent="0.4">
      <c r="A38" s="100">
        <v>4004005168</v>
      </c>
      <c r="B38" s="125" t="s">
        <v>728</v>
      </c>
      <c r="C38" s="311">
        <v>26601</v>
      </c>
      <c r="D38" s="71">
        <f>(OBSAH!$J$6/100)*Tabulka2010145159[[#This Row],[Sloupec3]]</f>
        <v>0</v>
      </c>
      <c r="E38" s="57">
        <f>Tabulka2010145159[[#This Row],[Sloupec3]]-Tabulka2010145159[[#This Row],[Sloupec4]]</f>
        <v>26601</v>
      </c>
      <c r="F38" s="3"/>
      <c r="G38" s="3"/>
      <c r="H38" s="3"/>
      <c r="I38" s="3"/>
      <c r="J38" s="3"/>
      <c r="K38" s="3"/>
      <c r="L38" s="3"/>
      <c r="M38" s="3"/>
    </row>
    <row r="39" spans="1:13" ht="14.25" customHeight="1" x14ac:dyDescent="0.4">
      <c r="A39" s="100">
        <v>4004005167</v>
      </c>
      <c r="B39" s="125" t="s">
        <v>729</v>
      </c>
      <c r="C39" s="311">
        <v>30489</v>
      </c>
      <c r="D39" s="71">
        <f>(OBSAH!$J$6/100)*Tabulka2010145159[[#This Row],[Sloupec3]]</f>
        <v>0</v>
      </c>
      <c r="E39" s="57">
        <f>Tabulka2010145159[[#This Row],[Sloupec3]]-Tabulka2010145159[[#This Row],[Sloupec4]]</f>
        <v>30489</v>
      </c>
      <c r="F39" s="3"/>
      <c r="G39" s="3"/>
      <c r="H39" s="3"/>
      <c r="I39" s="3"/>
      <c r="J39" s="3"/>
      <c r="K39" s="3"/>
      <c r="L39" s="3"/>
      <c r="M39" s="3"/>
    </row>
    <row r="40" spans="1:13" ht="14.25" customHeight="1" x14ac:dyDescent="0.4">
      <c r="A40" s="101">
        <v>4004005172</v>
      </c>
      <c r="B40" s="102" t="s">
        <v>730</v>
      </c>
      <c r="C40" s="312">
        <v>34115</v>
      </c>
      <c r="D40" s="68">
        <f>(OBSAH!$J$6/100)*Tabulka2010145159[[#This Row],[Sloupec3]]</f>
        <v>0</v>
      </c>
      <c r="E40" s="58">
        <f>Tabulka2010145159[[#This Row],[Sloupec3]]-Tabulka2010145159[[#This Row],[Sloupec4]]</f>
        <v>34115</v>
      </c>
      <c r="F40" s="3"/>
      <c r="G40" s="3"/>
      <c r="H40" s="3"/>
      <c r="I40" s="3"/>
      <c r="J40" s="3"/>
      <c r="K40" s="3"/>
      <c r="L40" s="3"/>
      <c r="M40" s="3"/>
    </row>
    <row r="41" spans="1:13" ht="15" customHeight="1" x14ac:dyDescent="0.4">
      <c r="A41" s="83"/>
      <c r="B41" s="84"/>
      <c r="C41" s="85"/>
      <c r="D41" s="61"/>
      <c r="E41" s="62"/>
      <c r="F41" s="3"/>
      <c r="G41" s="3"/>
      <c r="H41" s="3"/>
      <c r="I41" s="3"/>
      <c r="J41" s="3"/>
      <c r="K41" s="3"/>
      <c r="L41" s="3"/>
      <c r="M41" s="3"/>
    </row>
    <row r="42" spans="1:13" ht="22.5" customHeight="1" x14ac:dyDescent="0.4">
      <c r="A42" s="466" t="s">
        <v>91</v>
      </c>
      <c r="B42" s="466"/>
      <c r="C42" s="466"/>
      <c r="D42" s="466"/>
      <c r="E42" s="466"/>
      <c r="F42" s="3"/>
      <c r="G42" s="3"/>
      <c r="H42" s="3"/>
      <c r="I42" s="3"/>
      <c r="J42" s="3"/>
      <c r="K42" s="3"/>
      <c r="L42" s="3"/>
      <c r="M42" s="3"/>
    </row>
    <row r="43" spans="1:13" s="44" customFormat="1" ht="22.5" customHeight="1" x14ac:dyDescent="0.25">
      <c r="A43" s="51" t="s">
        <v>56</v>
      </c>
      <c r="B43" s="51" t="s">
        <v>57</v>
      </c>
      <c r="C43" s="52" t="s">
        <v>58</v>
      </c>
      <c r="D43" s="52" t="s">
        <v>59</v>
      </c>
      <c r="E43" s="53" t="s">
        <v>60</v>
      </c>
      <c r="F43" s="42"/>
      <c r="G43" s="42"/>
      <c r="H43" s="42"/>
      <c r="I43" s="42"/>
      <c r="J43" s="42"/>
      <c r="K43" s="42"/>
      <c r="L43" s="42"/>
      <c r="M43" s="42"/>
    </row>
    <row r="44" spans="1:13" ht="14.25" customHeight="1" x14ac:dyDescent="0.4">
      <c r="A44" s="98">
        <v>4004005181</v>
      </c>
      <c r="B44" s="99" t="s">
        <v>731</v>
      </c>
      <c r="C44" s="310">
        <v>19537</v>
      </c>
      <c r="D44" s="69">
        <f>(OBSAH!$J$6/100)*Tabulka2111155260[[#This Row],[Sloupec3]]</f>
        <v>0</v>
      </c>
      <c r="E44" s="70">
        <f>Tabulka2111155260[[#This Row],[Sloupec3]]-Tabulka2111155260[[#This Row],[Sloupec4]]</f>
        <v>19537</v>
      </c>
      <c r="F44" s="3"/>
      <c r="G44" s="3"/>
      <c r="H44" s="3"/>
      <c r="I44" s="3"/>
      <c r="J44" s="3"/>
      <c r="K44" s="3"/>
      <c r="L44" s="3"/>
      <c r="M44" s="3"/>
    </row>
    <row r="45" spans="1:13" ht="14.25" customHeight="1" x14ac:dyDescent="0.4">
      <c r="A45" s="100">
        <v>4004005182</v>
      </c>
      <c r="B45" s="125" t="s">
        <v>732</v>
      </c>
      <c r="C45" s="311">
        <v>19628</v>
      </c>
      <c r="D45" s="71">
        <f>(OBSAH!$J$6/100)*Tabulka2111155260[[#This Row],[Sloupec3]]</f>
        <v>0</v>
      </c>
      <c r="E45" s="57">
        <f>Tabulka2111155260[[#This Row],[Sloupec3]]-Tabulka2111155260[[#This Row],[Sloupec4]]</f>
        <v>19628</v>
      </c>
      <c r="F45" s="3"/>
      <c r="G45" s="3"/>
      <c r="H45" s="3"/>
      <c r="I45" s="3"/>
      <c r="J45" s="3"/>
      <c r="K45" s="3"/>
      <c r="L45" s="3"/>
      <c r="M45" s="3"/>
    </row>
    <row r="46" spans="1:13" ht="14.25" customHeight="1" x14ac:dyDescent="0.4">
      <c r="A46" s="100">
        <v>4004005183</v>
      </c>
      <c r="B46" s="125" t="s">
        <v>733</v>
      </c>
      <c r="C46" s="311">
        <v>23601</v>
      </c>
      <c r="D46" s="71">
        <f>(OBSAH!$J$6/100)*Tabulka2111155260[[#This Row],[Sloupec3]]</f>
        <v>0</v>
      </c>
      <c r="E46" s="57">
        <f>Tabulka2111155260[[#This Row],[Sloupec3]]-Tabulka2111155260[[#This Row],[Sloupec4]]</f>
        <v>23601</v>
      </c>
      <c r="F46" s="3"/>
      <c r="G46" s="3"/>
      <c r="H46" s="3"/>
      <c r="I46" s="3"/>
      <c r="J46" s="3"/>
      <c r="K46" s="3"/>
      <c r="L46" s="3"/>
      <c r="M46" s="3"/>
    </row>
    <row r="47" spans="1:13" ht="14.25" customHeight="1" x14ac:dyDescent="0.4">
      <c r="A47" s="100">
        <v>4004005184</v>
      </c>
      <c r="B47" s="125" t="s">
        <v>734</v>
      </c>
      <c r="C47" s="311">
        <v>23704</v>
      </c>
      <c r="D47" s="71">
        <f>(OBSAH!$J$6/100)*Tabulka2111155260[[#This Row],[Sloupec3]]</f>
        <v>0</v>
      </c>
      <c r="E47" s="57">
        <f>Tabulka2111155260[[#This Row],[Sloupec3]]-Tabulka2111155260[[#This Row],[Sloupec4]]</f>
        <v>23704</v>
      </c>
      <c r="F47" s="3"/>
      <c r="G47" s="3"/>
      <c r="H47" s="3"/>
      <c r="I47" s="3"/>
      <c r="J47" s="3"/>
      <c r="K47" s="3"/>
      <c r="L47" s="3"/>
      <c r="M47" s="3"/>
    </row>
    <row r="48" spans="1:13" ht="14.25" customHeight="1" x14ac:dyDescent="0.4">
      <c r="A48" s="100">
        <v>4004005185</v>
      </c>
      <c r="B48" s="125" t="s">
        <v>735</v>
      </c>
      <c r="C48" s="311">
        <v>27042</v>
      </c>
      <c r="D48" s="71">
        <f>(OBSAH!$J$6/100)*Tabulka2111155260[[#This Row],[Sloupec3]]</f>
        <v>0</v>
      </c>
      <c r="E48" s="57">
        <f>Tabulka2111155260[[#This Row],[Sloupec3]]-Tabulka2111155260[[#This Row],[Sloupec4]]</f>
        <v>27042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100">
        <v>4004005186</v>
      </c>
      <c r="B49" s="125" t="s">
        <v>736</v>
      </c>
      <c r="C49" s="311">
        <v>31053</v>
      </c>
      <c r="D49" s="71">
        <f>(OBSAH!$J$6/100)*Tabulka2111155260[[#This Row],[Sloupec3]]</f>
        <v>0</v>
      </c>
      <c r="E49" s="57">
        <f>Tabulka2111155260[[#This Row],[Sloupec3]]-Tabulka2111155260[[#This Row],[Sloupec4]]</f>
        <v>31053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101">
        <v>4004005187</v>
      </c>
      <c r="B50" s="102" t="s">
        <v>737</v>
      </c>
      <c r="C50" s="312">
        <v>34555</v>
      </c>
      <c r="D50" s="68">
        <f>(OBSAH!$J$6/100)*Tabulka2111155260[[#This Row],[Sloupec3]]</f>
        <v>0</v>
      </c>
      <c r="E50" s="58">
        <f>Tabulka2111155260[[#This Row],[Sloupec3]]-Tabulka2111155260[[#This Row],[Sloupec4]]</f>
        <v>34555</v>
      </c>
      <c r="F50" s="3"/>
      <c r="G50" s="3"/>
      <c r="H50" s="3"/>
      <c r="I50" s="3"/>
      <c r="J50" s="3"/>
      <c r="K50" s="3"/>
      <c r="L50" s="3"/>
      <c r="M50" s="3"/>
    </row>
    <row r="51" spans="1:13" ht="15" customHeight="1" x14ac:dyDescent="0.4">
      <c r="A51" s="441" t="s">
        <v>120</v>
      </c>
      <c r="B51" s="441"/>
      <c r="C51" s="441"/>
      <c r="D51" s="441"/>
      <c r="E51" s="441"/>
      <c r="F51" s="3"/>
      <c r="G51" s="3"/>
      <c r="H51" s="3"/>
      <c r="I51" s="3"/>
      <c r="J51" s="3"/>
      <c r="K51" s="3"/>
      <c r="L51" s="3"/>
      <c r="M51" s="3"/>
    </row>
    <row r="52" spans="1:13" ht="15" customHeight="1" x14ac:dyDescent="0.4">
      <c r="A52" s="38"/>
      <c r="B52" s="38"/>
      <c r="C52" s="38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1:13" ht="15" customHeight="1" x14ac:dyDescent="0.4">
      <c r="A53" s="38"/>
      <c r="B53" s="38"/>
      <c r="C53" s="38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 ht="36" customHeight="1" x14ac:dyDescent="0.4">
      <c r="A54" s="467" t="s">
        <v>82</v>
      </c>
      <c r="B54" s="467"/>
      <c r="C54" s="467"/>
      <c r="D54" s="467"/>
      <c r="E54" s="467"/>
      <c r="F54" s="3"/>
      <c r="G54" s="3"/>
      <c r="H54" s="3"/>
      <c r="I54" s="3"/>
      <c r="J54" s="3"/>
      <c r="K54" s="3"/>
      <c r="L54" s="3"/>
      <c r="M54" s="3"/>
    </row>
    <row r="55" spans="1:13" ht="36" customHeight="1" x14ac:dyDescent="0.4">
      <c r="A55" s="464" t="s">
        <v>442</v>
      </c>
      <c r="B55" s="464"/>
      <c r="C55" s="464"/>
      <c r="D55" s="464"/>
      <c r="E55" s="464"/>
      <c r="F55" s="3"/>
      <c r="G55" s="3"/>
      <c r="H55" s="3"/>
      <c r="I55" s="3"/>
      <c r="J55" s="3"/>
      <c r="K55" s="3"/>
      <c r="L55" s="3"/>
      <c r="M55" s="3"/>
    </row>
    <row r="56" spans="1:13" ht="22.5" customHeight="1" x14ac:dyDescent="0.4">
      <c r="A56" s="465" t="s">
        <v>83</v>
      </c>
      <c r="B56" s="465"/>
      <c r="C56" s="465"/>
      <c r="D56" s="465"/>
      <c r="E56" s="465"/>
      <c r="F56" s="3"/>
      <c r="G56" s="3"/>
      <c r="H56" s="3"/>
      <c r="I56" s="3"/>
      <c r="J56" s="3"/>
      <c r="K56" s="3"/>
      <c r="L56" s="3"/>
      <c r="M56" s="3"/>
    </row>
    <row r="57" spans="1:13" ht="22.5" customHeight="1" x14ac:dyDescent="0.4">
      <c r="A57" s="51" t="s">
        <v>56</v>
      </c>
      <c r="B57" s="51" t="s">
        <v>57</v>
      </c>
      <c r="C57" s="52" t="s">
        <v>58</v>
      </c>
      <c r="D57" s="52" t="s">
        <v>59</v>
      </c>
      <c r="E57" s="53" t="s">
        <v>60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98">
        <v>4004005565</v>
      </c>
      <c r="B58" s="99" t="s">
        <v>738</v>
      </c>
      <c r="C58" s="310">
        <v>19640</v>
      </c>
      <c r="D58" s="69">
        <f>(OBSAH!$J$6/100)*Tabulka20101451598[[#This Row],[Sloupec3]]</f>
        <v>0</v>
      </c>
      <c r="E58" s="70">
        <f>Tabulka20101451598[[#This Row],[Sloupec3]]-Tabulka20101451598[[#This Row],[Sloupec4]]</f>
        <v>19640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100">
        <v>4004005566</v>
      </c>
      <c r="B59" s="125" t="s">
        <v>739</v>
      </c>
      <c r="C59" s="311">
        <v>19730</v>
      </c>
      <c r="D59" s="71">
        <f>(OBSAH!$J$6/100)*Tabulka20101451598[[#This Row],[Sloupec3]]</f>
        <v>0</v>
      </c>
      <c r="E59" s="57">
        <f>Tabulka20101451598[[#This Row],[Sloupec3]]-Tabulka20101451598[[#This Row],[Sloupec4]]</f>
        <v>19730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100">
        <v>4004005567</v>
      </c>
      <c r="B60" s="125" t="s">
        <v>740</v>
      </c>
      <c r="C60" s="311">
        <v>23705</v>
      </c>
      <c r="D60" s="71">
        <f>(OBSAH!$J$6/100)*Tabulka20101451598[[#This Row],[Sloupec3]]</f>
        <v>0</v>
      </c>
      <c r="E60" s="57">
        <f>Tabulka20101451598[[#This Row],[Sloupec3]]-Tabulka20101451598[[#This Row],[Sloupec4]]</f>
        <v>23705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100">
        <v>4004005423</v>
      </c>
      <c r="B61" s="125" t="s">
        <v>741</v>
      </c>
      <c r="C61" s="311">
        <v>23806</v>
      </c>
      <c r="D61" s="71">
        <f>(OBSAH!$J$6/100)*Tabulka20101451598[[#This Row],[Sloupec3]]</f>
        <v>0</v>
      </c>
      <c r="E61" s="57">
        <f>Tabulka20101451598[[#This Row],[Sloupec3]]-Tabulka20101451598[[#This Row],[Sloupec4]]</f>
        <v>23806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100">
        <v>4004005568</v>
      </c>
      <c r="B62" s="125" t="s">
        <v>742</v>
      </c>
      <c r="C62" s="311">
        <v>27146</v>
      </c>
      <c r="D62" s="71">
        <f>(OBSAH!$J$6/100)*Tabulka20101451598[[#This Row],[Sloupec3]]</f>
        <v>0</v>
      </c>
      <c r="E62" s="57">
        <f>Tabulka20101451598[[#This Row],[Sloupec3]]-Tabulka20101451598[[#This Row],[Sloupec4]]</f>
        <v>27146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100">
        <v>4004005569</v>
      </c>
      <c r="B63" s="125" t="s">
        <v>743</v>
      </c>
      <c r="C63" s="311">
        <v>31156</v>
      </c>
      <c r="D63" s="71">
        <f>(OBSAH!$J$6/100)*Tabulka20101451598[[#This Row],[Sloupec3]]</f>
        <v>0</v>
      </c>
      <c r="E63" s="57">
        <f>Tabulka20101451598[[#This Row],[Sloupec3]]-Tabulka20101451598[[#This Row],[Sloupec4]]</f>
        <v>31156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101">
        <v>4004005570</v>
      </c>
      <c r="B64" s="102" t="s">
        <v>744</v>
      </c>
      <c r="C64" s="312">
        <v>34659</v>
      </c>
      <c r="D64" s="68">
        <f>(OBSAH!$J$6/100)*Tabulka20101451598[[#This Row],[Sloupec3]]</f>
        <v>0</v>
      </c>
      <c r="E64" s="58">
        <f>Tabulka20101451598[[#This Row],[Sloupec3]]-Tabulka20101451598[[#This Row],[Sloupec4]]</f>
        <v>34659</v>
      </c>
      <c r="F64" s="3"/>
      <c r="G64" s="3"/>
      <c r="H64" s="3"/>
      <c r="I64" s="3"/>
      <c r="J64" s="3"/>
      <c r="K64" s="3"/>
      <c r="L64" s="3"/>
      <c r="M64" s="3"/>
    </row>
    <row r="65" spans="1:13" x14ac:dyDescent="0.4">
      <c r="A65" s="83"/>
      <c r="B65" s="84"/>
      <c r="C65" s="85"/>
      <c r="D65" s="61"/>
      <c r="E65" s="62"/>
      <c r="F65" s="3"/>
      <c r="G65" s="3"/>
      <c r="H65" s="3"/>
      <c r="I65" s="3"/>
      <c r="J65" s="3"/>
      <c r="K65" s="3"/>
      <c r="L65" s="3"/>
      <c r="M65" s="3"/>
    </row>
    <row r="66" spans="1:13" ht="22.5" customHeight="1" x14ac:dyDescent="0.4">
      <c r="A66" s="466" t="s">
        <v>91</v>
      </c>
      <c r="B66" s="466"/>
      <c r="C66" s="466"/>
      <c r="D66" s="466"/>
      <c r="E66" s="466"/>
      <c r="F66" s="3"/>
      <c r="G66" s="3"/>
      <c r="H66" s="3"/>
      <c r="I66" s="3"/>
      <c r="J66" s="3"/>
      <c r="K66" s="3"/>
      <c r="L66" s="3"/>
      <c r="M66" s="3"/>
    </row>
    <row r="67" spans="1:13" ht="22.5" customHeight="1" x14ac:dyDescent="0.4">
      <c r="A67" s="51" t="s">
        <v>56</v>
      </c>
      <c r="B67" s="51" t="s">
        <v>57</v>
      </c>
      <c r="C67" s="52" t="s">
        <v>58</v>
      </c>
      <c r="D67" s="52" t="s">
        <v>59</v>
      </c>
      <c r="E67" s="53" t="s">
        <v>60</v>
      </c>
      <c r="F67" s="3"/>
      <c r="G67" s="3"/>
      <c r="H67" s="3"/>
      <c r="I67" s="3"/>
      <c r="J67" s="3"/>
      <c r="K67" s="3"/>
      <c r="L67" s="3"/>
      <c r="M67" s="3"/>
    </row>
    <row r="68" spans="1:13" ht="14.25" customHeight="1" x14ac:dyDescent="0.4">
      <c r="A68" s="98" t="s">
        <v>745</v>
      </c>
      <c r="B68" s="99" t="s">
        <v>746</v>
      </c>
      <c r="C68" s="310">
        <v>20082</v>
      </c>
      <c r="D68" s="69">
        <f>(OBSAH!$J$6/100)*Tabulka21111552609[[#This Row],[Sloupec3]]</f>
        <v>0</v>
      </c>
      <c r="E68" s="70">
        <f>Tabulka21111552609[[#This Row],[Sloupec3]]-Tabulka21111552609[[#This Row],[Sloupec4]]</f>
        <v>20082</v>
      </c>
      <c r="F68" s="3"/>
      <c r="G68" s="3"/>
      <c r="H68" s="3"/>
      <c r="I68" s="3"/>
      <c r="J68" s="3"/>
      <c r="K68" s="3"/>
      <c r="L68" s="3"/>
      <c r="M68" s="3"/>
    </row>
    <row r="69" spans="1:13" ht="14.25" customHeight="1" x14ac:dyDescent="0.4">
      <c r="A69" s="100" t="s">
        <v>747</v>
      </c>
      <c r="B69" s="125" t="s">
        <v>748</v>
      </c>
      <c r="C69" s="311">
        <v>20172</v>
      </c>
      <c r="D69" s="71">
        <f>(OBSAH!$J$6/100)*Tabulka21111552609[[#This Row],[Sloupec3]]</f>
        <v>0</v>
      </c>
      <c r="E69" s="57">
        <f>Tabulka21111552609[[#This Row],[Sloupec3]]-Tabulka21111552609[[#This Row],[Sloupec4]]</f>
        <v>20172</v>
      </c>
      <c r="F69" s="3"/>
      <c r="G69" s="3"/>
      <c r="H69" s="3"/>
      <c r="I69" s="3"/>
      <c r="J69" s="3"/>
      <c r="K69" s="3"/>
      <c r="L69" s="3"/>
      <c r="M69" s="3"/>
    </row>
    <row r="70" spans="1:13" ht="14.25" customHeight="1" x14ac:dyDescent="0.4">
      <c r="A70" s="100" t="s">
        <v>749</v>
      </c>
      <c r="B70" s="125" t="s">
        <v>750</v>
      </c>
      <c r="C70" s="311">
        <v>24147</v>
      </c>
      <c r="D70" s="71">
        <f>(OBSAH!$J$6/100)*Tabulka21111552609[[#This Row],[Sloupec3]]</f>
        <v>0</v>
      </c>
      <c r="E70" s="57">
        <f>Tabulka21111552609[[#This Row],[Sloupec3]]-Tabulka21111552609[[#This Row],[Sloupec4]]</f>
        <v>24147</v>
      </c>
      <c r="F70" s="3"/>
      <c r="G70" s="3"/>
      <c r="H70" s="3"/>
      <c r="I70" s="3"/>
      <c r="J70" s="3"/>
      <c r="K70" s="3"/>
      <c r="L70" s="3"/>
      <c r="M70" s="3"/>
    </row>
    <row r="71" spans="1:13" ht="14.25" customHeight="1" x14ac:dyDescent="0.4">
      <c r="A71" s="100" t="s">
        <v>751</v>
      </c>
      <c r="B71" s="125" t="s">
        <v>752</v>
      </c>
      <c r="C71" s="311">
        <v>24248</v>
      </c>
      <c r="D71" s="71">
        <f>(OBSAH!$J$6/100)*Tabulka21111552609[[#This Row],[Sloupec3]]</f>
        <v>0</v>
      </c>
      <c r="E71" s="57">
        <f>Tabulka21111552609[[#This Row],[Sloupec3]]-Tabulka21111552609[[#This Row],[Sloupec4]]</f>
        <v>24248</v>
      </c>
      <c r="F71" s="3"/>
      <c r="G71" s="3"/>
      <c r="H71" s="3"/>
      <c r="I71" s="3"/>
      <c r="J71" s="3"/>
      <c r="K71" s="3"/>
      <c r="L71" s="3"/>
      <c r="M71" s="3"/>
    </row>
    <row r="72" spans="1:13" ht="14.25" customHeight="1" x14ac:dyDescent="0.4">
      <c r="A72" s="100" t="s">
        <v>753</v>
      </c>
      <c r="B72" s="125" t="s">
        <v>754</v>
      </c>
      <c r="C72" s="311">
        <v>27587</v>
      </c>
      <c r="D72" s="71">
        <f>(OBSAH!$J$6/100)*Tabulka21111552609[[#This Row],[Sloupec3]]</f>
        <v>0</v>
      </c>
      <c r="E72" s="57">
        <f>Tabulka21111552609[[#This Row],[Sloupec3]]-Tabulka21111552609[[#This Row],[Sloupec4]]</f>
        <v>27587</v>
      </c>
      <c r="F72" s="3"/>
      <c r="G72" s="3"/>
      <c r="H72" s="3"/>
      <c r="I72" s="3"/>
      <c r="J72" s="3"/>
      <c r="K72" s="3"/>
      <c r="L72" s="3"/>
      <c r="M72" s="3"/>
    </row>
    <row r="73" spans="1:13" ht="14.25" customHeight="1" x14ac:dyDescent="0.4">
      <c r="A73" s="100" t="s">
        <v>755</v>
      </c>
      <c r="B73" s="125" t="s">
        <v>756</v>
      </c>
      <c r="C73" s="311">
        <v>31598</v>
      </c>
      <c r="D73" s="71">
        <f>(OBSAH!$J$6/100)*Tabulka21111552609[[#This Row],[Sloupec3]]</f>
        <v>0</v>
      </c>
      <c r="E73" s="57">
        <f>Tabulka21111552609[[#This Row],[Sloupec3]]-Tabulka21111552609[[#This Row],[Sloupec4]]</f>
        <v>31598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101" t="s">
        <v>757</v>
      </c>
      <c r="B74" s="102" t="s">
        <v>758</v>
      </c>
      <c r="C74" s="312">
        <v>35099</v>
      </c>
      <c r="D74" s="68">
        <f>(OBSAH!$J$6/100)*Tabulka21111552609[[#This Row],[Sloupec3]]</f>
        <v>0</v>
      </c>
      <c r="E74" s="58">
        <f>Tabulka21111552609[[#This Row],[Sloupec3]]-Tabulka21111552609[[#This Row],[Sloupec4]]</f>
        <v>35099</v>
      </c>
      <c r="F74" s="3"/>
      <c r="G74" s="3"/>
      <c r="H74" s="3"/>
      <c r="I74" s="3"/>
      <c r="J74" s="3"/>
      <c r="K74" s="3"/>
      <c r="L74" s="3"/>
      <c r="M74" s="3"/>
    </row>
    <row r="75" spans="1:13" x14ac:dyDescent="0.4">
      <c r="A75" s="441" t="s">
        <v>457</v>
      </c>
      <c r="B75" s="441"/>
      <c r="C75" s="441"/>
      <c r="D75" s="441"/>
      <c r="E75" s="441"/>
      <c r="F75" s="3"/>
      <c r="G75" s="3"/>
      <c r="H75" s="3"/>
      <c r="I75" s="3"/>
      <c r="J75" s="3"/>
      <c r="K75" s="3"/>
      <c r="L75" s="3"/>
      <c r="M75" s="3"/>
    </row>
    <row r="76" spans="1:13" x14ac:dyDescent="0.4">
      <c r="A76" s="38"/>
      <c r="B76" s="38"/>
      <c r="C76" s="38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1:13" x14ac:dyDescent="0.4">
      <c r="A77" s="341"/>
      <c r="B77" s="341"/>
      <c r="C77" s="341"/>
      <c r="D77" s="342"/>
      <c r="E77" s="342"/>
      <c r="F77" s="342"/>
      <c r="G77" s="342"/>
      <c r="H77" s="342"/>
      <c r="I77" s="342"/>
      <c r="J77" s="342"/>
      <c r="K77" s="342"/>
      <c r="L77" s="342"/>
      <c r="M77" s="342"/>
    </row>
    <row r="78" spans="1:13" ht="33.9" x14ac:dyDescent="0.7">
      <c r="A78" s="470" t="s">
        <v>1385</v>
      </c>
      <c r="B78" s="470"/>
      <c r="C78" s="470"/>
      <c r="D78" s="470"/>
      <c r="E78" s="470"/>
      <c r="F78" s="342"/>
      <c r="G78" s="342"/>
      <c r="H78" s="342"/>
      <c r="I78" s="342"/>
      <c r="J78" s="342"/>
      <c r="K78" s="342"/>
      <c r="L78" s="342"/>
      <c r="M78" s="342"/>
    </row>
    <row r="79" spans="1:13" ht="15" customHeight="1" x14ac:dyDescent="0.4">
      <c r="A79" s="471" t="s">
        <v>1387</v>
      </c>
      <c r="B79" s="471"/>
      <c r="C79" s="471"/>
      <c r="D79" s="471"/>
      <c r="E79" s="471"/>
      <c r="F79" s="342"/>
      <c r="G79" s="342"/>
      <c r="H79" s="342"/>
      <c r="I79" s="342"/>
      <c r="J79" s="342"/>
      <c r="K79" s="342"/>
      <c r="L79" s="342"/>
      <c r="M79" s="342"/>
    </row>
    <row r="80" spans="1:13" ht="15" customHeight="1" x14ac:dyDescent="0.7">
      <c r="A80" s="376"/>
      <c r="B80" s="376"/>
      <c r="C80" s="376"/>
      <c r="D80" s="376"/>
      <c r="E80" s="376"/>
      <c r="F80" s="342"/>
      <c r="G80" s="342"/>
      <c r="H80" s="342"/>
      <c r="I80" s="342"/>
      <c r="J80" s="342"/>
      <c r="K80" s="342"/>
      <c r="L80" s="342"/>
      <c r="M80" s="342"/>
    </row>
    <row r="81" spans="1:13" ht="54" customHeight="1" x14ac:dyDescent="0.4">
      <c r="A81" s="469" t="s">
        <v>25</v>
      </c>
      <c r="B81" s="469"/>
      <c r="C81" s="469"/>
      <c r="D81" s="469"/>
      <c r="E81" s="469"/>
      <c r="F81" s="342"/>
      <c r="G81" s="342"/>
      <c r="H81" s="342"/>
      <c r="I81" s="342"/>
      <c r="J81" s="342"/>
      <c r="K81" s="342"/>
      <c r="L81" s="342"/>
      <c r="M81" s="342"/>
    </row>
    <row r="82" spans="1:13" ht="36" customHeight="1" x14ac:dyDescent="0.4">
      <c r="A82" s="468" t="s">
        <v>1403</v>
      </c>
      <c r="B82" s="468"/>
      <c r="C82" s="468"/>
      <c r="D82" s="468"/>
      <c r="E82" s="468"/>
      <c r="F82" s="342"/>
      <c r="G82" s="342"/>
      <c r="H82" s="342"/>
      <c r="I82" s="342"/>
      <c r="J82" s="342"/>
      <c r="K82" s="342"/>
      <c r="L82" s="342"/>
      <c r="M82" s="342"/>
    </row>
    <row r="83" spans="1:13" ht="22.4" customHeight="1" x14ac:dyDescent="0.4">
      <c r="A83" s="465" t="s">
        <v>1386</v>
      </c>
      <c r="B83" s="465"/>
      <c r="C83" s="465"/>
      <c r="D83" s="465"/>
      <c r="E83" s="465"/>
      <c r="F83" s="342"/>
      <c r="G83" s="342"/>
      <c r="H83" s="342"/>
      <c r="I83" s="342"/>
      <c r="J83" s="342"/>
      <c r="K83" s="342"/>
      <c r="L83" s="342"/>
      <c r="M83" s="342"/>
    </row>
    <row r="84" spans="1:13" ht="22.4" customHeight="1" x14ac:dyDescent="0.4">
      <c r="A84" s="51" t="s">
        <v>56</v>
      </c>
      <c r="B84" s="51" t="s">
        <v>57</v>
      </c>
      <c r="C84" s="52" t="s">
        <v>58</v>
      </c>
      <c r="D84" s="52" t="s">
        <v>59</v>
      </c>
      <c r="E84" s="53" t="s">
        <v>60</v>
      </c>
      <c r="F84" s="342"/>
      <c r="G84" s="342"/>
      <c r="H84" s="342"/>
      <c r="I84" s="342"/>
      <c r="J84" s="342"/>
      <c r="K84" s="342"/>
      <c r="L84" s="342"/>
      <c r="M84" s="342"/>
    </row>
    <row r="85" spans="1:13" ht="16.399999999999999" customHeight="1" x14ac:dyDescent="0.4">
      <c r="A85" s="367"/>
      <c r="B85" s="370" t="s">
        <v>1407</v>
      </c>
      <c r="C85" s="368"/>
      <c r="D85" s="368"/>
      <c r="E85" s="369"/>
      <c r="F85" s="342"/>
      <c r="G85" s="342"/>
      <c r="H85" s="342"/>
      <c r="I85" s="342"/>
      <c r="J85" s="342"/>
      <c r="K85" s="342"/>
      <c r="L85" s="342"/>
      <c r="M85" s="342"/>
    </row>
    <row r="86" spans="1:13" x14ac:dyDescent="0.4">
      <c r="A86" s="98">
        <v>4004090001</v>
      </c>
      <c r="B86" s="99" t="s">
        <v>1388</v>
      </c>
      <c r="C86" s="347">
        <v>1123</v>
      </c>
      <c r="D86" s="348">
        <f>(OBSAH!$J$6/100)*Tabulka201049577[[#This Row],[Sloupec3]]</f>
        <v>0</v>
      </c>
      <c r="E86" s="349">
        <f>Tabulka201049577[[#This Row],[Sloupec3]]-Tabulka201049577[[#This Row],[Sloupec4]]</f>
        <v>1123</v>
      </c>
      <c r="F86" s="342"/>
      <c r="G86" s="342"/>
      <c r="H86" s="342"/>
      <c r="I86" s="342"/>
      <c r="J86" s="342"/>
      <c r="K86" s="342"/>
      <c r="L86" s="342"/>
      <c r="M86" s="342"/>
    </row>
    <row r="87" spans="1:13" x14ac:dyDescent="0.4">
      <c r="A87" s="100">
        <v>4004090002</v>
      </c>
      <c r="B87" s="125" t="s">
        <v>1389</v>
      </c>
      <c r="C87" s="350">
        <v>1435</v>
      </c>
      <c r="D87" s="351">
        <f>(OBSAH!$J$6/100)*Tabulka201049577[[#This Row],[Sloupec3]]</f>
        <v>0</v>
      </c>
      <c r="E87" s="352">
        <f>Tabulka201049577[[#This Row],[Sloupec3]]-Tabulka201049577[[#This Row],[Sloupec4]]</f>
        <v>1435</v>
      </c>
      <c r="F87" s="342"/>
      <c r="G87" s="342"/>
      <c r="H87" s="342"/>
      <c r="I87" s="342"/>
      <c r="J87" s="342"/>
      <c r="K87" s="342"/>
      <c r="L87" s="342"/>
      <c r="M87" s="342"/>
    </row>
    <row r="88" spans="1:13" x14ac:dyDescent="0.4">
      <c r="A88" s="101">
        <v>4004090003</v>
      </c>
      <c r="B88" s="102" t="s">
        <v>1390</v>
      </c>
      <c r="C88" s="359">
        <v>1747</v>
      </c>
      <c r="D88" s="360">
        <f>(OBSAH!$J$6/100)*Tabulka201049577[[#This Row],[Sloupec3]]</f>
        <v>0</v>
      </c>
      <c r="E88" s="361">
        <f>Tabulka201049577[[#This Row],[Sloupec3]]-Tabulka201049577[[#This Row],[Sloupec4]]</f>
        <v>1747</v>
      </c>
      <c r="F88" s="342"/>
      <c r="G88" s="342"/>
      <c r="H88" s="342"/>
      <c r="I88" s="342"/>
      <c r="J88" s="342"/>
      <c r="K88" s="342"/>
      <c r="L88" s="342"/>
      <c r="M88" s="342"/>
    </row>
    <row r="89" spans="1:13" ht="16.399999999999999" customHeight="1" x14ac:dyDescent="0.4">
      <c r="A89" s="367"/>
      <c r="B89" s="370" t="s">
        <v>1408</v>
      </c>
      <c r="C89" s="368"/>
      <c r="D89" s="368"/>
      <c r="E89" s="369"/>
      <c r="F89" s="342"/>
      <c r="G89" s="342"/>
      <c r="H89" s="342"/>
      <c r="I89" s="342"/>
      <c r="J89" s="342"/>
      <c r="K89" s="342"/>
      <c r="L89" s="342"/>
      <c r="M89" s="342"/>
    </row>
    <row r="90" spans="1:13" x14ac:dyDescent="0.4">
      <c r="A90" s="98">
        <v>4004090006</v>
      </c>
      <c r="B90" s="99" t="s">
        <v>1391</v>
      </c>
      <c r="C90" s="347">
        <v>2180</v>
      </c>
      <c r="D90" s="348">
        <f>(OBSAH!$J$6/100)*Tabulka201049577[[#This Row],[Sloupec3]]</f>
        <v>0</v>
      </c>
      <c r="E90" s="349">
        <f>Tabulka201049577[[#This Row],[Sloupec3]]-Tabulka201049577[[#This Row],[Sloupec4]]</f>
        <v>2180</v>
      </c>
      <c r="F90" s="342"/>
      <c r="G90" s="342"/>
      <c r="H90" s="342"/>
      <c r="I90" s="342"/>
      <c r="J90" s="342"/>
      <c r="K90" s="342"/>
      <c r="L90" s="342"/>
      <c r="M90" s="342"/>
    </row>
    <row r="91" spans="1:13" x14ac:dyDescent="0.4">
      <c r="A91" s="100">
        <v>4004090007</v>
      </c>
      <c r="B91" s="125" t="s">
        <v>1392</v>
      </c>
      <c r="C91" s="350">
        <v>2955</v>
      </c>
      <c r="D91" s="351">
        <f>(OBSAH!$J$6/100)*Tabulka201049577[[#This Row],[Sloupec3]]</f>
        <v>0</v>
      </c>
      <c r="E91" s="352">
        <f>Tabulka201049577[[#This Row],[Sloupec3]]-Tabulka201049577[[#This Row],[Sloupec4]]</f>
        <v>2955</v>
      </c>
      <c r="F91" s="342"/>
      <c r="G91" s="342"/>
      <c r="H91" s="342"/>
      <c r="I91" s="342"/>
      <c r="J91" s="342"/>
      <c r="K91" s="342"/>
      <c r="L91" s="342"/>
      <c r="M91" s="342"/>
    </row>
    <row r="92" spans="1:13" x14ac:dyDescent="0.4">
      <c r="A92" s="100">
        <v>4004090008</v>
      </c>
      <c r="B92" s="125" t="s">
        <v>1393</v>
      </c>
      <c r="C92" s="350">
        <v>3725</v>
      </c>
      <c r="D92" s="351">
        <f>(OBSAH!$J$6/100)*Tabulka201049577[[#This Row],[Sloupec3]]</f>
        <v>0</v>
      </c>
      <c r="E92" s="352">
        <f>Tabulka201049577[[#This Row],[Sloupec3]]-Tabulka201049577[[#This Row],[Sloupec4]]</f>
        <v>3725</v>
      </c>
      <c r="F92" s="342"/>
      <c r="G92" s="342"/>
      <c r="H92" s="342"/>
      <c r="I92" s="342"/>
      <c r="J92" s="342"/>
      <c r="K92" s="342"/>
      <c r="L92" s="342"/>
      <c r="M92" s="342"/>
    </row>
    <row r="93" spans="1:13" x14ac:dyDescent="0.4">
      <c r="A93" s="100">
        <v>4004090011</v>
      </c>
      <c r="B93" s="125" t="s">
        <v>1394</v>
      </c>
      <c r="C93" s="350">
        <v>2180</v>
      </c>
      <c r="D93" s="351">
        <f>(OBSAH!$J$6/100)*Tabulka201049577[[#This Row],[Sloupec3]]</f>
        <v>0</v>
      </c>
      <c r="E93" s="352">
        <f>Tabulka201049577[[#This Row],[Sloupec3]]-Tabulka201049577[[#This Row],[Sloupec4]]</f>
        <v>2180</v>
      </c>
      <c r="F93" s="342"/>
      <c r="G93" s="342"/>
      <c r="H93" s="342"/>
      <c r="I93" s="342"/>
      <c r="J93" s="342"/>
      <c r="K93" s="342"/>
      <c r="L93" s="342"/>
      <c r="M93" s="342"/>
    </row>
    <row r="94" spans="1:13" x14ac:dyDescent="0.4">
      <c r="A94" s="343">
        <v>4004090012</v>
      </c>
      <c r="B94" s="344" t="s">
        <v>1395</v>
      </c>
      <c r="C94" s="353">
        <v>2955</v>
      </c>
      <c r="D94" s="354">
        <f>(OBSAH!$J$6/100)*Tabulka201049577[[#This Row],[Sloupec3]]</f>
        <v>0</v>
      </c>
      <c r="E94" s="355">
        <f>Tabulka201049577[[#This Row],[Sloupec3]]-Tabulka201049577[[#This Row],[Sloupec4]]</f>
        <v>2955</v>
      </c>
      <c r="F94" s="342"/>
      <c r="G94" s="342"/>
      <c r="H94" s="342"/>
      <c r="I94" s="342"/>
      <c r="J94" s="342"/>
      <c r="K94" s="342"/>
      <c r="L94" s="342"/>
      <c r="M94" s="342"/>
    </row>
    <row r="95" spans="1:13" x14ac:dyDescent="0.4">
      <c r="A95" s="343">
        <v>4004090013</v>
      </c>
      <c r="B95" s="344" t="s">
        <v>1396</v>
      </c>
      <c r="C95" s="353">
        <v>3725</v>
      </c>
      <c r="D95" s="354">
        <f>(OBSAH!$J$6/100)*Tabulka201049577[[#This Row],[Sloupec3]]</f>
        <v>0</v>
      </c>
      <c r="E95" s="355">
        <f>Tabulka201049577[[#This Row],[Sloupec3]]-Tabulka201049577[[#This Row],[Sloupec4]]</f>
        <v>3725</v>
      </c>
      <c r="F95" s="342"/>
      <c r="G95" s="342"/>
      <c r="H95" s="342"/>
      <c r="I95" s="342"/>
      <c r="J95" s="342"/>
      <c r="K95" s="342"/>
      <c r="L95" s="342"/>
      <c r="M95" s="342"/>
    </row>
    <row r="96" spans="1:13" x14ac:dyDescent="0.4">
      <c r="A96" s="343">
        <v>4004090016</v>
      </c>
      <c r="B96" s="344" t="s">
        <v>1397</v>
      </c>
      <c r="C96" s="353">
        <v>2180</v>
      </c>
      <c r="D96" s="354">
        <f>(OBSAH!$J$6/100)*Tabulka201049577[[#This Row],[Sloupec3]]</f>
        <v>0</v>
      </c>
      <c r="E96" s="355">
        <f>Tabulka201049577[[#This Row],[Sloupec3]]-Tabulka201049577[[#This Row],[Sloupec4]]</f>
        <v>2180</v>
      </c>
      <c r="F96" s="342"/>
      <c r="G96" s="342"/>
      <c r="H96" s="342"/>
      <c r="I96" s="342"/>
      <c r="J96" s="342"/>
      <c r="K96" s="342"/>
      <c r="L96" s="342"/>
      <c r="M96" s="342"/>
    </row>
    <row r="97" spans="1:13" x14ac:dyDescent="0.4">
      <c r="A97" s="343">
        <v>4004090017</v>
      </c>
      <c r="B97" s="344" t="s">
        <v>1398</v>
      </c>
      <c r="C97" s="353">
        <v>2955</v>
      </c>
      <c r="D97" s="354">
        <f>(OBSAH!$J$6/100)*Tabulka201049577[[#This Row],[Sloupec3]]</f>
        <v>0</v>
      </c>
      <c r="E97" s="355">
        <f>Tabulka201049577[[#This Row],[Sloupec3]]-Tabulka201049577[[#This Row],[Sloupec4]]</f>
        <v>2955</v>
      </c>
      <c r="F97" s="342"/>
      <c r="G97" s="342"/>
      <c r="H97" s="342"/>
      <c r="I97" s="342"/>
      <c r="J97" s="342"/>
      <c r="K97" s="342"/>
      <c r="L97" s="342"/>
      <c r="M97" s="342"/>
    </row>
    <row r="98" spans="1:13" x14ac:dyDescent="0.4">
      <c r="A98" s="345">
        <v>4004090018</v>
      </c>
      <c r="B98" s="346" t="s">
        <v>1399</v>
      </c>
      <c r="C98" s="356">
        <v>3725</v>
      </c>
      <c r="D98" s="357">
        <f>(OBSAH!$J$6/100)*Tabulka201049577[[#This Row],[Sloupec3]]</f>
        <v>0</v>
      </c>
      <c r="E98" s="358">
        <f>Tabulka201049577[[#This Row],[Sloupec3]]-Tabulka201049577[[#This Row],[Sloupec4]]</f>
        <v>3725</v>
      </c>
      <c r="F98" s="342"/>
      <c r="G98" s="342"/>
      <c r="H98" s="342"/>
      <c r="I98" s="342"/>
      <c r="J98" s="342"/>
      <c r="K98" s="342"/>
      <c r="L98" s="342"/>
      <c r="M98" s="342"/>
    </row>
    <row r="99" spans="1:13" ht="16.399999999999999" customHeight="1" x14ac:dyDescent="0.4">
      <c r="A99" s="367"/>
      <c r="B99" s="370" t="s">
        <v>1409</v>
      </c>
      <c r="C99" s="368"/>
      <c r="D99" s="368"/>
      <c r="E99" s="369"/>
      <c r="F99" s="342"/>
      <c r="G99" s="342"/>
      <c r="H99" s="342"/>
      <c r="I99" s="342"/>
      <c r="J99" s="342"/>
      <c r="K99" s="342"/>
      <c r="L99" s="342"/>
      <c r="M99" s="342"/>
    </row>
    <row r="100" spans="1:13" x14ac:dyDescent="0.4">
      <c r="A100" s="362">
        <v>4004090026</v>
      </c>
      <c r="B100" s="363" t="s">
        <v>1400</v>
      </c>
      <c r="C100" s="364">
        <v>13423</v>
      </c>
      <c r="D100" s="365">
        <f>(OBSAH!$J$6/100)*Tabulka201049577[[#This Row],[Sloupec3]]</f>
        <v>0</v>
      </c>
      <c r="E100" s="366">
        <f>Tabulka201049577[[#This Row],[Sloupec3]]-Tabulka201049577[[#This Row],[Sloupec4]]</f>
        <v>13423</v>
      </c>
      <c r="F100" s="342"/>
      <c r="G100" s="342"/>
      <c r="H100" s="342"/>
      <c r="I100" s="342"/>
      <c r="J100" s="342"/>
      <c r="K100" s="342"/>
      <c r="L100" s="342"/>
      <c r="M100" s="342"/>
    </row>
    <row r="101" spans="1:13" x14ac:dyDescent="0.4">
      <c r="A101" s="343">
        <v>4004090027</v>
      </c>
      <c r="B101" s="344" t="s">
        <v>1401</v>
      </c>
      <c r="C101" s="353">
        <v>16239</v>
      </c>
      <c r="D101" s="354">
        <f>(OBSAH!$J$6/100)*Tabulka201049577[[#This Row],[Sloupec3]]</f>
        <v>0</v>
      </c>
      <c r="E101" s="355">
        <f>Tabulka201049577[[#This Row],[Sloupec3]]-Tabulka201049577[[#This Row],[Sloupec4]]</f>
        <v>16239</v>
      </c>
      <c r="F101" s="342"/>
      <c r="G101" s="342"/>
      <c r="H101" s="342"/>
      <c r="I101" s="342"/>
      <c r="J101" s="342"/>
      <c r="K101" s="342"/>
      <c r="L101" s="342"/>
      <c r="M101" s="342"/>
    </row>
    <row r="102" spans="1:13" x14ac:dyDescent="0.4">
      <c r="A102" s="345">
        <v>4004090028</v>
      </c>
      <c r="B102" s="346" t="s">
        <v>1402</v>
      </c>
      <c r="C102" s="356">
        <v>22704</v>
      </c>
      <c r="D102" s="357">
        <f>(OBSAH!$J$6/100)*Tabulka201049577[[#This Row],[Sloupec3]]</f>
        <v>0</v>
      </c>
      <c r="E102" s="358">
        <f>Tabulka201049577[[#This Row],[Sloupec3]]-Tabulka201049577[[#This Row],[Sloupec4]]</f>
        <v>22704</v>
      </c>
      <c r="F102" s="342"/>
      <c r="G102" s="342"/>
      <c r="H102" s="342"/>
      <c r="I102" s="342"/>
      <c r="J102" s="342"/>
      <c r="K102" s="342"/>
      <c r="L102" s="342"/>
      <c r="M102" s="342"/>
    </row>
    <row r="103" spans="1:13" x14ac:dyDescent="0.4">
      <c r="A103" s="341"/>
      <c r="B103" s="341"/>
      <c r="C103" s="341"/>
      <c r="D103" s="342"/>
      <c r="E103" s="342"/>
      <c r="F103" s="342"/>
      <c r="G103" s="342"/>
      <c r="H103" s="342"/>
      <c r="I103" s="342"/>
      <c r="J103" s="342"/>
      <c r="K103" s="342"/>
      <c r="L103" s="342"/>
      <c r="M103" s="342"/>
    </row>
    <row r="104" spans="1:13" x14ac:dyDescent="0.4">
      <c r="A104" s="341"/>
      <c r="B104" s="341"/>
      <c r="C104" s="341"/>
      <c r="D104" s="342"/>
      <c r="E104" s="342"/>
      <c r="F104" s="342"/>
      <c r="G104" s="342"/>
      <c r="H104" s="342"/>
      <c r="I104" s="342"/>
      <c r="J104" s="342"/>
      <c r="K104" s="342"/>
      <c r="L104" s="342"/>
      <c r="M104" s="342"/>
    </row>
    <row r="105" spans="1:13" x14ac:dyDescent="0.4">
      <c r="A105" s="341"/>
      <c r="B105" s="341"/>
      <c r="C105" s="341"/>
      <c r="D105" s="342"/>
      <c r="E105" s="342"/>
      <c r="F105" s="342"/>
      <c r="G105" s="342"/>
      <c r="H105" s="342"/>
      <c r="I105" s="342"/>
      <c r="J105" s="342"/>
      <c r="K105" s="342"/>
      <c r="L105" s="342"/>
      <c r="M105" s="342"/>
    </row>
  </sheetData>
  <mergeCells count="36">
    <mergeCell ref="A83:E83"/>
    <mergeCell ref="A78:E78"/>
    <mergeCell ref="A79:E79"/>
    <mergeCell ref="A80:E80"/>
    <mergeCell ref="A81:E81"/>
    <mergeCell ref="A82:E82"/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18:E18"/>
    <mergeCell ref="G24:L24"/>
    <mergeCell ref="G25:L25"/>
    <mergeCell ref="G26:L26"/>
    <mergeCell ref="G27:L27"/>
    <mergeCell ref="A30:E30"/>
    <mergeCell ref="A55:E55"/>
    <mergeCell ref="A56:E56"/>
    <mergeCell ref="A66:E66"/>
    <mergeCell ref="A75:E75"/>
    <mergeCell ref="A31:E31"/>
    <mergeCell ref="A32:E32"/>
    <mergeCell ref="A42:E42"/>
    <mergeCell ref="A51:E51"/>
    <mergeCell ref="A54:E54"/>
  </mergeCells>
  <hyperlinks>
    <hyperlink ref="F2" location="OBSAH!I128" display="PŘEJÍT NA UPOZORNĚNÍ" xr:uid="{00000000-0004-0000-0600-000000000000}"/>
    <hyperlink ref="A51" location="'PŘÍSTUPOVÉ SYSTÉMY'!A67" display="ODKAZ NA ČIPY RFID 125kHz" xr:uid="{00000000-0004-0000-0600-000001000000}"/>
    <hyperlink ref="A75" location="'PŘÍSTUPOVÉ SYSTÉMY'!A69" display="ODKAZ NA ČIPY MIFARE" xr:uid="{00000000-0004-0000-0600-000002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 r:id="rId1"/>
  <drawing r:id="rId2"/>
  <tableParts count="7">
    <tablePart r:id="rId3"/>
    <tablePart r:id="rId4"/>
    <tablePart r:id="rId5"/>
    <tablePart r:id="rId6"/>
    <tablePart r:id="rId7"/>
    <tablePart r:id="rId8"/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79646"/>
  </sheetPr>
  <dimension ref="A1:AMK224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3" width="9.15234375" style="1" customWidth="1"/>
    <col min="14" max="14" width="12.3046875" style="1" bestFit="1" customWidth="1"/>
    <col min="15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454"/>
      <c r="G3" s="454"/>
      <c r="H3" s="454"/>
      <c r="I3" s="454"/>
      <c r="J3" s="454"/>
      <c r="K3" s="454"/>
      <c r="L3" s="454"/>
      <c r="M3" s="454"/>
    </row>
    <row r="4" spans="1:14" ht="15" customHeight="1" x14ac:dyDescent="0.4">
      <c r="A4" s="461"/>
      <c r="B4" s="461"/>
      <c r="C4" s="461"/>
      <c r="D4" s="461"/>
      <c r="E4" s="461"/>
      <c r="F4" s="451"/>
      <c r="G4" s="451"/>
      <c r="H4" s="451"/>
      <c r="I4" s="451"/>
      <c r="J4" s="452"/>
      <c r="K4" s="452"/>
      <c r="L4" s="452"/>
      <c r="M4" s="452"/>
    </row>
    <row r="5" spans="1:14" ht="15" customHeight="1" x14ac:dyDescent="0.7">
      <c r="A5" s="376"/>
      <c r="B5" s="376"/>
      <c r="C5" s="376"/>
      <c r="D5" s="376"/>
      <c r="E5" s="376"/>
      <c r="F5" s="73"/>
      <c r="G5" s="73"/>
      <c r="H5" s="73"/>
      <c r="I5" s="73"/>
      <c r="J5" s="73"/>
      <c r="K5" s="73"/>
      <c r="L5" s="73"/>
      <c r="M5" s="73"/>
    </row>
    <row r="6" spans="1:14" ht="54.75" customHeight="1" x14ac:dyDescent="0.4">
      <c r="A6" s="469" t="s">
        <v>25</v>
      </c>
      <c r="B6" s="469"/>
      <c r="C6" s="469"/>
      <c r="D6" s="469"/>
      <c r="E6" s="469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68" t="s">
        <v>152</v>
      </c>
      <c r="B7" s="468"/>
      <c r="C7" s="468"/>
      <c r="D7" s="468"/>
      <c r="E7" s="468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65" t="s">
        <v>83</v>
      </c>
      <c r="B8" s="465"/>
      <c r="C8" s="465"/>
      <c r="D8" s="465"/>
      <c r="E8" s="465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51" t="s">
        <v>56</v>
      </c>
      <c r="B9" s="51" t="s">
        <v>57</v>
      </c>
      <c r="C9" s="52" t="s">
        <v>58</v>
      </c>
      <c r="D9" s="52" t="s">
        <v>59</v>
      </c>
      <c r="E9" s="53" t="s">
        <v>60</v>
      </c>
      <c r="F9" s="42"/>
      <c r="G9" s="433"/>
      <c r="H9" s="433"/>
      <c r="I9" s="433"/>
      <c r="J9" s="433"/>
      <c r="K9" s="433"/>
      <c r="L9" s="433"/>
      <c r="M9" s="42"/>
    </row>
    <row r="10" spans="1:14" ht="14.25" customHeight="1" x14ac:dyDescent="0.4">
      <c r="A10" s="98">
        <v>4004005199</v>
      </c>
      <c r="B10" s="220" t="s">
        <v>759</v>
      </c>
      <c r="C10" s="313">
        <v>7495</v>
      </c>
      <c r="D10" s="69">
        <f>(OBSAH!$J$6/100)*Tabulka2010795361[[#This Row],[Sloupec3]]</f>
        <v>0</v>
      </c>
      <c r="E10" s="70">
        <f>Tabulka2010795361[[#This Row],[Sloupec3]]-Tabulka2010795361[[#This Row],[Sloupec4]]</f>
        <v>7495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100">
        <v>4004005221</v>
      </c>
      <c r="B11" s="126" t="s">
        <v>760</v>
      </c>
      <c r="C11" s="314">
        <v>7663</v>
      </c>
      <c r="D11" s="71">
        <f>(OBSAH!$J$6/100)*Tabulka2010795361[[#This Row],[Sloupec3]]</f>
        <v>0</v>
      </c>
      <c r="E11" s="57">
        <f>Tabulka2010795361[[#This Row],[Sloupec3]]-Tabulka2010795361[[#This Row],[Sloupec4]]</f>
        <v>7663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100">
        <v>4004005243</v>
      </c>
      <c r="B12" s="126" t="s">
        <v>761</v>
      </c>
      <c r="C12" s="314">
        <v>7978</v>
      </c>
      <c r="D12" s="71">
        <f>(OBSAH!$J$6/100)*Tabulka2010795361[[#This Row],[Sloupec3]]</f>
        <v>0</v>
      </c>
      <c r="E12" s="57">
        <f>Tabulka2010795361[[#This Row],[Sloupec3]]-Tabulka2010795361[[#This Row],[Sloupec4]]</f>
        <v>7978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100">
        <v>4004005315</v>
      </c>
      <c r="B13" s="125" t="s">
        <v>762</v>
      </c>
      <c r="C13" s="314">
        <v>10544</v>
      </c>
      <c r="D13" s="71">
        <f>(OBSAH!$J$6/100)*Tabulka2010795361[[#This Row],[Sloupec3]]</f>
        <v>0</v>
      </c>
      <c r="E13" s="57">
        <f>Tabulka2010795361[[#This Row],[Sloupec3]]-Tabulka2010795361[[#This Row],[Sloupec4]]</f>
        <v>10544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100">
        <v>4004005189</v>
      </c>
      <c r="B14" s="125" t="s">
        <v>763</v>
      </c>
      <c r="C14" s="314">
        <v>10713</v>
      </c>
      <c r="D14" s="71">
        <f>(OBSAH!$J$6/100)*Tabulka2010795361[[#This Row],[Sloupec3]]</f>
        <v>0</v>
      </c>
      <c r="E14" s="57">
        <f>Tabulka2010795361[[#This Row],[Sloupec3]]-Tabulka2010795361[[#This Row],[Sloupec4]]</f>
        <v>10713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100">
        <v>4004005191</v>
      </c>
      <c r="B15" s="125" t="s">
        <v>764</v>
      </c>
      <c r="C15" s="314">
        <v>10739</v>
      </c>
      <c r="D15" s="71">
        <f>(OBSAH!$J$6/100)*Tabulka2010795361[[#This Row],[Sloupec3]]</f>
        <v>0</v>
      </c>
      <c r="E15" s="57">
        <f>Tabulka2010795361[[#This Row],[Sloupec3]]-Tabulka2010795361[[#This Row],[Sloupec4]]</f>
        <v>10739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100">
        <v>4004005193</v>
      </c>
      <c r="B16" s="125" t="s">
        <v>765</v>
      </c>
      <c r="C16" s="314">
        <v>10906</v>
      </c>
      <c r="D16" s="71">
        <f>(OBSAH!$J$6/100)*Tabulka2010795361[[#This Row],[Sloupec3]]</f>
        <v>0</v>
      </c>
      <c r="E16" s="57">
        <f>Tabulka2010795361[[#This Row],[Sloupec3]]-Tabulka2010795361[[#This Row],[Sloupec4]]</f>
        <v>10906</v>
      </c>
      <c r="F16" s="3"/>
      <c r="G16" s="3"/>
      <c r="H16" s="3"/>
      <c r="I16" s="3"/>
      <c r="J16" s="3"/>
      <c r="K16" s="3"/>
      <c r="L16" s="3"/>
      <c r="M16" s="3"/>
    </row>
    <row r="17" spans="1:13" ht="14.25" customHeight="1" x14ac:dyDescent="0.4">
      <c r="A17" s="100">
        <v>4004005195</v>
      </c>
      <c r="B17" s="125" t="s">
        <v>766</v>
      </c>
      <c r="C17" s="314">
        <v>11219</v>
      </c>
      <c r="D17" s="71">
        <f>(OBSAH!$J$6/100)*Tabulka2010795361[[#This Row],[Sloupec3]]</f>
        <v>0</v>
      </c>
      <c r="E17" s="57">
        <f>Tabulka2010795361[[#This Row],[Sloupec3]]-Tabulka2010795361[[#This Row],[Sloupec4]]</f>
        <v>11219</v>
      </c>
      <c r="F17" s="3"/>
      <c r="G17" s="3"/>
      <c r="H17" s="3"/>
      <c r="I17" s="3"/>
      <c r="J17" s="3"/>
      <c r="K17" s="3"/>
      <c r="L17" s="3"/>
      <c r="M17" s="3"/>
    </row>
    <row r="18" spans="1:13" ht="14.25" customHeight="1" x14ac:dyDescent="0.4">
      <c r="A18" s="100">
        <v>4004005197</v>
      </c>
      <c r="B18" s="125" t="s">
        <v>767</v>
      </c>
      <c r="C18" s="314">
        <v>15421</v>
      </c>
      <c r="D18" s="71">
        <f>(OBSAH!$J$6/100)*Tabulka2010795361[[#This Row],[Sloupec3]]</f>
        <v>0</v>
      </c>
      <c r="E18" s="57">
        <f>Tabulka2010795361[[#This Row],[Sloupec3]]-Tabulka2010795361[[#This Row],[Sloupec4]]</f>
        <v>15421</v>
      </c>
      <c r="F18" s="3"/>
      <c r="G18" s="3"/>
      <c r="H18" s="3"/>
      <c r="I18" s="3"/>
      <c r="J18" s="3"/>
      <c r="K18" s="3"/>
      <c r="L18" s="3"/>
      <c r="M18" s="3"/>
    </row>
    <row r="19" spans="1:13" ht="14.25" customHeight="1" x14ac:dyDescent="0.4">
      <c r="A19" s="100">
        <v>4004005201</v>
      </c>
      <c r="B19" s="125" t="s">
        <v>768</v>
      </c>
      <c r="C19" s="314">
        <v>15458</v>
      </c>
      <c r="D19" s="71">
        <f>(OBSAH!$J$6/100)*Tabulka2010795361[[#This Row],[Sloupec3]]</f>
        <v>0</v>
      </c>
      <c r="E19" s="57">
        <f>Tabulka2010795361[[#This Row],[Sloupec3]]-Tabulka2010795361[[#This Row],[Sloupec4]]</f>
        <v>15458</v>
      </c>
      <c r="F19" s="3"/>
      <c r="G19" s="3"/>
      <c r="H19" s="3"/>
      <c r="I19" s="3"/>
      <c r="J19" s="3"/>
      <c r="K19" s="3"/>
      <c r="L19" s="3"/>
      <c r="M19" s="3"/>
    </row>
    <row r="20" spans="1:13" ht="14.25" customHeight="1" x14ac:dyDescent="0.4">
      <c r="A20" s="100">
        <v>4004005203</v>
      </c>
      <c r="B20" s="125" t="s">
        <v>769</v>
      </c>
      <c r="C20" s="314">
        <v>15517</v>
      </c>
      <c r="D20" s="71">
        <f>(OBSAH!$J$6/100)*Tabulka2010795361[[#This Row],[Sloupec3]]</f>
        <v>0</v>
      </c>
      <c r="E20" s="57">
        <f>Tabulka2010795361[[#This Row],[Sloupec3]]-Tabulka2010795361[[#This Row],[Sloupec4]]</f>
        <v>15517</v>
      </c>
      <c r="F20" s="3"/>
      <c r="G20" s="448"/>
      <c r="H20" s="448"/>
      <c r="I20" s="448"/>
      <c r="J20" s="448"/>
      <c r="K20" s="448"/>
      <c r="L20" s="448"/>
      <c r="M20" s="3"/>
    </row>
    <row r="21" spans="1:13" ht="14.25" customHeight="1" x14ac:dyDescent="0.4">
      <c r="A21" s="100">
        <v>4004005205</v>
      </c>
      <c r="B21" s="125" t="s">
        <v>770</v>
      </c>
      <c r="C21" s="314">
        <v>15611</v>
      </c>
      <c r="D21" s="71">
        <f>(OBSAH!$J$6/100)*Tabulka2010795361[[#This Row],[Sloupec3]]</f>
        <v>0</v>
      </c>
      <c r="E21" s="57">
        <f>Tabulka2010795361[[#This Row],[Sloupec3]]-Tabulka2010795361[[#This Row],[Sloupec4]]</f>
        <v>15611</v>
      </c>
      <c r="F21" s="3"/>
      <c r="G21" s="430"/>
      <c r="H21" s="430"/>
      <c r="I21" s="430"/>
      <c r="J21" s="430"/>
      <c r="K21" s="430"/>
      <c r="L21" s="430"/>
      <c r="M21" s="3"/>
    </row>
    <row r="22" spans="1:13" ht="14.25" customHeight="1" x14ac:dyDescent="0.4">
      <c r="A22" s="100">
        <v>4004005207</v>
      </c>
      <c r="B22" s="125" t="s">
        <v>771</v>
      </c>
      <c r="C22" s="314">
        <v>15783</v>
      </c>
      <c r="D22" s="71">
        <f>(OBSAH!$J$6/100)*Tabulka2010795361[[#This Row],[Sloupec3]]</f>
        <v>0</v>
      </c>
      <c r="E22" s="57">
        <f>Tabulka2010795361[[#This Row],[Sloupec3]]-Tabulka2010795361[[#This Row],[Sloupec4]]</f>
        <v>15783</v>
      </c>
      <c r="F22" s="3"/>
      <c r="G22" s="448"/>
      <c r="H22" s="448"/>
      <c r="I22" s="448"/>
      <c r="J22" s="448"/>
      <c r="K22" s="448"/>
      <c r="L22" s="448"/>
      <c r="M22" s="3"/>
    </row>
    <row r="23" spans="1:13" ht="14.25" customHeight="1" x14ac:dyDescent="0.4">
      <c r="A23" s="100">
        <v>4004005209</v>
      </c>
      <c r="B23" s="125" t="s">
        <v>772</v>
      </c>
      <c r="C23" s="314">
        <v>19038</v>
      </c>
      <c r="D23" s="71">
        <f>(OBSAH!$J$6/100)*Tabulka2010795361[[#This Row],[Sloupec3]]</f>
        <v>0</v>
      </c>
      <c r="E23" s="57">
        <f>Tabulka2010795361[[#This Row],[Sloupec3]]-Tabulka2010795361[[#This Row],[Sloupec4]]</f>
        <v>19038</v>
      </c>
      <c r="F23" s="3"/>
      <c r="G23" s="430"/>
      <c r="H23" s="430"/>
      <c r="I23" s="430"/>
      <c r="J23" s="430"/>
      <c r="K23" s="430"/>
      <c r="L23" s="430"/>
      <c r="M23" s="3"/>
    </row>
    <row r="24" spans="1:13" ht="14.25" customHeight="1" x14ac:dyDescent="0.4">
      <c r="A24" s="100">
        <v>4004005211</v>
      </c>
      <c r="B24" s="125" t="s">
        <v>773</v>
      </c>
      <c r="C24" s="314">
        <v>19206</v>
      </c>
      <c r="D24" s="71">
        <f>(OBSAH!$J$6/100)*Tabulka2010795361[[#This Row],[Sloupec3]]</f>
        <v>0</v>
      </c>
      <c r="E24" s="57">
        <f>Tabulka2010795361[[#This Row],[Sloupec3]]-Tabulka2010795361[[#This Row],[Sloupec4]]</f>
        <v>19206</v>
      </c>
      <c r="F24" s="3"/>
      <c r="G24" s="3"/>
      <c r="H24" s="3"/>
      <c r="I24" s="3"/>
      <c r="J24" s="3"/>
      <c r="K24" s="3"/>
      <c r="L24" s="3"/>
      <c r="M24" s="3"/>
    </row>
    <row r="25" spans="1:13" ht="14.25" customHeight="1" x14ac:dyDescent="0.4">
      <c r="A25" s="100">
        <v>4004005213</v>
      </c>
      <c r="B25" s="125" t="s">
        <v>774</v>
      </c>
      <c r="C25" s="314">
        <v>19232</v>
      </c>
      <c r="D25" s="71">
        <f>(OBSAH!$J$6/100)*Tabulka2010795361[[#This Row],[Sloupec3]]</f>
        <v>0</v>
      </c>
      <c r="E25" s="57">
        <f>Tabulka2010795361[[#This Row],[Sloupec3]]-Tabulka2010795361[[#This Row],[Sloupec4]]</f>
        <v>19232</v>
      </c>
      <c r="F25" s="3"/>
      <c r="G25" s="3"/>
      <c r="H25" s="3"/>
      <c r="I25" s="3"/>
      <c r="J25" s="3"/>
      <c r="K25" s="3"/>
      <c r="L25" s="3"/>
      <c r="M25" s="3"/>
    </row>
    <row r="26" spans="1:13" ht="14.25" customHeight="1" x14ac:dyDescent="0.4">
      <c r="A26" s="100">
        <v>4004005215</v>
      </c>
      <c r="B26" s="125" t="s">
        <v>775</v>
      </c>
      <c r="C26" s="314">
        <v>19400</v>
      </c>
      <c r="D26" s="71">
        <f>(OBSAH!$J$6/100)*Tabulka2010795361[[#This Row],[Sloupec3]]</f>
        <v>0</v>
      </c>
      <c r="E26" s="57">
        <f>Tabulka2010795361[[#This Row],[Sloupec3]]-Tabulka2010795361[[#This Row],[Sloupec4]]</f>
        <v>19400</v>
      </c>
      <c r="F26" s="3"/>
      <c r="G26" s="3"/>
      <c r="H26" s="3"/>
      <c r="I26" s="3"/>
      <c r="J26" s="3"/>
      <c r="K26" s="3"/>
      <c r="L26" s="3"/>
      <c r="M26" s="3"/>
    </row>
    <row r="27" spans="1:13" ht="14.25" customHeight="1" x14ac:dyDescent="0.4">
      <c r="A27" s="100">
        <v>4004005217</v>
      </c>
      <c r="B27" s="125" t="s">
        <v>776</v>
      </c>
      <c r="C27" s="314">
        <v>19714</v>
      </c>
      <c r="D27" s="71">
        <f>(OBSAH!$J$6/100)*Tabulka2010795361[[#This Row],[Sloupec3]]</f>
        <v>0</v>
      </c>
      <c r="E27" s="57">
        <f>Tabulka2010795361[[#This Row],[Sloupec3]]-Tabulka2010795361[[#This Row],[Sloupec4]]</f>
        <v>19714</v>
      </c>
      <c r="F27" s="3"/>
      <c r="G27" s="3"/>
      <c r="H27" s="3"/>
      <c r="I27" s="3"/>
      <c r="J27" s="3"/>
      <c r="K27" s="3"/>
      <c r="L27" s="3"/>
      <c r="M27" s="3"/>
    </row>
    <row r="28" spans="1:13" ht="14.25" customHeight="1" x14ac:dyDescent="0.4">
      <c r="A28" s="100">
        <v>4004005219</v>
      </c>
      <c r="B28" s="125" t="s">
        <v>777</v>
      </c>
      <c r="C28" s="314">
        <v>23608</v>
      </c>
      <c r="D28" s="71">
        <f>(OBSAH!$J$6/100)*Tabulka2010795361[[#This Row],[Sloupec3]]</f>
        <v>0</v>
      </c>
      <c r="E28" s="57">
        <f>Tabulka2010795361[[#This Row],[Sloupec3]]-Tabulka2010795361[[#This Row],[Sloupec4]]</f>
        <v>23608</v>
      </c>
      <c r="F28" s="3"/>
      <c r="G28" s="3"/>
      <c r="H28" s="3"/>
      <c r="I28" s="3"/>
      <c r="J28" s="3"/>
      <c r="K28" s="3"/>
      <c r="L28" s="3"/>
      <c r="M28" s="3"/>
    </row>
    <row r="29" spans="1:13" ht="14.25" customHeight="1" x14ac:dyDescent="0.4">
      <c r="A29" s="100">
        <v>4004005223</v>
      </c>
      <c r="B29" s="125" t="s">
        <v>778</v>
      </c>
      <c r="C29" s="314">
        <v>23742</v>
      </c>
      <c r="D29" s="71">
        <f>(OBSAH!$J$6/100)*Tabulka2010795361[[#This Row],[Sloupec3]]</f>
        <v>0</v>
      </c>
      <c r="E29" s="57">
        <f>Tabulka2010795361[[#This Row],[Sloupec3]]-Tabulka2010795361[[#This Row],[Sloupec4]]</f>
        <v>23742</v>
      </c>
      <c r="F29" s="3"/>
      <c r="G29" s="3"/>
      <c r="H29" s="3"/>
      <c r="I29" s="3"/>
      <c r="J29" s="3"/>
      <c r="K29" s="3"/>
      <c r="L29" s="3"/>
      <c r="M29" s="3"/>
    </row>
    <row r="30" spans="1:13" ht="14.25" customHeight="1" x14ac:dyDescent="0.4">
      <c r="A30" s="100">
        <v>4004005225</v>
      </c>
      <c r="B30" s="125" t="s">
        <v>779</v>
      </c>
      <c r="C30" s="314">
        <v>23771</v>
      </c>
      <c r="D30" s="71">
        <f>(OBSAH!$J$6/100)*Tabulka2010795361[[#This Row],[Sloupec3]]</f>
        <v>0</v>
      </c>
      <c r="E30" s="57">
        <f>Tabulka2010795361[[#This Row],[Sloupec3]]-Tabulka2010795361[[#This Row],[Sloupec4]]</f>
        <v>23771</v>
      </c>
      <c r="F30" s="3"/>
      <c r="G30" s="3"/>
      <c r="H30" s="3"/>
      <c r="I30" s="3"/>
      <c r="J30" s="3"/>
      <c r="K30" s="3"/>
      <c r="L30" s="3"/>
      <c r="M30" s="3"/>
    </row>
    <row r="31" spans="1:13" ht="14.25" customHeight="1" x14ac:dyDescent="0.4">
      <c r="A31" s="100">
        <v>4004005227</v>
      </c>
      <c r="B31" s="125" t="s">
        <v>780</v>
      </c>
      <c r="C31" s="314">
        <v>23937</v>
      </c>
      <c r="D31" s="71">
        <f>(OBSAH!$J$6/100)*Tabulka2010795361[[#This Row],[Sloupec3]]</f>
        <v>0</v>
      </c>
      <c r="E31" s="57">
        <f>Tabulka2010795361[[#This Row],[Sloupec3]]-Tabulka2010795361[[#This Row],[Sloupec4]]</f>
        <v>23937</v>
      </c>
      <c r="F31" s="3"/>
      <c r="G31" s="3"/>
      <c r="H31" s="3"/>
      <c r="I31" s="3"/>
      <c r="J31" s="3"/>
      <c r="K31" s="3"/>
      <c r="L31" s="3"/>
      <c r="M31" s="3"/>
    </row>
    <row r="32" spans="1:13" ht="14.25" customHeight="1" x14ac:dyDescent="0.4">
      <c r="A32" s="100">
        <v>4004005229</v>
      </c>
      <c r="B32" s="125" t="s">
        <v>781</v>
      </c>
      <c r="C32" s="314">
        <v>24252</v>
      </c>
      <c r="D32" s="71">
        <f>(OBSAH!$J$6/100)*Tabulka2010795361[[#This Row],[Sloupec3]]</f>
        <v>0</v>
      </c>
      <c r="E32" s="57">
        <f>Tabulka2010795361[[#This Row],[Sloupec3]]-Tabulka2010795361[[#This Row],[Sloupec4]]</f>
        <v>24252</v>
      </c>
      <c r="F32" s="3"/>
      <c r="G32" s="3"/>
      <c r="H32" s="3"/>
      <c r="I32" s="3"/>
      <c r="J32" s="3"/>
      <c r="K32" s="3"/>
      <c r="L32" s="3"/>
      <c r="M32" s="3"/>
    </row>
    <row r="33" spans="1:14" ht="14.25" customHeight="1" x14ac:dyDescent="0.4">
      <c r="A33" s="100">
        <v>4004005231</v>
      </c>
      <c r="B33" s="125" t="s">
        <v>782</v>
      </c>
      <c r="C33" s="314">
        <v>27576</v>
      </c>
      <c r="D33" s="71">
        <f>(OBSAH!$J$6/100)*Tabulka2010795361[[#This Row],[Sloupec3]]</f>
        <v>0</v>
      </c>
      <c r="E33" s="57">
        <f>Tabulka2010795361[[#This Row],[Sloupec3]]-Tabulka2010795361[[#This Row],[Sloupec4]]</f>
        <v>27576</v>
      </c>
      <c r="F33" s="3"/>
      <c r="G33" s="3"/>
      <c r="H33" s="3"/>
      <c r="I33" s="3"/>
      <c r="J33" s="3"/>
      <c r="K33" s="3"/>
      <c r="L33" s="3"/>
      <c r="M33" s="3"/>
    </row>
    <row r="34" spans="1:14" ht="14.25" customHeight="1" x14ac:dyDescent="0.4">
      <c r="A34" s="100">
        <v>4004005233</v>
      </c>
      <c r="B34" s="125" t="s">
        <v>783</v>
      </c>
      <c r="C34" s="314">
        <v>27709</v>
      </c>
      <c r="D34" s="71">
        <f>(OBSAH!$J$6/100)*Tabulka2010795361[[#This Row],[Sloupec3]]</f>
        <v>0</v>
      </c>
      <c r="E34" s="57">
        <f>Tabulka2010795361[[#This Row],[Sloupec3]]-Tabulka2010795361[[#This Row],[Sloupec4]]</f>
        <v>27709</v>
      </c>
      <c r="F34" s="3"/>
      <c r="G34" s="3"/>
      <c r="H34" s="3"/>
      <c r="I34" s="3"/>
      <c r="J34" s="3"/>
      <c r="K34" s="3"/>
      <c r="L34" s="3"/>
      <c r="M34" s="3"/>
    </row>
    <row r="35" spans="1:14" ht="14.25" customHeight="1" x14ac:dyDescent="0.4">
      <c r="A35" s="100">
        <v>4004005235</v>
      </c>
      <c r="B35" s="125" t="s">
        <v>784</v>
      </c>
      <c r="C35" s="314">
        <v>27787</v>
      </c>
      <c r="D35" s="71">
        <f>(OBSAH!$J$6/100)*Tabulka2010795361[[#This Row],[Sloupec3]]</f>
        <v>0</v>
      </c>
      <c r="E35" s="57">
        <f>Tabulka2010795361[[#This Row],[Sloupec3]]-Tabulka2010795361[[#This Row],[Sloupec4]]</f>
        <v>27787</v>
      </c>
      <c r="F35" s="3"/>
      <c r="G35" s="3"/>
      <c r="H35" s="3"/>
      <c r="I35" s="3"/>
      <c r="J35" s="3"/>
      <c r="K35" s="3"/>
      <c r="L35" s="3"/>
      <c r="M35" s="3"/>
    </row>
    <row r="36" spans="1:14" ht="14.25" customHeight="1" x14ac:dyDescent="0.4">
      <c r="A36" s="100">
        <v>4004005237</v>
      </c>
      <c r="B36" s="125" t="s">
        <v>785</v>
      </c>
      <c r="C36" s="314">
        <v>27908</v>
      </c>
      <c r="D36" s="71">
        <f>(OBSAH!$J$6/100)*Tabulka2010795361[[#This Row],[Sloupec3]]</f>
        <v>0</v>
      </c>
      <c r="E36" s="57">
        <f>Tabulka2010795361[[#This Row],[Sloupec3]]-Tabulka2010795361[[#This Row],[Sloupec4]]</f>
        <v>27908</v>
      </c>
      <c r="F36" s="3"/>
      <c r="G36" s="3"/>
      <c r="H36" s="3"/>
      <c r="I36" s="3"/>
      <c r="J36" s="3"/>
      <c r="K36" s="3"/>
      <c r="L36" s="3"/>
      <c r="M36" s="3"/>
    </row>
    <row r="37" spans="1:14" ht="14.25" customHeight="1" x14ac:dyDescent="0.4">
      <c r="A37" s="100">
        <v>4004005239</v>
      </c>
      <c r="B37" s="125" t="s">
        <v>786</v>
      </c>
      <c r="C37" s="314">
        <v>28220</v>
      </c>
      <c r="D37" s="71">
        <f>(OBSAH!$J$6/100)*Tabulka2010795361[[#This Row],[Sloupec3]]</f>
        <v>0</v>
      </c>
      <c r="E37" s="57">
        <f>Tabulka2010795361[[#This Row],[Sloupec3]]-Tabulka2010795361[[#This Row],[Sloupec4]]</f>
        <v>28220</v>
      </c>
      <c r="F37" s="3"/>
      <c r="G37" s="3"/>
      <c r="H37" s="3"/>
      <c r="I37" s="3"/>
      <c r="J37" s="3"/>
      <c r="K37" s="3"/>
      <c r="L37" s="3"/>
      <c r="M37" s="3"/>
    </row>
    <row r="38" spans="1:14" ht="14.25" customHeight="1" x14ac:dyDescent="0.4">
      <c r="A38" s="100">
        <v>4004005241</v>
      </c>
      <c r="B38" s="125" t="s">
        <v>787</v>
      </c>
      <c r="C38" s="314">
        <v>32094</v>
      </c>
      <c r="D38" s="71">
        <f>(OBSAH!$J$6/100)*Tabulka2010795361[[#This Row],[Sloupec3]]</f>
        <v>0</v>
      </c>
      <c r="E38" s="57">
        <f>Tabulka2010795361[[#This Row],[Sloupec3]]-Tabulka2010795361[[#This Row],[Sloupec4]]</f>
        <v>32094</v>
      </c>
      <c r="F38" s="3"/>
      <c r="G38" s="3"/>
      <c r="H38" s="3"/>
      <c r="I38" s="3"/>
      <c r="J38" s="3"/>
      <c r="K38" s="3"/>
      <c r="L38" s="3"/>
      <c r="M38" s="3"/>
    </row>
    <row r="39" spans="1:14" ht="14.25" customHeight="1" x14ac:dyDescent="0.4">
      <c r="A39" s="100">
        <v>4004005245</v>
      </c>
      <c r="B39" s="125" t="s">
        <v>788</v>
      </c>
      <c r="C39" s="314">
        <v>32230</v>
      </c>
      <c r="D39" s="71">
        <f>(OBSAH!$J$6/100)*Tabulka2010795361[[#This Row],[Sloupec3]]</f>
        <v>0</v>
      </c>
      <c r="E39" s="57">
        <f>Tabulka2010795361[[#This Row],[Sloupec3]]-Tabulka2010795361[[#This Row],[Sloupec4]]</f>
        <v>32230</v>
      </c>
      <c r="F39" s="3"/>
      <c r="G39" s="3"/>
      <c r="H39" s="3"/>
      <c r="I39" s="3"/>
      <c r="J39" s="3"/>
      <c r="K39" s="3"/>
      <c r="L39" s="3"/>
      <c r="M39" s="3"/>
    </row>
    <row r="40" spans="1:14" ht="14.25" customHeight="1" x14ac:dyDescent="0.4">
      <c r="A40" s="100">
        <v>4004005247</v>
      </c>
      <c r="B40" s="125" t="s">
        <v>789</v>
      </c>
      <c r="C40" s="314">
        <v>32265</v>
      </c>
      <c r="D40" s="71">
        <f>(OBSAH!$J$6/100)*Tabulka2010795361[[#This Row],[Sloupec3]]</f>
        <v>0</v>
      </c>
      <c r="E40" s="57">
        <f>Tabulka2010795361[[#This Row],[Sloupec3]]-Tabulka2010795361[[#This Row],[Sloupec4]]</f>
        <v>32265</v>
      </c>
      <c r="F40" s="3"/>
      <c r="G40" s="3"/>
      <c r="H40" s="3"/>
      <c r="I40" s="3"/>
      <c r="J40" s="3"/>
      <c r="K40" s="3"/>
      <c r="L40" s="3"/>
      <c r="M40" s="3"/>
    </row>
    <row r="41" spans="1:14" ht="14.25" customHeight="1" x14ac:dyDescent="0.4">
      <c r="A41" s="100">
        <v>4004005249</v>
      </c>
      <c r="B41" s="125" t="s">
        <v>790</v>
      </c>
      <c r="C41" s="314">
        <v>32426</v>
      </c>
      <c r="D41" s="71">
        <f>(OBSAH!$J$6/100)*Tabulka2010795361[[#This Row],[Sloupec3]]</f>
        <v>0</v>
      </c>
      <c r="E41" s="57">
        <f>Tabulka2010795361[[#This Row],[Sloupec3]]-Tabulka2010795361[[#This Row],[Sloupec4]]</f>
        <v>32426</v>
      </c>
      <c r="F41" s="3"/>
      <c r="G41" s="3"/>
      <c r="H41" s="3"/>
      <c r="I41" s="3"/>
      <c r="J41" s="3"/>
      <c r="K41" s="3"/>
      <c r="L41" s="3"/>
      <c r="M41" s="3"/>
    </row>
    <row r="42" spans="1:14" ht="14.25" customHeight="1" x14ac:dyDescent="0.4">
      <c r="A42" s="101">
        <v>4004005250</v>
      </c>
      <c r="B42" s="102" t="s">
        <v>791</v>
      </c>
      <c r="C42" s="315">
        <v>32741</v>
      </c>
      <c r="D42" s="68">
        <f>(OBSAH!$J$6/100)*Tabulka2010795361[[#This Row],[Sloupec3]]</f>
        <v>0</v>
      </c>
      <c r="E42" s="58">
        <f>Tabulka2010795361[[#This Row],[Sloupec3]]-Tabulka2010795361[[#This Row],[Sloupec4]]</f>
        <v>32741</v>
      </c>
      <c r="F42" s="3"/>
      <c r="G42" s="3"/>
      <c r="H42" s="3"/>
      <c r="I42" s="3"/>
      <c r="J42" s="3"/>
      <c r="K42" s="3"/>
      <c r="L42" s="3"/>
      <c r="M42" s="3"/>
    </row>
    <row r="43" spans="1:14" ht="15" customHeight="1" x14ac:dyDescent="0.4">
      <c r="A43" s="83"/>
      <c r="B43" s="84"/>
      <c r="C43" s="85"/>
      <c r="D43" s="61"/>
      <c r="E43" s="62"/>
      <c r="F43" s="3"/>
      <c r="G43" s="3"/>
      <c r="H43" s="3"/>
      <c r="I43" s="3"/>
      <c r="J43" s="3"/>
      <c r="K43" s="3"/>
      <c r="L43" s="3"/>
      <c r="M43" s="3"/>
    </row>
    <row r="44" spans="1:14" ht="22.5" customHeight="1" x14ac:dyDescent="0.4">
      <c r="A44" s="466" t="s">
        <v>91</v>
      </c>
      <c r="B44" s="466"/>
      <c r="C44" s="466"/>
      <c r="D44" s="466"/>
      <c r="E44" s="466"/>
      <c r="F44" s="3"/>
      <c r="G44" s="3"/>
      <c r="H44" s="3"/>
      <c r="I44" s="3"/>
      <c r="J44" s="3"/>
      <c r="K44" s="3"/>
      <c r="L44" s="3"/>
      <c r="M44" s="3"/>
    </row>
    <row r="45" spans="1:14" s="44" customFormat="1" ht="22.5" customHeight="1" x14ac:dyDescent="0.3">
      <c r="A45" s="51" t="s">
        <v>56</v>
      </c>
      <c r="B45" s="51" t="s">
        <v>57</v>
      </c>
      <c r="C45" s="52" t="s">
        <v>58</v>
      </c>
      <c r="D45" s="52" t="s">
        <v>59</v>
      </c>
      <c r="E45" s="53" t="s">
        <v>60</v>
      </c>
      <c r="F45" s="42"/>
      <c r="G45" s="42"/>
      <c r="H45" s="42"/>
      <c r="I45" s="42"/>
      <c r="J45" s="42"/>
      <c r="K45" s="42"/>
      <c r="L45" s="42"/>
      <c r="M45" s="42"/>
      <c r="N45" s="1"/>
    </row>
    <row r="46" spans="1:14" ht="14.25" customHeight="1" x14ac:dyDescent="0.4">
      <c r="A46" s="98">
        <v>4004005261</v>
      </c>
      <c r="B46" s="99" t="s">
        <v>792</v>
      </c>
      <c r="C46" s="316">
        <v>7682</v>
      </c>
      <c r="D46" s="69">
        <f>(OBSAH!$J$6/100)*Tabulka201079835462[[#This Row],[Sloupec3]]</f>
        <v>0</v>
      </c>
      <c r="E46" s="70">
        <f>Tabulka201079835462[[#This Row],[Sloupec3]]-Tabulka201079835462[[#This Row],[Sloupec4]]</f>
        <v>7682</v>
      </c>
      <c r="F46" s="3"/>
      <c r="G46" s="3"/>
      <c r="H46" s="3"/>
      <c r="I46" s="3"/>
      <c r="J46" s="3"/>
      <c r="K46" s="3"/>
      <c r="L46" s="3"/>
      <c r="M46" s="3"/>
    </row>
    <row r="47" spans="1:14" ht="14.25" customHeight="1" x14ac:dyDescent="0.4">
      <c r="A47" s="100">
        <v>4004005283</v>
      </c>
      <c r="B47" s="125" t="s">
        <v>793</v>
      </c>
      <c r="C47" s="317">
        <v>7811</v>
      </c>
      <c r="D47" s="71">
        <f>(OBSAH!$J$6/100)*Tabulka201079835462[[#This Row],[Sloupec3]]</f>
        <v>0</v>
      </c>
      <c r="E47" s="57">
        <f>Tabulka201079835462[[#This Row],[Sloupec3]]-Tabulka201079835462[[#This Row],[Sloupec4]]</f>
        <v>7811</v>
      </c>
      <c r="F47" s="3"/>
      <c r="G47" s="3"/>
      <c r="H47" s="3"/>
      <c r="I47" s="3"/>
      <c r="J47" s="3"/>
      <c r="K47" s="3"/>
      <c r="L47" s="3"/>
      <c r="M47" s="3"/>
    </row>
    <row r="48" spans="1:14" ht="14.25" customHeight="1" x14ac:dyDescent="0.4">
      <c r="A48" s="100">
        <v>4004005305</v>
      </c>
      <c r="B48" s="125" t="s">
        <v>794</v>
      </c>
      <c r="C48" s="317">
        <v>8123</v>
      </c>
      <c r="D48" s="71">
        <f>(OBSAH!$J$6/100)*Tabulka201079835462[[#This Row],[Sloupec3]]</f>
        <v>0</v>
      </c>
      <c r="E48" s="57">
        <f>Tabulka201079835462[[#This Row],[Sloupec3]]-Tabulka201079835462[[#This Row],[Sloupec4]]</f>
        <v>8123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100">
        <v>4004005313</v>
      </c>
      <c r="B49" s="125" t="s">
        <v>795</v>
      </c>
      <c r="C49" s="317">
        <v>10986</v>
      </c>
      <c r="D49" s="71">
        <f>(OBSAH!$J$6/100)*Tabulka201079835462[[#This Row],[Sloupec3]]</f>
        <v>0</v>
      </c>
      <c r="E49" s="57">
        <f>Tabulka201079835462[[#This Row],[Sloupec3]]-Tabulka201079835462[[#This Row],[Sloupec4]]</f>
        <v>10986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100">
        <v>4004005251</v>
      </c>
      <c r="B50" s="125" t="s">
        <v>796</v>
      </c>
      <c r="C50" s="317">
        <v>11155</v>
      </c>
      <c r="D50" s="71">
        <f>(OBSAH!$J$6/100)*Tabulka201079835462[[#This Row],[Sloupec3]]</f>
        <v>0</v>
      </c>
      <c r="E50" s="57">
        <f>Tabulka201079835462[[#This Row],[Sloupec3]]-Tabulka201079835462[[#This Row],[Sloupec4]]</f>
        <v>11155</v>
      </c>
      <c r="F50" s="3"/>
      <c r="G50" s="3"/>
      <c r="H50" s="3"/>
      <c r="I50" s="3"/>
      <c r="J50" s="3"/>
      <c r="K50" s="3"/>
      <c r="L50" s="3"/>
      <c r="M50" s="3"/>
    </row>
    <row r="51" spans="1:13" ht="14.25" customHeight="1" x14ac:dyDescent="0.4">
      <c r="A51" s="100">
        <v>4004005253</v>
      </c>
      <c r="B51" s="125" t="s">
        <v>797</v>
      </c>
      <c r="C51" s="317">
        <v>11180</v>
      </c>
      <c r="D51" s="71">
        <f>(OBSAH!$J$6/100)*Tabulka201079835462[[#This Row],[Sloupec3]]</f>
        <v>0</v>
      </c>
      <c r="E51" s="57">
        <f>Tabulka201079835462[[#This Row],[Sloupec3]]-Tabulka201079835462[[#This Row],[Sloupec4]]</f>
        <v>11180</v>
      </c>
      <c r="F51" s="3"/>
      <c r="G51" s="3"/>
      <c r="H51" s="3"/>
      <c r="I51" s="3"/>
      <c r="J51" s="3"/>
      <c r="K51" s="3"/>
      <c r="L51" s="3"/>
      <c r="M51" s="3"/>
    </row>
    <row r="52" spans="1:13" ht="14.25" customHeight="1" x14ac:dyDescent="0.4">
      <c r="A52" s="100">
        <v>4004005255</v>
      </c>
      <c r="B52" s="125" t="s">
        <v>798</v>
      </c>
      <c r="C52" s="317">
        <v>11348</v>
      </c>
      <c r="D52" s="71">
        <f>(OBSAH!$J$6/100)*Tabulka201079835462[[#This Row],[Sloupec3]]</f>
        <v>0</v>
      </c>
      <c r="E52" s="57">
        <f>Tabulka201079835462[[#This Row],[Sloupec3]]-Tabulka201079835462[[#This Row],[Sloupec4]]</f>
        <v>11348</v>
      </c>
      <c r="F52" s="3"/>
      <c r="G52" s="3"/>
      <c r="H52" s="3"/>
      <c r="I52" s="3"/>
      <c r="J52" s="3"/>
      <c r="K52" s="3"/>
      <c r="L52" s="3"/>
      <c r="M52" s="3"/>
    </row>
    <row r="53" spans="1:13" ht="14.25" customHeight="1" x14ac:dyDescent="0.4">
      <c r="A53" s="100">
        <v>4004005257</v>
      </c>
      <c r="B53" s="125" t="s">
        <v>799</v>
      </c>
      <c r="C53" s="317">
        <v>11661</v>
      </c>
      <c r="D53" s="71">
        <f>(OBSAH!$J$6/100)*Tabulka201079835462[[#This Row],[Sloupec3]]</f>
        <v>0</v>
      </c>
      <c r="E53" s="57">
        <f>Tabulka201079835462[[#This Row],[Sloupec3]]-Tabulka201079835462[[#This Row],[Sloupec4]]</f>
        <v>11661</v>
      </c>
      <c r="F53" s="3"/>
      <c r="G53" s="3"/>
      <c r="H53" s="3"/>
      <c r="I53" s="3"/>
      <c r="J53" s="3"/>
      <c r="K53" s="3"/>
      <c r="L53" s="3"/>
      <c r="M53" s="3"/>
    </row>
    <row r="54" spans="1:13" ht="14.25" customHeight="1" x14ac:dyDescent="0.4">
      <c r="A54" s="100">
        <v>4004005259</v>
      </c>
      <c r="B54" s="125" t="s">
        <v>800</v>
      </c>
      <c r="C54" s="317">
        <v>15862</v>
      </c>
      <c r="D54" s="71">
        <f>(OBSAH!$J$6/100)*Tabulka201079835462[[#This Row],[Sloupec3]]</f>
        <v>0</v>
      </c>
      <c r="E54" s="57">
        <f>Tabulka201079835462[[#This Row],[Sloupec3]]-Tabulka201079835462[[#This Row],[Sloupec4]]</f>
        <v>15862</v>
      </c>
      <c r="F54" s="3"/>
      <c r="G54" s="3"/>
      <c r="H54" s="3"/>
      <c r="I54" s="3"/>
      <c r="J54" s="3"/>
      <c r="K54" s="3"/>
      <c r="L54" s="3"/>
      <c r="M54" s="3"/>
    </row>
    <row r="55" spans="1:13" ht="14.25" customHeight="1" x14ac:dyDescent="0.4">
      <c r="A55" s="100">
        <v>4004005263</v>
      </c>
      <c r="B55" s="125" t="s">
        <v>801</v>
      </c>
      <c r="C55" s="317">
        <v>15897</v>
      </c>
      <c r="D55" s="71">
        <f>(OBSAH!$J$6/100)*Tabulka201079835462[[#This Row],[Sloupec3]]</f>
        <v>0</v>
      </c>
      <c r="E55" s="57">
        <f>Tabulka201079835462[[#This Row],[Sloupec3]]-Tabulka201079835462[[#This Row],[Sloupec4]]</f>
        <v>15897</v>
      </c>
      <c r="F55" s="3"/>
      <c r="G55" s="3"/>
      <c r="H55" s="3"/>
      <c r="I55" s="3"/>
      <c r="J55" s="3"/>
      <c r="K55" s="3"/>
      <c r="L55" s="3"/>
      <c r="M55" s="3"/>
    </row>
    <row r="56" spans="1:13" ht="14.25" customHeight="1" x14ac:dyDescent="0.4">
      <c r="A56" s="100">
        <v>4004005265</v>
      </c>
      <c r="B56" s="125" t="s">
        <v>802</v>
      </c>
      <c r="C56" s="317">
        <v>15958</v>
      </c>
      <c r="D56" s="71">
        <f>(OBSAH!$J$6/100)*Tabulka201079835462[[#This Row],[Sloupec3]]</f>
        <v>0</v>
      </c>
      <c r="E56" s="57">
        <f>Tabulka201079835462[[#This Row],[Sloupec3]]-Tabulka201079835462[[#This Row],[Sloupec4]]</f>
        <v>15958</v>
      </c>
      <c r="F56" s="3"/>
      <c r="G56" s="3"/>
      <c r="H56" s="3"/>
      <c r="I56" s="3"/>
      <c r="J56" s="3"/>
      <c r="K56" s="3"/>
      <c r="L56" s="3"/>
      <c r="M56" s="3"/>
    </row>
    <row r="57" spans="1:13" ht="14.25" customHeight="1" x14ac:dyDescent="0.4">
      <c r="A57" s="100">
        <v>4004005267</v>
      </c>
      <c r="B57" s="125" t="s">
        <v>803</v>
      </c>
      <c r="C57" s="317">
        <v>16052</v>
      </c>
      <c r="D57" s="71">
        <f>(OBSAH!$J$6/100)*Tabulka201079835462[[#This Row],[Sloupec3]]</f>
        <v>0</v>
      </c>
      <c r="E57" s="57">
        <f>Tabulka201079835462[[#This Row],[Sloupec3]]-Tabulka201079835462[[#This Row],[Sloupec4]]</f>
        <v>16052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100">
        <v>4004005269</v>
      </c>
      <c r="B58" s="125" t="s">
        <v>804</v>
      </c>
      <c r="C58" s="317">
        <v>16224</v>
      </c>
      <c r="D58" s="71">
        <f>(OBSAH!$J$6/100)*Tabulka201079835462[[#This Row],[Sloupec3]]</f>
        <v>0</v>
      </c>
      <c r="E58" s="57">
        <f>Tabulka201079835462[[#This Row],[Sloupec3]]-Tabulka201079835462[[#This Row],[Sloupec4]]</f>
        <v>16224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100">
        <v>4004005271</v>
      </c>
      <c r="B59" s="125" t="s">
        <v>805</v>
      </c>
      <c r="C59" s="317">
        <v>19480</v>
      </c>
      <c r="D59" s="71">
        <f>(OBSAH!$J$6/100)*Tabulka201079835462[[#This Row],[Sloupec3]]</f>
        <v>0</v>
      </c>
      <c r="E59" s="57">
        <f>Tabulka201079835462[[#This Row],[Sloupec3]]-Tabulka201079835462[[#This Row],[Sloupec4]]</f>
        <v>19480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100">
        <v>4004005273</v>
      </c>
      <c r="B60" s="125" t="s">
        <v>806</v>
      </c>
      <c r="C60" s="317">
        <v>19647</v>
      </c>
      <c r="D60" s="71">
        <f>(OBSAH!$J$6/100)*Tabulka201079835462[[#This Row],[Sloupec3]]</f>
        <v>0</v>
      </c>
      <c r="E60" s="57">
        <f>Tabulka201079835462[[#This Row],[Sloupec3]]-Tabulka201079835462[[#This Row],[Sloupec4]]</f>
        <v>19647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100">
        <v>4004005275</v>
      </c>
      <c r="B61" s="125" t="s">
        <v>807</v>
      </c>
      <c r="C61" s="317">
        <v>19673</v>
      </c>
      <c r="D61" s="71">
        <f>(OBSAH!$J$6/100)*Tabulka201079835462[[#This Row],[Sloupec3]]</f>
        <v>0</v>
      </c>
      <c r="E61" s="57">
        <f>Tabulka201079835462[[#This Row],[Sloupec3]]-Tabulka201079835462[[#This Row],[Sloupec4]]</f>
        <v>19673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100">
        <v>4004005277</v>
      </c>
      <c r="B62" s="125" t="s">
        <v>808</v>
      </c>
      <c r="C62" s="317">
        <v>19841</v>
      </c>
      <c r="D62" s="71">
        <f>(OBSAH!$J$6/100)*Tabulka201079835462[[#This Row],[Sloupec3]]</f>
        <v>0</v>
      </c>
      <c r="E62" s="57">
        <f>Tabulka201079835462[[#This Row],[Sloupec3]]-Tabulka201079835462[[#This Row],[Sloupec4]]</f>
        <v>19841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100">
        <v>4004005279</v>
      </c>
      <c r="B63" s="125" t="s">
        <v>809</v>
      </c>
      <c r="C63" s="317">
        <v>20155</v>
      </c>
      <c r="D63" s="71">
        <f>(OBSAH!$J$6/100)*Tabulka201079835462[[#This Row],[Sloupec3]]</f>
        <v>0</v>
      </c>
      <c r="E63" s="57">
        <f>Tabulka201079835462[[#This Row],[Sloupec3]]-Tabulka201079835462[[#This Row],[Sloupec4]]</f>
        <v>20155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100">
        <v>4004005281</v>
      </c>
      <c r="B64" s="125" t="s">
        <v>810</v>
      </c>
      <c r="C64" s="317">
        <v>24048</v>
      </c>
      <c r="D64" s="71">
        <f>(OBSAH!$J$6/100)*Tabulka201079835462[[#This Row],[Sloupec3]]</f>
        <v>0</v>
      </c>
      <c r="E64" s="57">
        <f>Tabulka201079835462[[#This Row],[Sloupec3]]-Tabulka201079835462[[#This Row],[Sloupec4]]</f>
        <v>24048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100">
        <v>4004005285</v>
      </c>
      <c r="B65" s="125" t="s">
        <v>811</v>
      </c>
      <c r="C65" s="317">
        <v>24182</v>
      </c>
      <c r="D65" s="71">
        <f>(OBSAH!$J$6/100)*Tabulka201079835462[[#This Row],[Sloupec3]]</f>
        <v>0</v>
      </c>
      <c r="E65" s="57">
        <f>Tabulka201079835462[[#This Row],[Sloupec3]]-Tabulka201079835462[[#This Row],[Sloupec4]]</f>
        <v>24182</v>
      </c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100">
        <v>4004005287</v>
      </c>
      <c r="B66" s="125" t="s">
        <v>812</v>
      </c>
      <c r="C66" s="317">
        <v>24212</v>
      </c>
      <c r="D66" s="71">
        <f>(OBSAH!$J$6/100)*Tabulka201079835462[[#This Row],[Sloupec3]]</f>
        <v>0</v>
      </c>
      <c r="E66" s="57">
        <f>Tabulka201079835462[[#This Row],[Sloupec3]]-Tabulka201079835462[[#This Row],[Sloupec4]]</f>
        <v>24212</v>
      </c>
      <c r="F66" s="3"/>
      <c r="G66" s="3"/>
      <c r="H66" s="3"/>
      <c r="I66" s="3"/>
      <c r="J66" s="3"/>
      <c r="K66" s="3"/>
      <c r="L66" s="3"/>
      <c r="M66" s="3"/>
    </row>
    <row r="67" spans="1:13" ht="14.25" customHeight="1" x14ac:dyDescent="0.4">
      <c r="A67" s="100">
        <v>4004005289</v>
      </c>
      <c r="B67" s="125" t="s">
        <v>813</v>
      </c>
      <c r="C67" s="317">
        <v>24378</v>
      </c>
      <c r="D67" s="71">
        <f>(OBSAH!$J$6/100)*Tabulka201079835462[[#This Row],[Sloupec3]]</f>
        <v>0</v>
      </c>
      <c r="E67" s="57">
        <f>Tabulka201079835462[[#This Row],[Sloupec3]]-Tabulka201079835462[[#This Row],[Sloupec4]]</f>
        <v>24378</v>
      </c>
      <c r="F67" s="3"/>
      <c r="G67" s="3"/>
      <c r="H67" s="3"/>
      <c r="I67" s="3"/>
      <c r="J67" s="3"/>
      <c r="K67" s="3"/>
      <c r="L67" s="3"/>
      <c r="M67" s="3"/>
    </row>
    <row r="68" spans="1:13" ht="14.25" customHeight="1" x14ac:dyDescent="0.4">
      <c r="A68" s="100">
        <v>4004005291</v>
      </c>
      <c r="B68" s="125" t="s">
        <v>814</v>
      </c>
      <c r="C68" s="317">
        <v>24693</v>
      </c>
      <c r="D68" s="71">
        <f>(OBSAH!$J$6/100)*Tabulka201079835462[[#This Row],[Sloupec3]]</f>
        <v>0</v>
      </c>
      <c r="E68" s="57">
        <f>Tabulka201079835462[[#This Row],[Sloupec3]]-Tabulka201079835462[[#This Row],[Sloupec4]]</f>
        <v>24693</v>
      </c>
      <c r="F68" s="3"/>
      <c r="G68" s="3"/>
      <c r="H68" s="3"/>
      <c r="I68" s="3"/>
      <c r="J68" s="3"/>
      <c r="K68" s="3"/>
      <c r="L68" s="3"/>
      <c r="M68" s="3"/>
    </row>
    <row r="69" spans="1:13" ht="14.25" customHeight="1" x14ac:dyDescent="0.4">
      <c r="A69" s="100">
        <v>4004005293</v>
      </c>
      <c r="B69" s="125" t="s">
        <v>815</v>
      </c>
      <c r="C69" s="317">
        <v>28016</v>
      </c>
      <c r="D69" s="71">
        <f>(OBSAH!$J$6/100)*Tabulka201079835462[[#This Row],[Sloupec3]]</f>
        <v>0</v>
      </c>
      <c r="E69" s="57">
        <f>Tabulka201079835462[[#This Row],[Sloupec3]]-Tabulka201079835462[[#This Row],[Sloupec4]]</f>
        <v>28016</v>
      </c>
      <c r="F69" s="3"/>
      <c r="G69" s="3"/>
      <c r="H69" s="3"/>
      <c r="I69" s="3"/>
      <c r="J69" s="3"/>
      <c r="K69" s="3"/>
      <c r="L69" s="3"/>
      <c r="M69" s="3"/>
    </row>
    <row r="70" spans="1:13" ht="14.25" customHeight="1" x14ac:dyDescent="0.4">
      <c r="A70" s="100">
        <v>4004005295</v>
      </c>
      <c r="B70" s="125" t="s">
        <v>816</v>
      </c>
      <c r="C70" s="317">
        <v>28153</v>
      </c>
      <c r="D70" s="71">
        <f>(OBSAH!$J$6/100)*Tabulka201079835462[[#This Row],[Sloupec3]]</f>
        <v>0</v>
      </c>
      <c r="E70" s="57">
        <f>Tabulka201079835462[[#This Row],[Sloupec3]]-Tabulka201079835462[[#This Row],[Sloupec4]]</f>
        <v>28153</v>
      </c>
      <c r="F70" s="3"/>
      <c r="G70" s="3"/>
      <c r="H70" s="3"/>
      <c r="I70" s="3"/>
      <c r="J70" s="3"/>
      <c r="K70" s="3"/>
      <c r="L70" s="3"/>
      <c r="M70" s="3"/>
    </row>
    <row r="71" spans="1:13" ht="14.25" customHeight="1" x14ac:dyDescent="0.4">
      <c r="A71" s="100">
        <v>4004005297</v>
      </c>
      <c r="B71" s="125" t="s">
        <v>817</v>
      </c>
      <c r="C71" s="317">
        <v>28228</v>
      </c>
      <c r="D71" s="71">
        <f>(OBSAH!$J$6/100)*Tabulka201079835462[[#This Row],[Sloupec3]]</f>
        <v>0</v>
      </c>
      <c r="E71" s="57">
        <f>Tabulka201079835462[[#This Row],[Sloupec3]]-Tabulka201079835462[[#This Row],[Sloupec4]]</f>
        <v>28228</v>
      </c>
      <c r="F71" s="3"/>
      <c r="G71" s="3"/>
      <c r="H71" s="3"/>
      <c r="I71" s="3"/>
      <c r="J71" s="3"/>
      <c r="K71" s="3"/>
      <c r="L71" s="3"/>
      <c r="M71" s="3"/>
    </row>
    <row r="72" spans="1:13" ht="14.25" customHeight="1" x14ac:dyDescent="0.4">
      <c r="A72" s="100">
        <v>4004005299</v>
      </c>
      <c r="B72" s="125" t="s">
        <v>818</v>
      </c>
      <c r="C72" s="317">
        <v>28348</v>
      </c>
      <c r="D72" s="71">
        <f>(OBSAH!$J$6/100)*Tabulka201079835462[[#This Row],[Sloupec3]]</f>
        <v>0</v>
      </c>
      <c r="E72" s="57">
        <f>Tabulka201079835462[[#This Row],[Sloupec3]]-Tabulka201079835462[[#This Row],[Sloupec4]]</f>
        <v>28348</v>
      </c>
      <c r="F72" s="3"/>
      <c r="G72" s="3"/>
      <c r="H72" s="3"/>
      <c r="I72" s="3"/>
      <c r="J72" s="3"/>
      <c r="K72" s="3"/>
      <c r="L72" s="3"/>
      <c r="M72" s="3"/>
    </row>
    <row r="73" spans="1:13" ht="14.25" customHeight="1" x14ac:dyDescent="0.4">
      <c r="A73" s="100">
        <v>4004005301</v>
      </c>
      <c r="B73" s="125" t="s">
        <v>819</v>
      </c>
      <c r="C73" s="317">
        <v>28663</v>
      </c>
      <c r="D73" s="71">
        <f>(OBSAH!$J$6/100)*Tabulka201079835462[[#This Row],[Sloupec3]]</f>
        <v>0</v>
      </c>
      <c r="E73" s="57">
        <f>Tabulka201079835462[[#This Row],[Sloupec3]]-Tabulka201079835462[[#This Row],[Sloupec4]]</f>
        <v>28663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100">
        <v>4004005303</v>
      </c>
      <c r="B74" s="125" t="s">
        <v>820</v>
      </c>
      <c r="C74" s="317">
        <v>32534</v>
      </c>
      <c r="D74" s="71">
        <f>(OBSAH!$J$6/100)*Tabulka201079835462[[#This Row],[Sloupec3]]</f>
        <v>0</v>
      </c>
      <c r="E74" s="57">
        <f>Tabulka201079835462[[#This Row],[Sloupec3]]-Tabulka201079835462[[#This Row],[Sloupec4]]</f>
        <v>32534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100">
        <v>4004005307</v>
      </c>
      <c r="B75" s="125" t="s">
        <v>821</v>
      </c>
      <c r="C75" s="317">
        <v>32670</v>
      </c>
      <c r="D75" s="71">
        <f>(OBSAH!$J$6/100)*Tabulka201079835462[[#This Row],[Sloupec3]]</f>
        <v>0</v>
      </c>
      <c r="E75" s="57">
        <f>Tabulka201079835462[[#This Row],[Sloupec3]]-Tabulka201079835462[[#This Row],[Sloupec4]]</f>
        <v>32670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100">
        <v>4004005309</v>
      </c>
      <c r="B76" s="125" t="s">
        <v>822</v>
      </c>
      <c r="C76" s="317">
        <v>32705</v>
      </c>
      <c r="D76" s="71">
        <f>(OBSAH!$J$6/100)*Tabulka201079835462[[#This Row],[Sloupec3]]</f>
        <v>0</v>
      </c>
      <c r="E76" s="57">
        <f>Tabulka201079835462[[#This Row],[Sloupec3]]-Tabulka201079835462[[#This Row],[Sloupec4]]</f>
        <v>32705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100">
        <v>4004005311</v>
      </c>
      <c r="B77" s="125" t="s">
        <v>823</v>
      </c>
      <c r="C77" s="317">
        <v>32867</v>
      </c>
      <c r="D77" s="71">
        <f>(OBSAH!$J$6/100)*Tabulka201079835462[[#This Row],[Sloupec3]]</f>
        <v>0</v>
      </c>
      <c r="E77" s="57">
        <f>Tabulka201079835462[[#This Row],[Sloupec3]]-Tabulka201079835462[[#This Row],[Sloupec4]]</f>
        <v>32867</v>
      </c>
      <c r="F77" s="3"/>
      <c r="G77" s="3"/>
      <c r="H77" s="3"/>
      <c r="I77" s="3"/>
      <c r="J77" s="3"/>
      <c r="K77" s="3"/>
      <c r="L77" s="3"/>
      <c r="M77" s="3"/>
    </row>
    <row r="78" spans="1:13" ht="14.25" customHeight="1" x14ac:dyDescent="0.4">
      <c r="A78" s="101">
        <v>4004005312</v>
      </c>
      <c r="B78" s="102" t="s">
        <v>824</v>
      </c>
      <c r="C78" s="318">
        <v>33182</v>
      </c>
      <c r="D78" s="68">
        <f>(OBSAH!$J$6/100)*Tabulka201079835462[[#This Row],[Sloupec3]]</f>
        <v>0</v>
      </c>
      <c r="E78" s="58">
        <f>Tabulka201079835462[[#This Row],[Sloupec3]]-Tabulka201079835462[[#This Row],[Sloupec4]]</f>
        <v>33182</v>
      </c>
      <c r="F78" s="3"/>
      <c r="G78" s="3"/>
      <c r="H78" s="3"/>
      <c r="I78" s="3"/>
      <c r="J78" s="3"/>
      <c r="K78" s="3"/>
      <c r="L78" s="3"/>
      <c r="M78" s="3"/>
    </row>
    <row r="79" spans="1:13" ht="15" customHeight="1" x14ac:dyDescent="0.4">
      <c r="A79" s="38"/>
      <c r="B79" s="38"/>
      <c r="C79" s="38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1:13" ht="15" customHeight="1" x14ac:dyDescent="0.4">
      <c r="A80" s="38"/>
      <c r="B80" s="38"/>
      <c r="C80" s="38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1:13" ht="15" customHeight="1" x14ac:dyDescent="0.4">
      <c r="A81" s="38"/>
      <c r="B81" s="38"/>
      <c r="C81" s="38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1:13" ht="36" customHeight="1" x14ac:dyDescent="0.4">
      <c r="A82" s="467" t="s">
        <v>152</v>
      </c>
      <c r="B82" s="467"/>
      <c r="C82" s="467"/>
      <c r="D82" s="467"/>
      <c r="E82" s="467"/>
      <c r="F82" s="3"/>
      <c r="G82" s="3"/>
      <c r="H82" s="3"/>
      <c r="I82" s="3"/>
      <c r="J82" s="3"/>
      <c r="K82" s="3"/>
      <c r="L82" s="3"/>
      <c r="M82" s="3"/>
    </row>
    <row r="83" spans="1:13" ht="36" customHeight="1" x14ac:dyDescent="0.4">
      <c r="A83" s="464" t="s">
        <v>427</v>
      </c>
      <c r="B83" s="464"/>
      <c r="C83" s="464"/>
      <c r="D83" s="464"/>
      <c r="E83" s="464"/>
      <c r="F83" s="3"/>
      <c r="G83" s="3"/>
      <c r="H83" s="3"/>
      <c r="I83" s="3"/>
      <c r="J83" s="3"/>
      <c r="K83" s="3"/>
      <c r="L83" s="3"/>
      <c r="M83" s="3"/>
    </row>
    <row r="84" spans="1:13" ht="22.5" customHeight="1" x14ac:dyDescent="0.4">
      <c r="A84" s="465" t="s">
        <v>83</v>
      </c>
      <c r="B84" s="465"/>
      <c r="C84" s="465"/>
      <c r="D84" s="465"/>
      <c r="E84" s="465"/>
      <c r="F84" s="3"/>
      <c r="G84" s="3"/>
      <c r="H84" s="3"/>
      <c r="I84" s="3"/>
      <c r="J84" s="3"/>
      <c r="K84" s="3"/>
      <c r="L84" s="3"/>
      <c r="M84" s="3"/>
    </row>
    <row r="85" spans="1:13" s="44" customFormat="1" ht="22.5" customHeight="1" x14ac:dyDescent="0.25">
      <c r="A85" s="51" t="s">
        <v>56</v>
      </c>
      <c r="B85" s="51" t="s">
        <v>57</v>
      </c>
      <c r="C85" s="52" t="s">
        <v>58</v>
      </c>
      <c r="D85" s="52" t="s">
        <v>59</v>
      </c>
      <c r="E85" s="53" t="s">
        <v>60</v>
      </c>
      <c r="F85" s="42"/>
      <c r="G85" s="42"/>
      <c r="H85" s="42"/>
      <c r="I85" s="42"/>
      <c r="J85" s="42"/>
      <c r="K85" s="42"/>
      <c r="L85" s="42"/>
      <c r="M85" s="42"/>
    </row>
    <row r="86" spans="1:13" ht="14.25" customHeight="1" x14ac:dyDescent="0.4">
      <c r="A86" s="98">
        <v>4004005200</v>
      </c>
      <c r="B86" s="221" t="s">
        <v>825</v>
      </c>
      <c r="C86" s="319">
        <v>16145</v>
      </c>
      <c r="D86" s="69">
        <f>(OBSAH!$J$6/100)*Tabulka201079845563[[#This Row],[Sloupec3]]</f>
        <v>0</v>
      </c>
      <c r="E86" s="70">
        <f>Tabulka201079845563[[#This Row],[Sloupec3]]-Tabulka201079845563[[#This Row],[Sloupec4]]</f>
        <v>16145</v>
      </c>
      <c r="F86" s="3"/>
      <c r="G86" s="3"/>
      <c r="H86" s="3"/>
      <c r="I86" s="3"/>
      <c r="J86" s="3"/>
      <c r="K86" s="3"/>
      <c r="L86" s="3"/>
      <c r="M86" s="3"/>
    </row>
    <row r="87" spans="1:13" ht="14.25" customHeight="1" x14ac:dyDescent="0.4">
      <c r="A87" s="100">
        <v>4004005222</v>
      </c>
      <c r="B87" s="127" t="s">
        <v>826</v>
      </c>
      <c r="C87" s="320">
        <v>16343</v>
      </c>
      <c r="D87" s="71">
        <f>(OBSAH!$J$6/100)*Tabulka201079845563[[#This Row],[Sloupec3]]</f>
        <v>0</v>
      </c>
      <c r="E87" s="57">
        <f>Tabulka201079845563[[#This Row],[Sloupec3]]-Tabulka201079845563[[#This Row],[Sloupec4]]</f>
        <v>16343</v>
      </c>
      <c r="F87" s="3"/>
      <c r="G87" s="3"/>
      <c r="H87" s="3"/>
      <c r="I87" s="3"/>
      <c r="J87" s="3"/>
      <c r="K87" s="3"/>
      <c r="L87" s="3"/>
      <c r="M87" s="3"/>
    </row>
    <row r="88" spans="1:13" ht="14.25" customHeight="1" x14ac:dyDescent="0.4">
      <c r="A88" s="100">
        <v>4004005369</v>
      </c>
      <c r="B88" s="127" t="s">
        <v>827</v>
      </c>
      <c r="C88" s="320">
        <v>16657</v>
      </c>
      <c r="D88" s="71">
        <f>(OBSAH!$J$6/100)*Tabulka201079845563[[#This Row],[Sloupec3]]</f>
        <v>0</v>
      </c>
      <c r="E88" s="57">
        <f>Tabulka201079845563[[#This Row],[Sloupec3]]-Tabulka201079845563[[#This Row],[Sloupec4]]</f>
        <v>16657</v>
      </c>
      <c r="F88" s="3"/>
      <c r="G88" s="3"/>
      <c r="H88" s="3"/>
      <c r="I88" s="3"/>
      <c r="J88" s="3"/>
      <c r="K88" s="3"/>
      <c r="L88" s="3"/>
      <c r="M88" s="3"/>
    </row>
    <row r="89" spans="1:13" ht="14.25" customHeight="1" x14ac:dyDescent="0.4">
      <c r="A89" s="100">
        <v>4004005316</v>
      </c>
      <c r="B89" s="127" t="s">
        <v>828</v>
      </c>
      <c r="C89" s="320">
        <v>16833</v>
      </c>
      <c r="D89" s="71">
        <f>(OBSAH!$J$6/100)*Tabulka201079845563[[#This Row],[Sloupec3]]</f>
        <v>0</v>
      </c>
      <c r="E89" s="57">
        <f>Tabulka201079845563[[#This Row],[Sloupec3]]-Tabulka201079845563[[#This Row],[Sloupec4]]</f>
        <v>16833</v>
      </c>
      <c r="F89" s="3"/>
      <c r="G89" s="3"/>
      <c r="H89" s="3"/>
      <c r="I89" s="3"/>
      <c r="J89" s="3"/>
      <c r="K89" s="3"/>
      <c r="L89" s="3"/>
      <c r="M89" s="3"/>
    </row>
    <row r="90" spans="1:13" ht="14.25" customHeight="1" x14ac:dyDescent="0.4">
      <c r="A90" s="100">
        <v>4004005190</v>
      </c>
      <c r="B90" s="127" t="s">
        <v>829</v>
      </c>
      <c r="C90" s="320">
        <v>17000</v>
      </c>
      <c r="D90" s="71">
        <f>(OBSAH!$J$6/100)*Tabulka201079845563[[#This Row],[Sloupec3]]</f>
        <v>0</v>
      </c>
      <c r="E90" s="57">
        <f>Tabulka201079845563[[#This Row],[Sloupec3]]-Tabulka201079845563[[#This Row],[Sloupec4]]</f>
        <v>17000</v>
      </c>
      <c r="F90" s="3"/>
      <c r="G90" s="3"/>
      <c r="H90" s="3"/>
      <c r="I90" s="3"/>
      <c r="J90" s="3"/>
      <c r="K90" s="3"/>
      <c r="L90" s="3"/>
      <c r="M90" s="3"/>
    </row>
    <row r="91" spans="1:13" ht="14.25" customHeight="1" x14ac:dyDescent="0.4">
      <c r="A91" s="100">
        <v>4004005192</v>
      </c>
      <c r="B91" s="127" t="s">
        <v>830</v>
      </c>
      <c r="C91" s="320">
        <v>17315</v>
      </c>
      <c r="D91" s="71">
        <f>(OBSAH!$J$6/100)*Tabulka201079845563[[#This Row],[Sloupec3]]</f>
        <v>0</v>
      </c>
      <c r="E91" s="57">
        <f>Tabulka201079845563[[#This Row],[Sloupec3]]-Tabulka201079845563[[#This Row],[Sloupec4]]</f>
        <v>17315</v>
      </c>
      <c r="F91" s="3"/>
      <c r="G91" s="3"/>
      <c r="H91" s="3"/>
      <c r="I91" s="3"/>
      <c r="J91" s="3"/>
      <c r="K91" s="3"/>
      <c r="L91" s="3"/>
      <c r="M91" s="3"/>
    </row>
    <row r="92" spans="1:13" ht="14.25" customHeight="1" x14ac:dyDescent="0.4">
      <c r="A92" s="100">
        <v>4004005194</v>
      </c>
      <c r="B92" s="127" t="s">
        <v>831</v>
      </c>
      <c r="C92" s="320">
        <v>20904</v>
      </c>
      <c r="D92" s="71">
        <f>(OBSAH!$J$6/100)*Tabulka201079845563[[#This Row],[Sloupec3]]</f>
        <v>0</v>
      </c>
      <c r="E92" s="57">
        <f>Tabulka201079845563[[#This Row],[Sloupec3]]-Tabulka201079845563[[#This Row],[Sloupec4]]</f>
        <v>20904</v>
      </c>
      <c r="F92" s="3"/>
      <c r="G92" s="3"/>
      <c r="H92" s="3"/>
      <c r="I92" s="3"/>
      <c r="J92" s="3"/>
      <c r="K92" s="3"/>
      <c r="L92" s="3"/>
      <c r="M92" s="3"/>
    </row>
    <row r="93" spans="1:13" ht="14.25" customHeight="1" x14ac:dyDescent="0.4">
      <c r="A93" s="100">
        <v>4004005196</v>
      </c>
      <c r="B93" s="127" t="s">
        <v>832</v>
      </c>
      <c r="C93" s="320">
        <v>21219</v>
      </c>
      <c r="D93" s="71">
        <f>(OBSAH!$J$6/100)*Tabulka201079845563[[#This Row],[Sloupec3]]</f>
        <v>0</v>
      </c>
      <c r="E93" s="57">
        <f>Tabulka201079845563[[#This Row],[Sloupec3]]-Tabulka201079845563[[#This Row],[Sloupec4]]</f>
        <v>21219</v>
      </c>
      <c r="F93" s="3"/>
      <c r="G93" s="3"/>
      <c r="H93" s="3"/>
      <c r="I93" s="3"/>
      <c r="J93" s="3"/>
      <c r="K93" s="3"/>
      <c r="L93" s="3"/>
      <c r="M93" s="3"/>
    </row>
    <row r="94" spans="1:13" ht="14.25" customHeight="1" x14ac:dyDescent="0.4">
      <c r="A94" s="100">
        <v>4004005198</v>
      </c>
      <c r="B94" s="127" t="s">
        <v>833</v>
      </c>
      <c r="C94" s="320">
        <v>21557</v>
      </c>
      <c r="D94" s="71">
        <f>(OBSAH!$J$6/100)*Tabulka201079845563[[#This Row],[Sloupec3]]</f>
        <v>0</v>
      </c>
      <c r="E94" s="57">
        <f>Tabulka201079845563[[#This Row],[Sloupec3]]-Tabulka201079845563[[#This Row],[Sloupec4]]</f>
        <v>21557</v>
      </c>
      <c r="F94" s="3"/>
      <c r="G94" s="3"/>
      <c r="H94" s="3"/>
      <c r="I94" s="3"/>
      <c r="J94" s="3"/>
      <c r="K94" s="3"/>
      <c r="L94" s="3"/>
      <c r="M94" s="3"/>
    </row>
    <row r="95" spans="1:13" ht="14.25" customHeight="1" x14ac:dyDescent="0.4">
      <c r="A95" s="100">
        <v>4004005202</v>
      </c>
      <c r="B95" s="127" t="s">
        <v>834</v>
      </c>
      <c r="C95" s="320">
        <v>21843</v>
      </c>
      <c r="D95" s="71">
        <f>(OBSAH!$J$6/100)*Tabulka201079845563[[#This Row],[Sloupec3]]</f>
        <v>0</v>
      </c>
      <c r="E95" s="57">
        <f>Tabulka201079845563[[#This Row],[Sloupec3]]-Tabulka201079845563[[#This Row],[Sloupec4]]</f>
        <v>21843</v>
      </c>
      <c r="F95" s="3"/>
      <c r="G95" s="3"/>
      <c r="H95" s="3"/>
      <c r="I95" s="3"/>
      <c r="J95" s="3"/>
      <c r="K95" s="3"/>
      <c r="L95" s="3"/>
      <c r="M95" s="3"/>
    </row>
    <row r="96" spans="1:13" ht="14.25" customHeight="1" x14ac:dyDescent="0.4">
      <c r="A96" s="100">
        <v>4004005204</v>
      </c>
      <c r="B96" s="127" t="s">
        <v>835</v>
      </c>
      <c r="C96" s="320">
        <v>22003</v>
      </c>
      <c r="D96" s="71">
        <f>(OBSAH!$J$6/100)*Tabulka201079845563[[#This Row],[Sloupec3]]</f>
        <v>0</v>
      </c>
      <c r="E96" s="57">
        <f>Tabulka201079845563[[#This Row],[Sloupec3]]-Tabulka201079845563[[#This Row],[Sloupec4]]</f>
        <v>22003</v>
      </c>
      <c r="F96" s="3"/>
      <c r="G96" s="3"/>
      <c r="H96" s="3"/>
      <c r="I96" s="3"/>
      <c r="J96" s="3"/>
      <c r="K96" s="3"/>
      <c r="L96" s="3"/>
      <c r="M96" s="3"/>
    </row>
    <row r="97" spans="1:13" ht="14.25" customHeight="1" x14ac:dyDescent="0.4">
      <c r="A97" s="100">
        <v>4004005206</v>
      </c>
      <c r="B97" s="127" t="s">
        <v>836</v>
      </c>
      <c r="C97" s="320">
        <v>24835</v>
      </c>
      <c r="D97" s="71">
        <f>(OBSAH!$J$6/100)*Tabulka201079845563[[#This Row],[Sloupec3]]</f>
        <v>0</v>
      </c>
      <c r="E97" s="57">
        <f>Tabulka201079845563[[#This Row],[Sloupec3]]-Tabulka201079845563[[#This Row],[Sloupec4]]</f>
        <v>24835</v>
      </c>
      <c r="F97" s="3"/>
      <c r="G97" s="3"/>
      <c r="H97" s="3"/>
      <c r="I97" s="3"/>
      <c r="J97" s="3"/>
      <c r="K97" s="3"/>
      <c r="L97" s="3"/>
      <c r="M97" s="3"/>
    </row>
    <row r="98" spans="1:13" ht="14.25" customHeight="1" x14ac:dyDescent="0.4">
      <c r="A98" s="100">
        <v>4004005208</v>
      </c>
      <c r="B98" s="127" t="s">
        <v>837</v>
      </c>
      <c r="C98" s="320">
        <v>25150</v>
      </c>
      <c r="D98" s="71">
        <f>(OBSAH!$J$6/100)*Tabulka201079845563[[#This Row],[Sloupec3]]</f>
        <v>0</v>
      </c>
      <c r="E98" s="57">
        <f>Tabulka201079845563[[#This Row],[Sloupec3]]-Tabulka201079845563[[#This Row],[Sloupec4]]</f>
        <v>25150</v>
      </c>
      <c r="F98" s="3"/>
      <c r="G98" s="3"/>
      <c r="H98" s="3"/>
      <c r="I98" s="3"/>
      <c r="J98" s="3"/>
      <c r="K98" s="3"/>
      <c r="L98" s="3"/>
      <c r="M98" s="3"/>
    </row>
    <row r="99" spans="1:13" ht="14.25" customHeight="1" x14ac:dyDescent="0.4">
      <c r="A99" s="100">
        <v>4004005210</v>
      </c>
      <c r="B99" s="127" t="s">
        <v>838</v>
      </c>
      <c r="C99" s="320">
        <v>25299</v>
      </c>
      <c r="D99" s="71">
        <f>(OBSAH!$J$6/100)*Tabulka201079845563[[#This Row],[Sloupec3]]</f>
        <v>0</v>
      </c>
      <c r="E99" s="57">
        <f>Tabulka201079845563[[#This Row],[Sloupec3]]-Tabulka201079845563[[#This Row],[Sloupec4]]</f>
        <v>25299</v>
      </c>
      <c r="F99" s="3"/>
      <c r="G99" s="3"/>
      <c r="H99" s="3"/>
      <c r="I99" s="3"/>
      <c r="J99" s="3"/>
      <c r="K99" s="3"/>
      <c r="L99" s="3"/>
      <c r="M99" s="3"/>
    </row>
    <row r="100" spans="1:13" ht="14.25" customHeight="1" x14ac:dyDescent="0.4">
      <c r="A100" s="100">
        <v>4004005212</v>
      </c>
      <c r="B100" s="127" t="s">
        <v>839</v>
      </c>
      <c r="C100" s="320">
        <v>25466</v>
      </c>
      <c r="D100" s="71">
        <f>(OBSAH!$J$6/100)*Tabulka201079845563[[#This Row],[Sloupec3]]</f>
        <v>0</v>
      </c>
      <c r="E100" s="57">
        <f>Tabulka201079845563[[#This Row],[Sloupec3]]-Tabulka201079845563[[#This Row],[Sloupec4]]</f>
        <v>25466</v>
      </c>
      <c r="F100" s="3"/>
      <c r="G100" s="3"/>
      <c r="H100" s="3"/>
      <c r="I100" s="3"/>
      <c r="J100" s="3"/>
      <c r="K100" s="3"/>
      <c r="L100" s="3"/>
      <c r="M100" s="3"/>
    </row>
    <row r="101" spans="1:13" ht="14.25" customHeight="1" x14ac:dyDescent="0.4">
      <c r="A101" s="100">
        <v>4004005214</v>
      </c>
      <c r="B101" s="127" t="s">
        <v>840</v>
      </c>
      <c r="C101" s="320">
        <v>25781</v>
      </c>
      <c r="D101" s="71">
        <f>(OBSAH!$J$6/100)*Tabulka201079845563[[#This Row],[Sloupec3]]</f>
        <v>0</v>
      </c>
      <c r="E101" s="57">
        <f>Tabulka201079845563[[#This Row],[Sloupec3]]-Tabulka201079845563[[#This Row],[Sloupec4]]</f>
        <v>25781</v>
      </c>
      <c r="F101" s="3"/>
      <c r="G101" s="3"/>
      <c r="H101" s="3"/>
      <c r="I101" s="3"/>
      <c r="J101" s="3"/>
      <c r="K101" s="3"/>
      <c r="L101" s="3"/>
      <c r="M101" s="3"/>
    </row>
    <row r="102" spans="1:13" ht="14.25" customHeight="1" x14ac:dyDescent="0.4">
      <c r="A102" s="100">
        <v>4004005216</v>
      </c>
      <c r="B102" s="127" t="s">
        <v>841</v>
      </c>
      <c r="C102" s="320">
        <v>29373</v>
      </c>
      <c r="D102" s="71">
        <f>(OBSAH!$J$6/100)*Tabulka201079845563[[#This Row],[Sloupec3]]</f>
        <v>0</v>
      </c>
      <c r="E102" s="57">
        <f>Tabulka201079845563[[#This Row],[Sloupec3]]-Tabulka201079845563[[#This Row],[Sloupec4]]</f>
        <v>29373</v>
      </c>
      <c r="F102" s="3"/>
      <c r="G102" s="3"/>
      <c r="H102" s="3"/>
      <c r="I102" s="3"/>
      <c r="J102" s="3"/>
      <c r="K102" s="3"/>
      <c r="L102" s="3"/>
      <c r="M102" s="3"/>
    </row>
    <row r="103" spans="1:13" ht="14.25" customHeight="1" x14ac:dyDescent="0.4">
      <c r="A103" s="100">
        <v>4004005218</v>
      </c>
      <c r="B103" s="127" t="s">
        <v>842</v>
      </c>
      <c r="C103" s="320">
        <v>29717</v>
      </c>
      <c r="D103" s="71">
        <f>(OBSAH!$J$6/100)*Tabulka201079845563[[#This Row],[Sloupec3]]</f>
        <v>0</v>
      </c>
      <c r="E103" s="57">
        <f>Tabulka201079845563[[#This Row],[Sloupec3]]-Tabulka201079845563[[#This Row],[Sloupec4]]</f>
        <v>29717</v>
      </c>
      <c r="F103" s="3"/>
      <c r="G103" s="3"/>
      <c r="H103" s="3"/>
      <c r="I103" s="3"/>
      <c r="J103" s="3"/>
      <c r="K103" s="3"/>
      <c r="L103" s="3"/>
      <c r="M103" s="3"/>
    </row>
    <row r="104" spans="1:13" ht="14.25" customHeight="1" x14ac:dyDescent="0.4">
      <c r="A104" s="100">
        <v>4004005220</v>
      </c>
      <c r="B104" s="127" t="s">
        <v>843</v>
      </c>
      <c r="C104" s="320">
        <v>29866</v>
      </c>
      <c r="D104" s="71">
        <f>(OBSAH!$J$6/100)*Tabulka201079845563[[#This Row],[Sloupec3]]</f>
        <v>0</v>
      </c>
      <c r="E104" s="57">
        <f>Tabulka201079845563[[#This Row],[Sloupec3]]-Tabulka201079845563[[#This Row],[Sloupec4]]</f>
        <v>29866</v>
      </c>
      <c r="F104" s="3"/>
      <c r="G104" s="3"/>
      <c r="H104" s="3"/>
      <c r="I104" s="3"/>
      <c r="J104" s="3"/>
      <c r="K104" s="3"/>
      <c r="L104" s="3"/>
      <c r="M104" s="3"/>
    </row>
    <row r="105" spans="1:13" ht="14.25" customHeight="1" x14ac:dyDescent="0.4">
      <c r="A105" s="100">
        <v>4004005224</v>
      </c>
      <c r="B105" s="127" t="s">
        <v>844</v>
      </c>
      <c r="C105" s="320">
        <v>30036</v>
      </c>
      <c r="D105" s="71">
        <f>(OBSAH!$J$6/100)*Tabulka201079845563[[#This Row],[Sloupec3]]</f>
        <v>0</v>
      </c>
      <c r="E105" s="57">
        <f>Tabulka201079845563[[#This Row],[Sloupec3]]-Tabulka201079845563[[#This Row],[Sloupec4]]</f>
        <v>30036</v>
      </c>
      <c r="F105" s="3"/>
      <c r="G105" s="3"/>
      <c r="H105" s="3"/>
      <c r="I105" s="3"/>
      <c r="J105" s="3"/>
      <c r="K105" s="3"/>
      <c r="L105" s="3"/>
      <c r="M105" s="3"/>
    </row>
    <row r="106" spans="1:13" ht="14.25" customHeight="1" x14ac:dyDescent="0.4">
      <c r="A106" s="100">
        <v>4004005226</v>
      </c>
      <c r="B106" s="127" t="s">
        <v>845</v>
      </c>
      <c r="C106" s="320">
        <v>30348</v>
      </c>
      <c r="D106" s="71">
        <f>(OBSAH!$J$6/100)*Tabulka201079845563[[#This Row],[Sloupec3]]</f>
        <v>0</v>
      </c>
      <c r="E106" s="57">
        <f>Tabulka201079845563[[#This Row],[Sloupec3]]-Tabulka201079845563[[#This Row],[Sloupec4]]</f>
        <v>30348</v>
      </c>
      <c r="F106" s="3"/>
      <c r="G106" s="3"/>
      <c r="H106" s="3"/>
      <c r="I106" s="3"/>
      <c r="J106" s="3"/>
      <c r="K106" s="3"/>
      <c r="L106" s="3"/>
      <c r="M106" s="3"/>
    </row>
    <row r="107" spans="1:13" ht="14.25" customHeight="1" x14ac:dyDescent="0.4">
      <c r="A107" s="100">
        <v>4004005228</v>
      </c>
      <c r="B107" s="127" t="s">
        <v>846</v>
      </c>
      <c r="C107" s="320">
        <v>33345</v>
      </c>
      <c r="D107" s="71">
        <f>(OBSAH!$J$6/100)*Tabulka201079845563[[#This Row],[Sloupec3]]</f>
        <v>0</v>
      </c>
      <c r="E107" s="57">
        <f>Tabulka201079845563[[#This Row],[Sloupec3]]-Tabulka201079845563[[#This Row],[Sloupec4]]</f>
        <v>33345</v>
      </c>
      <c r="F107" s="3"/>
      <c r="G107" s="3"/>
      <c r="H107" s="3"/>
      <c r="I107" s="3"/>
      <c r="J107" s="3"/>
      <c r="K107" s="3"/>
      <c r="L107" s="3"/>
      <c r="M107" s="3"/>
    </row>
    <row r="108" spans="1:13" ht="14.25" customHeight="1" x14ac:dyDescent="0.4">
      <c r="A108" s="100">
        <v>4004005230</v>
      </c>
      <c r="B108" s="127" t="s">
        <v>847</v>
      </c>
      <c r="C108" s="320">
        <v>33688</v>
      </c>
      <c r="D108" s="71">
        <f>(OBSAH!$J$6/100)*Tabulka201079845563[[#This Row],[Sloupec3]]</f>
        <v>0</v>
      </c>
      <c r="E108" s="57">
        <f>Tabulka201079845563[[#This Row],[Sloupec3]]-Tabulka201079845563[[#This Row],[Sloupec4]]</f>
        <v>33688</v>
      </c>
      <c r="F108" s="3"/>
      <c r="G108" s="3"/>
      <c r="H108" s="3"/>
      <c r="I108" s="3"/>
      <c r="J108" s="3"/>
      <c r="K108" s="3"/>
      <c r="L108" s="3"/>
      <c r="M108" s="3"/>
    </row>
    <row r="109" spans="1:13" ht="14.25" customHeight="1" x14ac:dyDescent="0.4">
      <c r="A109" s="100">
        <v>4004005232</v>
      </c>
      <c r="B109" s="127" t="s">
        <v>848</v>
      </c>
      <c r="C109" s="320">
        <v>33836</v>
      </c>
      <c r="D109" s="71">
        <f>(OBSAH!$J$6/100)*Tabulka201079845563[[#This Row],[Sloupec3]]</f>
        <v>0</v>
      </c>
      <c r="E109" s="57">
        <f>Tabulka201079845563[[#This Row],[Sloupec3]]-Tabulka201079845563[[#This Row],[Sloupec4]]</f>
        <v>33836</v>
      </c>
      <c r="F109" s="3"/>
      <c r="G109" s="3"/>
      <c r="H109" s="3"/>
      <c r="I109" s="3"/>
      <c r="J109" s="3"/>
      <c r="K109" s="3"/>
      <c r="L109" s="3"/>
      <c r="M109" s="3"/>
    </row>
    <row r="110" spans="1:13" ht="14.25" customHeight="1" x14ac:dyDescent="0.4">
      <c r="A110" s="100">
        <v>4004005234</v>
      </c>
      <c r="B110" s="127" t="s">
        <v>849</v>
      </c>
      <c r="C110" s="320">
        <v>34004</v>
      </c>
      <c r="D110" s="71">
        <f>(OBSAH!$J$6/100)*Tabulka201079845563[[#This Row],[Sloupec3]]</f>
        <v>0</v>
      </c>
      <c r="E110" s="57">
        <f>Tabulka201079845563[[#This Row],[Sloupec3]]-Tabulka201079845563[[#This Row],[Sloupec4]]</f>
        <v>34004</v>
      </c>
      <c r="F110" s="3"/>
      <c r="G110" s="3"/>
      <c r="H110" s="3"/>
      <c r="I110" s="3"/>
      <c r="J110" s="3"/>
      <c r="K110" s="3"/>
      <c r="L110" s="3"/>
      <c r="M110" s="3"/>
    </row>
    <row r="111" spans="1:13" ht="14.25" customHeight="1" x14ac:dyDescent="0.4">
      <c r="A111" s="100">
        <v>4004005236</v>
      </c>
      <c r="B111" s="127" t="s">
        <v>850</v>
      </c>
      <c r="C111" s="320">
        <v>34314</v>
      </c>
      <c r="D111" s="71">
        <f>(OBSAH!$J$6/100)*Tabulka201079845563[[#This Row],[Sloupec3]]</f>
        <v>0</v>
      </c>
      <c r="E111" s="57">
        <f>Tabulka201079845563[[#This Row],[Sloupec3]]-Tabulka201079845563[[#This Row],[Sloupec4]]</f>
        <v>34314</v>
      </c>
      <c r="F111" s="3"/>
      <c r="G111" s="3"/>
      <c r="H111" s="3"/>
      <c r="I111" s="3"/>
      <c r="J111" s="3"/>
      <c r="K111" s="3"/>
      <c r="L111" s="3"/>
      <c r="M111" s="3"/>
    </row>
    <row r="112" spans="1:13" ht="14.25" customHeight="1" x14ac:dyDescent="0.4">
      <c r="A112" s="100">
        <v>4004005238</v>
      </c>
      <c r="B112" s="127" t="s">
        <v>851</v>
      </c>
      <c r="C112" s="320">
        <v>37891</v>
      </c>
      <c r="D112" s="71">
        <f>(OBSAH!$J$6/100)*Tabulka201079845563[[#This Row],[Sloupec3]]</f>
        <v>0</v>
      </c>
      <c r="E112" s="57">
        <f>Tabulka201079845563[[#This Row],[Sloupec3]]-Tabulka201079845563[[#This Row],[Sloupec4]]</f>
        <v>37891</v>
      </c>
      <c r="F112" s="3"/>
      <c r="G112" s="3"/>
      <c r="H112" s="3"/>
      <c r="I112" s="3"/>
      <c r="J112" s="3"/>
      <c r="K112" s="3"/>
      <c r="L112" s="3"/>
      <c r="M112" s="3"/>
    </row>
    <row r="113" spans="1:14" ht="14.25" customHeight="1" x14ac:dyDescent="0.4">
      <c r="A113" s="100">
        <v>4004005240</v>
      </c>
      <c r="B113" s="127" t="s">
        <v>852</v>
      </c>
      <c r="C113" s="320">
        <v>38206</v>
      </c>
      <c r="D113" s="71">
        <f>(OBSAH!$J$6/100)*Tabulka201079845563[[#This Row],[Sloupec3]]</f>
        <v>0</v>
      </c>
      <c r="E113" s="57">
        <f>Tabulka201079845563[[#This Row],[Sloupec3]]-Tabulka201079845563[[#This Row],[Sloupec4]]</f>
        <v>38206</v>
      </c>
      <c r="F113" s="3"/>
      <c r="G113" s="3"/>
      <c r="H113" s="3"/>
      <c r="I113" s="3"/>
      <c r="J113" s="3"/>
      <c r="K113" s="3"/>
      <c r="L113" s="3"/>
      <c r="M113" s="3"/>
    </row>
    <row r="114" spans="1:14" ht="14.25" customHeight="1" x14ac:dyDescent="0.4">
      <c r="A114" s="100">
        <v>4004005242</v>
      </c>
      <c r="B114" s="127" t="s">
        <v>853</v>
      </c>
      <c r="C114" s="320">
        <v>38352</v>
      </c>
      <c r="D114" s="71">
        <f>(OBSAH!$J$6/100)*Tabulka201079845563[[#This Row],[Sloupec3]]</f>
        <v>0</v>
      </c>
      <c r="E114" s="57">
        <f>Tabulka201079845563[[#This Row],[Sloupec3]]-Tabulka201079845563[[#This Row],[Sloupec4]]</f>
        <v>38352</v>
      </c>
      <c r="F114" s="3"/>
      <c r="G114" s="3"/>
      <c r="H114" s="3"/>
      <c r="I114" s="3"/>
      <c r="J114" s="3"/>
      <c r="K114" s="3"/>
      <c r="L114" s="3"/>
      <c r="M114" s="3"/>
    </row>
    <row r="115" spans="1:14" ht="14.25" customHeight="1" x14ac:dyDescent="0.4">
      <c r="A115" s="100">
        <v>4004005246</v>
      </c>
      <c r="B115" s="127" t="s">
        <v>854</v>
      </c>
      <c r="C115" s="320">
        <v>38524</v>
      </c>
      <c r="D115" s="71">
        <f>(OBSAH!$J$6/100)*Tabulka201079845563[[#This Row],[Sloupec3]]</f>
        <v>0</v>
      </c>
      <c r="E115" s="57">
        <f>Tabulka201079845563[[#This Row],[Sloupec3]]-Tabulka201079845563[[#This Row],[Sloupec4]]</f>
        <v>38524</v>
      </c>
      <c r="F115" s="3"/>
      <c r="G115" s="3"/>
      <c r="H115" s="3"/>
      <c r="I115" s="3"/>
      <c r="J115" s="3"/>
      <c r="K115" s="3"/>
      <c r="L115" s="3"/>
      <c r="M115" s="3"/>
    </row>
    <row r="116" spans="1:14" ht="14.25" customHeight="1" x14ac:dyDescent="0.4">
      <c r="A116" s="101">
        <v>4004005248</v>
      </c>
      <c r="B116" s="222" t="s">
        <v>855</v>
      </c>
      <c r="C116" s="321">
        <v>38836</v>
      </c>
      <c r="D116" s="68">
        <f>(OBSAH!$J$6/100)*Tabulka201079845563[[#This Row],[Sloupec3]]</f>
        <v>0</v>
      </c>
      <c r="E116" s="58">
        <f>Tabulka201079845563[[#This Row],[Sloupec3]]-Tabulka201079845563[[#This Row],[Sloupec4]]</f>
        <v>38836</v>
      </c>
      <c r="F116" s="3"/>
      <c r="G116" s="3"/>
      <c r="H116" s="3"/>
      <c r="I116" s="3"/>
      <c r="J116" s="3"/>
      <c r="K116" s="3"/>
      <c r="L116" s="3"/>
      <c r="M116" s="3"/>
    </row>
    <row r="117" spans="1:14" ht="15" customHeight="1" x14ac:dyDescent="0.4">
      <c r="A117" s="83"/>
      <c r="B117" s="84"/>
      <c r="C117" s="85"/>
      <c r="D117" s="61"/>
      <c r="E117" s="62"/>
      <c r="F117" s="3"/>
      <c r="G117" s="3"/>
      <c r="H117" s="3"/>
      <c r="I117" s="3"/>
      <c r="J117" s="3"/>
      <c r="K117" s="3"/>
      <c r="L117" s="3"/>
      <c r="M117" s="3"/>
    </row>
    <row r="118" spans="1:14" ht="22.5" customHeight="1" x14ac:dyDescent="0.4">
      <c r="A118" s="466" t="s">
        <v>91</v>
      </c>
      <c r="B118" s="466"/>
      <c r="C118" s="466"/>
      <c r="D118" s="466"/>
      <c r="E118" s="466"/>
      <c r="F118" s="3"/>
      <c r="G118" s="3"/>
      <c r="H118" s="3"/>
      <c r="I118" s="3"/>
      <c r="J118" s="3"/>
      <c r="K118" s="3"/>
      <c r="L118" s="3"/>
      <c r="M118" s="3"/>
    </row>
    <row r="119" spans="1:14" s="44" customFormat="1" ht="22.5" customHeight="1" x14ac:dyDescent="0.3">
      <c r="A119" s="51" t="s">
        <v>56</v>
      </c>
      <c r="B119" s="51" t="s">
        <v>57</v>
      </c>
      <c r="C119" s="52" t="s">
        <v>58</v>
      </c>
      <c r="D119" s="52" t="s">
        <v>59</v>
      </c>
      <c r="E119" s="53" t="s">
        <v>60</v>
      </c>
      <c r="F119" s="42"/>
      <c r="G119" s="42"/>
      <c r="H119" s="42"/>
      <c r="I119" s="42"/>
      <c r="J119" s="42"/>
      <c r="K119" s="42"/>
      <c r="L119" s="42"/>
      <c r="M119" s="42"/>
      <c r="N119" s="1"/>
    </row>
    <row r="120" spans="1:14" ht="14.25" customHeight="1" x14ac:dyDescent="0.4">
      <c r="A120" s="98">
        <v>4004005262</v>
      </c>
      <c r="B120" s="223" t="s">
        <v>856</v>
      </c>
      <c r="C120" s="322">
        <v>16586</v>
      </c>
      <c r="D120" s="69">
        <f>(OBSAH!$J$6/100)*Tabulka20107983855664[[#This Row],[Sloupec3]]</f>
        <v>0</v>
      </c>
      <c r="E120" s="70">
        <f>Tabulka20107983855664[[#This Row],[Sloupec3]]-Tabulka20107983855664[[#This Row],[Sloupec4]]</f>
        <v>16586</v>
      </c>
      <c r="F120" s="3"/>
      <c r="G120" s="3"/>
      <c r="H120" s="3"/>
      <c r="I120" s="3"/>
      <c r="J120" s="3"/>
      <c r="K120" s="3"/>
      <c r="L120" s="3"/>
      <c r="M120" s="3"/>
    </row>
    <row r="121" spans="1:14" ht="14.25" customHeight="1" x14ac:dyDescent="0.4">
      <c r="A121" s="100">
        <v>4004005284</v>
      </c>
      <c r="B121" s="128" t="s">
        <v>857</v>
      </c>
      <c r="C121" s="323">
        <v>16784</v>
      </c>
      <c r="D121" s="71">
        <f>(OBSAH!$J$6/100)*Tabulka20107983855664[[#This Row],[Sloupec3]]</f>
        <v>0</v>
      </c>
      <c r="E121" s="57">
        <f>Tabulka20107983855664[[#This Row],[Sloupec3]]-Tabulka20107983855664[[#This Row],[Sloupec4]]</f>
        <v>16784</v>
      </c>
      <c r="F121" s="3"/>
      <c r="G121" s="3"/>
      <c r="H121" s="3"/>
      <c r="I121" s="3"/>
      <c r="J121" s="3"/>
      <c r="K121" s="3"/>
      <c r="L121" s="3"/>
      <c r="M121" s="3"/>
    </row>
    <row r="122" spans="1:14" ht="14.25" customHeight="1" x14ac:dyDescent="0.4">
      <c r="A122" s="100">
        <v>4004005306</v>
      </c>
      <c r="B122" s="128" t="s">
        <v>858</v>
      </c>
      <c r="C122" s="323">
        <v>17097</v>
      </c>
      <c r="D122" s="71">
        <f>(OBSAH!$J$6/100)*Tabulka20107983855664[[#This Row],[Sloupec3]]</f>
        <v>0</v>
      </c>
      <c r="E122" s="57">
        <f>Tabulka20107983855664[[#This Row],[Sloupec3]]-Tabulka20107983855664[[#This Row],[Sloupec4]]</f>
        <v>17097</v>
      </c>
      <c r="F122" s="3"/>
      <c r="G122" s="3"/>
      <c r="H122" s="3"/>
      <c r="I122" s="3"/>
      <c r="J122" s="3"/>
      <c r="K122" s="3"/>
      <c r="L122" s="3"/>
      <c r="M122" s="3"/>
    </row>
    <row r="123" spans="1:14" ht="14.25" customHeight="1" x14ac:dyDescent="0.4">
      <c r="A123" s="100">
        <v>4004005314</v>
      </c>
      <c r="B123" s="128" t="s">
        <v>859</v>
      </c>
      <c r="C123" s="323">
        <v>17274</v>
      </c>
      <c r="D123" s="71">
        <f>(OBSAH!$J$6/100)*Tabulka20107983855664[[#This Row],[Sloupec3]]</f>
        <v>0</v>
      </c>
      <c r="E123" s="57">
        <f>Tabulka20107983855664[[#This Row],[Sloupec3]]-Tabulka20107983855664[[#This Row],[Sloupec4]]</f>
        <v>17274</v>
      </c>
      <c r="F123" s="3"/>
      <c r="G123" s="3"/>
      <c r="H123" s="3"/>
      <c r="I123" s="3"/>
      <c r="J123" s="3"/>
      <c r="K123" s="3"/>
      <c r="L123" s="3"/>
      <c r="M123" s="3"/>
    </row>
    <row r="124" spans="1:14" ht="14.25" customHeight="1" x14ac:dyDescent="0.4">
      <c r="A124" s="100">
        <v>4004005252</v>
      </c>
      <c r="B124" s="128" t="s">
        <v>860</v>
      </c>
      <c r="C124" s="323">
        <v>17442</v>
      </c>
      <c r="D124" s="71">
        <f>(OBSAH!$J$6/100)*Tabulka20107983855664[[#This Row],[Sloupec3]]</f>
        <v>0</v>
      </c>
      <c r="E124" s="57">
        <f>Tabulka20107983855664[[#This Row],[Sloupec3]]-Tabulka20107983855664[[#This Row],[Sloupec4]]</f>
        <v>17442</v>
      </c>
      <c r="F124" s="3"/>
      <c r="G124" s="3"/>
      <c r="H124" s="3"/>
      <c r="I124" s="3"/>
      <c r="J124" s="3"/>
      <c r="K124" s="3"/>
      <c r="L124" s="3"/>
      <c r="M124" s="3"/>
    </row>
    <row r="125" spans="1:14" ht="14.25" customHeight="1" x14ac:dyDescent="0.4">
      <c r="A125" s="100">
        <v>4004005254</v>
      </c>
      <c r="B125" s="128" t="s">
        <v>861</v>
      </c>
      <c r="C125" s="323">
        <v>17757</v>
      </c>
      <c r="D125" s="71">
        <f>(OBSAH!$J$6/100)*Tabulka20107983855664[[#This Row],[Sloupec3]]</f>
        <v>0</v>
      </c>
      <c r="E125" s="57">
        <f>Tabulka20107983855664[[#This Row],[Sloupec3]]-Tabulka20107983855664[[#This Row],[Sloupec4]]</f>
        <v>17757</v>
      </c>
      <c r="F125" s="3"/>
      <c r="G125" s="3"/>
      <c r="H125" s="3"/>
      <c r="I125" s="3"/>
      <c r="J125" s="3"/>
      <c r="K125" s="3"/>
      <c r="L125" s="3"/>
      <c r="M125" s="3"/>
    </row>
    <row r="126" spans="1:14" ht="14.25" customHeight="1" x14ac:dyDescent="0.4">
      <c r="A126" s="100">
        <v>4004005256</v>
      </c>
      <c r="B126" s="128" t="s">
        <v>862</v>
      </c>
      <c r="C126" s="323">
        <v>21346</v>
      </c>
      <c r="D126" s="71">
        <f>(OBSAH!$J$6/100)*Tabulka20107983855664[[#This Row],[Sloupec3]]</f>
        <v>0</v>
      </c>
      <c r="E126" s="57">
        <f>Tabulka20107983855664[[#This Row],[Sloupec3]]-Tabulka20107983855664[[#This Row],[Sloupec4]]</f>
        <v>21346</v>
      </c>
      <c r="F126" s="3"/>
      <c r="G126" s="3"/>
      <c r="H126" s="3"/>
      <c r="I126" s="3"/>
      <c r="J126" s="3"/>
      <c r="K126" s="3"/>
      <c r="L126" s="3"/>
      <c r="M126" s="3"/>
    </row>
    <row r="127" spans="1:14" ht="14.25" customHeight="1" x14ac:dyDescent="0.4">
      <c r="A127" s="100">
        <v>4004005258</v>
      </c>
      <c r="B127" s="128" t="s">
        <v>863</v>
      </c>
      <c r="C127" s="323">
        <v>21661</v>
      </c>
      <c r="D127" s="71">
        <f>(OBSAH!$J$6/100)*Tabulka20107983855664[[#This Row],[Sloupec3]]</f>
        <v>0</v>
      </c>
      <c r="E127" s="57">
        <f>Tabulka20107983855664[[#This Row],[Sloupec3]]-Tabulka20107983855664[[#This Row],[Sloupec4]]</f>
        <v>21661</v>
      </c>
      <c r="F127" s="3"/>
      <c r="G127" s="3"/>
      <c r="H127" s="3"/>
      <c r="I127" s="3"/>
      <c r="J127" s="3"/>
      <c r="K127" s="3"/>
      <c r="L127" s="3"/>
      <c r="M127" s="3"/>
    </row>
    <row r="128" spans="1:14" ht="14.25" customHeight="1" x14ac:dyDescent="0.4">
      <c r="A128" s="100">
        <v>4004005260</v>
      </c>
      <c r="B128" s="128" t="s">
        <v>864</v>
      </c>
      <c r="C128" s="323">
        <v>21999</v>
      </c>
      <c r="D128" s="71">
        <f>(OBSAH!$J$6/100)*Tabulka20107983855664[[#This Row],[Sloupec3]]</f>
        <v>0</v>
      </c>
      <c r="E128" s="57">
        <f>Tabulka20107983855664[[#This Row],[Sloupec3]]-Tabulka20107983855664[[#This Row],[Sloupec4]]</f>
        <v>21999</v>
      </c>
      <c r="F128" s="3"/>
      <c r="G128" s="3"/>
      <c r="H128" s="3"/>
      <c r="I128" s="3"/>
      <c r="J128" s="3"/>
      <c r="K128" s="3"/>
      <c r="L128" s="3"/>
      <c r="M128" s="3"/>
    </row>
    <row r="129" spans="1:13" ht="14.25" customHeight="1" x14ac:dyDescent="0.4">
      <c r="A129" s="100">
        <v>4004005264</v>
      </c>
      <c r="B129" s="128" t="s">
        <v>865</v>
      </c>
      <c r="C129" s="323">
        <v>22285</v>
      </c>
      <c r="D129" s="71">
        <f>(OBSAH!$J$6/100)*Tabulka20107983855664[[#This Row],[Sloupec3]]</f>
        <v>0</v>
      </c>
      <c r="E129" s="57">
        <f>Tabulka20107983855664[[#This Row],[Sloupec3]]-Tabulka20107983855664[[#This Row],[Sloupec4]]</f>
        <v>22285</v>
      </c>
      <c r="F129" s="3"/>
      <c r="G129" s="3"/>
      <c r="H129" s="3"/>
      <c r="I129" s="3"/>
      <c r="J129" s="3"/>
      <c r="K129" s="3"/>
      <c r="L129" s="3"/>
      <c r="M129" s="3"/>
    </row>
    <row r="130" spans="1:13" ht="14.25" customHeight="1" x14ac:dyDescent="0.4">
      <c r="A130" s="100">
        <v>4004005266</v>
      </c>
      <c r="B130" s="128" t="s">
        <v>866</v>
      </c>
      <c r="C130" s="323">
        <v>22446</v>
      </c>
      <c r="D130" s="71">
        <f>(OBSAH!$J$6/100)*Tabulka20107983855664[[#This Row],[Sloupec3]]</f>
        <v>0</v>
      </c>
      <c r="E130" s="57">
        <f>Tabulka20107983855664[[#This Row],[Sloupec3]]-Tabulka20107983855664[[#This Row],[Sloupec4]]</f>
        <v>22446</v>
      </c>
      <c r="F130" s="3"/>
      <c r="G130" s="3"/>
      <c r="H130" s="3"/>
      <c r="I130" s="3"/>
      <c r="J130" s="3"/>
      <c r="K130" s="3"/>
      <c r="L130" s="3"/>
      <c r="M130" s="3"/>
    </row>
    <row r="131" spans="1:13" ht="14.25" customHeight="1" x14ac:dyDescent="0.4">
      <c r="A131" s="100">
        <v>4004005268</v>
      </c>
      <c r="B131" s="128" t="s">
        <v>867</v>
      </c>
      <c r="C131" s="323">
        <v>25276</v>
      </c>
      <c r="D131" s="71">
        <f>(OBSAH!$J$6/100)*Tabulka20107983855664[[#This Row],[Sloupec3]]</f>
        <v>0</v>
      </c>
      <c r="E131" s="57">
        <f>Tabulka20107983855664[[#This Row],[Sloupec3]]-Tabulka20107983855664[[#This Row],[Sloupec4]]</f>
        <v>25276</v>
      </c>
      <c r="F131" s="3"/>
      <c r="G131" s="3"/>
      <c r="H131" s="3"/>
      <c r="I131" s="3"/>
      <c r="J131" s="3"/>
      <c r="K131" s="3"/>
      <c r="L131" s="3"/>
      <c r="M131" s="3"/>
    </row>
    <row r="132" spans="1:13" ht="14.25" customHeight="1" x14ac:dyDescent="0.4">
      <c r="A132" s="100">
        <v>4004005270</v>
      </c>
      <c r="B132" s="128" t="s">
        <v>868</v>
      </c>
      <c r="C132" s="323">
        <v>25592</v>
      </c>
      <c r="D132" s="71">
        <f>(OBSAH!$J$6/100)*Tabulka20107983855664[[#This Row],[Sloupec3]]</f>
        <v>0</v>
      </c>
      <c r="E132" s="57">
        <f>Tabulka20107983855664[[#This Row],[Sloupec3]]-Tabulka20107983855664[[#This Row],[Sloupec4]]</f>
        <v>25592</v>
      </c>
      <c r="F132" s="3"/>
      <c r="G132" s="3"/>
      <c r="H132" s="3"/>
      <c r="I132" s="3"/>
      <c r="J132" s="3"/>
      <c r="K132" s="3"/>
      <c r="L132" s="3"/>
      <c r="M132" s="3"/>
    </row>
    <row r="133" spans="1:13" ht="14.25" customHeight="1" x14ac:dyDescent="0.4">
      <c r="A133" s="100">
        <v>4004005272</v>
      </c>
      <c r="B133" s="128" t="s">
        <v>869</v>
      </c>
      <c r="C133" s="323">
        <v>25740</v>
      </c>
      <c r="D133" s="71">
        <f>(OBSAH!$J$6/100)*Tabulka20107983855664[[#This Row],[Sloupec3]]</f>
        <v>0</v>
      </c>
      <c r="E133" s="57">
        <f>Tabulka20107983855664[[#This Row],[Sloupec3]]-Tabulka20107983855664[[#This Row],[Sloupec4]]</f>
        <v>25740</v>
      </c>
      <c r="F133" s="3"/>
      <c r="G133" s="3"/>
      <c r="H133" s="3"/>
      <c r="I133" s="3"/>
      <c r="J133" s="3"/>
      <c r="K133" s="3"/>
      <c r="L133" s="3"/>
      <c r="M133" s="3"/>
    </row>
    <row r="134" spans="1:13" ht="14.25" customHeight="1" x14ac:dyDescent="0.4">
      <c r="A134" s="100">
        <v>4004005274</v>
      </c>
      <c r="B134" s="128" t="s">
        <v>870</v>
      </c>
      <c r="C134" s="323">
        <v>25907</v>
      </c>
      <c r="D134" s="71">
        <f>(OBSAH!$J$6/100)*Tabulka20107983855664[[#This Row],[Sloupec3]]</f>
        <v>0</v>
      </c>
      <c r="E134" s="57">
        <f>Tabulka20107983855664[[#This Row],[Sloupec3]]-Tabulka20107983855664[[#This Row],[Sloupec4]]</f>
        <v>25907</v>
      </c>
      <c r="F134" s="3"/>
      <c r="G134" s="3"/>
      <c r="H134" s="3"/>
      <c r="I134" s="3"/>
      <c r="J134" s="3"/>
      <c r="K134" s="3"/>
      <c r="L134" s="3"/>
      <c r="M134" s="3"/>
    </row>
    <row r="135" spans="1:13" ht="14.25" customHeight="1" x14ac:dyDescent="0.4">
      <c r="A135" s="100">
        <v>4004005276</v>
      </c>
      <c r="B135" s="128" t="s">
        <v>871</v>
      </c>
      <c r="C135" s="323">
        <v>26222</v>
      </c>
      <c r="D135" s="71">
        <f>(OBSAH!$J$6/100)*Tabulka20107983855664[[#This Row],[Sloupec3]]</f>
        <v>0</v>
      </c>
      <c r="E135" s="57">
        <f>Tabulka20107983855664[[#This Row],[Sloupec3]]-Tabulka20107983855664[[#This Row],[Sloupec4]]</f>
        <v>26222</v>
      </c>
      <c r="F135" s="3"/>
      <c r="G135" s="3"/>
      <c r="H135" s="3"/>
      <c r="I135" s="3"/>
      <c r="J135" s="3"/>
      <c r="K135" s="3"/>
      <c r="L135" s="3"/>
      <c r="M135" s="3"/>
    </row>
    <row r="136" spans="1:13" ht="14.25" customHeight="1" x14ac:dyDescent="0.4">
      <c r="A136" s="100">
        <v>4004005278</v>
      </c>
      <c r="B136" s="128" t="s">
        <v>872</v>
      </c>
      <c r="C136" s="323">
        <v>29816</v>
      </c>
      <c r="D136" s="71">
        <f>(OBSAH!$J$6/100)*Tabulka20107983855664[[#This Row],[Sloupec3]]</f>
        <v>0</v>
      </c>
      <c r="E136" s="57">
        <f>Tabulka20107983855664[[#This Row],[Sloupec3]]-Tabulka20107983855664[[#This Row],[Sloupec4]]</f>
        <v>29816</v>
      </c>
      <c r="F136" s="3"/>
      <c r="G136" s="3"/>
      <c r="H136" s="3"/>
      <c r="I136" s="3"/>
      <c r="J136" s="3"/>
      <c r="K136" s="3"/>
      <c r="L136" s="3"/>
      <c r="M136" s="3"/>
    </row>
    <row r="137" spans="1:13" ht="14.25" customHeight="1" x14ac:dyDescent="0.4">
      <c r="A137" s="100">
        <v>4004005280</v>
      </c>
      <c r="B137" s="128" t="s">
        <v>873</v>
      </c>
      <c r="C137" s="323">
        <v>30158</v>
      </c>
      <c r="D137" s="71">
        <f>(OBSAH!$J$6/100)*Tabulka20107983855664[[#This Row],[Sloupec3]]</f>
        <v>0</v>
      </c>
      <c r="E137" s="57">
        <f>Tabulka20107983855664[[#This Row],[Sloupec3]]-Tabulka20107983855664[[#This Row],[Sloupec4]]</f>
        <v>30158</v>
      </c>
      <c r="F137" s="3"/>
      <c r="G137" s="3"/>
      <c r="H137" s="3"/>
      <c r="I137" s="3"/>
      <c r="J137" s="3"/>
      <c r="K137" s="3"/>
      <c r="L137" s="3"/>
      <c r="M137" s="3"/>
    </row>
    <row r="138" spans="1:13" ht="14.25" customHeight="1" x14ac:dyDescent="0.4">
      <c r="A138" s="100">
        <v>4004005282</v>
      </c>
      <c r="B138" s="128" t="s">
        <v>874</v>
      </c>
      <c r="C138" s="323">
        <v>30308</v>
      </c>
      <c r="D138" s="71">
        <f>(OBSAH!$J$6/100)*Tabulka20107983855664[[#This Row],[Sloupec3]]</f>
        <v>0</v>
      </c>
      <c r="E138" s="57">
        <f>Tabulka20107983855664[[#This Row],[Sloupec3]]-Tabulka20107983855664[[#This Row],[Sloupec4]]</f>
        <v>30308</v>
      </c>
      <c r="F138" s="3"/>
      <c r="G138" s="3"/>
      <c r="H138" s="3"/>
      <c r="I138" s="3"/>
      <c r="J138" s="3"/>
      <c r="K138" s="3"/>
      <c r="L138" s="3"/>
      <c r="M138" s="3"/>
    </row>
    <row r="139" spans="1:13" ht="14.25" customHeight="1" x14ac:dyDescent="0.4">
      <c r="A139" s="100">
        <v>4004005286</v>
      </c>
      <c r="B139" s="128" t="s">
        <v>875</v>
      </c>
      <c r="C139" s="323">
        <v>30477</v>
      </c>
      <c r="D139" s="71">
        <f>(OBSAH!$J$6/100)*Tabulka20107983855664[[#This Row],[Sloupec3]]</f>
        <v>0</v>
      </c>
      <c r="E139" s="57">
        <f>Tabulka20107983855664[[#This Row],[Sloupec3]]-Tabulka20107983855664[[#This Row],[Sloupec4]]</f>
        <v>30477</v>
      </c>
      <c r="F139" s="3"/>
      <c r="G139" s="3"/>
      <c r="H139" s="3"/>
      <c r="I139" s="3"/>
      <c r="J139" s="3"/>
      <c r="K139" s="3"/>
      <c r="L139" s="3"/>
      <c r="M139" s="3"/>
    </row>
    <row r="140" spans="1:13" ht="14.25" customHeight="1" x14ac:dyDescent="0.4">
      <c r="A140" s="100">
        <v>4004005288</v>
      </c>
      <c r="B140" s="128" t="s">
        <v>876</v>
      </c>
      <c r="C140" s="323">
        <v>30789</v>
      </c>
      <c r="D140" s="71">
        <f>(OBSAH!$J$6/100)*Tabulka20107983855664[[#This Row],[Sloupec3]]</f>
        <v>0</v>
      </c>
      <c r="E140" s="57">
        <f>Tabulka20107983855664[[#This Row],[Sloupec3]]-Tabulka20107983855664[[#This Row],[Sloupec4]]</f>
        <v>30789</v>
      </c>
      <c r="F140" s="3"/>
      <c r="G140" s="3"/>
      <c r="H140" s="3"/>
      <c r="I140" s="3"/>
      <c r="J140" s="3"/>
      <c r="K140" s="3"/>
      <c r="L140" s="3"/>
      <c r="M140" s="3"/>
    </row>
    <row r="141" spans="1:13" ht="14.25" customHeight="1" x14ac:dyDescent="0.4">
      <c r="A141" s="100">
        <v>4004005290</v>
      </c>
      <c r="B141" s="128" t="s">
        <v>877</v>
      </c>
      <c r="C141" s="323">
        <v>33785</v>
      </c>
      <c r="D141" s="71">
        <f>(OBSAH!$J$6/100)*Tabulka20107983855664[[#This Row],[Sloupec3]]</f>
        <v>0</v>
      </c>
      <c r="E141" s="57">
        <f>Tabulka20107983855664[[#This Row],[Sloupec3]]-Tabulka20107983855664[[#This Row],[Sloupec4]]</f>
        <v>33785</v>
      </c>
      <c r="F141" s="3"/>
      <c r="G141" s="3"/>
      <c r="H141" s="3"/>
      <c r="I141" s="3"/>
      <c r="J141" s="3"/>
      <c r="K141" s="3"/>
      <c r="L141" s="3"/>
      <c r="M141" s="3"/>
    </row>
    <row r="142" spans="1:13" ht="14.25" customHeight="1" x14ac:dyDescent="0.4">
      <c r="A142" s="100">
        <v>4004005292</v>
      </c>
      <c r="B142" s="128" t="s">
        <v>878</v>
      </c>
      <c r="C142" s="323">
        <v>34129</v>
      </c>
      <c r="D142" s="71">
        <f>(OBSAH!$J$6/100)*Tabulka20107983855664[[#This Row],[Sloupec3]]</f>
        <v>0</v>
      </c>
      <c r="E142" s="57">
        <f>Tabulka20107983855664[[#This Row],[Sloupec3]]-Tabulka20107983855664[[#This Row],[Sloupec4]]</f>
        <v>34129</v>
      </c>
      <c r="F142" s="3"/>
      <c r="G142" s="3"/>
      <c r="H142" s="3"/>
      <c r="I142" s="3"/>
      <c r="J142" s="3"/>
      <c r="K142" s="3"/>
      <c r="L142" s="3"/>
      <c r="M142" s="3"/>
    </row>
    <row r="143" spans="1:13" ht="14.25" customHeight="1" x14ac:dyDescent="0.4">
      <c r="A143" s="100">
        <v>4004005294</v>
      </c>
      <c r="B143" s="128" t="s">
        <v>879</v>
      </c>
      <c r="C143" s="323">
        <v>34276</v>
      </c>
      <c r="D143" s="71">
        <f>(OBSAH!$J$6/100)*Tabulka20107983855664[[#This Row],[Sloupec3]]</f>
        <v>0</v>
      </c>
      <c r="E143" s="57">
        <f>Tabulka20107983855664[[#This Row],[Sloupec3]]-Tabulka20107983855664[[#This Row],[Sloupec4]]</f>
        <v>34276</v>
      </c>
      <c r="F143" s="3"/>
      <c r="G143" s="3"/>
      <c r="H143" s="3"/>
      <c r="I143" s="3"/>
      <c r="J143" s="3"/>
      <c r="K143" s="3"/>
      <c r="L143" s="3"/>
      <c r="M143" s="3"/>
    </row>
    <row r="144" spans="1:13" ht="14.25" customHeight="1" x14ac:dyDescent="0.4">
      <c r="A144" s="100">
        <v>4004005296</v>
      </c>
      <c r="B144" s="128" t="s">
        <v>880</v>
      </c>
      <c r="C144" s="323">
        <v>34444</v>
      </c>
      <c r="D144" s="71">
        <f>(OBSAH!$J$6/100)*Tabulka20107983855664[[#This Row],[Sloupec3]]</f>
        <v>0</v>
      </c>
      <c r="E144" s="57">
        <f>Tabulka20107983855664[[#This Row],[Sloupec3]]-Tabulka20107983855664[[#This Row],[Sloupec4]]</f>
        <v>34444</v>
      </c>
      <c r="F144" s="3"/>
      <c r="G144" s="3"/>
      <c r="H144" s="3"/>
      <c r="I144" s="3"/>
      <c r="J144" s="3"/>
      <c r="K144" s="3"/>
      <c r="L144" s="3"/>
      <c r="M144" s="3"/>
    </row>
    <row r="145" spans="1:13" ht="14.25" customHeight="1" x14ac:dyDescent="0.4">
      <c r="A145" s="100">
        <v>4004005298</v>
      </c>
      <c r="B145" s="128" t="s">
        <v>881</v>
      </c>
      <c r="C145" s="323">
        <v>34758</v>
      </c>
      <c r="D145" s="71">
        <f>(OBSAH!$J$6/100)*Tabulka20107983855664[[#This Row],[Sloupec3]]</f>
        <v>0</v>
      </c>
      <c r="E145" s="57">
        <f>Tabulka20107983855664[[#This Row],[Sloupec3]]-Tabulka20107983855664[[#This Row],[Sloupec4]]</f>
        <v>34758</v>
      </c>
      <c r="F145" s="3"/>
      <c r="G145" s="3"/>
      <c r="H145" s="3"/>
      <c r="I145" s="3"/>
      <c r="J145" s="3"/>
      <c r="K145" s="3"/>
      <c r="L145" s="3"/>
      <c r="M145" s="3"/>
    </row>
    <row r="146" spans="1:13" ht="14.25" customHeight="1" x14ac:dyDescent="0.4">
      <c r="A146" s="100">
        <v>4004005300</v>
      </c>
      <c r="B146" s="128" t="s">
        <v>882</v>
      </c>
      <c r="C146" s="323">
        <v>38332</v>
      </c>
      <c r="D146" s="71">
        <f>(OBSAH!$J$6/100)*Tabulka20107983855664[[#This Row],[Sloupec3]]</f>
        <v>0</v>
      </c>
      <c r="E146" s="57">
        <f>Tabulka20107983855664[[#This Row],[Sloupec3]]-Tabulka20107983855664[[#This Row],[Sloupec4]]</f>
        <v>38332</v>
      </c>
      <c r="F146" s="3"/>
      <c r="G146" s="3"/>
      <c r="H146" s="3"/>
      <c r="I146" s="3"/>
      <c r="J146" s="3"/>
      <c r="K146" s="3"/>
      <c r="L146" s="3"/>
      <c r="M146" s="3"/>
    </row>
    <row r="147" spans="1:13" ht="14.25" customHeight="1" x14ac:dyDescent="0.4">
      <c r="A147" s="100">
        <v>4004005302</v>
      </c>
      <c r="B147" s="128" t="s">
        <v>883</v>
      </c>
      <c r="C147" s="323">
        <v>38646</v>
      </c>
      <c r="D147" s="71">
        <f>(OBSAH!$J$6/100)*Tabulka20107983855664[[#This Row],[Sloupec3]]</f>
        <v>0</v>
      </c>
      <c r="E147" s="57">
        <f>Tabulka20107983855664[[#This Row],[Sloupec3]]-Tabulka20107983855664[[#This Row],[Sloupec4]]</f>
        <v>38646</v>
      </c>
      <c r="F147" s="3"/>
      <c r="G147" s="3"/>
      <c r="H147" s="3"/>
      <c r="I147" s="3"/>
      <c r="J147" s="3"/>
      <c r="K147" s="3"/>
      <c r="L147" s="3"/>
      <c r="M147" s="3"/>
    </row>
    <row r="148" spans="1:13" ht="14.25" customHeight="1" x14ac:dyDescent="0.4">
      <c r="A148" s="100">
        <v>4004005304</v>
      </c>
      <c r="B148" s="128" t="s">
        <v>884</v>
      </c>
      <c r="C148" s="323">
        <v>38796</v>
      </c>
      <c r="D148" s="71">
        <f>(OBSAH!$J$6/100)*Tabulka20107983855664[[#This Row],[Sloupec3]]</f>
        <v>0</v>
      </c>
      <c r="E148" s="57">
        <f>Tabulka20107983855664[[#This Row],[Sloupec3]]-Tabulka20107983855664[[#This Row],[Sloupec4]]</f>
        <v>38796</v>
      </c>
      <c r="F148" s="3"/>
      <c r="G148" s="3"/>
      <c r="H148" s="3"/>
      <c r="I148" s="3"/>
      <c r="J148" s="3"/>
      <c r="K148" s="3"/>
      <c r="L148" s="3"/>
      <c r="M148" s="3"/>
    </row>
    <row r="149" spans="1:13" ht="14.25" customHeight="1" x14ac:dyDescent="0.4">
      <c r="A149" s="100">
        <v>4004005308</v>
      </c>
      <c r="B149" s="128" t="s">
        <v>885</v>
      </c>
      <c r="C149" s="323">
        <v>38964</v>
      </c>
      <c r="D149" s="71">
        <f>(OBSAH!$J$6/100)*Tabulka20107983855664[[#This Row],[Sloupec3]]</f>
        <v>0</v>
      </c>
      <c r="E149" s="57">
        <f>Tabulka20107983855664[[#This Row],[Sloupec3]]-Tabulka20107983855664[[#This Row],[Sloupec4]]</f>
        <v>38964</v>
      </c>
      <c r="F149" s="3"/>
      <c r="G149" s="3"/>
      <c r="H149" s="3"/>
      <c r="I149" s="3"/>
      <c r="J149" s="3"/>
      <c r="K149" s="3"/>
      <c r="L149" s="3"/>
      <c r="M149" s="3"/>
    </row>
    <row r="150" spans="1:13" ht="14.25" customHeight="1" x14ac:dyDescent="0.4">
      <c r="A150" s="101">
        <v>4004005310</v>
      </c>
      <c r="B150" s="224" t="s">
        <v>886</v>
      </c>
      <c r="C150" s="324">
        <v>39277</v>
      </c>
      <c r="D150" s="68">
        <f>(OBSAH!$J$6/100)*Tabulka20107983855664[[#This Row],[Sloupec3]]</f>
        <v>0</v>
      </c>
      <c r="E150" s="58">
        <f>Tabulka20107983855664[[#This Row],[Sloupec3]]-Tabulka20107983855664[[#This Row],[Sloupec4]]</f>
        <v>39277</v>
      </c>
      <c r="F150" s="3"/>
      <c r="G150" s="3"/>
      <c r="H150" s="3"/>
      <c r="I150" s="3"/>
      <c r="J150" s="3"/>
      <c r="K150" s="3"/>
      <c r="L150" s="3"/>
      <c r="M150" s="3"/>
    </row>
    <row r="151" spans="1:13" ht="15" customHeight="1" x14ac:dyDescent="0.4">
      <c r="A151" s="441" t="s">
        <v>120</v>
      </c>
      <c r="B151" s="441"/>
      <c r="C151" s="441"/>
      <c r="D151" s="441"/>
      <c r="E151" s="441"/>
      <c r="F151" s="3"/>
      <c r="G151" s="3"/>
      <c r="H151" s="3"/>
      <c r="I151" s="3"/>
      <c r="J151" s="3"/>
      <c r="K151" s="3"/>
      <c r="L151" s="3"/>
      <c r="M151" s="3"/>
    </row>
    <row r="152" spans="1:13" ht="15" customHeight="1" x14ac:dyDescent="0.4">
      <c r="A152" s="38"/>
      <c r="B152" s="38"/>
      <c r="C152" s="38"/>
      <c r="D152" s="3"/>
      <c r="E152" s="3"/>
      <c r="F152" s="3"/>
      <c r="G152" s="3"/>
      <c r="H152" s="3"/>
      <c r="I152" s="3"/>
      <c r="J152" s="3"/>
      <c r="K152" s="3"/>
      <c r="L152" s="3"/>
      <c r="M152" s="3"/>
    </row>
    <row r="153" spans="1:13" x14ac:dyDescent="0.4">
      <c r="A153" s="38"/>
      <c r="B153" s="38"/>
      <c r="C153" s="38"/>
      <c r="D153" s="3"/>
      <c r="E153" s="3"/>
      <c r="F153" s="3"/>
      <c r="G153" s="3"/>
      <c r="H153" s="3"/>
      <c r="I153" s="3"/>
      <c r="J153" s="3"/>
      <c r="K153" s="3"/>
      <c r="L153" s="3"/>
      <c r="M153" s="3"/>
    </row>
    <row r="154" spans="1:13" ht="36" customHeight="1" x14ac:dyDescent="0.4">
      <c r="A154" s="467" t="s">
        <v>152</v>
      </c>
      <c r="B154" s="467"/>
      <c r="C154" s="467"/>
      <c r="D154" s="467"/>
      <c r="E154" s="467"/>
      <c r="F154" s="3"/>
      <c r="G154" s="3"/>
      <c r="H154" s="3"/>
      <c r="I154" s="3"/>
      <c r="J154" s="3"/>
      <c r="K154" s="3"/>
      <c r="L154" s="3"/>
      <c r="M154" s="3"/>
    </row>
    <row r="155" spans="1:13" ht="36" customHeight="1" x14ac:dyDescent="0.4">
      <c r="A155" s="464" t="s">
        <v>442</v>
      </c>
      <c r="B155" s="464"/>
      <c r="C155" s="464"/>
      <c r="D155" s="464"/>
      <c r="E155" s="464"/>
      <c r="F155" s="3"/>
      <c r="G155" s="3"/>
      <c r="H155" s="3"/>
      <c r="I155" s="3"/>
      <c r="J155" s="3"/>
      <c r="K155" s="3"/>
      <c r="L155" s="3"/>
      <c r="M155" s="3"/>
    </row>
    <row r="156" spans="1:13" ht="22.5" customHeight="1" x14ac:dyDescent="0.4">
      <c r="A156" s="465" t="s">
        <v>83</v>
      </c>
      <c r="B156" s="465"/>
      <c r="C156" s="465"/>
      <c r="D156" s="465"/>
      <c r="E156" s="465"/>
      <c r="F156" s="3"/>
      <c r="G156" s="3"/>
      <c r="H156" s="3"/>
      <c r="I156" s="3"/>
      <c r="J156" s="3"/>
      <c r="K156" s="3"/>
      <c r="L156" s="3"/>
      <c r="M156" s="3"/>
    </row>
    <row r="157" spans="1:13" ht="22.5" customHeight="1" x14ac:dyDescent="0.4">
      <c r="A157" s="51" t="s">
        <v>56</v>
      </c>
      <c r="B157" s="51" t="s">
        <v>57</v>
      </c>
      <c r="C157" s="52" t="s">
        <v>58</v>
      </c>
      <c r="D157" s="52" t="s">
        <v>59</v>
      </c>
      <c r="E157" s="53" t="s">
        <v>60</v>
      </c>
      <c r="F157" s="3"/>
      <c r="G157" s="3"/>
      <c r="H157" s="3"/>
      <c r="I157" s="3"/>
      <c r="J157" s="3"/>
      <c r="K157" s="3"/>
      <c r="L157" s="3"/>
      <c r="M157" s="3"/>
    </row>
    <row r="158" spans="1:13" ht="14.25" customHeight="1" x14ac:dyDescent="0.4">
      <c r="A158" s="225">
        <v>4004005447</v>
      </c>
      <c r="B158" s="226" t="s">
        <v>887</v>
      </c>
      <c r="C158" s="325">
        <v>16690</v>
      </c>
      <c r="D158" s="69">
        <f>(OBSAH!$J$6/100)*Tabulka20107984556310[[#This Row],[Sloupec3]]</f>
        <v>0</v>
      </c>
      <c r="E158" s="70">
        <f>Tabulka20107984556310[[#This Row],[Sloupec3]]-Tabulka20107984556310[[#This Row],[Sloupec4]]</f>
        <v>16690</v>
      </c>
      <c r="F158" s="3"/>
      <c r="G158" s="3"/>
      <c r="H158" s="3"/>
      <c r="I158" s="3"/>
      <c r="J158" s="3"/>
      <c r="K158" s="3"/>
      <c r="L158" s="3"/>
      <c r="M158" s="3"/>
    </row>
    <row r="159" spans="1:13" ht="14.25" customHeight="1" x14ac:dyDescent="0.4">
      <c r="A159" s="227">
        <v>4004005458</v>
      </c>
      <c r="B159" s="129" t="s">
        <v>888</v>
      </c>
      <c r="C159" s="326">
        <v>16886</v>
      </c>
      <c r="D159" s="71">
        <f>(OBSAH!$J$6/100)*Tabulka20107984556310[[#This Row],[Sloupec3]]</f>
        <v>0</v>
      </c>
      <c r="E159" s="57">
        <f>Tabulka20107984556310[[#This Row],[Sloupec3]]-Tabulka20107984556310[[#This Row],[Sloupec4]]</f>
        <v>16886</v>
      </c>
      <c r="F159" s="3"/>
      <c r="G159" s="3"/>
      <c r="H159" s="3"/>
      <c r="I159" s="3"/>
      <c r="J159" s="3"/>
      <c r="K159" s="3"/>
      <c r="L159" s="3"/>
      <c r="M159" s="3"/>
    </row>
    <row r="160" spans="1:13" ht="14.25" customHeight="1" x14ac:dyDescent="0.4">
      <c r="A160" s="227">
        <v>4004005469</v>
      </c>
      <c r="B160" s="129" t="s">
        <v>889</v>
      </c>
      <c r="C160" s="326">
        <v>17199</v>
      </c>
      <c r="D160" s="71">
        <f>(OBSAH!$J$6/100)*Tabulka20107984556310[[#This Row],[Sloupec3]]</f>
        <v>0</v>
      </c>
      <c r="E160" s="57">
        <f>Tabulka20107984556310[[#This Row],[Sloupec3]]-Tabulka20107984556310[[#This Row],[Sloupec4]]</f>
        <v>17199</v>
      </c>
      <c r="F160" s="3"/>
      <c r="G160" s="3"/>
      <c r="H160" s="3"/>
      <c r="I160" s="3"/>
      <c r="J160" s="3"/>
      <c r="K160" s="3"/>
      <c r="L160" s="3"/>
      <c r="M160" s="3"/>
    </row>
    <row r="161" spans="1:13" ht="14.25" customHeight="1" x14ac:dyDescent="0.4">
      <c r="A161" s="227">
        <v>4004005593</v>
      </c>
      <c r="B161" s="129" t="s">
        <v>890</v>
      </c>
      <c r="C161" s="326">
        <v>17377</v>
      </c>
      <c r="D161" s="71">
        <f>(OBSAH!$J$6/100)*Tabulka20107984556310[[#This Row],[Sloupec3]]</f>
        <v>0</v>
      </c>
      <c r="E161" s="57">
        <f>Tabulka20107984556310[[#This Row],[Sloupec3]]-Tabulka20107984556310[[#This Row],[Sloupec4]]</f>
        <v>17377</v>
      </c>
      <c r="F161" s="3"/>
      <c r="G161" s="3"/>
      <c r="H161" s="3"/>
      <c r="I161" s="3"/>
      <c r="J161" s="3"/>
      <c r="K161" s="3"/>
      <c r="L161" s="3"/>
      <c r="M161" s="3"/>
    </row>
    <row r="162" spans="1:13" ht="14.25" customHeight="1" x14ac:dyDescent="0.4">
      <c r="A162" s="227">
        <v>4004005442</v>
      </c>
      <c r="B162" s="129" t="s">
        <v>891</v>
      </c>
      <c r="C162" s="326">
        <v>17545</v>
      </c>
      <c r="D162" s="71">
        <f>(OBSAH!$J$6/100)*Tabulka20107984556310[[#This Row],[Sloupec3]]</f>
        <v>0</v>
      </c>
      <c r="E162" s="57">
        <f>Tabulka20107984556310[[#This Row],[Sloupec3]]-Tabulka20107984556310[[#This Row],[Sloupec4]]</f>
        <v>17545</v>
      </c>
      <c r="F162" s="3"/>
      <c r="G162" s="3"/>
      <c r="H162" s="3"/>
      <c r="I162" s="3"/>
      <c r="J162" s="3"/>
      <c r="K162" s="3"/>
      <c r="L162" s="3"/>
      <c r="M162" s="3"/>
    </row>
    <row r="163" spans="1:13" ht="14.25" customHeight="1" x14ac:dyDescent="0.4">
      <c r="A163" s="227">
        <v>4004005443</v>
      </c>
      <c r="B163" s="129" t="s">
        <v>892</v>
      </c>
      <c r="C163" s="326">
        <v>17860</v>
      </c>
      <c r="D163" s="71">
        <f>(OBSAH!$J$6/100)*Tabulka20107984556310[[#This Row],[Sloupec3]]</f>
        <v>0</v>
      </c>
      <c r="E163" s="57">
        <f>Tabulka20107984556310[[#This Row],[Sloupec3]]-Tabulka20107984556310[[#This Row],[Sloupec4]]</f>
        <v>17860</v>
      </c>
      <c r="F163" s="3"/>
      <c r="G163" s="3"/>
      <c r="H163" s="3"/>
      <c r="I163" s="3"/>
      <c r="J163" s="3"/>
      <c r="K163" s="3"/>
      <c r="L163" s="3"/>
      <c r="M163" s="3"/>
    </row>
    <row r="164" spans="1:13" ht="14.25" customHeight="1" x14ac:dyDescent="0.4">
      <c r="A164" s="227">
        <v>4004005444</v>
      </c>
      <c r="B164" s="129" t="s">
        <v>893</v>
      </c>
      <c r="C164" s="326">
        <v>21448</v>
      </c>
      <c r="D164" s="71">
        <f>(OBSAH!$J$6/100)*Tabulka20107984556310[[#This Row],[Sloupec3]]</f>
        <v>0</v>
      </c>
      <c r="E164" s="57">
        <f>Tabulka20107984556310[[#This Row],[Sloupec3]]-Tabulka20107984556310[[#This Row],[Sloupec4]]</f>
        <v>21448</v>
      </c>
      <c r="F164" s="3"/>
      <c r="G164" s="3"/>
      <c r="H164" s="3"/>
      <c r="I164" s="3"/>
      <c r="J164" s="3"/>
      <c r="K164" s="3"/>
      <c r="L164" s="3"/>
      <c r="M164" s="3"/>
    </row>
    <row r="165" spans="1:13" ht="14.25" customHeight="1" x14ac:dyDescent="0.4">
      <c r="A165" s="227">
        <v>4004005445</v>
      </c>
      <c r="B165" s="129" t="s">
        <v>894</v>
      </c>
      <c r="C165" s="326">
        <v>21764</v>
      </c>
      <c r="D165" s="71">
        <f>(OBSAH!$J$6/100)*Tabulka20107984556310[[#This Row],[Sloupec3]]</f>
        <v>0</v>
      </c>
      <c r="E165" s="57">
        <f>Tabulka20107984556310[[#This Row],[Sloupec3]]-Tabulka20107984556310[[#This Row],[Sloupec4]]</f>
        <v>21764</v>
      </c>
      <c r="F165" s="3"/>
      <c r="G165" s="3"/>
      <c r="H165" s="3"/>
      <c r="I165" s="3"/>
      <c r="J165" s="3"/>
      <c r="K165" s="3"/>
      <c r="L165" s="3"/>
      <c r="M165" s="3"/>
    </row>
    <row r="166" spans="1:13" ht="14.25" customHeight="1" x14ac:dyDescent="0.4">
      <c r="A166" s="227">
        <v>4004005446</v>
      </c>
      <c r="B166" s="129" t="s">
        <v>895</v>
      </c>
      <c r="C166" s="326">
        <v>22101</v>
      </c>
      <c r="D166" s="71">
        <f>(OBSAH!$J$6/100)*Tabulka20107984556310[[#This Row],[Sloupec3]]</f>
        <v>0</v>
      </c>
      <c r="E166" s="57">
        <f>Tabulka20107984556310[[#This Row],[Sloupec3]]-Tabulka20107984556310[[#This Row],[Sloupec4]]</f>
        <v>22101</v>
      </c>
      <c r="F166" s="3"/>
      <c r="G166" s="3"/>
      <c r="H166" s="3"/>
      <c r="I166" s="3"/>
      <c r="J166" s="3"/>
      <c r="K166" s="3"/>
      <c r="L166" s="3"/>
      <c r="M166" s="3"/>
    </row>
    <row r="167" spans="1:13" ht="14.25" customHeight="1" x14ac:dyDescent="0.4">
      <c r="A167" s="227">
        <v>4004005448</v>
      </c>
      <c r="B167" s="129" t="s">
        <v>896</v>
      </c>
      <c r="C167" s="326">
        <v>22385</v>
      </c>
      <c r="D167" s="71">
        <f>(OBSAH!$J$6/100)*Tabulka20107984556310[[#This Row],[Sloupec3]]</f>
        <v>0</v>
      </c>
      <c r="E167" s="57">
        <f>Tabulka20107984556310[[#This Row],[Sloupec3]]-Tabulka20107984556310[[#This Row],[Sloupec4]]</f>
        <v>22385</v>
      </c>
      <c r="F167" s="3"/>
      <c r="G167" s="3"/>
      <c r="H167" s="3"/>
      <c r="I167" s="3"/>
      <c r="J167" s="3"/>
      <c r="K167" s="3"/>
      <c r="L167" s="3"/>
      <c r="M167" s="3"/>
    </row>
    <row r="168" spans="1:13" ht="14.25" customHeight="1" x14ac:dyDescent="0.4">
      <c r="A168" s="227">
        <v>4004005449</v>
      </c>
      <c r="B168" s="129" t="s">
        <v>897</v>
      </c>
      <c r="C168" s="326">
        <v>22548</v>
      </c>
      <c r="D168" s="71">
        <f>(OBSAH!$J$6/100)*Tabulka20107984556310[[#This Row],[Sloupec3]]</f>
        <v>0</v>
      </c>
      <c r="E168" s="57">
        <f>Tabulka20107984556310[[#This Row],[Sloupec3]]-Tabulka20107984556310[[#This Row],[Sloupec4]]</f>
        <v>22548</v>
      </c>
      <c r="F168" s="3"/>
      <c r="G168" s="3"/>
      <c r="H168" s="3"/>
      <c r="I168" s="3"/>
      <c r="J168" s="3"/>
      <c r="K168" s="3"/>
      <c r="L168" s="3"/>
      <c r="M168" s="3"/>
    </row>
    <row r="169" spans="1:13" ht="14.25" customHeight="1" x14ac:dyDescent="0.4">
      <c r="A169" s="227">
        <v>4004005450</v>
      </c>
      <c r="B169" s="129" t="s">
        <v>898</v>
      </c>
      <c r="C169" s="326">
        <v>25381</v>
      </c>
      <c r="D169" s="71">
        <f>(OBSAH!$J$6/100)*Tabulka20107984556310[[#This Row],[Sloupec3]]</f>
        <v>0</v>
      </c>
      <c r="E169" s="57">
        <f>Tabulka20107984556310[[#This Row],[Sloupec3]]-Tabulka20107984556310[[#This Row],[Sloupec4]]</f>
        <v>25381</v>
      </c>
      <c r="F169" s="3"/>
      <c r="G169" s="3"/>
      <c r="H169" s="3"/>
      <c r="I169" s="3"/>
      <c r="J169" s="3"/>
      <c r="K169" s="3"/>
      <c r="L169" s="3"/>
      <c r="M169" s="3"/>
    </row>
    <row r="170" spans="1:13" ht="14.25" customHeight="1" x14ac:dyDescent="0.4">
      <c r="A170" s="227">
        <v>4004005451</v>
      </c>
      <c r="B170" s="129" t="s">
        <v>899</v>
      </c>
      <c r="C170" s="326">
        <v>25694</v>
      </c>
      <c r="D170" s="71">
        <f>(OBSAH!$J$6/100)*Tabulka20107984556310[[#This Row],[Sloupec3]]</f>
        <v>0</v>
      </c>
      <c r="E170" s="57">
        <f>Tabulka20107984556310[[#This Row],[Sloupec3]]-Tabulka20107984556310[[#This Row],[Sloupec4]]</f>
        <v>25694</v>
      </c>
      <c r="F170" s="3"/>
      <c r="G170" s="3"/>
      <c r="H170" s="3"/>
      <c r="I170" s="3"/>
      <c r="J170" s="3"/>
      <c r="K170" s="3"/>
      <c r="L170" s="3"/>
      <c r="M170" s="3"/>
    </row>
    <row r="171" spans="1:13" ht="14.25" customHeight="1" x14ac:dyDescent="0.4">
      <c r="A171" s="227">
        <v>4004005452</v>
      </c>
      <c r="B171" s="129" t="s">
        <v>900</v>
      </c>
      <c r="C171" s="326">
        <v>25843</v>
      </c>
      <c r="D171" s="71">
        <f>(OBSAH!$J$6/100)*Tabulka20107984556310[[#This Row],[Sloupec3]]</f>
        <v>0</v>
      </c>
      <c r="E171" s="57">
        <f>Tabulka20107984556310[[#This Row],[Sloupec3]]-Tabulka20107984556310[[#This Row],[Sloupec4]]</f>
        <v>25843</v>
      </c>
      <c r="F171" s="3"/>
      <c r="G171" s="3"/>
      <c r="H171" s="3"/>
      <c r="I171" s="3"/>
      <c r="J171" s="3"/>
      <c r="K171" s="3"/>
      <c r="L171" s="3"/>
      <c r="M171" s="3"/>
    </row>
    <row r="172" spans="1:13" ht="14.25" customHeight="1" x14ac:dyDescent="0.4">
      <c r="A172" s="227">
        <v>4004005453</v>
      </c>
      <c r="B172" s="129" t="s">
        <v>901</v>
      </c>
      <c r="C172" s="326">
        <v>26010</v>
      </c>
      <c r="D172" s="71">
        <f>(OBSAH!$J$6/100)*Tabulka20107984556310[[#This Row],[Sloupec3]]</f>
        <v>0</v>
      </c>
      <c r="E172" s="57">
        <f>Tabulka20107984556310[[#This Row],[Sloupec3]]-Tabulka20107984556310[[#This Row],[Sloupec4]]</f>
        <v>26010</v>
      </c>
      <c r="F172" s="3"/>
      <c r="G172" s="3"/>
      <c r="H172" s="3"/>
      <c r="I172" s="3"/>
      <c r="J172" s="3"/>
      <c r="K172" s="3"/>
      <c r="L172" s="3"/>
      <c r="M172" s="3"/>
    </row>
    <row r="173" spans="1:13" ht="14.25" customHeight="1" x14ac:dyDescent="0.4">
      <c r="A173" s="227">
        <v>4004005454</v>
      </c>
      <c r="B173" s="129" t="s">
        <v>902</v>
      </c>
      <c r="C173" s="326">
        <v>26325</v>
      </c>
      <c r="D173" s="71">
        <f>(OBSAH!$J$6/100)*Tabulka20107984556310[[#This Row],[Sloupec3]]</f>
        <v>0</v>
      </c>
      <c r="E173" s="57">
        <f>Tabulka20107984556310[[#This Row],[Sloupec3]]-Tabulka20107984556310[[#This Row],[Sloupec4]]</f>
        <v>26325</v>
      </c>
      <c r="F173" s="3"/>
      <c r="G173" s="3"/>
      <c r="H173" s="3"/>
      <c r="I173" s="3"/>
      <c r="J173" s="3"/>
      <c r="K173" s="3"/>
      <c r="L173" s="3"/>
      <c r="M173" s="3"/>
    </row>
    <row r="174" spans="1:13" ht="14.25" customHeight="1" x14ac:dyDescent="0.4">
      <c r="A174" s="227">
        <v>4004005455</v>
      </c>
      <c r="B174" s="129" t="s">
        <v>903</v>
      </c>
      <c r="C174" s="326">
        <v>29918</v>
      </c>
      <c r="D174" s="71">
        <f>(OBSAH!$J$6/100)*Tabulka20107984556310[[#This Row],[Sloupec3]]</f>
        <v>0</v>
      </c>
      <c r="E174" s="57">
        <f>Tabulka20107984556310[[#This Row],[Sloupec3]]-Tabulka20107984556310[[#This Row],[Sloupec4]]</f>
        <v>29918</v>
      </c>
      <c r="F174" s="3"/>
      <c r="G174" s="3"/>
      <c r="H174" s="3"/>
      <c r="I174" s="3"/>
      <c r="J174" s="3"/>
      <c r="K174" s="3"/>
      <c r="L174" s="3"/>
      <c r="M174" s="3"/>
    </row>
    <row r="175" spans="1:13" ht="14.25" customHeight="1" x14ac:dyDescent="0.4">
      <c r="A175" s="227">
        <v>4004005456</v>
      </c>
      <c r="B175" s="129" t="s">
        <v>904</v>
      </c>
      <c r="C175" s="326">
        <v>30263</v>
      </c>
      <c r="D175" s="71">
        <f>(OBSAH!$J$6/100)*Tabulka20107984556310[[#This Row],[Sloupec3]]</f>
        <v>0</v>
      </c>
      <c r="E175" s="57">
        <f>Tabulka20107984556310[[#This Row],[Sloupec3]]-Tabulka20107984556310[[#This Row],[Sloupec4]]</f>
        <v>30263</v>
      </c>
      <c r="F175" s="3"/>
      <c r="G175" s="3"/>
      <c r="H175" s="3"/>
      <c r="I175" s="3"/>
      <c r="J175" s="3"/>
      <c r="K175" s="3"/>
      <c r="L175" s="3"/>
      <c r="M175" s="3"/>
    </row>
    <row r="176" spans="1:13" ht="14.25" customHeight="1" x14ac:dyDescent="0.4">
      <c r="A176" s="227">
        <v>4004005457</v>
      </c>
      <c r="B176" s="129" t="s">
        <v>905</v>
      </c>
      <c r="C176" s="326">
        <v>30410</v>
      </c>
      <c r="D176" s="71">
        <f>(OBSAH!$J$6/100)*Tabulka20107984556310[[#This Row],[Sloupec3]]</f>
        <v>0</v>
      </c>
      <c r="E176" s="57">
        <f>Tabulka20107984556310[[#This Row],[Sloupec3]]-Tabulka20107984556310[[#This Row],[Sloupec4]]</f>
        <v>30410</v>
      </c>
      <c r="F176" s="3"/>
      <c r="G176" s="3"/>
      <c r="H176" s="3"/>
      <c r="I176" s="3"/>
      <c r="J176" s="3"/>
      <c r="K176" s="3"/>
      <c r="L176" s="3"/>
      <c r="M176" s="3"/>
    </row>
    <row r="177" spans="1:13" ht="14.25" customHeight="1" x14ac:dyDescent="0.4">
      <c r="A177" s="227">
        <v>4004005459</v>
      </c>
      <c r="B177" s="129" t="s">
        <v>906</v>
      </c>
      <c r="C177" s="326">
        <v>30580</v>
      </c>
      <c r="D177" s="71">
        <f>(OBSAH!$J$6/100)*Tabulka20107984556310[[#This Row],[Sloupec3]]</f>
        <v>0</v>
      </c>
      <c r="E177" s="57">
        <f>Tabulka20107984556310[[#This Row],[Sloupec3]]-Tabulka20107984556310[[#This Row],[Sloupec4]]</f>
        <v>30580</v>
      </c>
      <c r="F177" s="3"/>
      <c r="G177" s="3"/>
      <c r="H177" s="3"/>
      <c r="I177" s="3"/>
      <c r="J177" s="3"/>
      <c r="K177" s="3"/>
      <c r="L177" s="3"/>
      <c r="M177" s="3"/>
    </row>
    <row r="178" spans="1:13" ht="14.25" customHeight="1" x14ac:dyDescent="0.4">
      <c r="A178" s="227">
        <v>4004005460</v>
      </c>
      <c r="B178" s="129" t="s">
        <v>907</v>
      </c>
      <c r="C178" s="326">
        <v>30891</v>
      </c>
      <c r="D178" s="71">
        <f>(OBSAH!$J$6/100)*Tabulka20107984556310[[#This Row],[Sloupec3]]</f>
        <v>0</v>
      </c>
      <c r="E178" s="57">
        <f>Tabulka20107984556310[[#This Row],[Sloupec3]]-Tabulka20107984556310[[#This Row],[Sloupec4]]</f>
        <v>30891</v>
      </c>
      <c r="F178" s="3"/>
      <c r="G178" s="3"/>
      <c r="H178" s="3"/>
      <c r="I178" s="3"/>
      <c r="J178" s="3"/>
      <c r="K178" s="3"/>
      <c r="L178" s="3"/>
      <c r="M178" s="3"/>
    </row>
    <row r="179" spans="1:13" ht="14.25" customHeight="1" x14ac:dyDescent="0.4">
      <c r="A179" s="227">
        <v>4004005461</v>
      </c>
      <c r="B179" s="129" t="s">
        <v>908</v>
      </c>
      <c r="C179" s="326">
        <v>33888</v>
      </c>
      <c r="D179" s="71">
        <f>(OBSAH!$J$6/100)*Tabulka20107984556310[[#This Row],[Sloupec3]]</f>
        <v>0</v>
      </c>
      <c r="E179" s="57">
        <f>Tabulka20107984556310[[#This Row],[Sloupec3]]-Tabulka20107984556310[[#This Row],[Sloupec4]]</f>
        <v>33888</v>
      </c>
      <c r="F179" s="3"/>
      <c r="G179" s="3"/>
      <c r="H179" s="3"/>
      <c r="I179" s="3"/>
      <c r="J179" s="3"/>
      <c r="K179" s="3"/>
      <c r="L179" s="3"/>
      <c r="M179" s="3"/>
    </row>
    <row r="180" spans="1:13" ht="14.25" customHeight="1" x14ac:dyDescent="0.4">
      <c r="A180" s="227">
        <v>4004005462</v>
      </c>
      <c r="B180" s="129" t="s">
        <v>909</v>
      </c>
      <c r="C180" s="326">
        <v>34230</v>
      </c>
      <c r="D180" s="71">
        <f>(OBSAH!$J$6/100)*Tabulka20107984556310[[#This Row],[Sloupec3]]</f>
        <v>0</v>
      </c>
      <c r="E180" s="57">
        <f>Tabulka20107984556310[[#This Row],[Sloupec3]]-Tabulka20107984556310[[#This Row],[Sloupec4]]</f>
        <v>34230</v>
      </c>
      <c r="F180" s="3"/>
      <c r="G180" s="3"/>
      <c r="H180" s="3"/>
      <c r="I180" s="3"/>
      <c r="J180" s="3"/>
      <c r="K180" s="3"/>
      <c r="L180" s="3"/>
      <c r="M180" s="3"/>
    </row>
    <row r="181" spans="1:13" ht="14.25" customHeight="1" x14ac:dyDescent="0.4">
      <c r="A181" s="227">
        <v>4004005463</v>
      </c>
      <c r="B181" s="129" t="s">
        <v>910</v>
      </c>
      <c r="C181" s="326">
        <v>34381</v>
      </c>
      <c r="D181" s="71">
        <f>(OBSAH!$J$6/100)*Tabulka20107984556310[[#This Row],[Sloupec3]]</f>
        <v>0</v>
      </c>
      <c r="E181" s="57">
        <f>Tabulka20107984556310[[#This Row],[Sloupec3]]-Tabulka20107984556310[[#This Row],[Sloupec4]]</f>
        <v>34381</v>
      </c>
      <c r="F181" s="3"/>
      <c r="G181" s="3"/>
      <c r="H181" s="3"/>
      <c r="I181" s="3"/>
      <c r="J181" s="3"/>
      <c r="K181" s="3"/>
      <c r="L181" s="3"/>
      <c r="M181" s="3"/>
    </row>
    <row r="182" spans="1:13" ht="14.25" customHeight="1" x14ac:dyDescent="0.4">
      <c r="A182" s="227">
        <v>4004005464</v>
      </c>
      <c r="B182" s="129" t="s">
        <v>911</v>
      </c>
      <c r="C182" s="326">
        <v>34548</v>
      </c>
      <c r="D182" s="71">
        <f>(OBSAH!$J$6/100)*Tabulka20107984556310[[#This Row],[Sloupec3]]</f>
        <v>0</v>
      </c>
      <c r="E182" s="57">
        <f>Tabulka20107984556310[[#This Row],[Sloupec3]]-Tabulka20107984556310[[#This Row],[Sloupec4]]</f>
        <v>34548</v>
      </c>
      <c r="F182" s="3"/>
      <c r="G182" s="3"/>
      <c r="H182" s="3"/>
      <c r="I182" s="3"/>
      <c r="J182" s="3"/>
      <c r="K182" s="3"/>
      <c r="L182" s="3"/>
      <c r="M182" s="3"/>
    </row>
    <row r="183" spans="1:13" ht="14.25" customHeight="1" x14ac:dyDescent="0.4">
      <c r="A183" s="227">
        <v>4004005465</v>
      </c>
      <c r="B183" s="129" t="s">
        <v>912</v>
      </c>
      <c r="C183" s="326">
        <v>34860</v>
      </c>
      <c r="D183" s="71">
        <f>(OBSAH!$J$6/100)*Tabulka20107984556310[[#This Row],[Sloupec3]]</f>
        <v>0</v>
      </c>
      <c r="E183" s="57">
        <f>Tabulka20107984556310[[#This Row],[Sloupec3]]-Tabulka20107984556310[[#This Row],[Sloupec4]]</f>
        <v>34860</v>
      </c>
      <c r="F183" s="3"/>
      <c r="G183" s="3"/>
      <c r="H183" s="3"/>
      <c r="I183" s="3"/>
      <c r="J183" s="3"/>
      <c r="K183" s="3"/>
      <c r="L183" s="3"/>
      <c r="M183" s="3"/>
    </row>
    <row r="184" spans="1:13" ht="14.25" customHeight="1" x14ac:dyDescent="0.4">
      <c r="A184" s="227">
        <v>4004005466</v>
      </c>
      <c r="B184" s="129" t="s">
        <v>913</v>
      </c>
      <c r="C184" s="326">
        <v>38434</v>
      </c>
      <c r="D184" s="71">
        <f>(OBSAH!$J$6/100)*Tabulka20107984556310[[#This Row],[Sloupec3]]</f>
        <v>0</v>
      </c>
      <c r="E184" s="57">
        <f>Tabulka20107984556310[[#This Row],[Sloupec3]]-Tabulka20107984556310[[#This Row],[Sloupec4]]</f>
        <v>38434</v>
      </c>
      <c r="F184" s="3"/>
      <c r="G184" s="3"/>
      <c r="H184" s="3"/>
      <c r="I184" s="3"/>
      <c r="J184" s="3"/>
      <c r="K184" s="3"/>
      <c r="L184" s="3"/>
      <c r="M184" s="3"/>
    </row>
    <row r="185" spans="1:13" ht="14.25" customHeight="1" x14ac:dyDescent="0.4">
      <c r="A185" s="227">
        <v>4004005467</v>
      </c>
      <c r="B185" s="129" t="s">
        <v>914</v>
      </c>
      <c r="C185" s="326">
        <v>38750</v>
      </c>
      <c r="D185" s="71">
        <f>(OBSAH!$J$6/100)*Tabulka20107984556310[[#This Row],[Sloupec3]]</f>
        <v>0</v>
      </c>
      <c r="E185" s="57">
        <f>Tabulka20107984556310[[#This Row],[Sloupec3]]-Tabulka20107984556310[[#This Row],[Sloupec4]]</f>
        <v>38750</v>
      </c>
      <c r="F185" s="3"/>
      <c r="G185" s="3"/>
      <c r="H185" s="3"/>
      <c r="I185" s="3"/>
      <c r="J185" s="3"/>
      <c r="K185" s="3"/>
      <c r="L185" s="3"/>
      <c r="M185" s="3"/>
    </row>
    <row r="186" spans="1:13" ht="14.25" customHeight="1" x14ac:dyDescent="0.4">
      <c r="A186" s="227">
        <v>4004005468</v>
      </c>
      <c r="B186" s="129" t="s">
        <v>915</v>
      </c>
      <c r="C186" s="326">
        <v>38898</v>
      </c>
      <c r="D186" s="71">
        <f>(OBSAH!$J$6/100)*Tabulka20107984556310[[#This Row],[Sloupec3]]</f>
        <v>0</v>
      </c>
      <c r="E186" s="57">
        <f>Tabulka20107984556310[[#This Row],[Sloupec3]]-Tabulka20107984556310[[#This Row],[Sloupec4]]</f>
        <v>38898</v>
      </c>
      <c r="F186" s="3"/>
      <c r="G186" s="3"/>
      <c r="H186" s="3"/>
      <c r="I186" s="3"/>
      <c r="J186" s="3"/>
      <c r="K186" s="3"/>
      <c r="L186" s="3"/>
      <c r="M186" s="3"/>
    </row>
    <row r="187" spans="1:13" ht="14.25" customHeight="1" x14ac:dyDescent="0.4">
      <c r="A187" s="227">
        <v>4004005470</v>
      </c>
      <c r="B187" s="129" t="s">
        <v>916</v>
      </c>
      <c r="C187" s="326">
        <v>39066</v>
      </c>
      <c r="D187" s="71">
        <f>(OBSAH!$J$6/100)*Tabulka20107984556310[[#This Row],[Sloupec3]]</f>
        <v>0</v>
      </c>
      <c r="E187" s="57">
        <f>Tabulka20107984556310[[#This Row],[Sloupec3]]-Tabulka20107984556310[[#This Row],[Sloupec4]]</f>
        <v>39066</v>
      </c>
      <c r="F187" s="3"/>
      <c r="G187" s="3"/>
      <c r="H187" s="3"/>
      <c r="I187" s="3"/>
      <c r="J187" s="3"/>
      <c r="K187" s="3"/>
      <c r="L187" s="3"/>
      <c r="M187" s="3"/>
    </row>
    <row r="188" spans="1:13" ht="14.25" customHeight="1" x14ac:dyDescent="0.4">
      <c r="A188" s="228">
        <v>4004005471</v>
      </c>
      <c r="B188" s="229" t="s">
        <v>917</v>
      </c>
      <c r="C188" s="327">
        <v>39380</v>
      </c>
      <c r="D188" s="68">
        <f>(OBSAH!$J$6/100)*Tabulka20107984556310[[#This Row],[Sloupec3]]</f>
        <v>0</v>
      </c>
      <c r="E188" s="58">
        <f>Tabulka20107984556310[[#This Row],[Sloupec3]]-Tabulka20107984556310[[#This Row],[Sloupec4]]</f>
        <v>39380</v>
      </c>
      <c r="F188" s="3"/>
      <c r="G188" s="3"/>
      <c r="H188" s="3"/>
      <c r="I188" s="3"/>
      <c r="J188" s="3"/>
      <c r="K188" s="3"/>
      <c r="L188" s="3"/>
      <c r="M188" s="3"/>
    </row>
    <row r="189" spans="1:13" x14ac:dyDescent="0.4">
      <c r="A189" s="83"/>
      <c r="B189" s="84"/>
      <c r="C189" s="85"/>
      <c r="D189" s="61"/>
      <c r="E189" s="62"/>
      <c r="F189" s="3"/>
      <c r="G189" s="3"/>
      <c r="H189" s="3"/>
      <c r="I189" s="3"/>
      <c r="J189" s="3"/>
      <c r="K189" s="3"/>
      <c r="L189" s="3"/>
      <c r="M189" s="3"/>
    </row>
    <row r="190" spans="1:13" ht="22.5" customHeight="1" x14ac:dyDescent="0.4">
      <c r="A190" s="466" t="s">
        <v>91</v>
      </c>
      <c r="B190" s="466"/>
      <c r="C190" s="466"/>
      <c r="D190" s="466"/>
      <c r="E190" s="466"/>
      <c r="F190" s="3"/>
      <c r="G190" s="3"/>
      <c r="H190" s="3"/>
      <c r="I190" s="3"/>
      <c r="J190" s="3"/>
      <c r="K190" s="3"/>
      <c r="L190" s="3"/>
      <c r="M190" s="3"/>
    </row>
    <row r="191" spans="1:13" ht="22.5" customHeight="1" x14ac:dyDescent="0.4">
      <c r="A191" s="51" t="s">
        <v>56</v>
      </c>
      <c r="B191" s="51" t="s">
        <v>57</v>
      </c>
      <c r="C191" s="52" t="s">
        <v>58</v>
      </c>
      <c r="D191" s="52" t="s">
        <v>59</v>
      </c>
      <c r="E191" s="53" t="s">
        <v>60</v>
      </c>
      <c r="F191" s="3"/>
      <c r="G191" s="3"/>
      <c r="H191" s="3"/>
      <c r="I191" s="3"/>
      <c r="J191" s="3"/>
      <c r="K191" s="3"/>
      <c r="L191" s="3"/>
      <c r="M191" s="3"/>
    </row>
    <row r="192" spans="1:13" ht="14.25" customHeight="1" x14ac:dyDescent="0.4">
      <c r="A192" s="230">
        <v>4004005477</v>
      </c>
      <c r="B192" s="231" t="s">
        <v>918</v>
      </c>
      <c r="C192" s="328">
        <v>17130</v>
      </c>
      <c r="D192" s="69">
        <f>(OBSAH!$J$6/100)*Tabulka2010798385566411[[#This Row],[Sloupec3]]</f>
        <v>0</v>
      </c>
      <c r="E192" s="70">
        <f>Tabulka2010798385566411[[#This Row],[Sloupec3]]-Tabulka2010798385566411[[#This Row],[Sloupec4]]</f>
        <v>17130</v>
      </c>
      <c r="F192" s="3"/>
      <c r="G192" s="3"/>
      <c r="H192" s="3"/>
      <c r="I192" s="3"/>
      <c r="J192" s="3"/>
      <c r="K192" s="3"/>
      <c r="L192" s="3"/>
      <c r="M192" s="3"/>
    </row>
    <row r="193" spans="1:13" ht="14.25" customHeight="1" x14ac:dyDescent="0.4">
      <c r="A193" s="232">
        <v>4004005488</v>
      </c>
      <c r="B193" s="130" t="s">
        <v>919</v>
      </c>
      <c r="C193" s="329">
        <v>17327</v>
      </c>
      <c r="D193" s="71">
        <f>(OBSAH!$J$6/100)*Tabulka2010798385566411[[#This Row],[Sloupec3]]</f>
        <v>0</v>
      </c>
      <c r="E193" s="57">
        <f>Tabulka2010798385566411[[#This Row],[Sloupec3]]-Tabulka2010798385566411[[#This Row],[Sloupec4]]</f>
        <v>17327</v>
      </c>
      <c r="F193" s="3"/>
      <c r="G193" s="3"/>
      <c r="H193" s="3"/>
      <c r="I193" s="3"/>
      <c r="J193" s="3"/>
      <c r="K193" s="3"/>
      <c r="L193" s="3"/>
      <c r="M193" s="3"/>
    </row>
    <row r="194" spans="1:13" ht="14.25" customHeight="1" x14ac:dyDescent="0.4">
      <c r="A194" s="232">
        <v>4004005500</v>
      </c>
      <c r="B194" s="130" t="s">
        <v>920</v>
      </c>
      <c r="C194" s="329">
        <v>17642</v>
      </c>
      <c r="D194" s="71">
        <f>(OBSAH!$J$6/100)*Tabulka2010798385566411[[#This Row],[Sloupec3]]</f>
        <v>0</v>
      </c>
      <c r="E194" s="57">
        <f>Tabulka2010798385566411[[#This Row],[Sloupec3]]-Tabulka2010798385566411[[#This Row],[Sloupec4]]</f>
        <v>17642</v>
      </c>
      <c r="F194" s="3"/>
      <c r="G194" s="3"/>
      <c r="H194" s="3"/>
      <c r="I194" s="3"/>
      <c r="J194" s="3"/>
      <c r="K194" s="3"/>
      <c r="L194" s="3"/>
      <c r="M194" s="3"/>
    </row>
    <row r="195" spans="1:13" ht="14.25" customHeight="1" x14ac:dyDescent="0.4">
      <c r="A195" s="232">
        <v>4004005501</v>
      </c>
      <c r="B195" s="130" t="s">
        <v>921</v>
      </c>
      <c r="C195" s="329">
        <v>17866</v>
      </c>
      <c r="D195" s="71">
        <f>(OBSAH!$J$6/100)*Tabulka2010798385566411[[#This Row],[Sloupec3]]</f>
        <v>0</v>
      </c>
      <c r="E195" s="57">
        <f>Tabulka2010798385566411[[#This Row],[Sloupec3]]-Tabulka2010798385566411[[#This Row],[Sloupec4]]</f>
        <v>17866</v>
      </c>
      <c r="F195" s="3"/>
      <c r="G195" s="3"/>
      <c r="H195" s="3"/>
      <c r="I195" s="3"/>
      <c r="J195" s="3"/>
      <c r="K195" s="3"/>
      <c r="L195" s="3"/>
      <c r="M195" s="3"/>
    </row>
    <row r="196" spans="1:13" ht="14.25" customHeight="1" x14ac:dyDescent="0.4">
      <c r="A196" s="232">
        <v>4004005472</v>
      </c>
      <c r="B196" s="130" t="s">
        <v>922</v>
      </c>
      <c r="C196" s="329">
        <v>17986</v>
      </c>
      <c r="D196" s="71">
        <f>(OBSAH!$J$6/100)*Tabulka2010798385566411[[#This Row],[Sloupec3]]</f>
        <v>0</v>
      </c>
      <c r="E196" s="57">
        <f>Tabulka2010798385566411[[#This Row],[Sloupec3]]-Tabulka2010798385566411[[#This Row],[Sloupec4]]</f>
        <v>17986</v>
      </c>
      <c r="F196" s="3"/>
      <c r="G196" s="3"/>
      <c r="H196" s="3"/>
      <c r="I196" s="3"/>
      <c r="J196" s="3"/>
      <c r="K196" s="3"/>
      <c r="L196" s="3"/>
      <c r="M196" s="3"/>
    </row>
    <row r="197" spans="1:13" ht="14.25" customHeight="1" x14ac:dyDescent="0.4">
      <c r="A197" s="232">
        <v>4004005473</v>
      </c>
      <c r="B197" s="130" t="s">
        <v>923</v>
      </c>
      <c r="C197" s="329">
        <v>18301</v>
      </c>
      <c r="D197" s="71">
        <f>(OBSAH!$J$6/100)*Tabulka2010798385566411[[#This Row],[Sloupec3]]</f>
        <v>0</v>
      </c>
      <c r="E197" s="57">
        <f>Tabulka2010798385566411[[#This Row],[Sloupec3]]-Tabulka2010798385566411[[#This Row],[Sloupec4]]</f>
        <v>18301</v>
      </c>
      <c r="F197" s="3"/>
      <c r="G197" s="3"/>
      <c r="H197" s="3"/>
      <c r="I197" s="3"/>
      <c r="J197" s="3"/>
      <c r="K197" s="3"/>
      <c r="L197" s="3"/>
      <c r="M197" s="3"/>
    </row>
    <row r="198" spans="1:13" ht="14.25" customHeight="1" x14ac:dyDescent="0.4">
      <c r="A198" s="232">
        <v>4004005474</v>
      </c>
      <c r="B198" s="130" t="s">
        <v>924</v>
      </c>
      <c r="C198" s="329">
        <v>21890</v>
      </c>
      <c r="D198" s="71">
        <f>(OBSAH!$J$6/100)*Tabulka2010798385566411[[#This Row],[Sloupec3]]</f>
        <v>0</v>
      </c>
      <c r="E198" s="57">
        <f>Tabulka2010798385566411[[#This Row],[Sloupec3]]-Tabulka2010798385566411[[#This Row],[Sloupec4]]</f>
        <v>21890</v>
      </c>
      <c r="F198" s="3"/>
      <c r="G198" s="3"/>
      <c r="H198" s="3"/>
      <c r="I198" s="3"/>
      <c r="J198" s="3"/>
      <c r="K198" s="3"/>
      <c r="L198" s="3"/>
      <c r="M198" s="3"/>
    </row>
    <row r="199" spans="1:13" ht="14.25" customHeight="1" x14ac:dyDescent="0.4">
      <c r="A199" s="232">
        <v>4004005475</v>
      </c>
      <c r="B199" s="130" t="s">
        <v>925</v>
      </c>
      <c r="C199" s="329">
        <v>22205</v>
      </c>
      <c r="D199" s="71">
        <f>(OBSAH!$J$6/100)*Tabulka2010798385566411[[#This Row],[Sloupec3]]</f>
        <v>0</v>
      </c>
      <c r="E199" s="57">
        <f>Tabulka2010798385566411[[#This Row],[Sloupec3]]-Tabulka2010798385566411[[#This Row],[Sloupec4]]</f>
        <v>22205</v>
      </c>
      <c r="F199" s="3"/>
      <c r="G199" s="3"/>
      <c r="H199" s="3"/>
      <c r="I199" s="3"/>
      <c r="J199" s="3"/>
      <c r="K199" s="3"/>
      <c r="L199" s="3"/>
      <c r="M199" s="3"/>
    </row>
    <row r="200" spans="1:13" ht="14.25" customHeight="1" x14ac:dyDescent="0.4">
      <c r="A200" s="232">
        <v>4004005476</v>
      </c>
      <c r="B200" s="130" t="s">
        <v>926</v>
      </c>
      <c r="C200" s="329">
        <v>22542</v>
      </c>
      <c r="D200" s="71">
        <f>(OBSAH!$J$6/100)*Tabulka2010798385566411[[#This Row],[Sloupec3]]</f>
        <v>0</v>
      </c>
      <c r="E200" s="57">
        <f>Tabulka2010798385566411[[#This Row],[Sloupec3]]-Tabulka2010798385566411[[#This Row],[Sloupec4]]</f>
        <v>22542</v>
      </c>
      <c r="F200" s="3"/>
      <c r="G200" s="3"/>
      <c r="H200" s="3"/>
      <c r="I200" s="3"/>
      <c r="J200" s="3"/>
      <c r="K200" s="3"/>
      <c r="L200" s="3"/>
      <c r="M200" s="3"/>
    </row>
    <row r="201" spans="1:13" ht="14.25" customHeight="1" x14ac:dyDescent="0.4">
      <c r="A201" s="232">
        <v>4004005478</v>
      </c>
      <c r="B201" s="130" t="s">
        <v>927</v>
      </c>
      <c r="C201" s="329">
        <v>22827</v>
      </c>
      <c r="D201" s="71">
        <f>(OBSAH!$J$6/100)*Tabulka2010798385566411[[#This Row],[Sloupec3]]</f>
        <v>0</v>
      </c>
      <c r="E201" s="57">
        <f>Tabulka2010798385566411[[#This Row],[Sloupec3]]-Tabulka2010798385566411[[#This Row],[Sloupec4]]</f>
        <v>22827</v>
      </c>
      <c r="F201" s="3"/>
      <c r="G201" s="3"/>
      <c r="H201" s="3"/>
      <c r="I201" s="3"/>
      <c r="J201" s="3"/>
      <c r="K201" s="3"/>
      <c r="L201" s="3"/>
      <c r="M201" s="3"/>
    </row>
    <row r="202" spans="1:13" ht="14.25" customHeight="1" x14ac:dyDescent="0.4">
      <c r="A202" s="232">
        <v>4004005479</v>
      </c>
      <c r="B202" s="130" t="s">
        <v>928</v>
      </c>
      <c r="C202" s="329">
        <v>22990</v>
      </c>
      <c r="D202" s="71">
        <f>(OBSAH!$J$6/100)*Tabulka2010798385566411[[#This Row],[Sloupec3]]</f>
        <v>0</v>
      </c>
      <c r="E202" s="57">
        <f>Tabulka2010798385566411[[#This Row],[Sloupec3]]-Tabulka2010798385566411[[#This Row],[Sloupec4]]</f>
        <v>22990</v>
      </c>
      <c r="F202" s="3"/>
      <c r="G202" s="3"/>
      <c r="H202" s="3"/>
      <c r="I202" s="3"/>
      <c r="J202" s="3"/>
      <c r="K202" s="3"/>
      <c r="L202" s="3"/>
      <c r="M202" s="3"/>
    </row>
    <row r="203" spans="1:13" ht="14.25" customHeight="1" x14ac:dyDescent="0.4">
      <c r="A203" s="232">
        <v>4004005480</v>
      </c>
      <c r="B203" s="130" t="s">
        <v>929</v>
      </c>
      <c r="C203" s="329">
        <v>25821</v>
      </c>
      <c r="D203" s="71">
        <f>(OBSAH!$J$6/100)*Tabulka2010798385566411[[#This Row],[Sloupec3]]</f>
        <v>0</v>
      </c>
      <c r="E203" s="57">
        <f>Tabulka2010798385566411[[#This Row],[Sloupec3]]-Tabulka2010798385566411[[#This Row],[Sloupec4]]</f>
        <v>25821</v>
      </c>
      <c r="F203" s="3"/>
      <c r="G203" s="3"/>
      <c r="H203" s="3"/>
      <c r="I203" s="3"/>
      <c r="J203" s="3"/>
      <c r="K203" s="3"/>
      <c r="L203" s="3"/>
      <c r="M203" s="3"/>
    </row>
    <row r="204" spans="1:13" ht="14.25" customHeight="1" x14ac:dyDescent="0.4">
      <c r="A204" s="232">
        <v>4004005481</v>
      </c>
      <c r="B204" s="130" t="s">
        <v>930</v>
      </c>
      <c r="C204" s="329">
        <v>26136</v>
      </c>
      <c r="D204" s="71">
        <f>(OBSAH!$J$6/100)*Tabulka2010798385566411[[#This Row],[Sloupec3]]</f>
        <v>0</v>
      </c>
      <c r="E204" s="57">
        <f>Tabulka2010798385566411[[#This Row],[Sloupec3]]-Tabulka2010798385566411[[#This Row],[Sloupec4]]</f>
        <v>26136</v>
      </c>
      <c r="F204" s="3"/>
      <c r="G204" s="3"/>
      <c r="H204" s="3"/>
      <c r="I204" s="3"/>
      <c r="J204" s="3"/>
      <c r="K204" s="3"/>
      <c r="L204" s="3"/>
      <c r="M204" s="3"/>
    </row>
    <row r="205" spans="1:13" ht="14.25" customHeight="1" x14ac:dyDescent="0.4">
      <c r="A205" s="232">
        <v>4004005482</v>
      </c>
      <c r="B205" s="130" t="s">
        <v>931</v>
      </c>
      <c r="C205" s="329">
        <v>26284</v>
      </c>
      <c r="D205" s="71">
        <f>(OBSAH!$J$6/100)*Tabulka2010798385566411[[#This Row],[Sloupec3]]</f>
        <v>0</v>
      </c>
      <c r="E205" s="57">
        <f>Tabulka2010798385566411[[#This Row],[Sloupec3]]-Tabulka2010798385566411[[#This Row],[Sloupec4]]</f>
        <v>26284</v>
      </c>
      <c r="F205" s="3"/>
      <c r="G205" s="3"/>
      <c r="H205" s="3"/>
      <c r="I205" s="3"/>
      <c r="J205" s="3"/>
      <c r="K205" s="3"/>
      <c r="L205" s="3"/>
      <c r="M205" s="3"/>
    </row>
    <row r="206" spans="1:13" ht="14.25" customHeight="1" x14ac:dyDescent="0.4">
      <c r="A206" s="232">
        <v>4004005483</v>
      </c>
      <c r="B206" s="130" t="s">
        <v>932</v>
      </c>
      <c r="C206" s="329">
        <v>26452</v>
      </c>
      <c r="D206" s="71">
        <f>(OBSAH!$J$6/100)*Tabulka2010798385566411[[#This Row],[Sloupec3]]</f>
        <v>0</v>
      </c>
      <c r="E206" s="57">
        <f>Tabulka2010798385566411[[#This Row],[Sloupec3]]-Tabulka2010798385566411[[#This Row],[Sloupec4]]</f>
        <v>26452</v>
      </c>
      <c r="F206" s="3"/>
      <c r="G206" s="3"/>
      <c r="H206" s="3"/>
      <c r="I206" s="3"/>
      <c r="J206" s="3"/>
      <c r="K206" s="3"/>
      <c r="L206" s="3"/>
      <c r="M206" s="3"/>
    </row>
    <row r="207" spans="1:13" ht="14.25" customHeight="1" x14ac:dyDescent="0.4">
      <c r="A207" s="232">
        <v>4004005484</v>
      </c>
      <c r="B207" s="130" t="s">
        <v>933</v>
      </c>
      <c r="C207" s="329">
        <v>26767</v>
      </c>
      <c r="D207" s="71">
        <f>(OBSAH!$J$6/100)*Tabulka2010798385566411[[#This Row],[Sloupec3]]</f>
        <v>0</v>
      </c>
      <c r="E207" s="57">
        <f>Tabulka2010798385566411[[#This Row],[Sloupec3]]-Tabulka2010798385566411[[#This Row],[Sloupec4]]</f>
        <v>26767</v>
      </c>
      <c r="F207" s="3"/>
      <c r="G207" s="3"/>
      <c r="H207" s="3"/>
      <c r="I207" s="3"/>
      <c r="J207" s="3"/>
      <c r="K207" s="3"/>
      <c r="L207" s="3"/>
      <c r="M207" s="3"/>
    </row>
    <row r="208" spans="1:13" ht="14.25" customHeight="1" x14ac:dyDescent="0.4">
      <c r="A208" s="232">
        <v>4004005485</v>
      </c>
      <c r="B208" s="130" t="s">
        <v>934</v>
      </c>
      <c r="C208" s="329">
        <v>30360</v>
      </c>
      <c r="D208" s="71">
        <f>(OBSAH!$J$6/100)*Tabulka2010798385566411[[#This Row],[Sloupec3]]</f>
        <v>0</v>
      </c>
      <c r="E208" s="57">
        <f>Tabulka2010798385566411[[#This Row],[Sloupec3]]-Tabulka2010798385566411[[#This Row],[Sloupec4]]</f>
        <v>30360</v>
      </c>
      <c r="F208" s="3"/>
      <c r="G208" s="3"/>
      <c r="H208" s="3"/>
      <c r="I208" s="3"/>
      <c r="J208" s="3"/>
      <c r="K208" s="3"/>
      <c r="L208" s="3"/>
      <c r="M208" s="3"/>
    </row>
    <row r="209" spans="1:13" ht="14.25" customHeight="1" x14ac:dyDescent="0.4">
      <c r="A209" s="232">
        <v>4004005486</v>
      </c>
      <c r="B209" s="130" t="s">
        <v>935</v>
      </c>
      <c r="C209" s="329">
        <v>30705</v>
      </c>
      <c r="D209" s="71">
        <f>(OBSAH!$J$6/100)*Tabulka2010798385566411[[#This Row],[Sloupec3]]</f>
        <v>0</v>
      </c>
      <c r="E209" s="57">
        <f>Tabulka2010798385566411[[#This Row],[Sloupec3]]-Tabulka2010798385566411[[#This Row],[Sloupec4]]</f>
        <v>30705</v>
      </c>
      <c r="F209" s="3"/>
      <c r="G209" s="3"/>
      <c r="H209" s="3"/>
      <c r="I209" s="3"/>
      <c r="J209" s="3"/>
      <c r="K209" s="3"/>
      <c r="L209" s="3"/>
      <c r="M209" s="3"/>
    </row>
    <row r="210" spans="1:13" ht="14.25" customHeight="1" x14ac:dyDescent="0.4">
      <c r="A210" s="232">
        <v>4004005487</v>
      </c>
      <c r="B210" s="130" t="s">
        <v>936</v>
      </c>
      <c r="C210" s="329">
        <v>30849</v>
      </c>
      <c r="D210" s="71">
        <f>(OBSAH!$J$6/100)*Tabulka2010798385566411[[#This Row],[Sloupec3]]</f>
        <v>0</v>
      </c>
      <c r="E210" s="57">
        <f>Tabulka2010798385566411[[#This Row],[Sloupec3]]-Tabulka2010798385566411[[#This Row],[Sloupec4]]</f>
        <v>30849</v>
      </c>
      <c r="F210" s="3"/>
      <c r="G210" s="3"/>
      <c r="H210" s="3"/>
      <c r="I210" s="3"/>
      <c r="J210" s="3"/>
      <c r="K210" s="3"/>
      <c r="L210" s="3"/>
      <c r="M210" s="3"/>
    </row>
    <row r="211" spans="1:13" ht="14.25" customHeight="1" x14ac:dyDescent="0.4">
      <c r="A211" s="232">
        <v>4004005489</v>
      </c>
      <c r="B211" s="130" t="s">
        <v>937</v>
      </c>
      <c r="C211" s="329">
        <v>31020</v>
      </c>
      <c r="D211" s="71">
        <f>(OBSAH!$J$6/100)*Tabulka2010798385566411[[#This Row],[Sloupec3]]</f>
        <v>0</v>
      </c>
      <c r="E211" s="57">
        <f>Tabulka2010798385566411[[#This Row],[Sloupec3]]-Tabulka2010798385566411[[#This Row],[Sloupec4]]</f>
        <v>31020</v>
      </c>
      <c r="F211" s="3"/>
      <c r="G211" s="3"/>
      <c r="H211" s="3"/>
      <c r="I211" s="3"/>
      <c r="J211" s="3"/>
      <c r="K211" s="3"/>
      <c r="L211" s="3"/>
      <c r="M211" s="3"/>
    </row>
    <row r="212" spans="1:13" ht="14.25" customHeight="1" x14ac:dyDescent="0.4">
      <c r="A212" s="232">
        <v>4004005490</v>
      </c>
      <c r="B212" s="130" t="s">
        <v>938</v>
      </c>
      <c r="C212" s="329">
        <v>31334</v>
      </c>
      <c r="D212" s="71">
        <f>(OBSAH!$J$6/100)*Tabulka2010798385566411[[#This Row],[Sloupec3]]</f>
        <v>0</v>
      </c>
      <c r="E212" s="57">
        <f>Tabulka2010798385566411[[#This Row],[Sloupec3]]-Tabulka2010798385566411[[#This Row],[Sloupec4]]</f>
        <v>31334</v>
      </c>
      <c r="F212" s="3"/>
      <c r="G212" s="3"/>
      <c r="H212" s="3"/>
      <c r="I212" s="3"/>
      <c r="J212" s="3"/>
      <c r="K212" s="3"/>
      <c r="L212" s="3"/>
      <c r="M212" s="3"/>
    </row>
    <row r="213" spans="1:13" ht="14.25" customHeight="1" x14ac:dyDescent="0.4">
      <c r="A213" s="232">
        <v>4004005491</v>
      </c>
      <c r="B213" s="130" t="s">
        <v>939</v>
      </c>
      <c r="C213" s="329">
        <v>34329</v>
      </c>
      <c r="D213" s="71">
        <f>(OBSAH!$J$6/100)*Tabulka2010798385566411[[#This Row],[Sloupec3]]</f>
        <v>0</v>
      </c>
      <c r="E213" s="57">
        <f>Tabulka2010798385566411[[#This Row],[Sloupec3]]-Tabulka2010798385566411[[#This Row],[Sloupec4]]</f>
        <v>34329</v>
      </c>
      <c r="F213" s="3"/>
      <c r="G213" s="3"/>
      <c r="H213" s="3"/>
      <c r="I213" s="3"/>
      <c r="J213" s="3"/>
      <c r="K213" s="3"/>
      <c r="L213" s="3"/>
      <c r="M213" s="3"/>
    </row>
    <row r="214" spans="1:13" ht="14.25" customHeight="1" x14ac:dyDescent="0.4">
      <c r="A214" s="232">
        <v>4004005592</v>
      </c>
      <c r="B214" s="130" t="s">
        <v>940</v>
      </c>
      <c r="C214" s="329">
        <v>34671</v>
      </c>
      <c r="D214" s="71">
        <f>(OBSAH!$J$6/100)*Tabulka2010798385566411[[#This Row],[Sloupec3]]</f>
        <v>0</v>
      </c>
      <c r="E214" s="57">
        <f>Tabulka2010798385566411[[#This Row],[Sloupec3]]-Tabulka2010798385566411[[#This Row],[Sloupec4]]</f>
        <v>34671</v>
      </c>
      <c r="F214" s="3"/>
      <c r="G214" s="3"/>
      <c r="H214" s="3"/>
      <c r="I214" s="3"/>
      <c r="J214" s="3"/>
      <c r="K214" s="3"/>
      <c r="L214" s="3"/>
      <c r="M214" s="3"/>
    </row>
    <row r="215" spans="1:13" ht="14.25" customHeight="1" x14ac:dyDescent="0.4">
      <c r="A215" s="232">
        <v>4004005492</v>
      </c>
      <c r="B215" s="130" t="s">
        <v>941</v>
      </c>
      <c r="C215" s="329">
        <v>34821</v>
      </c>
      <c r="D215" s="71">
        <f>(OBSAH!$J$6/100)*Tabulka2010798385566411[[#This Row],[Sloupec3]]</f>
        <v>0</v>
      </c>
      <c r="E215" s="57">
        <f>Tabulka2010798385566411[[#This Row],[Sloupec3]]-Tabulka2010798385566411[[#This Row],[Sloupec4]]</f>
        <v>34821</v>
      </c>
      <c r="F215" s="3"/>
      <c r="G215" s="3"/>
      <c r="H215" s="3"/>
      <c r="I215" s="3"/>
      <c r="J215" s="3"/>
      <c r="K215" s="3"/>
      <c r="L215" s="3"/>
      <c r="M215" s="3"/>
    </row>
    <row r="216" spans="1:13" ht="14.25" customHeight="1" x14ac:dyDescent="0.4">
      <c r="A216" s="232">
        <v>4004005493</v>
      </c>
      <c r="B216" s="130" t="s">
        <v>942</v>
      </c>
      <c r="C216" s="329">
        <v>34988</v>
      </c>
      <c r="D216" s="71">
        <f>(OBSAH!$J$6/100)*Tabulka2010798385566411[[#This Row],[Sloupec3]]</f>
        <v>0</v>
      </c>
      <c r="E216" s="57">
        <f>Tabulka2010798385566411[[#This Row],[Sloupec3]]-Tabulka2010798385566411[[#This Row],[Sloupec4]]</f>
        <v>34988</v>
      </c>
      <c r="F216" s="3"/>
      <c r="G216" s="3"/>
      <c r="H216" s="3"/>
      <c r="I216" s="3"/>
      <c r="J216" s="3"/>
      <c r="K216" s="3"/>
      <c r="L216" s="3"/>
      <c r="M216" s="3"/>
    </row>
    <row r="217" spans="1:13" ht="14.25" customHeight="1" x14ac:dyDescent="0.4">
      <c r="A217" s="232">
        <v>4004005494</v>
      </c>
      <c r="B217" s="130" t="s">
        <v>943</v>
      </c>
      <c r="C217" s="329">
        <v>35301</v>
      </c>
      <c r="D217" s="71">
        <f>(OBSAH!$J$6/100)*Tabulka2010798385566411[[#This Row],[Sloupec3]]</f>
        <v>0</v>
      </c>
      <c r="E217" s="57">
        <f>Tabulka2010798385566411[[#This Row],[Sloupec3]]-Tabulka2010798385566411[[#This Row],[Sloupec4]]</f>
        <v>35301</v>
      </c>
      <c r="F217" s="3"/>
      <c r="G217" s="3"/>
      <c r="H217" s="3"/>
      <c r="I217" s="3"/>
      <c r="J217" s="3"/>
      <c r="K217" s="3"/>
      <c r="L217" s="3"/>
      <c r="M217" s="3"/>
    </row>
    <row r="218" spans="1:13" ht="14.25" customHeight="1" x14ac:dyDescent="0.4">
      <c r="A218" s="232">
        <v>4004005495</v>
      </c>
      <c r="B218" s="130" t="s">
        <v>944</v>
      </c>
      <c r="C218" s="329">
        <v>38875</v>
      </c>
      <c r="D218" s="71">
        <f>(OBSAH!$J$6/100)*Tabulka2010798385566411[[#This Row],[Sloupec3]]</f>
        <v>0</v>
      </c>
      <c r="E218" s="57">
        <f>Tabulka2010798385566411[[#This Row],[Sloupec3]]-Tabulka2010798385566411[[#This Row],[Sloupec4]]</f>
        <v>38875</v>
      </c>
      <c r="F218" s="3"/>
      <c r="G218" s="3"/>
      <c r="H218" s="3"/>
      <c r="I218" s="3"/>
      <c r="J218" s="3"/>
      <c r="K218" s="3"/>
      <c r="L218" s="3"/>
      <c r="M218" s="3"/>
    </row>
    <row r="219" spans="1:13" ht="14.25" customHeight="1" x14ac:dyDescent="0.4">
      <c r="A219" s="232">
        <v>4004005496</v>
      </c>
      <c r="B219" s="130" t="s">
        <v>945</v>
      </c>
      <c r="C219" s="329">
        <v>39191</v>
      </c>
      <c r="D219" s="71">
        <f>(OBSAH!$J$6/100)*Tabulka2010798385566411[[#This Row],[Sloupec3]]</f>
        <v>0</v>
      </c>
      <c r="E219" s="57">
        <f>Tabulka2010798385566411[[#This Row],[Sloupec3]]-Tabulka2010798385566411[[#This Row],[Sloupec4]]</f>
        <v>39191</v>
      </c>
      <c r="F219" s="3"/>
      <c r="G219" s="3"/>
      <c r="H219" s="3"/>
      <c r="I219" s="3"/>
      <c r="J219" s="3"/>
      <c r="K219" s="3"/>
      <c r="L219" s="3"/>
      <c r="M219" s="3"/>
    </row>
    <row r="220" spans="1:13" ht="14.25" customHeight="1" x14ac:dyDescent="0.4">
      <c r="A220" s="232">
        <v>4004005497</v>
      </c>
      <c r="B220" s="130" t="s">
        <v>946</v>
      </c>
      <c r="C220" s="329">
        <v>39338</v>
      </c>
      <c r="D220" s="71">
        <f>(OBSAH!$J$6/100)*Tabulka2010798385566411[[#This Row],[Sloupec3]]</f>
        <v>0</v>
      </c>
      <c r="E220" s="57">
        <f>Tabulka2010798385566411[[#This Row],[Sloupec3]]-Tabulka2010798385566411[[#This Row],[Sloupec4]]</f>
        <v>39338</v>
      </c>
      <c r="F220" s="3"/>
      <c r="G220" s="3"/>
      <c r="H220" s="3"/>
      <c r="I220" s="3"/>
      <c r="J220" s="3"/>
      <c r="K220" s="3"/>
      <c r="L220" s="3"/>
      <c r="M220" s="3"/>
    </row>
    <row r="221" spans="1:13" ht="14.25" customHeight="1" x14ac:dyDescent="0.4">
      <c r="A221" s="232">
        <v>4004005498</v>
      </c>
      <c r="B221" s="130" t="s">
        <v>947</v>
      </c>
      <c r="C221" s="329">
        <v>39508</v>
      </c>
      <c r="D221" s="71">
        <f>(OBSAH!$J$6/100)*Tabulka2010798385566411[[#This Row],[Sloupec3]]</f>
        <v>0</v>
      </c>
      <c r="E221" s="57">
        <f>Tabulka2010798385566411[[#This Row],[Sloupec3]]-Tabulka2010798385566411[[#This Row],[Sloupec4]]</f>
        <v>39508</v>
      </c>
      <c r="F221" s="3"/>
      <c r="G221" s="3"/>
      <c r="H221" s="3"/>
      <c r="I221" s="3"/>
      <c r="J221" s="3"/>
      <c r="K221" s="3"/>
      <c r="L221" s="3"/>
      <c r="M221" s="3"/>
    </row>
    <row r="222" spans="1:13" ht="14.25" customHeight="1" x14ac:dyDescent="0.4">
      <c r="A222" s="233">
        <v>4004005499</v>
      </c>
      <c r="B222" s="234" t="s">
        <v>948</v>
      </c>
      <c r="C222" s="330">
        <v>39821</v>
      </c>
      <c r="D222" s="68">
        <f>(OBSAH!$J$6/100)*Tabulka2010798385566411[[#This Row],[Sloupec3]]</f>
        <v>0</v>
      </c>
      <c r="E222" s="58">
        <f>Tabulka2010798385566411[[#This Row],[Sloupec3]]-Tabulka2010798385566411[[#This Row],[Sloupec4]]</f>
        <v>39821</v>
      </c>
      <c r="F222" s="3"/>
      <c r="G222" s="3"/>
      <c r="H222" s="3"/>
      <c r="I222" s="3"/>
      <c r="J222" s="3"/>
      <c r="K222" s="3"/>
      <c r="L222" s="3"/>
      <c r="M222" s="3"/>
    </row>
    <row r="223" spans="1:13" x14ac:dyDescent="0.4">
      <c r="A223" s="441" t="s">
        <v>457</v>
      </c>
      <c r="B223" s="441"/>
      <c r="C223" s="441"/>
      <c r="D223" s="441"/>
      <c r="E223" s="441"/>
      <c r="F223" s="3"/>
      <c r="G223" s="3"/>
      <c r="H223" s="3"/>
      <c r="I223" s="3"/>
      <c r="J223" s="3"/>
      <c r="K223" s="3"/>
      <c r="L223" s="3"/>
      <c r="M223" s="3"/>
    </row>
    <row r="224" spans="1:13" x14ac:dyDescent="0.4">
      <c r="A224" s="38"/>
      <c r="B224" s="38"/>
      <c r="C224" s="38"/>
      <c r="D224" s="3"/>
      <c r="E224" s="3"/>
      <c r="F224" s="3"/>
      <c r="G224" s="3"/>
      <c r="H224" s="3"/>
      <c r="I224" s="3"/>
      <c r="J224" s="3"/>
      <c r="K224" s="3"/>
      <c r="L224" s="3"/>
      <c r="M224" s="3"/>
    </row>
  </sheetData>
  <mergeCells count="30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G20:L20"/>
    <mergeCell ref="G21:L21"/>
    <mergeCell ref="G22:L22"/>
    <mergeCell ref="G23:L23"/>
    <mergeCell ref="A44:E44"/>
    <mergeCell ref="A82:E82"/>
    <mergeCell ref="A155:E155"/>
    <mergeCell ref="A156:E156"/>
    <mergeCell ref="A190:E190"/>
    <mergeCell ref="A223:E223"/>
    <mergeCell ref="A83:E83"/>
    <mergeCell ref="A84:E84"/>
    <mergeCell ref="A118:E118"/>
    <mergeCell ref="A151:E151"/>
    <mergeCell ref="A154:E154"/>
  </mergeCells>
  <hyperlinks>
    <hyperlink ref="F2" location="OBSAH!I128" display="PŘEJÍT NA UPOZORNĚNÍ" xr:uid="{00000000-0004-0000-0700-000000000000}"/>
    <hyperlink ref="A151" location="'PŘÍSTUPOVÉ SYSTÉMY'!A67" display="ODKAZ NA ČIPY RFID 125kHz" xr:uid="{00000000-0004-0000-0700-000001000000}"/>
    <hyperlink ref="A223" location="'PŘÍSTUPOVÉ SYSTÉMY'!A69" display="ODKAZ NA ČIPY MIFARE" xr:uid="{00000000-0004-0000-0700-000002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93CDDD"/>
  </sheetPr>
  <dimension ref="A1:AMK151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3"/>
      <c r="G3" s="3"/>
      <c r="H3" s="3"/>
      <c r="I3" s="3"/>
      <c r="J3" s="3"/>
      <c r="K3" s="3"/>
      <c r="L3" s="3"/>
      <c r="M3" s="3"/>
    </row>
    <row r="4" spans="1:14" ht="15" customHeight="1" x14ac:dyDescent="0.55000000000000004">
      <c r="A4" s="450"/>
      <c r="B4" s="450"/>
      <c r="C4" s="450"/>
      <c r="D4" s="450"/>
      <c r="E4" s="450"/>
      <c r="F4" s="3"/>
      <c r="G4" s="3"/>
      <c r="H4" s="3"/>
      <c r="I4" s="3"/>
      <c r="J4" s="3"/>
      <c r="K4" s="3"/>
      <c r="L4" s="3"/>
      <c r="M4" s="3"/>
    </row>
    <row r="5" spans="1:14" ht="15" customHeight="1" x14ac:dyDescent="0.7">
      <c r="A5" s="376"/>
      <c r="B5" s="376"/>
      <c r="C5" s="376"/>
      <c r="D5" s="376"/>
      <c r="E5" s="376"/>
      <c r="F5" s="3"/>
      <c r="G5" s="3"/>
      <c r="H5" s="3"/>
      <c r="I5" s="3"/>
      <c r="J5" s="3"/>
      <c r="K5" s="3"/>
      <c r="L5" s="3"/>
      <c r="M5" s="3"/>
    </row>
    <row r="6" spans="1:14" ht="54" customHeight="1" x14ac:dyDescent="0.4">
      <c r="A6" s="476" t="s">
        <v>949</v>
      </c>
      <c r="B6" s="476"/>
      <c r="C6" s="476"/>
      <c r="D6" s="476"/>
      <c r="E6" s="476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77" t="s">
        <v>950</v>
      </c>
      <c r="B7" s="477"/>
      <c r="C7" s="477"/>
      <c r="D7" s="477"/>
      <c r="E7" s="477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75" t="s">
        <v>83</v>
      </c>
      <c r="B8" s="475"/>
      <c r="C8" s="475"/>
      <c r="D8" s="475"/>
      <c r="E8" s="475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64" t="s">
        <v>56</v>
      </c>
      <c r="B9" s="64" t="s">
        <v>57</v>
      </c>
      <c r="C9" s="65" t="s">
        <v>58</v>
      </c>
      <c r="D9" s="65" t="s">
        <v>59</v>
      </c>
      <c r="E9" s="66" t="s">
        <v>60</v>
      </c>
      <c r="F9" s="76"/>
      <c r="G9" s="433"/>
      <c r="H9" s="433"/>
      <c r="I9" s="433"/>
      <c r="J9" s="433"/>
      <c r="K9" s="433"/>
      <c r="L9" s="433"/>
      <c r="M9" s="42"/>
    </row>
    <row r="10" spans="1:14" s="32" customFormat="1" ht="14.25" customHeight="1" x14ac:dyDescent="0.3">
      <c r="A10" s="98">
        <v>4004004049</v>
      </c>
      <c r="B10" s="99" t="s">
        <v>951</v>
      </c>
      <c r="C10" s="310">
        <v>6457</v>
      </c>
      <c r="D10" s="69">
        <f>(OBSAH!$J$6/100)*Tabulka2010794[[#This Row],[Sloupec3]]</f>
        <v>0</v>
      </c>
      <c r="E10" s="70">
        <f>Tabulka2010794[[#This Row],[Sloupec3]]-Tabulka2010794[[#This Row],[Sloupec4]]</f>
        <v>6457</v>
      </c>
      <c r="F10" s="38"/>
      <c r="G10" s="38"/>
      <c r="H10" s="38"/>
      <c r="I10" s="38"/>
      <c r="J10" s="38"/>
      <c r="K10" s="38"/>
      <c r="L10" s="38"/>
      <c r="M10" s="38"/>
    </row>
    <row r="11" spans="1:14" s="32" customFormat="1" ht="14.25" customHeight="1" x14ac:dyDescent="0.3">
      <c r="A11" s="100">
        <v>4004004050</v>
      </c>
      <c r="B11" s="125" t="s">
        <v>952</v>
      </c>
      <c r="C11" s="311">
        <v>6692</v>
      </c>
      <c r="D11" s="71">
        <f>(OBSAH!$J$6/100)*Tabulka2010794[[#This Row],[Sloupec3]]</f>
        <v>0</v>
      </c>
      <c r="E11" s="57">
        <f>Tabulka2010794[[#This Row],[Sloupec3]]-Tabulka2010794[[#This Row],[Sloupec4]]</f>
        <v>6692</v>
      </c>
      <c r="F11" s="38"/>
      <c r="G11" s="38"/>
      <c r="H11" s="38"/>
      <c r="I11" s="38"/>
      <c r="J11" s="38"/>
      <c r="K11" s="38"/>
      <c r="L11" s="38"/>
      <c r="M11" s="38"/>
    </row>
    <row r="12" spans="1:14" s="32" customFormat="1" ht="14.25" customHeight="1" x14ac:dyDescent="0.3">
      <c r="A12" s="100">
        <v>4004004051</v>
      </c>
      <c r="B12" s="125" t="s">
        <v>953</v>
      </c>
      <c r="C12" s="311">
        <v>6866</v>
      </c>
      <c r="D12" s="71">
        <f>(OBSAH!$J$6/100)*Tabulka2010794[[#This Row],[Sloupec3]]</f>
        <v>0</v>
      </c>
      <c r="E12" s="57">
        <f>Tabulka2010794[[#This Row],[Sloupec3]]-Tabulka2010794[[#This Row],[Sloupec4]]</f>
        <v>6866</v>
      </c>
      <c r="F12" s="38"/>
      <c r="G12" s="38"/>
      <c r="H12" s="38"/>
      <c r="I12" s="38"/>
      <c r="J12" s="38"/>
      <c r="K12" s="38"/>
      <c r="L12" s="38"/>
      <c r="M12" s="38"/>
    </row>
    <row r="13" spans="1:14" s="32" customFormat="1" ht="14.25" customHeight="1" x14ac:dyDescent="0.3">
      <c r="A13" s="100">
        <v>4004004052</v>
      </c>
      <c r="B13" s="125" t="s">
        <v>954</v>
      </c>
      <c r="C13" s="311">
        <v>9517</v>
      </c>
      <c r="D13" s="71">
        <f>(OBSAH!$J$6/100)*Tabulka2010794[[#This Row],[Sloupec3]]</f>
        <v>0</v>
      </c>
      <c r="E13" s="57">
        <f>Tabulka2010794[[#This Row],[Sloupec3]]-Tabulka2010794[[#This Row],[Sloupec4]]</f>
        <v>9517</v>
      </c>
      <c r="F13" s="38"/>
      <c r="G13" s="38"/>
      <c r="H13" s="38"/>
      <c r="I13" s="38"/>
      <c r="J13" s="38"/>
      <c r="K13" s="38"/>
      <c r="L13" s="38"/>
      <c r="M13" s="38"/>
    </row>
    <row r="14" spans="1:14" s="32" customFormat="1" ht="14.25" customHeight="1" x14ac:dyDescent="0.3">
      <c r="A14" s="100">
        <v>4004004053</v>
      </c>
      <c r="B14" s="125" t="s">
        <v>955</v>
      </c>
      <c r="C14" s="311">
        <v>9778</v>
      </c>
      <c r="D14" s="71">
        <f>(OBSAH!$J$6/100)*Tabulka2010794[[#This Row],[Sloupec3]]</f>
        <v>0</v>
      </c>
      <c r="E14" s="57">
        <f>Tabulka2010794[[#This Row],[Sloupec3]]-Tabulka2010794[[#This Row],[Sloupec4]]</f>
        <v>9778</v>
      </c>
      <c r="F14" s="38"/>
      <c r="G14" s="38"/>
      <c r="H14" s="38"/>
      <c r="I14" s="38"/>
      <c r="J14" s="38"/>
      <c r="K14" s="38"/>
      <c r="L14" s="38"/>
      <c r="M14" s="38"/>
    </row>
    <row r="15" spans="1:14" s="32" customFormat="1" ht="14.25" customHeight="1" x14ac:dyDescent="0.3">
      <c r="A15" s="100">
        <v>4004004054</v>
      </c>
      <c r="B15" s="125" t="s">
        <v>956</v>
      </c>
      <c r="C15" s="311">
        <v>9785</v>
      </c>
      <c r="D15" s="71">
        <f>(OBSAH!$J$6/100)*Tabulka2010794[[#This Row],[Sloupec3]]</f>
        <v>0</v>
      </c>
      <c r="E15" s="57">
        <f>Tabulka2010794[[#This Row],[Sloupec3]]-Tabulka2010794[[#This Row],[Sloupec4]]</f>
        <v>9785</v>
      </c>
      <c r="F15" s="38"/>
      <c r="G15" s="38"/>
      <c r="H15" s="38"/>
      <c r="I15" s="38"/>
      <c r="J15" s="38"/>
      <c r="K15" s="38"/>
      <c r="L15" s="38"/>
      <c r="M15" s="38"/>
    </row>
    <row r="16" spans="1:14" s="32" customFormat="1" ht="14.25" customHeight="1" x14ac:dyDescent="0.3">
      <c r="A16" s="100">
        <v>4004004055</v>
      </c>
      <c r="B16" s="125" t="s">
        <v>957</v>
      </c>
      <c r="C16" s="311">
        <v>9947</v>
      </c>
      <c r="D16" s="71">
        <f>(OBSAH!$J$6/100)*Tabulka2010794[[#This Row],[Sloupec3]]</f>
        <v>0</v>
      </c>
      <c r="E16" s="57">
        <f>Tabulka2010794[[#This Row],[Sloupec3]]-Tabulka2010794[[#This Row],[Sloupec4]]</f>
        <v>9947</v>
      </c>
      <c r="F16" s="38"/>
      <c r="G16" s="38"/>
      <c r="H16" s="38"/>
      <c r="I16" s="38"/>
      <c r="J16" s="38"/>
      <c r="K16" s="38"/>
      <c r="L16" s="38"/>
      <c r="M16" s="38"/>
    </row>
    <row r="17" spans="1:13" s="32" customFormat="1" ht="14.25" customHeight="1" x14ac:dyDescent="0.3">
      <c r="A17" s="100">
        <v>4004004056</v>
      </c>
      <c r="B17" s="125" t="s">
        <v>958</v>
      </c>
      <c r="C17" s="311">
        <v>10126</v>
      </c>
      <c r="D17" s="71">
        <f>(OBSAH!$J$6/100)*Tabulka2010794[[#This Row],[Sloupec3]]</f>
        <v>0</v>
      </c>
      <c r="E17" s="57">
        <f>Tabulka2010794[[#This Row],[Sloupec3]]-Tabulka2010794[[#This Row],[Sloupec4]]</f>
        <v>10126</v>
      </c>
      <c r="F17" s="38"/>
      <c r="G17" s="38"/>
      <c r="H17" s="38"/>
      <c r="I17" s="38"/>
      <c r="J17" s="38"/>
      <c r="K17" s="38"/>
      <c r="L17" s="38"/>
      <c r="M17" s="38"/>
    </row>
    <row r="18" spans="1:13" s="32" customFormat="1" ht="14.25" customHeight="1" x14ac:dyDescent="0.3">
      <c r="A18" s="100">
        <v>4004004057</v>
      </c>
      <c r="B18" s="125" t="s">
        <v>959</v>
      </c>
      <c r="C18" s="311">
        <v>14175</v>
      </c>
      <c r="D18" s="71">
        <f>(OBSAH!$J$6/100)*Tabulka2010794[[#This Row],[Sloupec3]]</f>
        <v>0</v>
      </c>
      <c r="E18" s="57">
        <f>Tabulka2010794[[#This Row],[Sloupec3]]-Tabulka2010794[[#This Row],[Sloupec4]]</f>
        <v>14175</v>
      </c>
      <c r="F18" s="38"/>
      <c r="G18" s="38"/>
      <c r="H18" s="38"/>
      <c r="I18" s="38"/>
      <c r="J18" s="38"/>
      <c r="K18" s="38"/>
      <c r="L18" s="38"/>
      <c r="M18" s="38"/>
    </row>
    <row r="19" spans="1:13" s="32" customFormat="1" ht="14.25" customHeight="1" x14ac:dyDescent="0.3">
      <c r="A19" s="100">
        <v>4004004058</v>
      </c>
      <c r="B19" s="125" t="s">
        <v>960</v>
      </c>
      <c r="C19" s="311">
        <v>14195</v>
      </c>
      <c r="D19" s="71">
        <f>(OBSAH!$J$6/100)*Tabulka2010794[[#This Row],[Sloupec3]]</f>
        <v>0</v>
      </c>
      <c r="E19" s="57">
        <f>Tabulka2010794[[#This Row],[Sloupec3]]-Tabulka2010794[[#This Row],[Sloupec4]]</f>
        <v>14195</v>
      </c>
      <c r="F19" s="38"/>
      <c r="G19" s="38"/>
      <c r="H19" s="38"/>
      <c r="I19" s="38"/>
      <c r="J19" s="38"/>
      <c r="K19" s="38"/>
      <c r="L19" s="38"/>
      <c r="M19" s="38"/>
    </row>
    <row r="20" spans="1:13" s="32" customFormat="1" ht="14.25" customHeight="1" x14ac:dyDescent="0.3">
      <c r="A20" s="100">
        <v>4004004059</v>
      </c>
      <c r="B20" s="125" t="s">
        <v>961</v>
      </c>
      <c r="C20" s="311">
        <v>14205</v>
      </c>
      <c r="D20" s="71">
        <f>(OBSAH!$J$6/100)*Tabulka2010794[[#This Row],[Sloupec3]]</f>
        <v>0</v>
      </c>
      <c r="E20" s="57">
        <f>Tabulka2010794[[#This Row],[Sloupec3]]-Tabulka2010794[[#This Row],[Sloupec4]]</f>
        <v>14205</v>
      </c>
      <c r="F20" s="38"/>
      <c r="G20" s="448"/>
      <c r="H20" s="448"/>
      <c r="I20" s="448"/>
      <c r="J20" s="448"/>
      <c r="K20" s="448"/>
      <c r="L20" s="448"/>
      <c r="M20" s="38"/>
    </row>
    <row r="21" spans="1:13" s="32" customFormat="1" ht="14.25" customHeight="1" x14ac:dyDescent="0.3">
      <c r="A21" s="100">
        <v>4004004060</v>
      </c>
      <c r="B21" s="125" t="s">
        <v>962</v>
      </c>
      <c r="C21" s="311">
        <v>14368</v>
      </c>
      <c r="D21" s="71">
        <f>(OBSAH!$J$6/100)*Tabulka2010794[[#This Row],[Sloupec3]]</f>
        <v>0</v>
      </c>
      <c r="E21" s="57">
        <f>Tabulka2010794[[#This Row],[Sloupec3]]-Tabulka2010794[[#This Row],[Sloupec4]]</f>
        <v>14368</v>
      </c>
      <c r="F21" s="38"/>
      <c r="G21" s="430"/>
      <c r="H21" s="430"/>
      <c r="I21" s="430"/>
      <c r="J21" s="430"/>
      <c r="K21" s="430"/>
      <c r="L21" s="430"/>
      <c r="M21" s="38"/>
    </row>
    <row r="22" spans="1:13" s="32" customFormat="1" ht="14.25" customHeight="1" x14ac:dyDescent="0.3">
      <c r="A22" s="100">
        <v>4004004061</v>
      </c>
      <c r="B22" s="125" t="s">
        <v>963</v>
      </c>
      <c r="C22" s="311">
        <v>14544</v>
      </c>
      <c r="D22" s="71">
        <f>(OBSAH!$J$6/100)*Tabulka2010794[[#This Row],[Sloupec3]]</f>
        <v>0</v>
      </c>
      <c r="E22" s="57">
        <f>Tabulka2010794[[#This Row],[Sloupec3]]-Tabulka2010794[[#This Row],[Sloupec4]]</f>
        <v>14544</v>
      </c>
      <c r="F22" s="38"/>
      <c r="G22" s="448"/>
      <c r="H22" s="448"/>
      <c r="I22" s="448"/>
      <c r="J22" s="448"/>
      <c r="K22" s="448"/>
      <c r="L22" s="448"/>
      <c r="M22" s="38"/>
    </row>
    <row r="23" spans="1:13" s="32" customFormat="1" ht="14.25" customHeight="1" x14ac:dyDescent="0.3">
      <c r="A23" s="100">
        <v>4004004062</v>
      </c>
      <c r="B23" s="125" t="s">
        <v>964</v>
      </c>
      <c r="C23" s="311">
        <v>17772</v>
      </c>
      <c r="D23" s="71">
        <f>(OBSAH!$J$6/100)*Tabulka2010794[[#This Row],[Sloupec3]]</f>
        <v>0</v>
      </c>
      <c r="E23" s="57">
        <f>Tabulka2010794[[#This Row],[Sloupec3]]-Tabulka2010794[[#This Row],[Sloupec4]]</f>
        <v>17772</v>
      </c>
      <c r="F23" s="38"/>
      <c r="G23" s="430"/>
      <c r="H23" s="430"/>
      <c r="I23" s="430"/>
      <c r="J23" s="430"/>
      <c r="K23" s="430"/>
      <c r="L23" s="430"/>
      <c r="M23" s="38"/>
    </row>
    <row r="24" spans="1:13" s="32" customFormat="1" ht="14.25" customHeight="1" x14ac:dyDescent="0.3">
      <c r="A24" s="100">
        <v>4004004063</v>
      </c>
      <c r="B24" s="125" t="s">
        <v>965</v>
      </c>
      <c r="C24" s="311">
        <v>18030</v>
      </c>
      <c r="D24" s="71">
        <f>(OBSAH!$J$6/100)*Tabulka2010794[[#This Row],[Sloupec3]]</f>
        <v>0</v>
      </c>
      <c r="E24" s="57">
        <f>Tabulka2010794[[#This Row],[Sloupec3]]-Tabulka2010794[[#This Row],[Sloupec4]]</f>
        <v>18030</v>
      </c>
      <c r="F24" s="38"/>
      <c r="G24" s="38"/>
      <c r="H24" s="38"/>
      <c r="I24" s="38"/>
      <c r="J24" s="38"/>
      <c r="K24" s="38"/>
      <c r="L24" s="38"/>
      <c r="M24" s="38"/>
    </row>
    <row r="25" spans="1:13" s="32" customFormat="1" ht="14.25" customHeight="1" x14ac:dyDescent="0.3">
      <c r="A25" s="100">
        <v>4004004064</v>
      </c>
      <c r="B25" s="125" t="s">
        <v>966</v>
      </c>
      <c r="C25" s="311">
        <v>18193</v>
      </c>
      <c r="D25" s="71">
        <f>(OBSAH!$J$6/100)*Tabulka2010794[[#This Row],[Sloupec3]]</f>
        <v>0</v>
      </c>
      <c r="E25" s="57">
        <f>Tabulka2010794[[#This Row],[Sloupec3]]-Tabulka2010794[[#This Row],[Sloupec4]]</f>
        <v>18193</v>
      </c>
      <c r="F25" s="38"/>
      <c r="G25" s="38"/>
      <c r="H25" s="38"/>
      <c r="I25" s="38"/>
      <c r="J25" s="38"/>
      <c r="K25" s="38"/>
      <c r="L25" s="38"/>
      <c r="M25" s="38"/>
    </row>
    <row r="26" spans="1:13" s="32" customFormat="1" ht="14.25" customHeight="1" x14ac:dyDescent="0.3">
      <c r="A26" s="100">
        <v>4004004065</v>
      </c>
      <c r="B26" s="125" t="s">
        <v>967</v>
      </c>
      <c r="C26" s="311">
        <v>18200</v>
      </c>
      <c r="D26" s="71">
        <f>(OBSAH!$J$6/100)*Tabulka2010794[[#This Row],[Sloupec3]]</f>
        <v>0</v>
      </c>
      <c r="E26" s="57">
        <f>Tabulka2010794[[#This Row],[Sloupec3]]-Tabulka2010794[[#This Row],[Sloupec4]]</f>
        <v>18200</v>
      </c>
      <c r="F26" s="38"/>
      <c r="G26" s="38"/>
      <c r="H26" s="38"/>
      <c r="I26" s="38"/>
      <c r="J26" s="38"/>
      <c r="K26" s="38"/>
      <c r="L26" s="38"/>
      <c r="M26" s="38"/>
    </row>
    <row r="27" spans="1:13" s="32" customFormat="1" ht="14.25" customHeight="1" x14ac:dyDescent="0.3">
      <c r="A27" s="100">
        <v>4004004066</v>
      </c>
      <c r="B27" s="125" t="s">
        <v>968</v>
      </c>
      <c r="C27" s="311">
        <v>18380</v>
      </c>
      <c r="D27" s="71">
        <f>(OBSAH!$J$6/100)*Tabulka2010794[[#This Row],[Sloupec3]]</f>
        <v>0</v>
      </c>
      <c r="E27" s="57">
        <f>Tabulka2010794[[#This Row],[Sloupec3]]-Tabulka2010794[[#This Row],[Sloupec4]]</f>
        <v>18380</v>
      </c>
      <c r="F27" s="38"/>
      <c r="G27" s="38"/>
      <c r="H27" s="38"/>
      <c r="I27" s="38"/>
      <c r="J27" s="38"/>
      <c r="K27" s="38"/>
      <c r="L27" s="38"/>
      <c r="M27" s="38"/>
    </row>
    <row r="28" spans="1:13" s="32" customFormat="1" ht="14.25" customHeight="1" x14ac:dyDescent="0.3">
      <c r="A28" s="100">
        <v>4004004067</v>
      </c>
      <c r="B28" s="125" t="s">
        <v>969</v>
      </c>
      <c r="C28" s="311">
        <v>22190</v>
      </c>
      <c r="D28" s="71">
        <f>(OBSAH!$J$6/100)*Tabulka2010794[[#This Row],[Sloupec3]]</f>
        <v>0</v>
      </c>
      <c r="E28" s="57">
        <f>Tabulka2010794[[#This Row],[Sloupec3]]-Tabulka2010794[[#This Row],[Sloupec4]]</f>
        <v>22190</v>
      </c>
      <c r="F28" s="38"/>
      <c r="G28" s="38"/>
      <c r="H28" s="38"/>
      <c r="I28" s="38"/>
      <c r="J28" s="38"/>
      <c r="K28" s="38"/>
      <c r="L28" s="38"/>
      <c r="M28" s="38"/>
    </row>
    <row r="29" spans="1:13" s="32" customFormat="1" ht="14.25" customHeight="1" x14ac:dyDescent="0.3">
      <c r="A29" s="100">
        <v>4004004068</v>
      </c>
      <c r="B29" s="125" t="s">
        <v>970</v>
      </c>
      <c r="C29" s="311">
        <v>22448</v>
      </c>
      <c r="D29" s="71">
        <f>(OBSAH!$J$6/100)*Tabulka2010794[[#This Row],[Sloupec3]]</f>
        <v>0</v>
      </c>
      <c r="E29" s="57">
        <f>Tabulka2010794[[#This Row],[Sloupec3]]-Tabulka2010794[[#This Row],[Sloupec4]]</f>
        <v>22448</v>
      </c>
      <c r="F29" s="38"/>
      <c r="G29" s="38"/>
      <c r="H29" s="38"/>
      <c r="I29" s="38"/>
      <c r="J29" s="38"/>
      <c r="K29" s="38"/>
      <c r="L29" s="38"/>
      <c r="M29" s="38"/>
    </row>
    <row r="30" spans="1:13" s="32" customFormat="1" ht="14.25" customHeight="1" x14ac:dyDescent="0.3">
      <c r="A30" s="100">
        <v>4004004069</v>
      </c>
      <c r="B30" s="125" t="s">
        <v>971</v>
      </c>
      <c r="C30" s="311">
        <v>22457</v>
      </c>
      <c r="D30" s="71">
        <f>(OBSAH!$J$6/100)*Tabulka2010794[[#This Row],[Sloupec3]]</f>
        <v>0</v>
      </c>
      <c r="E30" s="57">
        <f>Tabulka2010794[[#This Row],[Sloupec3]]-Tabulka2010794[[#This Row],[Sloupec4]]</f>
        <v>22457</v>
      </c>
      <c r="F30" s="38"/>
      <c r="G30" s="38"/>
      <c r="H30" s="38"/>
      <c r="I30" s="38"/>
      <c r="J30" s="38"/>
      <c r="K30" s="38"/>
      <c r="L30" s="38"/>
      <c r="M30" s="38"/>
    </row>
    <row r="31" spans="1:13" s="32" customFormat="1" ht="14.25" customHeight="1" x14ac:dyDescent="0.3">
      <c r="A31" s="100">
        <v>4004004070</v>
      </c>
      <c r="B31" s="125" t="s">
        <v>972</v>
      </c>
      <c r="C31" s="311">
        <v>22621</v>
      </c>
      <c r="D31" s="71">
        <f>(OBSAH!$J$6/100)*Tabulka2010794[[#This Row],[Sloupec3]]</f>
        <v>0</v>
      </c>
      <c r="E31" s="57">
        <f>Tabulka2010794[[#This Row],[Sloupec3]]-Tabulka2010794[[#This Row],[Sloupec4]]</f>
        <v>22621</v>
      </c>
      <c r="F31" s="38"/>
      <c r="G31" s="38"/>
      <c r="H31" s="38"/>
      <c r="I31" s="38"/>
      <c r="J31" s="38"/>
      <c r="K31" s="38"/>
      <c r="L31" s="38"/>
      <c r="M31" s="38"/>
    </row>
    <row r="32" spans="1:13" s="32" customFormat="1" ht="14.25" customHeight="1" x14ac:dyDescent="0.3">
      <c r="A32" s="100">
        <v>4004004071</v>
      </c>
      <c r="B32" s="125" t="s">
        <v>973</v>
      </c>
      <c r="C32" s="311">
        <v>22796</v>
      </c>
      <c r="D32" s="71">
        <f>(OBSAH!$J$6/100)*Tabulka2010794[[#This Row],[Sloupec3]]</f>
        <v>0</v>
      </c>
      <c r="E32" s="57">
        <f>Tabulka2010794[[#This Row],[Sloupec3]]-Tabulka2010794[[#This Row],[Sloupec4]]</f>
        <v>22796</v>
      </c>
      <c r="F32" s="38"/>
      <c r="G32" s="38"/>
      <c r="H32" s="38"/>
      <c r="I32" s="38"/>
      <c r="J32" s="38"/>
      <c r="K32" s="38"/>
      <c r="L32" s="38"/>
      <c r="M32" s="38"/>
    </row>
    <row r="33" spans="1:14" s="32" customFormat="1" ht="14.25" customHeight="1" x14ac:dyDescent="0.3">
      <c r="A33" s="100">
        <v>4004004072</v>
      </c>
      <c r="B33" s="125" t="s">
        <v>974</v>
      </c>
      <c r="C33" s="311">
        <v>26285</v>
      </c>
      <c r="D33" s="71">
        <f>(OBSAH!$J$6/100)*Tabulka2010794[[#This Row],[Sloupec3]]</f>
        <v>0</v>
      </c>
      <c r="E33" s="57">
        <f>Tabulka2010794[[#This Row],[Sloupec3]]-Tabulka2010794[[#This Row],[Sloupec4]]</f>
        <v>26285</v>
      </c>
      <c r="F33" s="38"/>
      <c r="G33" s="38"/>
      <c r="H33" s="38"/>
      <c r="I33" s="38"/>
      <c r="J33" s="38"/>
      <c r="K33" s="38"/>
      <c r="L33" s="38"/>
      <c r="M33" s="38"/>
    </row>
    <row r="34" spans="1:14" s="32" customFormat="1" ht="14.25" customHeight="1" x14ac:dyDescent="0.3">
      <c r="A34" s="100">
        <v>4004004073</v>
      </c>
      <c r="B34" s="125" t="s">
        <v>975</v>
      </c>
      <c r="C34" s="311">
        <v>26548</v>
      </c>
      <c r="D34" s="71">
        <f>(OBSAH!$J$6/100)*Tabulka2010794[[#This Row],[Sloupec3]]</f>
        <v>0</v>
      </c>
      <c r="E34" s="57">
        <f>Tabulka2010794[[#This Row],[Sloupec3]]-Tabulka2010794[[#This Row],[Sloupec4]]</f>
        <v>26548</v>
      </c>
      <c r="F34" s="38"/>
      <c r="G34" s="38"/>
      <c r="H34" s="38"/>
      <c r="I34" s="38"/>
      <c r="J34" s="38"/>
      <c r="K34" s="38"/>
      <c r="L34" s="38"/>
      <c r="M34" s="38"/>
    </row>
    <row r="35" spans="1:14" s="32" customFormat="1" ht="14.25" customHeight="1" x14ac:dyDescent="0.3">
      <c r="A35" s="100">
        <v>4004004074</v>
      </c>
      <c r="B35" s="125" t="s">
        <v>976</v>
      </c>
      <c r="C35" s="311">
        <v>26554</v>
      </c>
      <c r="D35" s="71">
        <f>(OBSAH!$J$6/100)*Tabulka2010794[[#This Row],[Sloupec3]]</f>
        <v>0</v>
      </c>
      <c r="E35" s="57">
        <f>Tabulka2010794[[#This Row],[Sloupec3]]-Tabulka2010794[[#This Row],[Sloupec4]]</f>
        <v>26554</v>
      </c>
      <c r="F35" s="38"/>
      <c r="G35" s="38"/>
      <c r="H35" s="38"/>
      <c r="I35" s="38"/>
      <c r="J35" s="38"/>
      <c r="K35" s="38"/>
      <c r="L35" s="38"/>
      <c r="M35" s="38"/>
    </row>
    <row r="36" spans="1:14" s="32" customFormat="1" ht="14.25" customHeight="1" x14ac:dyDescent="0.3">
      <c r="A36" s="100">
        <v>4004004075</v>
      </c>
      <c r="B36" s="125" t="s">
        <v>977</v>
      </c>
      <c r="C36" s="311">
        <v>26717</v>
      </c>
      <c r="D36" s="71">
        <f>(OBSAH!$J$6/100)*Tabulka2010794[[#This Row],[Sloupec3]]</f>
        <v>0</v>
      </c>
      <c r="E36" s="57">
        <f>Tabulka2010794[[#This Row],[Sloupec3]]-Tabulka2010794[[#This Row],[Sloupec4]]</f>
        <v>26717</v>
      </c>
      <c r="F36" s="38"/>
      <c r="G36" s="38"/>
      <c r="H36" s="38"/>
      <c r="I36" s="38"/>
      <c r="J36" s="38"/>
      <c r="K36" s="38"/>
      <c r="L36" s="38"/>
      <c r="M36" s="38"/>
    </row>
    <row r="37" spans="1:14" s="32" customFormat="1" ht="14.25" customHeight="1" x14ac:dyDescent="0.3">
      <c r="A37" s="100">
        <v>4004004076</v>
      </c>
      <c r="B37" s="125" t="s">
        <v>978</v>
      </c>
      <c r="C37" s="311">
        <v>26895</v>
      </c>
      <c r="D37" s="71">
        <f>(OBSAH!$J$6/100)*Tabulka2010794[[#This Row],[Sloupec3]]</f>
        <v>0</v>
      </c>
      <c r="E37" s="57">
        <f>Tabulka2010794[[#This Row],[Sloupec3]]-Tabulka2010794[[#This Row],[Sloupec4]]</f>
        <v>26895</v>
      </c>
      <c r="F37" s="38"/>
      <c r="G37" s="38"/>
      <c r="H37" s="38"/>
      <c r="I37" s="38"/>
      <c r="J37" s="38"/>
      <c r="K37" s="38"/>
      <c r="L37" s="38"/>
      <c r="M37" s="38"/>
    </row>
    <row r="38" spans="1:14" s="32" customFormat="1" ht="14.25" customHeight="1" x14ac:dyDescent="0.3">
      <c r="A38" s="100">
        <v>4004004077</v>
      </c>
      <c r="B38" s="125" t="s">
        <v>979</v>
      </c>
      <c r="C38" s="311">
        <v>30657</v>
      </c>
      <c r="D38" s="71">
        <f>(OBSAH!$J$6/100)*Tabulka2010794[[#This Row],[Sloupec3]]</f>
        <v>0</v>
      </c>
      <c r="E38" s="57">
        <f>Tabulka2010794[[#This Row],[Sloupec3]]-Tabulka2010794[[#This Row],[Sloupec4]]</f>
        <v>30657</v>
      </c>
      <c r="F38" s="38"/>
      <c r="G38" s="38"/>
      <c r="H38" s="38"/>
      <c r="I38" s="38"/>
      <c r="J38" s="38"/>
      <c r="K38" s="38"/>
      <c r="L38" s="38"/>
      <c r="M38" s="38"/>
    </row>
    <row r="39" spans="1:14" s="32" customFormat="1" ht="14.25" customHeight="1" x14ac:dyDescent="0.3">
      <c r="A39" s="100">
        <v>4004004078</v>
      </c>
      <c r="B39" s="125" t="s">
        <v>980</v>
      </c>
      <c r="C39" s="311">
        <v>30918</v>
      </c>
      <c r="D39" s="71">
        <f>(OBSAH!$J$6/100)*Tabulka2010794[[#This Row],[Sloupec3]]</f>
        <v>0</v>
      </c>
      <c r="E39" s="57">
        <f>Tabulka2010794[[#This Row],[Sloupec3]]-Tabulka2010794[[#This Row],[Sloupec4]]</f>
        <v>30918</v>
      </c>
      <c r="F39" s="38"/>
      <c r="G39" s="38"/>
      <c r="H39" s="38"/>
      <c r="I39" s="38"/>
      <c r="J39" s="38"/>
      <c r="K39" s="38"/>
      <c r="L39" s="38"/>
      <c r="M39" s="38"/>
    </row>
    <row r="40" spans="1:14" s="32" customFormat="1" ht="14.25" customHeight="1" x14ac:dyDescent="0.3">
      <c r="A40" s="100">
        <v>4004004079</v>
      </c>
      <c r="B40" s="125" t="s">
        <v>981</v>
      </c>
      <c r="C40" s="311">
        <v>30927</v>
      </c>
      <c r="D40" s="71">
        <f>(OBSAH!$J$6/100)*Tabulka2010794[[#This Row],[Sloupec3]]</f>
        <v>0</v>
      </c>
      <c r="E40" s="57">
        <f>Tabulka2010794[[#This Row],[Sloupec3]]-Tabulka2010794[[#This Row],[Sloupec4]]</f>
        <v>30927</v>
      </c>
      <c r="F40" s="38"/>
      <c r="G40" s="38"/>
      <c r="H40" s="38"/>
      <c r="I40" s="38"/>
      <c r="J40" s="38"/>
      <c r="K40" s="38"/>
      <c r="L40" s="38"/>
      <c r="M40" s="38"/>
    </row>
    <row r="41" spans="1:14" s="32" customFormat="1" ht="14.25" customHeight="1" x14ac:dyDescent="0.3">
      <c r="A41" s="100">
        <v>4004004080</v>
      </c>
      <c r="B41" s="125" t="s">
        <v>982</v>
      </c>
      <c r="C41" s="311">
        <v>31089</v>
      </c>
      <c r="D41" s="71">
        <f>(OBSAH!$J$6/100)*Tabulka2010794[[#This Row],[Sloupec3]]</f>
        <v>0</v>
      </c>
      <c r="E41" s="57">
        <f>Tabulka2010794[[#This Row],[Sloupec3]]-Tabulka2010794[[#This Row],[Sloupec4]]</f>
        <v>31089</v>
      </c>
      <c r="F41" s="38"/>
      <c r="G41" s="38"/>
      <c r="H41" s="38"/>
      <c r="I41" s="38"/>
      <c r="J41" s="38"/>
      <c r="K41" s="38"/>
      <c r="L41" s="38"/>
      <c r="M41" s="38"/>
    </row>
    <row r="42" spans="1:14" s="32" customFormat="1" ht="14.25" customHeight="1" x14ac:dyDescent="0.3">
      <c r="A42" s="101">
        <v>4004004081</v>
      </c>
      <c r="B42" s="102" t="s">
        <v>983</v>
      </c>
      <c r="C42" s="312">
        <v>31266</v>
      </c>
      <c r="D42" s="68">
        <f>(OBSAH!$J$6/100)*Tabulka2010794[[#This Row],[Sloupec3]]</f>
        <v>0</v>
      </c>
      <c r="E42" s="58">
        <f>Tabulka2010794[[#This Row],[Sloupec3]]-Tabulka2010794[[#This Row],[Sloupec4]]</f>
        <v>31266</v>
      </c>
      <c r="F42" s="38"/>
      <c r="G42" s="38"/>
      <c r="H42" s="38"/>
      <c r="I42" s="38"/>
      <c r="J42" s="38"/>
      <c r="K42" s="38"/>
      <c r="L42" s="38"/>
      <c r="M42" s="38"/>
    </row>
    <row r="43" spans="1:14" ht="15" customHeight="1" x14ac:dyDescent="0.4">
      <c r="A43" s="103"/>
      <c r="B43" s="84"/>
      <c r="C43" s="131"/>
      <c r="D43" s="61"/>
      <c r="E43" s="62"/>
      <c r="F43" s="3"/>
      <c r="G43" s="3"/>
      <c r="H43" s="3"/>
      <c r="I43" s="3"/>
      <c r="J43" s="3"/>
      <c r="K43" s="3"/>
      <c r="L43" s="3"/>
      <c r="M43" s="3"/>
      <c r="N43" s="32"/>
    </row>
    <row r="44" spans="1:14" ht="22.5" customHeight="1" x14ac:dyDescent="0.4">
      <c r="A44" s="472" t="s">
        <v>91</v>
      </c>
      <c r="B44" s="472"/>
      <c r="C44" s="472"/>
      <c r="D44" s="472"/>
      <c r="E44" s="472"/>
      <c r="F44" s="3"/>
      <c r="G44" s="3"/>
      <c r="H44" s="3"/>
      <c r="I44" s="3"/>
      <c r="J44" s="3"/>
      <c r="K44" s="3"/>
      <c r="L44" s="3"/>
      <c r="M44" s="3"/>
      <c r="N44" s="32"/>
    </row>
    <row r="45" spans="1:14" s="44" customFormat="1" ht="22.5" customHeight="1" x14ac:dyDescent="0.3">
      <c r="A45" s="64" t="s">
        <v>56</v>
      </c>
      <c r="B45" s="64" t="s">
        <v>57</v>
      </c>
      <c r="C45" s="65" t="s">
        <v>58</v>
      </c>
      <c r="D45" s="65" t="s">
        <v>59</v>
      </c>
      <c r="E45" s="66" t="s">
        <v>60</v>
      </c>
      <c r="F45" s="42"/>
      <c r="G45" s="42"/>
      <c r="H45" s="42"/>
      <c r="I45" s="42"/>
      <c r="J45" s="42"/>
      <c r="K45" s="42"/>
      <c r="L45" s="42"/>
      <c r="M45" s="42"/>
      <c r="N45" s="32"/>
    </row>
    <row r="46" spans="1:14" s="32" customFormat="1" ht="14.25" customHeight="1" x14ac:dyDescent="0.3">
      <c r="A46" s="98" t="s">
        <v>984</v>
      </c>
      <c r="B46" s="99" t="s">
        <v>985</v>
      </c>
      <c r="C46" s="310">
        <v>6604</v>
      </c>
      <c r="D46" s="69">
        <f>(OBSAH!$J$6/100)*Tabulka201079496[[#This Row],[Sloupec3]]</f>
        <v>0</v>
      </c>
      <c r="E46" s="70">
        <f>Tabulka201079496[[#This Row],[Sloupec3]]-Tabulka201079496[[#This Row],[Sloupec4]]</f>
        <v>6604</v>
      </c>
      <c r="F46" s="38"/>
      <c r="G46" s="38"/>
      <c r="H46" s="38"/>
      <c r="I46" s="38"/>
      <c r="J46" s="38"/>
      <c r="K46" s="38"/>
      <c r="L46" s="38"/>
      <c r="M46" s="38"/>
    </row>
    <row r="47" spans="1:14" s="32" customFormat="1" ht="14.25" customHeight="1" x14ac:dyDescent="0.3">
      <c r="A47" s="100" t="s">
        <v>986</v>
      </c>
      <c r="B47" s="125" t="s">
        <v>987</v>
      </c>
      <c r="C47" s="311">
        <v>6838</v>
      </c>
      <c r="D47" s="71">
        <f>(OBSAH!$J$6/100)*Tabulka201079496[[#This Row],[Sloupec3]]</f>
        <v>0</v>
      </c>
      <c r="E47" s="57">
        <f>Tabulka201079496[[#This Row],[Sloupec3]]-Tabulka201079496[[#This Row],[Sloupec4]]</f>
        <v>6838</v>
      </c>
      <c r="F47" s="38"/>
      <c r="G47" s="38"/>
      <c r="H47" s="38"/>
      <c r="I47" s="38"/>
      <c r="J47" s="38"/>
      <c r="K47" s="38"/>
      <c r="L47" s="38"/>
      <c r="M47" s="38"/>
    </row>
    <row r="48" spans="1:14" s="32" customFormat="1" ht="14.25" customHeight="1" x14ac:dyDescent="0.3">
      <c r="A48" s="100" t="s">
        <v>988</v>
      </c>
      <c r="B48" s="125" t="s">
        <v>989</v>
      </c>
      <c r="C48" s="311">
        <v>7012</v>
      </c>
      <c r="D48" s="71">
        <f>(OBSAH!$J$6/100)*Tabulka201079496[[#This Row],[Sloupec3]]</f>
        <v>0</v>
      </c>
      <c r="E48" s="57">
        <f>Tabulka201079496[[#This Row],[Sloupec3]]-Tabulka201079496[[#This Row],[Sloupec4]]</f>
        <v>7012</v>
      </c>
      <c r="F48" s="38"/>
      <c r="G48" s="38"/>
      <c r="H48" s="38"/>
      <c r="I48" s="38"/>
      <c r="J48" s="38"/>
      <c r="K48" s="38"/>
      <c r="L48" s="38"/>
      <c r="M48" s="38"/>
    </row>
    <row r="49" spans="1:13" s="32" customFormat="1" ht="14.25" customHeight="1" x14ac:dyDescent="0.3">
      <c r="A49" s="100" t="s">
        <v>990</v>
      </c>
      <c r="B49" s="125" t="s">
        <v>991</v>
      </c>
      <c r="C49" s="311">
        <v>9958</v>
      </c>
      <c r="D49" s="71">
        <f>(OBSAH!$J$6/100)*Tabulka201079496[[#This Row],[Sloupec3]]</f>
        <v>0</v>
      </c>
      <c r="E49" s="57">
        <f>Tabulka201079496[[#This Row],[Sloupec3]]-Tabulka201079496[[#This Row],[Sloupec4]]</f>
        <v>9958</v>
      </c>
      <c r="F49" s="38"/>
      <c r="G49" s="38"/>
      <c r="H49" s="38"/>
      <c r="I49" s="38"/>
      <c r="J49" s="38"/>
      <c r="K49" s="38"/>
      <c r="L49" s="38"/>
      <c r="M49" s="38"/>
    </row>
    <row r="50" spans="1:13" s="32" customFormat="1" ht="14.25" customHeight="1" x14ac:dyDescent="0.3">
      <c r="A50" s="100" t="s">
        <v>992</v>
      </c>
      <c r="B50" s="125" t="s">
        <v>993</v>
      </c>
      <c r="C50" s="311">
        <v>10218</v>
      </c>
      <c r="D50" s="71">
        <f>(OBSAH!$J$6/100)*Tabulka201079496[[#This Row],[Sloupec3]]</f>
        <v>0</v>
      </c>
      <c r="E50" s="57">
        <f>Tabulka201079496[[#This Row],[Sloupec3]]-Tabulka201079496[[#This Row],[Sloupec4]]</f>
        <v>10218</v>
      </c>
      <c r="F50" s="38"/>
      <c r="G50" s="38"/>
      <c r="H50" s="38"/>
      <c r="I50" s="38"/>
      <c r="J50" s="38"/>
      <c r="K50" s="38"/>
      <c r="L50" s="38"/>
      <c r="M50" s="38"/>
    </row>
    <row r="51" spans="1:13" s="32" customFormat="1" ht="14.25" customHeight="1" x14ac:dyDescent="0.3">
      <c r="A51" s="100" t="s">
        <v>994</v>
      </c>
      <c r="B51" s="125" t="s">
        <v>995</v>
      </c>
      <c r="C51" s="311">
        <v>10227</v>
      </c>
      <c r="D51" s="71">
        <f>(OBSAH!$J$6/100)*Tabulka201079496[[#This Row],[Sloupec3]]</f>
        <v>0</v>
      </c>
      <c r="E51" s="57">
        <f>Tabulka201079496[[#This Row],[Sloupec3]]-Tabulka201079496[[#This Row],[Sloupec4]]</f>
        <v>10227</v>
      </c>
      <c r="F51" s="38"/>
      <c r="G51" s="38"/>
      <c r="H51" s="38"/>
      <c r="I51" s="38"/>
      <c r="J51" s="38"/>
      <c r="K51" s="38"/>
      <c r="L51" s="38"/>
      <c r="M51" s="38"/>
    </row>
    <row r="52" spans="1:13" s="32" customFormat="1" ht="14.25" customHeight="1" x14ac:dyDescent="0.3">
      <c r="A52" s="100" t="s">
        <v>996</v>
      </c>
      <c r="B52" s="125" t="s">
        <v>997</v>
      </c>
      <c r="C52" s="311">
        <v>10390</v>
      </c>
      <c r="D52" s="71">
        <f>(OBSAH!$J$6/100)*Tabulka201079496[[#This Row],[Sloupec3]]</f>
        <v>0</v>
      </c>
      <c r="E52" s="57">
        <f>Tabulka201079496[[#This Row],[Sloupec3]]-Tabulka201079496[[#This Row],[Sloupec4]]</f>
        <v>10390</v>
      </c>
      <c r="F52" s="38"/>
      <c r="G52" s="38"/>
      <c r="H52" s="38"/>
      <c r="I52" s="38"/>
      <c r="J52" s="38"/>
      <c r="K52" s="38"/>
      <c r="L52" s="38"/>
      <c r="M52" s="38"/>
    </row>
    <row r="53" spans="1:13" s="32" customFormat="1" ht="14.25" customHeight="1" x14ac:dyDescent="0.3">
      <c r="A53" s="100" t="s">
        <v>998</v>
      </c>
      <c r="B53" s="125" t="s">
        <v>999</v>
      </c>
      <c r="C53" s="311">
        <v>10566</v>
      </c>
      <c r="D53" s="71">
        <f>(OBSAH!$J$6/100)*Tabulka201079496[[#This Row],[Sloupec3]]</f>
        <v>0</v>
      </c>
      <c r="E53" s="57">
        <f>Tabulka201079496[[#This Row],[Sloupec3]]-Tabulka201079496[[#This Row],[Sloupec4]]</f>
        <v>10566</v>
      </c>
      <c r="F53" s="38"/>
      <c r="G53" s="38"/>
      <c r="H53" s="38"/>
      <c r="I53" s="38"/>
      <c r="J53" s="38"/>
      <c r="K53" s="38"/>
      <c r="L53" s="38"/>
      <c r="M53" s="38"/>
    </row>
    <row r="54" spans="1:13" s="32" customFormat="1" ht="14.25" customHeight="1" x14ac:dyDescent="0.3">
      <c r="A54" s="100" t="s">
        <v>1000</v>
      </c>
      <c r="B54" s="125" t="s">
        <v>1001</v>
      </c>
      <c r="C54" s="311">
        <v>14616</v>
      </c>
      <c r="D54" s="71">
        <f>(OBSAH!$J$6/100)*Tabulka201079496[[#This Row],[Sloupec3]]</f>
        <v>0</v>
      </c>
      <c r="E54" s="57">
        <f>Tabulka201079496[[#This Row],[Sloupec3]]-Tabulka201079496[[#This Row],[Sloupec4]]</f>
        <v>14616</v>
      </c>
      <c r="F54" s="38"/>
      <c r="G54" s="38"/>
      <c r="H54" s="38"/>
      <c r="I54" s="38"/>
      <c r="J54" s="38"/>
      <c r="K54" s="38"/>
      <c r="L54" s="38"/>
      <c r="M54" s="38"/>
    </row>
    <row r="55" spans="1:13" s="32" customFormat="1" ht="14.25" customHeight="1" x14ac:dyDescent="0.3">
      <c r="A55" s="100" t="s">
        <v>1002</v>
      </c>
      <c r="B55" s="125" t="s">
        <v>1003</v>
      </c>
      <c r="C55" s="311">
        <v>14639</v>
      </c>
      <c r="D55" s="71">
        <f>(OBSAH!$J$6/100)*Tabulka201079496[[#This Row],[Sloupec3]]</f>
        <v>0</v>
      </c>
      <c r="E55" s="57">
        <f>Tabulka201079496[[#This Row],[Sloupec3]]-Tabulka201079496[[#This Row],[Sloupec4]]</f>
        <v>14639</v>
      </c>
      <c r="F55" s="38"/>
      <c r="G55" s="38"/>
      <c r="H55" s="38"/>
      <c r="I55" s="38"/>
      <c r="J55" s="38"/>
      <c r="K55" s="38"/>
      <c r="L55" s="38"/>
      <c r="M55" s="38"/>
    </row>
    <row r="56" spans="1:13" s="32" customFormat="1" ht="14.25" customHeight="1" x14ac:dyDescent="0.3">
      <c r="A56" s="100" t="s">
        <v>1004</v>
      </c>
      <c r="B56" s="125" t="s">
        <v>1005</v>
      </c>
      <c r="C56" s="311">
        <v>14645</v>
      </c>
      <c r="D56" s="71">
        <f>(OBSAH!$J$6/100)*Tabulka201079496[[#This Row],[Sloupec3]]</f>
        <v>0</v>
      </c>
      <c r="E56" s="57">
        <f>Tabulka201079496[[#This Row],[Sloupec3]]-Tabulka201079496[[#This Row],[Sloupec4]]</f>
        <v>14645</v>
      </c>
      <c r="F56" s="38"/>
      <c r="G56" s="38"/>
      <c r="H56" s="38"/>
      <c r="I56" s="38"/>
      <c r="J56" s="38"/>
      <c r="K56" s="38"/>
      <c r="L56" s="38"/>
      <c r="M56" s="38"/>
    </row>
    <row r="57" spans="1:13" s="32" customFormat="1" ht="14.25" customHeight="1" x14ac:dyDescent="0.3">
      <c r="A57" s="100" t="s">
        <v>1006</v>
      </c>
      <c r="B57" s="125" t="s">
        <v>1007</v>
      </c>
      <c r="C57" s="311">
        <v>14809</v>
      </c>
      <c r="D57" s="71">
        <f>(OBSAH!$J$6/100)*Tabulka201079496[[#This Row],[Sloupec3]]</f>
        <v>0</v>
      </c>
      <c r="E57" s="57">
        <f>Tabulka201079496[[#This Row],[Sloupec3]]-Tabulka201079496[[#This Row],[Sloupec4]]</f>
        <v>14809</v>
      </c>
      <c r="F57" s="38"/>
      <c r="G57" s="38"/>
      <c r="H57" s="38"/>
      <c r="I57" s="38"/>
      <c r="J57" s="38"/>
      <c r="K57" s="38"/>
      <c r="L57" s="38"/>
      <c r="M57" s="38"/>
    </row>
    <row r="58" spans="1:13" s="32" customFormat="1" ht="14.25" customHeight="1" x14ac:dyDescent="0.3">
      <c r="A58" s="100" t="s">
        <v>1008</v>
      </c>
      <c r="B58" s="125" t="s">
        <v>1009</v>
      </c>
      <c r="C58" s="311">
        <v>14986</v>
      </c>
      <c r="D58" s="71">
        <f>(OBSAH!$J$6/100)*Tabulka201079496[[#This Row],[Sloupec3]]</f>
        <v>0</v>
      </c>
      <c r="E58" s="57">
        <f>Tabulka201079496[[#This Row],[Sloupec3]]-Tabulka201079496[[#This Row],[Sloupec4]]</f>
        <v>14986</v>
      </c>
      <c r="F58" s="38"/>
      <c r="G58" s="38"/>
      <c r="H58" s="38"/>
      <c r="I58" s="38"/>
      <c r="J58" s="38"/>
      <c r="K58" s="38"/>
      <c r="L58" s="38"/>
      <c r="M58" s="38"/>
    </row>
    <row r="59" spans="1:13" s="32" customFormat="1" ht="14.25" customHeight="1" x14ac:dyDescent="0.3">
      <c r="A59" s="100" t="s">
        <v>1010</v>
      </c>
      <c r="B59" s="125" t="s">
        <v>1011</v>
      </c>
      <c r="C59" s="311">
        <v>18213</v>
      </c>
      <c r="D59" s="71">
        <f>(OBSAH!$J$6/100)*Tabulka201079496[[#This Row],[Sloupec3]]</f>
        <v>0</v>
      </c>
      <c r="E59" s="57">
        <f>Tabulka201079496[[#This Row],[Sloupec3]]-Tabulka201079496[[#This Row],[Sloupec4]]</f>
        <v>18213</v>
      </c>
      <c r="F59" s="38"/>
      <c r="G59" s="38"/>
      <c r="H59" s="38"/>
      <c r="I59" s="38"/>
      <c r="J59" s="38"/>
      <c r="K59" s="38"/>
      <c r="L59" s="38"/>
      <c r="M59" s="38"/>
    </row>
    <row r="60" spans="1:13" s="32" customFormat="1" ht="14.25" customHeight="1" x14ac:dyDescent="0.3">
      <c r="A60" s="100" t="s">
        <v>1012</v>
      </c>
      <c r="B60" s="125" t="s">
        <v>1013</v>
      </c>
      <c r="C60" s="311">
        <v>18473</v>
      </c>
      <c r="D60" s="71">
        <f>(OBSAH!$J$6/100)*Tabulka201079496[[#This Row],[Sloupec3]]</f>
        <v>0</v>
      </c>
      <c r="E60" s="57">
        <f>Tabulka201079496[[#This Row],[Sloupec3]]-Tabulka201079496[[#This Row],[Sloupec4]]</f>
        <v>18473</v>
      </c>
      <c r="F60" s="38"/>
      <c r="G60" s="38"/>
      <c r="H60" s="38"/>
      <c r="I60" s="38"/>
      <c r="J60" s="38"/>
      <c r="K60" s="38"/>
      <c r="L60" s="38"/>
      <c r="M60" s="38"/>
    </row>
    <row r="61" spans="1:13" s="32" customFormat="1" ht="14.25" customHeight="1" x14ac:dyDescent="0.3">
      <c r="A61" s="100" t="s">
        <v>1014</v>
      </c>
      <c r="B61" s="125" t="s">
        <v>1015</v>
      </c>
      <c r="C61" s="311">
        <v>18635</v>
      </c>
      <c r="D61" s="71">
        <f>(OBSAH!$J$6/100)*Tabulka201079496[[#This Row],[Sloupec3]]</f>
        <v>0</v>
      </c>
      <c r="E61" s="57">
        <f>Tabulka201079496[[#This Row],[Sloupec3]]-Tabulka201079496[[#This Row],[Sloupec4]]</f>
        <v>18635</v>
      </c>
      <c r="F61" s="38"/>
      <c r="G61" s="38"/>
      <c r="H61" s="38"/>
      <c r="I61" s="38"/>
      <c r="J61" s="38"/>
      <c r="K61" s="38"/>
      <c r="L61" s="38"/>
      <c r="M61" s="38"/>
    </row>
    <row r="62" spans="1:13" s="32" customFormat="1" ht="14.25" customHeight="1" x14ac:dyDescent="0.3">
      <c r="A62" s="100" t="s">
        <v>1016</v>
      </c>
      <c r="B62" s="125" t="s">
        <v>1017</v>
      </c>
      <c r="C62" s="311">
        <v>18641</v>
      </c>
      <c r="D62" s="71">
        <f>(OBSAH!$J$6/100)*Tabulka201079496[[#This Row],[Sloupec3]]</f>
        <v>0</v>
      </c>
      <c r="E62" s="57">
        <f>Tabulka201079496[[#This Row],[Sloupec3]]-Tabulka201079496[[#This Row],[Sloupec4]]</f>
        <v>18641</v>
      </c>
      <c r="F62" s="38"/>
      <c r="G62" s="38"/>
      <c r="H62" s="38"/>
      <c r="I62" s="38"/>
      <c r="J62" s="38"/>
      <c r="K62" s="38"/>
      <c r="L62" s="38"/>
      <c r="M62" s="38"/>
    </row>
    <row r="63" spans="1:13" s="32" customFormat="1" ht="14.25" customHeight="1" x14ac:dyDescent="0.3">
      <c r="A63" s="100" t="s">
        <v>1018</v>
      </c>
      <c r="B63" s="125" t="s">
        <v>1019</v>
      </c>
      <c r="C63" s="311">
        <v>18821</v>
      </c>
      <c r="D63" s="71">
        <f>(OBSAH!$J$6/100)*Tabulka201079496[[#This Row],[Sloupec3]]</f>
        <v>0</v>
      </c>
      <c r="E63" s="57">
        <f>Tabulka201079496[[#This Row],[Sloupec3]]-Tabulka201079496[[#This Row],[Sloupec4]]</f>
        <v>18821</v>
      </c>
      <c r="F63" s="38"/>
      <c r="G63" s="38"/>
      <c r="H63" s="38"/>
      <c r="I63" s="38"/>
      <c r="J63" s="38"/>
      <c r="K63" s="38"/>
      <c r="L63" s="38"/>
      <c r="M63" s="38"/>
    </row>
    <row r="64" spans="1:13" s="32" customFormat="1" ht="14.25" customHeight="1" x14ac:dyDescent="0.3">
      <c r="A64" s="100" t="s">
        <v>1020</v>
      </c>
      <c r="B64" s="125" t="s">
        <v>1021</v>
      </c>
      <c r="C64" s="311">
        <v>22630</v>
      </c>
      <c r="D64" s="71">
        <f>(OBSAH!$J$6/100)*Tabulka201079496[[#This Row],[Sloupec3]]</f>
        <v>0</v>
      </c>
      <c r="E64" s="57">
        <f>Tabulka201079496[[#This Row],[Sloupec3]]-Tabulka201079496[[#This Row],[Sloupec4]]</f>
        <v>22630</v>
      </c>
      <c r="F64" s="38"/>
      <c r="G64" s="38"/>
      <c r="H64" s="38"/>
      <c r="I64" s="38"/>
      <c r="J64" s="38"/>
      <c r="K64" s="38"/>
      <c r="L64" s="38"/>
      <c r="M64" s="38"/>
    </row>
    <row r="65" spans="1:13" s="32" customFormat="1" ht="14.25" customHeight="1" x14ac:dyDescent="0.3">
      <c r="A65" s="100" t="s">
        <v>1022</v>
      </c>
      <c r="B65" s="125" t="s">
        <v>1023</v>
      </c>
      <c r="C65" s="311">
        <v>22889</v>
      </c>
      <c r="D65" s="71">
        <f>(OBSAH!$J$6/100)*Tabulka201079496[[#This Row],[Sloupec3]]</f>
        <v>0</v>
      </c>
      <c r="E65" s="57">
        <f>Tabulka201079496[[#This Row],[Sloupec3]]-Tabulka201079496[[#This Row],[Sloupec4]]</f>
        <v>22889</v>
      </c>
      <c r="F65" s="38"/>
      <c r="G65" s="38"/>
      <c r="H65" s="38"/>
      <c r="I65" s="38"/>
      <c r="J65" s="38"/>
      <c r="K65" s="38"/>
      <c r="L65" s="38"/>
      <c r="M65" s="38"/>
    </row>
    <row r="66" spans="1:13" s="32" customFormat="1" ht="14.25" customHeight="1" x14ac:dyDescent="0.3">
      <c r="A66" s="100" t="s">
        <v>1024</v>
      </c>
      <c r="B66" s="125" t="s">
        <v>1025</v>
      </c>
      <c r="C66" s="311">
        <v>22898</v>
      </c>
      <c r="D66" s="71">
        <f>(OBSAH!$J$6/100)*Tabulka201079496[[#This Row],[Sloupec3]]</f>
        <v>0</v>
      </c>
      <c r="E66" s="57">
        <f>Tabulka201079496[[#This Row],[Sloupec3]]-Tabulka201079496[[#This Row],[Sloupec4]]</f>
        <v>22898</v>
      </c>
      <c r="F66" s="38"/>
      <c r="G66" s="38"/>
      <c r="H66" s="38"/>
      <c r="I66" s="38"/>
      <c r="J66" s="38"/>
      <c r="K66" s="38"/>
      <c r="L66" s="38"/>
      <c r="M66" s="38"/>
    </row>
    <row r="67" spans="1:13" s="32" customFormat="1" ht="14.25" customHeight="1" x14ac:dyDescent="0.3">
      <c r="A67" s="100" t="s">
        <v>1026</v>
      </c>
      <c r="B67" s="125" t="s">
        <v>1027</v>
      </c>
      <c r="C67" s="311">
        <v>23061</v>
      </c>
      <c r="D67" s="71">
        <f>(OBSAH!$J$6/100)*Tabulka201079496[[#This Row],[Sloupec3]]</f>
        <v>0</v>
      </c>
      <c r="E67" s="57">
        <f>Tabulka201079496[[#This Row],[Sloupec3]]-Tabulka201079496[[#This Row],[Sloupec4]]</f>
        <v>23061</v>
      </c>
      <c r="F67" s="38"/>
      <c r="G67" s="38"/>
      <c r="H67" s="38"/>
      <c r="I67" s="38"/>
      <c r="J67" s="38"/>
      <c r="K67" s="38"/>
      <c r="L67" s="38"/>
      <c r="M67" s="38"/>
    </row>
    <row r="68" spans="1:13" s="32" customFormat="1" ht="14.25" customHeight="1" x14ac:dyDescent="0.3">
      <c r="A68" s="100" t="s">
        <v>1028</v>
      </c>
      <c r="B68" s="125" t="s">
        <v>1029</v>
      </c>
      <c r="C68" s="311">
        <v>23238</v>
      </c>
      <c r="D68" s="71">
        <f>(OBSAH!$J$6/100)*Tabulka201079496[[#This Row],[Sloupec3]]</f>
        <v>0</v>
      </c>
      <c r="E68" s="57">
        <f>Tabulka201079496[[#This Row],[Sloupec3]]-Tabulka201079496[[#This Row],[Sloupec4]]</f>
        <v>23238</v>
      </c>
      <c r="F68" s="38"/>
      <c r="G68" s="38"/>
      <c r="H68" s="38"/>
      <c r="I68" s="38"/>
      <c r="J68" s="38"/>
      <c r="K68" s="38"/>
      <c r="L68" s="38"/>
      <c r="M68" s="38"/>
    </row>
    <row r="69" spans="1:13" s="32" customFormat="1" ht="14.25" customHeight="1" x14ac:dyDescent="0.3">
      <c r="A69" s="100" t="s">
        <v>1030</v>
      </c>
      <c r="B69" s="125" t="s">
        <v>1031</v>
      </c>
      <c r="C69" s="311">
        <v>26727</v>
      </c>
      <c r="D69" s="71">
        <f>(OBSAH!$J$6/100)*Tabulka201079496[[#This Row],[Sloupec3]]</f>
        <v>0</v>
      </c>
      <c r="E69" s="57">
        <f>Tabulka201079496[[#This Row],[Sloupec3]]-Tabulka201079496[[#This Row],[Sloupec4]]</f>
        <v>26727</v>
      </c>
      <c r="F69" s="38"/>
      <c r="G69" s="38"/>
      <c r="H69" s="38"/>
      <c r="I69" s="38"/>
      <c r="J69" s="38"/>
      <c r="K69" s="38"/>
      <c r="L69" s="38"/>
      <c r="M69" s="38"/>
    </row>
    <row r="70" spans="1:13" s="32" customFormat="1" ht="14.25" customHeight="1" x14ac:dyDescent="0.3">
      <c r="A70" s="100" t="s">
        <v>1032</v>
      </c>
      <c r="B70" s="125" t="s">
        <v>1033</v>
      </c>
      <c r="C70" s="311">
        <v>26989</v>
      </c>
      <c r="D70" s="71">
        <f>(OBSAH!$J$6/100)*Tabulka201079496[[#This Row],[Sloupec3]]</f>
        <v>0</v>
      </c>
      <c r="E70" s="57">
        <f>Tabulka201079496[[#This Row],[Sloupec3]]-Tabulka201079496[[#This Row],[Sloupec4]]</f>
        <v>26989</v>
      </c>
      <c r="F70" s="38"/>
      <c r="G70" s="38"/>
      <c r="H70" s="38"/>
      <c r="I70" s="38"/>
      <c r="J70" s="38"/>
      <c r="K70" s="38"/>
      <c r="L70" s="38"/>
      <c r="M70" s="38"/>
    </row>
    <row r="71" spans="1:13" s="32" customFormat="1" ht="14.25" customHeight="1" x14ac:dyDescent="0.3">
      <c r="A71" s="100" t="s">
        <v>1034</v>
      </c>
      <c r="B71" s="125" t="s">
        <v>1035</v>
      </c>
      <c r="C71" s="311">
        <v>26995</v>
      </c>
      <c r="D71" s="71">
        <f>(OBSAH!$J$6/100)*Tabulka201079496[[#This Row],[Sloupec3]]</f>
        <v>0</v>
      </c>
      <c r="E71" s="57">
        <f>Tabulka201079496[[#This Row],[Sloupec3]]-Tabulka201079496[[#This Row],[Sloupec4]]</f>
        <v>26995</v>
      </c>
      <c r="F71" s="38"/>
      <c r="G71" s="38"/>
      <c r="H71" s="38"/>
      <c r="I71" s="38"/>
      <c r="J71" s="38"/>
      <c r="K71" s="38"/>
      <c r="L71" s="38"/>
      <c r="M71" s="38"/>
    </row>
    <row r="72" spans="1:13" s="32" customFormat="1" ht="14.25" customHeight="1" x14ac:dyDescent="0.3">
      <c r="A72" s="100" t="s">
        <v>1036</v>
      </c>
      <c r="B72" s="125" t="s">
        <v>1037</v>
      </c>
      <c r="C72" s="311">
        <v>27158</v>
      </c>
      <c r="D72" s="71">
        <f>(OBSAH!$J$6/100)*Tabulka201079496[[#This Row],[Sloupec3]]</f>
        <v>0</v>
      </c>
      <c r="E72" s="57">
        <f>Tabulka201079496[[#This Row],[Sloupec3]]-Tabulka201079496[[#This Row],[Sloupec4]]</f>
        <v>27158</v>
      </c>
      <c r="F72" s="38"/>
      <c r="G72" s="38"/>
      <c r="H72" s="38"/>
      <c r="I72" s="38"/>
      <c r="J72" s="38"/>
      <c r="K72" s="38"/>
      <c r="L72" s="38"/>
      <c r="M72" s="38"/>
    </row>
    <row r="73" spans="1:13" s="32" customFormat="1" ht="14.25" customHeight="1" x14ac:dyDescent="0.3">
      <c r="A73" s="100" t="s">
        <v>1038</v>
      </c>
      <c r="B73" s="125" t="s">
        <v>1039</v>
      </c>
      <c r="C73" s="311">
        <v>27335</v>
      </c>
      <c r="D73" s="71">
        <f>(OBSAH!$J$6/100)*Tabulka201079496[[#This Row],[Sloupec3]]</f>
        <v>0</v>
      </c>
      <c r="E73" s="57">
        <f>Tabulka201079496[[#This Row],[Sloupec3]]-Tabulka201079496[[#This Row],[Sloupec4]]</f>
        <v>27335</v>
      </c>
      <c r="F73" s="38"/>
      <c r="G73" s="38"/>
      <c r="H73" s="38"/>
      <c r="I73" s="38"/>
      <c r="J73" s="38"/>
      <c r="K73" s="38"/>
      <c r="L73" s="38"/>
      <c r="M73" s="38"/>
    </row>
    <row r="74" spans="1:13" s="32" customFormat="1" ht="14.25" customHeight="1" x14ac:dyDescent="0.3">
      <c r="A74" s="100" t="s">
        <v>1040</v>
      </c>
      <c r="B74" s="125" t="s">
        <v>1041</v>
      </c>
      <c r="C74" s="311">
        <v>31099</v>
      </c>
      <c r="D74" s="71">
        <f>(OBSAH!$J$6/100)*Tabulka201079496[[#This Row],[Sloupec3]]</f>
        <v>0</v>
      </c>
      <c r="E74" s="57">
        <f>Tabulka201079496[[#This Row],[Sloupec3]]-Tabulka201079496[[#This Row],[Sloupec4]]</f>
        <v>31099</v>
      </c>
      <c r="F74" s="38"/>
      <c r="G74" s="38"/>
      <c r="H74" s="38"/>
      <c r="I74" s="38"/>
      <c r="J74" s="38"/>
      <c r="K74" s="38"/>
      <c r="L74" s="38"/>
      <c r="M74" s="38"/>
    </row>
    <row r="75" spans="1:13" s="32" customFormat="1" ht="14.25" customHeight="1" x14ac:dyDescent="0.3">
      <c r="A75" s="100" t="s">
        <v>1042</v>
      </c>
      <c r="B75" s="125" t="s">
        <v>1043</v>
      </c>
      <c r="C75" s="311">
        <v>31358</v>
      </c>
      <c r="D75" s="71">
        <f>(OBSAH!$J$6/100)*Tabulka201079496[[#This Row],[Sloupec3]]</f>
        <v>0</v>
      </c>
      <c r="E75" s="57">
        <f>Tabulka201079496[[#This Row],[Sloupec3]]-Tabulka201079496[[#This Row],[Sloupec4]]</f>
        <v>31358</v>
      </c>
      <c r="F75" s="38"/>
      <c r="G75" s="38"/>
      <c r="H75" s="38"/>
      <c r="I75" s="38"/>
      <c r="J75" s="38"/>
      <c r="K75" s="38"/>
      <c r="L75" s="38"/>
      <c r="M75" s="38"/>
    </row>
    <row r="76" spans="1:13" s="32" customFormat="1" ht="14.25" customHeight="1" x14ac:dyDescent="0.3">
      <c r="A76" s="100" t="s">
        <v>1044</v>
      </c>
      <c r="B76" s="125" t="s">
        <v>1045</v>
      </c>
      <c r="C76" s="311">
        <v>31368</v>
      </c>
      <c r="D76" s="71">
        <f>(OBSAH!$J$6/100)*Tabulka201079496[[#This Row],[Sloupec3]]</f>
        <v>0</v>
      </c>
      <c r="E76" s="57">
        <f>Tabulka201079496[[#This Row],[Sloupec3]]-Tabulka201079496[[#This Row],[Sloupec4]]</f>
        <v>31368</v>
      </c>
      <c r="F76" s="38"/>
      <c r="G76" s="38"/>
      <c r="H76" s="38"/>
      <c r="I76" s="38"/>
      <c r="J76" s="38"/>
      <c r="K76" s="38"/>
      <c r="L76" s="38"/>
      <c r="M76" s="38"/>
    </row>
    <row r="77" spans="1:13" s="32" customFormat="1" ht="14.25" customHeight="1" x14ac:dyDescent="0.3">
      <c r="A77" s="100" t="s">
        <v>1046</v>
      </c>
      <c r="B77" s="125" t="s">
        <v>1047</v>
      </c>
      <c r="C77" s="311">
        <v>31529</v>
      </c>
      <c r="D77" s="71">
        <f>(OBSAH!$J$6/100)*Tabulka201079496[[#This Row],[Sloupec3]]</f>
        <v>0</v>
      </c>
      <c r="E77" s="57">
        <f>Tabulka201079496[[#This Row],[Sloupec3]]-Tabulka201079496[[#This Row],[Sloupec4]]</f>
        <v>31529</v>
      </c>
      <c r="F77" s="38"/>
      <c r="G77" s="38"/>
      <c r="H77" s="38"/>
      <c r="I77" s="38"/>
      <c r="J77" s="38"/>
      <c r="K77" s="38"/>
      <c r="L77" s="38"/>
      <c r="M77" s="38"/>
    </row>
    <row r="78" spans="1:13" s="32" customFormat="1" ht="14.25" customHeight="1" x14ac:dyDescent="0.3">
      <c r="A78" s="101" t="s">
        <v>1048</v>
      </c>
      <c r="B78" s="102" t="s">
        <v>1049</v>
      </c>
      <c r="C78" s="312">
        <v>31707</v>
      </c>
      <c r="D78" s="68">
        <f>(OBSAH!$J$6/100)*Tabulka201079496[[#This Row],[Sloupec3]]</f>
        <v>0</v>
      </c>
      <c r="E78" s="58">
        <f>Tabulka201079496[[#This Row],[Sloupec3]]-Tabulka201079496[[#This Row],[Sloupec4]]</f>
        <v>31707</v>
      </c>
      <c r="F78" s="38"/>
      <c r="G78" s="38"/>
      <c r="H78" s="38"/>
      <c r="I78" s="38"/>
      <c r="J78" s="38"/>
      <c r="K78" s="38"/>
      <c r="L78" s="38"/>
      <c r="M78" s="38"/>
    </row>
    <row r="79" spans="1:13" ht="15" customHeight="1" x14ac:dyDescent="0.4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1:13" ht="15" customHeight="1" x14ac:dyDescent="0.4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1:13" ht="36" customHeight="1" x14ac:dyDescent="0.4">
      <c r="A81" s="473" t="s">
        <v>1050</v>
      </c>
      <c r="B81" s="473"/>
      <c r="C81" s="473"/>
      <c r="D81" s="473"/>
      <c r="E81" s="473"/>
      <c r="F81" s="3"/>
      <c r="G81" s="3"/>
      <c r="H81" s="3"/>
      <c r="I81" s="3"/>
      <c r="J81" s="3"/>
      <c r="K81" s="3"/>
      <c r="L81" s="3"/>
      <c r="M81" s="3"/>
    </row>
    <row r="82" spans="1:13" ht="36" customHeight="1" x14ac:dyDescent="0.4">
      <c r="A82" s="474" t="s">
        <v>427</v>
      </c>
      <c r="B82" s="474"/>
      <c r="C82" s="474"/>
      <c r="D82" s="474"/>
      <c r="E82" s="474"/>
      <c r="F82" s="3"/>
      <c r="G82" s="3"/>
      <c r="H82" s="3"/>
      <c r="I82" s="3"/>
      <c r="J82" s="3"/>
      <c r="K82" s="3"/>
      <c r="L82" s="3"/>
      <c r="M82" s="3"/>
    </row>
    <row r="83" spans="1:13" ht="22.5" customHeight="1" x14ac:dyDescent="0.4">
      <c r="A83" s="475" t="s">
        <v>83</v>
      </c>
      <c r="B83" s="475"/>
      <c r="C83" s="475"/>
      <c r="D83" s="475"/>
      <c r="E83" s="475"/>
      <c r="F83" s="3"/>
      <c r="G83" s="3"/>
      <c r="H83" s="3"/>
      <c r="I83" s="3"/>
      <c r="J83" s="3"/>
      <c r="K83" s="3"/>
      <c r="L83" s="3"/>
      <c r="M83" s="3"/>
    </row>
    <row r="84" spans="1:13" s="44" customFormat="1" ht="22.5" customHeight="1" x14ac:dyDescent="0.25">
      <c r="A84" s="64" t="s">
        <v>56</v>
      </c>
      <c r="B84" s="64" t="s">
        <v>57</v>
      </c>
      <c r="C84" s="65" t="s">
        <v>58</v>
      </c>
      <c r="D84" s="65" t="s">
        <v>59</v>
      </c>
      <c r="E84" s="66" t="s">
        <v>60</v>
      </c>
      <c r="F84" s="42"/>
      <c r="G84" s="42"/>
      <c r="H84" s="42"/>
      <c r="I84" s="42"/>
      <c r="J84" s="42"/>
      <c r="K84" s="42"/>
      <c r="L84" s="42"/>
      <c r="M84" s="42"/>
    </row>
    <row r="85" spans="1:13" s="32" customFormat="1" ht="14.25" customHeight="1" x14ac:dyDescent="0.3">
      <c r="A85" s="98">
        <v>4004004177</v>
      </c>
      <c r="B85" s="99" t="s">
        <v>1051</v>
      </c>
      <c r="C85" s="310">
        <v>14765</v>
      </c>
      <c r="D85" s="69">
        <f>(OBSAH!$J$6/100)*Tabulka2010798494[[#This Row],[Sloupec3]]</f>
        <v>0</v>
      </c>
      <c r="E85" s="70">
        <f>Tabulka2010798494[[#This Row],[Sloupec3]]-Tabulka2010798494[[#This Row],[Sloupec4]]</f>
        <v>14765</v>
      </c>
      <c r="F85" s="38"/>
      <c r="G85" s="38"/>
      <c r="H85" s="38"/>
      <c r="I85" s="38"/>
      <c r="J85" s="38"/>
      <c r="K85" s="38"/>
      <c r="L85" s="38"/>
      <c r="M85" s="38"/>
    </row>
    <row r="86" spans="1:13" s="32" customFormat="1" ht="14.25" customHeight="1" x14ac:dyDescent="0.3">
      <c r="A86" s="100">
        <v>4004004178</v>
      </c>
      <c r="B86" s="125" t="s">
        <v>1052</v>
      </c>
      <c r="C86" s="311">
        <v>14998</v>
      </c>
      <c r="D86" s="71">
        <f>(OBSAH!$J$6/100)*Tabulka2010798494[[#This Row],[Sloupec3]]</f>
        <v>0</v>
      </c>
      <c r="E86" s="57">
        <f>Tabulka2010798494[[#This Row],[Sloupec3]]-Tabulka2010798494[[#This Row],[Sloupec4]]</f>
        <v>14998</v>
      </c>
      <c r="F86" s="38"/>
      <c r="G86" s="38"/>
      <c r="H86" s="38"/>
      <c r="I86" s="38"/>
      <c r="J86" s="38"/>
      <c r="K86" s="38"/>
      <c r="L86" s="38"/>
      <c r="M86" s="38"/>
    </row>
    <row r="87" spans="1:13" s="32" customFormat="1" ht="14.25" customHeight="1" x14ac:dyDescent="0.3">
      <c r="A87" s="100">
        <v>4004004179</v>
      </c>
      <c r="B87" s="125" t="s">
        <v>1053</v>
      </c>
      <c r="C87" s="311">
        <v>15173</v>
      </c>
      <c r="D87" s="71">
        <f>(OBSAH!$J$6/100)*Tabulka2010798494[[#This Row],[Sloupec3]]</f>
        <v>0</v>
      </c>
      <c r="E87" s="57">
        <f>Tabulka2010798494[[#This Row],[Sloupec3]]-Tabulka2010798494[[#This Row],[Sloupec4]]</f>
        <v>15173</v>
      </c>
      <c r="F87" s="38"/>
      <c r="G87" s="38"/>
      <c r="H87" s="38"/>
      <c r="I87" s="38"/>
      <c r="J87" s="38"/>
      <c r="K87" s="38"/>
      <c r="L87" s="38"/>
      <c r="M87" s="38"/>
    </row>
    <row r="88" spans="1:13" s="32" customFormat="1" ht="14.25" customHeight="1" x14ac:dyDescent="0.3">
      <c r="A88" s="100">
        <v>4004004180</v>
      </c>
      <c r="B88" s="125" t="s">
        <v>1054</v>
      </c>
      <c r="C88" s="311">
        <v>19064</v>
      </c>
      <c r="D88" s="71">
        <f>(OBSAH!$J$6/100)*Tabulka2010798494[[#This Row],[Sloupec3]]</f>
        <v>0</v>
      </c>
      <c r="E88" s="57">
        <f>Tabulka2010798494[[#This Row],[Sloupec3]]-Tabulka2010798494[[#This Row],[Sloupec4]]</f>
        <v>19064</v>
      </c>
      <c r="F88" s="38"/>
      <c r="G88" s="38"/>
      <c r="H88" s="38"/>
      <c r="I88" s="38"/>
      <c r="J88" s="38"/>
      <c r="K88" s="38"/>
      <c r="L88" s="38"/>
      <c r="M88" s="38"/>
    </row>
    <row r="89" spans="1:13" s="32" customFormat="1" ht="14.25" customHeight="1" x14ac:dyDescent="0.3">
      <c r="A89" s="100">
        <v>4004004181</v>
      </c>
      <c r="B89" s="125" t="s">
        <v>1055</v>
      </c>
      <c r="C89" s="311">
        <v>19296</v>
      </c>
      <c r="D89" s="71">
        <f>(OBSAH!$J$6/100)*Tabulka2010798494[[#This Row],[Sloupec3]]</f>
        <v>0</v>
      </c>
      <c r="E89" s="57">
        <f>Tabulka2010798494[[#This Row],[Sloupec3]]-Tabulka2010798494[[#This Row],[Sloupec4]]</f>
        <v>19296</v>
      </c>
      <c r="F89" s="38"/>
      <c r="G89" s="38"/>
      <c r="H89" s="38"/>
      <c r="I89" s="38"/>
      <c r="J89" s="38"/>
      <c r="K89" s="38"/>
      <c r="L89" s="38"/>
      <c r="M89" s="38"/>
    </row>
    <row r="90" spans="1:13" s="32" customFormat="1" ht="14.25" customHeight="1" x14ac:dyDescent="0.3">
      <c r="A90" s="100">
        <v>4004004182</v>
      </c>
      <c r="B90" s="125" t="s">
        <v>1056</v>
      </c>
      <c r="C90" s="311">
        <v>19502</v>
      </c>
      <c r="D90" s="71">
        <f>(OBSAH!$J$6/100)*Tabulka2010798494[[#This Row],[Sloupec3]]</f>
        <v>0</v>
      </c>
      <c r="E90" s="57">
        <f>Tabulka2010798494[[#This Row],[Sloupec3]]-Tabulka2010798494[[#This Row],[Sloupec4]]</f>
        <v>19502</v>
      </c>
      <c r="F90" s="38"/>
      <c r="G90" s="38"/>
      <c r="H90" s="38"/>
      <c r="I90" s="38"/>
      <c r="J90" s="38"/>
      <c r="K90" s="38"/>
      <c r="L90" s="38"/>
      <c r="M90" s="38"/>
    </row>
    <row r="91" spans="1:13" s="32" customFormat="1" ht="14.25" customHeight="1" x14ac:dyDescent="0.3">
      <c r="A91" s="100">
        <v>4004004183</v>
      </c>
      <c r="B91" s="125" t="s">
        <v>1057</v>
      </c>
      <c r="C91" s="311">
        <v>19508</v>
      </c>
      <c r="D91" s="71">
        <f>(OBSAH!$J$6/100)*Tabulka2010798494[[#This Row],[Sloupec3]]</f>
        <v>0</v>
      </c>
      <c r="E91" s="57">
        <f>Tabulka2010798494[[#This Row],[Sloupec3]]-Tabulka2010798494[[#This Row],[Sloupec4]]</f>
        <v>19508</v>
      </c>
      <c r="F91" s="38"/>
      <c r="G91" s="38"/>
      <c r="H91" s="38"/>
      <c r="I91" s="38"/>
      <c r="J91" s="38"/>
      <c r="K91" s="38"/>
      <c r="L91" s="38"/>
      <c r="M91" s="38"/>
    </row>
    <row r="92" spans="1:13" s="32" customFormat="1" ht="14.25" customHeight="1" x14ac:dyDescent="0.3">
      <c r="A92" s="100">
        <v>4004004184</v>
      </c>
      <c r="B92" s="125" t="s">
        <v>1058</v>
      </c>
      <c r="C92" s="311">
        <v>19671</v>
      </c>
      <c r="D92" s="71">
        <f>(OBSAH!$J$6/100)*Tabulka2010798494[[#This Row],[Sloupec3]]</f>
        <v>0</v>
      </c>
      <c r="E92" s="57">
        <f>Tabulka2010798494[[#This Row],[Sloupec3]]-Tabulka2010798494[[#This Row],[Sloupec4]]</f>
        <v>19671</v>
      </c>
      <c r="F92" s="38"/>
      <c r="G92" s="38"/>
      <c r="H92" s="38"/>
      <c r="I92" s="38"/>
      <c r="J92" s="38"/>
      <c r="K92" s="38"/>
      <c r="L92" s="38"/>
      <c r="M92" s="38"/>
    </row>
    <row r="93" spans="1:13" s="32" customFormat="1" ht="14.25" customHeight="1" x14ac:dyDescent="0.3">
      <c r="A93" s="100">
        <v>4004004185</v>
      </c>
      <c r="B93" s="125" t="s">
        <v>1059</v>
      </c>
      <c r="C93" s="311">
        <v>20372</v>
      </c>
      <c r="D93" s="71">
        <f>(OBSAH!$J$6/100)*Tabulka2010798494[[#This Row],[Sloupec3]]</f>
        <v>0</v>
      </c>
      <c r="E93" s="57">
        <f>Tabulka2010798494[[#This Row],[Sloupec3]]-Tabulka2010798494[[#This Row],[Sloupec4]]</f>
        <v>20372</v>
      </c>
      <c r="F93" s="38"/>
      <c r="G93" s="38"/>
      <c r="H93" s="38"/>
      <c r="I93" s="38"/>
      <c r="J93" s="38"/>
      <c r="K93" s="38"/>
      <c r="L93" s="38"/>
      <c r="M93" s="38"/>
    </row>
    <row r="94" spans="1:13" s="32" customFormat="1" ht="14.25" customHeight="1" x14ac:dyDescent="0.3">
      <c r="A94" s="100">
        <v>4004004186</v>
      </c>
      <c r="B94" s="125" t="s">
        <v>1060</v>
      </c>
      <c r="C94" s="311">
        <v>20377</v>
      </c>
      <c r="D94" s="71">
        <f>(OBSAH!$J$6/100)*Tabulka2010798494[[#This Row],[Sloupec3]]</f>
        <v>0</v>
      </c>
      <c r="E94" s="57">
        <f>Tabulka2010798494[[#This Row],[Sloupec3]]-Tabulka2010798494[[#This Row],[Sloupec4]]</f>
        <v>20377</v>
      </c>
      <c r="F94" s="38"/>
      <c r="G94" s="38"/>
      <c r="H94" s="38"/>
      <c r="I94" s="38"/>
      <c r="J94" s="38"/>
      <c r="K94" s="38"/>
      <c r="L94" s="38"/>
      <c r="M94" s="38"/>
    </row>
    <row r="95" spans="1:13" s="32" customFormat="1" ht="14.25" customHeight="1" x14ac:dyDescent="0.3">
      <c r="A95" s="100">
        <v>4004004187</v>
      </c>
      <c r="B95" s="125" t="s">
        <v>1061</v>
      </c>
      <c r="C95" s="311">
        <v>20570</v>
      </c>
      <c r="D95" s="71">
        <f>(OBSAH!$J$6/100)*Tabulka2010798494[[#This Row],[Sloupec3]]</f>
        <v>0</v>
      </c>
      <c r="E95" s="57">
        <f>Tabulka2010798494[[#This Row],[Sloupec3]]-Tabulka2010798494[[#This Row],[Sloupec4]]</f>
        <v>20570</v>
      </c>
      <c r="F95" s="38"/>
      <c r="G95" s="38"/>
      <c r="H95" s="38"/>
      <c r="I95" s="38"/>
      <c r="J95" s="38"/>
      <c r="K95" s="38"/>
      <c r="L95" s="38"/>
      <c r="M95" s="38"/>
    </row>
    <row r="96" spans="1:13" s="32" customFormat="1" ht="14.25" customHeight="1" x14ac:dyDescent="0.3">
      <c r="A96" s="100">
        <v>4004004188</v>
      </c>
      <c r="B96" s="125" t="s">
        <v>1062</v>
      </c>
      <c r="C96" s="311">
        <v>23251</v>
      </c>
      <c r="D96" s="71">
        <f>(OBSAH!$J$6/100)*Tabulka2010798494[[#This Row],[Sloupec3]]</f>
        <v>0</v>
      </c>
      <c r="E96" s="57">
        <f>Tabulka2010798494[[#This Row],[Sloupec3]]-Tabulka2010798494[[#This Row],[Sloupec4]]</f>
        <v>23251</v>
      </c>
      <c r="F96" s="38"/>
      <c r="G96" s="38"/>
      <c r="H96" s="38"/>
      <c r="I96" s="38"/>
      <c r="J96" s="38"/>
      <c r="K96" s="38"/>
      <c r="L96" s="38"/>
      <c r="M96" s="38"/>
    </row>
    <row r="97" spans="1:13" s="32" customFormat="1" ht="14.25" customHeight="1" x14ac:dyDescent="0.3">
      <c r="A97" s="100">
        <v>4004004189</v>
      </c>
      <c r="B97" s="125" t="s">
        <v>1063</v>
      </c>
      <c r="C97" s="311">
        <v>23428</v>
      </c>
      <c r="D97" s="71">
        <f>(OBSAH!$J$6/100)*Tabulka2010798494[[#This Row],[Sloupec3]]</f>
        <v>0</v>
      </c>
      <c r="E97" s="57">
        <f>Tabulka2010798494[[#This Row],[Sloupec3]]-Tabulka2010798494[[#This Row],[Sloupec4]]</f>
        <v>23428</v>
      </c>
      <c r="F97" s="38"/>
      <c r="G97" s="38"/>
      <c r="H97" s="38"/>
      <c r="I97" s="38"/>
      <c r="J97" s="38"/>
      <c r="K97" s="38"/>
      <c r="L97" s="38"/>
      <c r="M97" s="38"/>
    </row>
    <row r="98" spans="1:13" s="32" customFormat="1" ht="14.25" customHeight="1" x14ac:dyDescent="0.3">
      <c r="A98" s="100">
        <v>4004004190</v>
      </c>
      <c r="B98" s="125" t="s">
        <v>1064</v>
      </c>
      <c r="C98" s="311">
        <v>23966</v>
      </c>
      <c r="D98" s="71">
        <f>(OBSAH!$J$6/100)*Tabulka2010798494[[#This Row],[Sloupec3]]</f>
        <v>0</v>
      </c>
      <c r="E98" s="57">
        <f>Tabulka2010798494[[#This Row],[Sloupec3]]-Tabulka2010798494[[#This Row],[Sloupec4]]</f>
        <v>23966</v>
      </c>
      <c r="F98" s="38"/>
      <c r="G98" s="38"/>
      <c r="H98" s="38"/>
      <c r="I98" s="38"/>
      <c r="J98" s="38"/>
      <c r="K98" s="38"/>
      <c r="L98" s="38"/>
      <c r="M98" s="38"/>
    </row>
    <row r="99" spans="1:13" s="32" customFormat="1" ht="14.25" customHeight="1" x14ac:dyDescent="0.3">
      <c r="A99" s="100">
        <v>4004004191</v>
      </c>
      <c r="B99" s="125" t="s">
        <v>1065</v>
      </c>
      <c r="C99" s="311">
        <v>24200</v>
      </c>
      <c r="D99" s="71">
        <f>(OBSAH!$J$6/100)*Tabulka2010798494[[#This Row],[Sloupec3]]</f>
        <v>0</v>
      </c>
      <c r="E99" s="57">
        <f>Tabulka2010798494[[#This Row],[Sloupec3]]-Tabulka2010798494[[#This Row],[Sloupec4]]</f>
        <v>24200</v>
      </c>
      <c r="F99" s="38"/>
      <c r="G99" s="38"/>
      <c r="H99" s="38"/>
      <c r="I99" s="38"/>
      <c r="J99" s="38"/>
      <c r="K99" s="38"/>
      <c r="L99" s="38"/>
      <c r="M99" s="38"/>
    </row>
    <row r="100" spans="1:13" s="32" customFormat="1" ht="14.25" customHeight="1" x14ac:dyDescent="0.3">
      <c r="A100" s="100">
        <v>4004004192</v>
      </c>
      <c r="B100" s="125" t="s">
        <v>1066</v>
      </c>
      <c r="C100" s="311">
        <v>24402</v>
      </c>
      <c r="D100" s="71">
        <f>(OBSAH!$J$6/100)*Tabulka2010798494[[#This Row],[Sloupec3]]</f>
        <v>0</v>
      </c>
      <c r="E100" s="57">
        <f>Tabulka2010798494[[#This Row],[Sloupec3]]-Tabulka2010798494[[#This Row],[Sloupec4]]</f>
        <v>24402</v>
      </c>
      <c r="F100" s="38"/>
      <c r="G100" s="38"/>
      <c r="H100" s="38"/>
      <c r="I100" s="38"/>
      <c r="J100" s="38"/>
      <c r="K100" s="38"/>
      <c r="L100" s="38"/>
      <c r="M100" s="38"/>
    </row>
    <row r="101" spans="1:13" s="32" customFormat="1" ht="14.25" customHeight="1" x14ac:dyDescent="0.3">
      <c r="A101" s="100">
        <v>4004004193</v>
      </c>
      <c r="B101" s="125" t="s">
        <v>1067</v>
      </c>
      <c r="C101" s="311">
        <v>27748</v>
      </c>
      <c r="D101" s="71">
        <f>(OBSAH!$J$6/100)*Tabulka2010798494[[#This Row],[Sloupec3]]</f>
        <v>0</v>
      </c>
      <c r="E101" s="57">
        <f>Tabulka2010798494[[#This Row],[Sloupec3]]-Tabulka2010798494[[#This Row],[Sloupec4]]</f>
        <v>27748</v>
      </c>
      <c r="F101" s="38"/>
      <c r="G101" s="38"/>
      <c r="H101" s="38"/>
      <c r="I101" s="38"/>
      <c r="J101" s="38"/>
      <c r="K101" s="38"/>
      <c r="L101" s="38"/>
      <c r="M101" s="38"/>
    </row>
    <row r="102" spans="1:13" s="32" customFormat="1" ht="14.25" customHeight="1" x14ac:dyDescent="0.3">
      <c r="A102" s="100">
        <v>4004004194</v>
      </c>
      <c r="B102" s="125" t="s">
        <v>1068</v>
      </c>
      <c r="C102" s="311">
        <v>27923</v>
      </c>
      <c r="D102" s="71">
        <f>(OBSAH!$J$6/100)*Tabulka2010798494[[#This Row],[Sloupec3]]</f>
        <v>0</v>
      </c>
      <c r="E102" s="57">
        <f>Tabulka2010798494[[#This Row],[Sloupec3]]-Tabulka2010798494[[#This Row],[Sloupec4]]</f>
        <v>27923</v>
      </c>
      <c r="F102" s="38"/>
      <c r="G102" s="38"/>
      <c r="H102" s="38"/>
      <c r="I102" s="38"/>
      <c r="J102" s="38"/>
      <c r="K102" s="38"/>
      <c r="L102" s="38"/>
      <c r="M102" s="38"/>
    </row>
    <row r="103" spans="1:13" s="32" customFormat="1" ht="14.25" customHeight="1" x14ac:dyDescent="0.3">
      <c r="A103" s="100">
        <v>4004004195</v>
      </c>
      <c r="B103" s="125" t="s">
        <v>1069</v>
      </c>
      <c r="C103" s="311">
        <v>28383</v>
      </c>
      <c r="D103" s="71">
        <f>(OBSAH!$J$6/100)*Tabulka2010798494[[#This Row],[Sloupec3]]</f>
        <v>0</v>
      </c>
      <c r="E103" s="57">
        <f>Tabulka2010798494[[#This Row],[Sloupec3]]-Tabulka2010798494[[#This Row],[Sloupec4]]</f>
        <v>28383</v>
      </c>
      <c r="F103" s="38"/>
      <c r="G103" s="38"/>
      <c r="H103" s="38"/>
      <c r="I103" s="38"/>
      <c r="J103" s="38"/>
      <c r="K103" s="38"/>
      <c r="L103" s="38"/>
      <c r="M103" s="38"/>
    </row>
    <row r="104" spans="1:13" s="32" customFormat="1" ht="14.25" customHeight="1" x14ac:dyDescent="0.3">
      <c r="A104" s="100">
        <v>4004004196</v>
      </c>
      <c r="B104" s="125" t="s">
        <v>1070</v>
      </c>
      <c r="C104" s="311">
        <v>28617</v>
      </c>
      <c r="D104" s="71">
        <f>(OBSAH!$J$6/100)*Tabulka2010798494[[#This Row],[Sloupec3]]</f>
        <v>0</v>
      </c>
      <c r="E104" s="57">
        <f>Tabulka2010798494[[#This Row],[Sloupec3]]-Tabulka2010798494[[#This Row],[Sloupec4]]</f>
        <v>28617</v>
      </c>
      <c r="F104" s="38"/>
      <c r="G104" s="38"/>
      <c r="H104" s="38"/>
      <c r="I104" s="38"/>
      <c r="J104" s="38"/>
      <c r="K104" s="38"/>
      <c r="L104" s="38"/>
      <c r="M104" s="38"/>
    </row>
    <row r="105" spans="1:13" s="32" customFormat="1" ht="14.25" customHeight="1" x14ac:dyDescent="0.3">
      <c r="A105" s="100">
        <v>4004004197</v>
      </c>
      <c r="B105" s="125" t="s">
        <v>1071</v>
      </c>
      <c r="C105" s="311">
        <v>28821</v>
      </c>
      <c r="D105" s="71">
        <f>(OBSAH!$J$6/100)*Tabulka2010798494[[#This Row],[Sloupec3]]</f>
        <v>0</v>
      </c>
      <c r="E105" s="57">
        <f>Tabulka2010798494[[#This Row],[Sloupec3]]-Tabulka2010798494[[#This Row],[Sloupec4]]</f>
        <v>28821</v>
      </c>
      <c r="F105" s="38"/>
      <c r="G105" s="38"/>
      <c r="H105" s="38"/>
      <c r="I105" s="38"/>
      <c r="J105" s="38"/>
      <c r="K105" s="38"/>
      <c r="L105" s="38"/>
      <c r="M105" s="38"/>
    </row>
    <row r="106" spans="1:13" s="32" customFormat="1" ht="14.25" customHeight="1" x14ac:dyDescent="0.3">
      <c r="A106" s="100">
        <v>4004004198</v>
      </c>
      <c r="B106" s="125" t="s">
        <v>1072</v>
      </c>
      <c r="C106" s="311">
        <v>31765</v>
      </c>
      <c r="D106" s="71">
        <f>(OBSAH!$J$6/100)*Tabulka2010798494[[#This Row],[Sloupec3]]</f>
        <v>0</v>
      </c>
      <c r="E106" s="57">
        <f>Tabulka2010798494[[#This Row],[Sloupec3]]-Tabulka2010798494[[#This Row],[Sloupec4]]</f>
        <v>31765</v>
      </c>
      <c r="F106" s="38"/>
      <c r="G106" s="38"/>
      <c r="H106" s="38"/>
      <c r="I106" s="38"/>
      <c r="J106" s="38"/>
      <c r="K106" s="38"/>
      <c r="L106" s="38"/>
      <c r="M106" s="38"/>
    </row>
    <row r="107" spans="1:13" s="32" customFormat="1" ht="14.25" customHeight="1" x14ac:dyDescent="0.3">
      <c r="A107" s="100">
        <v>4004004199</v>
      </c>
      <c r="B107" s="125" t="s">
        <v>1073</v>
      </c>
      <c r="C107" s="311">
        <v>31945</v>
      </c>
      <c r="D107" s="71">
        <f>(OBSAH!$J$6/100)*Tabulka2010798494[[#This Row],[Sloupec3]]</f>
        <v>0</v>
      </c>
      <c r="E107" s="57">
        <f>Tabulka2010798494[[#This Row],[Sloupec3]]-Tabulka2010798494[[#This Row],[Sloupec4]]</f>
        <v>31945</v>
      </c>
      <c r="F107" s="38"/>
      <c r="G107" s="38"/>
      <c r="H107" s="38"/>
      <c r="I107" s="38"/>
      <c r="J107" s="38"/>
      <c r="K107" s="38"/>
      <c r="L107" s="38"/>
      <c r="M107" s="38"/>
    </row>
    <row r="108" spans="1:13" s="32" customFormat="1" ht="14.25" customHeight="1" x14ac:dyDescent="0.3">
      <c r="A108" s="100">
        <v>4004004200</v>
      </c>
      <c r="B108" s="125" t="s">
        <v>1074</v>
      </c>
      <c r="C108" s="311">
        <v>32480</v>
      </c>
      <c r="D108" s="71">
        <f>(OBSAH!$J$6/100)*Tabulka2010798494[[#This Row],[Sloupec3]]</f>
        <v>0</v>
      </c>
      <c r="E108" s="57">
        <f>Tabulka2010798494[[#This Row],[Sloupec3]]-Tabulka2010798494[[#This Row],[Sloupec4]]</f>
        <v>32480</v>
      </c>
      <c r="F108" s="38"/>
      <c r="G108" s="38"/>
      <c r="H108" s="38"/>
      <c r="I108" s="38"/>
      <c r="J108" s="38"/>
      <c r="K108" s="38"/>
      <c r="L108" s="38"/>
      <c r="M108" s="38"/>
    </row>
    <row r="109" spans="1:13" s="32" customFormat="1" ht="14.25" customHeight="1" x14ac:dyDescent="0.3">
      <c r="A109" s="100">
        <v>4004004201</v>
      </c>
      <c r="B109" s="125" t="s">
        <v>1075</v>
      </c>
      <c r="C109" s="311">
        <v>32715</v>
      </c>
      <c r="D109" s="71">
        <f>(OBSAH!$J$6/100)*Tabulka2010798494[[#This Row],[Sloupec3]]</f>
        <v>0</v>
      </c>
      <c r="E109" s="57">
        <f>Tabulka2010798494[[#This Row],[Sloupec3]]-Tabulka2010798494[[#This Row],[Sloupec4]]</f>
        <v>32715</v>
      </c>
      <c r="F109" s="38"/>
      <c r="G109" s="38"/>
      <c r="H109" s="38"/>
      <c r="I109" s="38"/>
      <c r="J109" s="38"/>
      <c r="K109" s="38"/>
      <c r="L109" s="38"/>
      <c r="M109" s="38"/>
    </row>
    <row r="110" spans="1:13" s="32" customFormat="1" ht="14.25" customHeight="1" x14ac:dyDescent="0.3">
      <c r="A110" s="100">
        <v>4004004202</v>
      </c>
      <c r="B110" s="125" t="s">
        <v>1076</v>
      </c>
      <c r="C110" s="311">
        <v>32918</v>
      </c>
      <c r="D110" s="71">
        <f>(OBSAH!$J$6/100)*Tabulka2010798494[[#This Row],[Sloupec3]]</f>
        <v>0</v>
      </c>
      <c r="E110" s="57">
        <f>Tabulka2010798494[[#This Row],[Sloupec3]]-Tabulka2010798494[[#This Row],[Sloupec4]]</f>
        <v>32918</v>
      </c>
      <c r="F110" s="38"/>
      <c r="G110" s="38"/>
      <c r="H110" s="38"/>
      <c r="I110" s="38"/>
      <c r="J110" s="38"/>
      <c r="K110" s="38"/>
      <c r="L110" s="38"/>
      <c r="M110" s="38"/>
    </row>
    <row r="111" spans="1:13" s="32" customFormat="1" ht="14.25" customHeight="1" x14ac:dyDescent="0.3">
      <c r="A111" s="100">
        <v>4004004203</v>
      </c>
      <c r="B111" s="125" t="s">
        <v>1077</v>
      </c>
      <c r="C111" s="311">
        <v>36216</v>
      </c>
      <c r="D111" s="71">
        <f>(OBSAH!$J$6/100)*Tabulka2010798494[[#This Row],[Sloupec3]]</f>
        <v>0</v>
      </c>
      <c r="E111" s="57">
        <f>Tabulka2010798494[[#This Row],[Sloupec3]]-Tabulka2010798494[[#This Row],[Sloupec4]]</f>
        <v>36216</v>
      </c>
      <c r="F111" s="38"/>
      <c r="G111" s="38"/>
      <c r="H111" s="38"/>
      <c r="I111" s="38"/>
      <c r="J111" s="38"/>
      <c r="K111" s="38"/>
      <c r="L111" s="38"/>
      <c r="M111" s="38"/>
    </row>
    <row r="112" spans="1:13" s="32" customFormat="1" ht="14.25" customHeight="1" x14ac:dyDescent="0.3">
      <c r="A112" s="100">
        <v>4004004204</v>
      </c>
      <c r="B112" s="125" t="s">
        <v>1078</v>
      </c>
      <c r="C112" s="311">
        <v>36395</v>
      </c>
      <c r="D112" s="71">
        <f>(OBSAH!$J$6/100)*Tabulka2010798494[[#This Row],[Sloupec3]]</f>
        <v>0</v>
      </c>
      <c r="E112" s="57">
        <f>Tabulka2010798494[[#This Row],[Sloupec3]]-Tabulka2010798494[[#This Row],[Sloupec4]]</f>
        <v>36395</v>
      </c>
      <c r="F112" s="38"/>
      <c r="G112" s="38"/>
      <c r="H112" s="38"/>
      <c r="I112" s="38"/>
      <c r="J112" s="38"/>
      <c r="K112" s="38"/>
      <c r="L112" s="38"/>
      <c r="M112" s="38"/>
    </row>
    <row r="113" spans="1:14" s="32" customFormat="1" ht="14.25" customHeight="1" x14ac:dyDescent="0.3">
      <c r="A113" s="100">
        <v>4004004205</v>
      </c>
      <c r="B113" s="125" t="s">
        <v>1079</v>
      </c>
      <c r="C113" s="311">
        <v>36853</v>
      </c>
      <c r="D113" s="71">
        <f>(OBSAH!$J$6/100)*Tabulka2010798494[[#This Row],[Sloupec3]]</f>
        <v>0</v>
      </c>
      <c r="E113" s="57">
        <f>Tabulka2010798494[[#This Row],[Sloupec3]]-Tabulka2010798494[[#This Row],[Sloupec4]]</f>
        <v>36853</v>
      </c>
      <c r="F113" s="38"/>
      <c r="G113" s="38"/>
      <c r="H113" s="38"/>
      <c r="I113" s="38"/>
      <c r="J113" s="38"/>
      <c r="K113" s="38"/>
      <c r="L113" s="38"/>
      <c r="M113" s="38"/>
    </row>
    <row r="114" spans="1:14" s="32" customFormat="1" ht="14.25" customHeight="1" x14ac:dyDescent="0.3">
      <c r="A114" s="100">
        <v>4004004206</v>
      </c>
      <c r="B114" s="125" t="s">
        <v>1080</v>
      </c>
      <c r="C114" s="311">
        <v>37085</v>
      </c>
      <c r="D114" s="71">
        <f>(OBSAH!$J$6/100)*Tabulka2010798494[[#This Row],[Sloupec3]]</f>
        <v>0</v>
      </c>
      <c r="E114" s="57">
        <f>Tabulka2010798494[[#This Row],[Sloupec3]]-Tabulka2010798494[[#This Row],[Sloupec4]]</f>
        <v>37085</v>
      </c>
      <c r="F114" s="38"/>
      <c r="G114" s="38"/>
      <c r="H114" s="38"/>
      <c r="I114" s="38"/>
      <c r="J114" s="38"/>
      <c r="K114" s="38"/>
      <c r="L114" s="38"/>
      <c r="M114" s="38"/>
    </row>
    <row r="115" spans="1:14" s="32" customFormat="1" ht="14.25" customHeight="1" x14ac:dyDescent="0.3">
      <c r="A115" s="101">
        <v>4004004207</v>
      </c>
      <c r="B115" s="102" t="s">
        <v>1081</v>
      </c>
      <c r="C115" s="312">
        <v>37262</v>
      </c>
      <c r="D115" s="68">
        <f>(OBSAH!$J$6/100)*Tabulka2010798494[[#This Row],[Sloupec3]]</f>
        <v>0</v>
      </c>
      <c r="E115" s="58">
        <f>Tabulka2010798494[[#This Row],[Sloupec3]]-Tabulka2010798494[[#This Row],[Sloupec4]]</f>
        <v>37262</v>
      </c>
      <c r="F115" s="38"/>
      <c r="G115" s="38"/>
      <c r="H115" s="38"/>
      <c r="I115" s="38"/>
      <c r="J115" s="38"/>
      <c r="K115" s="38"/>
      <c r="L115" s="38"/>
      <c r="M115" s="38"/>
    </row>
    <row r="116" spans="1:14" ht="15" customHeight="1" x14ac:dyDescent="0.4">
      <c r="A116" s="103"/>
      <c r="B116" s="84"/>
      <c r="C116" s="131"/>
      <c r="D116" s="61"/>
      <c r="E116" s="62"/>
      <c r="F116" s="3"/>
      <c r="G116" s="3"/>
      <c r="H116" s="3"/>
      <c r="I116" s="3"/>
      <c r="J116" s="3"/>
      <c r="K116" s="3"/>
      <c r="L116" s="3"/>
      <c r="M116" s="3"/>
      <c r="N116" s="32"/>
    </row>
    <row r="117" spans="1:14" ht="22.5" customHeight="1" x14ac:dyDescent="0.4">
      <c r="A117" s="472" t="s">
        <v>91</v>
      </c>
      <c r="B117" s="472"/>
      <c r="C117" s="472"/>
      <c r="D117" s="472"/>
      <c r="E117" s="472"/>
      <c r="F117" s="3"/>
      <c r="G117" s="3"/>
      <c r="H117" s="3"/>
      <c r="I117" s="3"/>
      <c r="J117" s="3"/>
      <c r="K117" s="3"/>
      <c r="L117" s="3"/>
      <c r="M117" s="3"/>
    </row>
    <row r="118" spans="1:14" s="44" customFormat="1" ht="22.5" customHeight="1" x14ac:dyDescent="0.25">
      <c r="A118" s="64" t="s">
        <v>56</v>
      </c>
      <c r="B118" s="64" t="s">
        <v>57</v>
      </c>
      <c r="C118" s="65" t="s">
        <v>58</v>
      </c>
      <c r="D118" s="65" t="s">
        <v>59</v>
      </c>
      <c r="E118" s="66" t="s">
        <v>60</v>
      </c>
      <c r="F118" s="42"/>
      <c r="G118" s="42"/>
      <c r="H118" s="42"/>
      <c r="I118" s="42"/>
      <c r="J118" s="42"/>
      <c r="K118" s="42"/>
      <c r="L118" s="42"/>
      <c r="M118" s="42"/>
    </row>
    <row r="119" spans="1:14" s="32" customFormat="1" ht="14.25" customHeight="1" x14ac:dyDescent="0.3">
      <c r="A119" s="98" t="s">
        <v>1082</v>
      </c>
      <c r="B119" s="99" t="s">
        <v>1083</v>
      </c>
      <c r="C119" s="310">
        <v>15204</v>
      </c>
      <c r="D119" s="69">
        <f>(OBSAH!$J$6/100)*Tabulka201079838595[[#This Row],[Sloupec3]]</f>
        <v>0</v>
      </c>
      <c r="E119" s="70">
        <f>Tabulka201079838595[[#This Row],[Sloupec3]]-Tabulka201079838595[[#This Row],[Sloupec4]]</f>
        <v>15204</v>
      </c>
      <c r="F119" s="38"/>
      <c r="G119" s="38"/>
      <c r="H119" s="38"/>
      <c r="I119" s="38"/>
      <c r="J119" s="38"/>
      <c r="K119" s="38"/>
      <c r="L119" s="38"/>
      <c r="M119" s="38"/>
    </row>
    <row r="120" spans="1:14" s="32" customFormat="1" ht="14.25" customHeight="1" x14ac:dyDescent="0.3">
      <c r="A120" s="100" t="s">
        <v>1084</v>
      </c>
      <c r="B120" s="125" t="s">
        <v>1085</v>
      </c>
      <c r="C120" s="311">
        <v>15439</v>
      </c>
      <c r="D120" s="71">
        <f>(OBSAH!$J$6/100)*Tabulka201079838595[[#This Row],[Sloupec3]]</f>
        <v>0</v>
      </c>
      <c r="E120" s="57">
        <f>Tabulka201079838595[[#This Row],[Sloupec3]]-Tabulka201079838595[[#This Row],[Sloupec4]]</f>
        <v>15439</v>
      </c>
      <c r="F120" s="38"/>
      <c r="G120" s="38"/>
      <c r="H120" s="38"/>
      <c r="I120" s="38"/>
      <c r="J120" s="38"/>
      <c r="K120" s="38"/>
      <c r="L120" s="38"/>
      <c r="M120" s="38"/>
    </row>
    <row r="121" spans="1:14" s="32" customFormat="1" ht="14.25" customHeight="1" x14ac:dyDescent="0.3">
      <c r="A121" s="100" t="s">
        <v>1086</v>
      </c>
      <c r="B121" s="125" t="s">
        <v>1087</v>
      </c>
      <c r="C121" s="311">
        <v>15613</v>
      </c>
      <c r="D121" s="71">
        <f>(OBSAH!$J$6/100)*Tabulka201079838595[[#This Row],[Sloupec3]]</f>
        <v>0</v>
      </c>
      <c r="E121" s="57">
        <f>Tabulka201079838595[[#This Row],[Sloupec3]]-Tabulka201079838595[[#This Row],[Sloupec4]]</f>
        <v>15613</v>
      </c>
      <c r="F121" s="38"/>
      <c r="G121" s="38"/>
      <c r="H121" s="38"/>
      <c r="I121" s="38"/>
      <c r="J121" s="38"/>
      <c r="K121" s="38"/>
      <c r="L121" s="38"/>
      <c r="M121" s="38"/>
    </row>
    <row r="122" spans="1:14" s="32" customFormat="1" ht="14.25" customHeight="1" x14ac:dyDescent="0.3">
      <c r="A122" s="100" t="s">
        <v>1088</v>
      </c>
      <c r="B122" s="125" t="s">
        <v>1089</v>
      </c>
      <c r="C122" s="311">
        <v>19504</v>
      </c>
      <c r="D122" s="71">
        <f>(OBSAH!$J$6/100)*Tabulka201079838595[[#This Row],[Sloupec3]]</f>
        <v>0</v>
      </c>
      <c r="E122" s="57">
        <f>Tabulka201079838595[[#This Row],[Sloupec3]]-Tabulka201079838595[[#This Row],[Sloupec4]]</f>
        <v>19504</v>
      </c>
      <c r="F122" s="38"/>
      <c r="G122" s="38"/>
      <c r="H122" s="38"/>
      <c r="I122" s="38"/>
      <c r="J122" s="38"/>
      <c r="K122" s="38"/>
      <c r="L122" s="38"/>
      <c r="M122" s="38"/>
    </row>
    <row r="123" spans="1:14" s="32" customFormat="1" ht="14.25" customHeight="1" x14ac:dyDescent="0.3">
      <c r="A123" s="100" t="s">
        <v>1090</v>
      </c>
      <c r="B123" s="125" t="s">
        <v>1091</v>
      </c>
      <c r="C123" s="311">
        <v>19737</v>
      </c>
      <c r="D123" s="71">
        <f>(OBSAH!$J$6/100)*Tabulka201079838595[[#This Row],[Sloupec3]]</f>
        <v>0</v>
      </c>
      <c r="E123" s="57">
        <f>Tabulka201079838595[[#This Row],[Sloupec3]]-Tabulka201079838595[[#This Row],[Sloupec4]]</f>
        <v>19737</v>
      </c>
      <c r="F123" s="38"/>
      <c r="G123" s="38"/>
      <c r="H123" s="38"/>
      <c r="I123" s="38"/>
      <c r="J123" s="38"/>
      <c r="K123" s="38"/>
      <c r="L123" s="38"/>
      <c r="M123" s="38"/>
    </row>
    <row r="124" spans="1:14" s="32" customFormat="1" ht="14.25" customHeight="1" x14ac:dyDescent="0.3">
      <c r="A124" s="100" t="s">
        <v>1092</v>
      </c>
      <c r="B124" s="125" t="s">
        <v>1093</v>
      </c>
      <c r="C124" s="311">
        <v>19943</v>
      </c>
      <c r="D124" s="71">
        <f>(OBSAH!$J$6/100)*Tabulka201079838595[[#This Row],[Sloupec3]]</f>
        <v>0</v>
      </c>
      <c r="E124" s="57">
        <f>Tabulka201079838595[[#This Row],[Sloupec3]]-Tabulka201079838595[[#This Row],[Sloupec4]]</f>
        <v>19943</v>
      </c>
      <c r="F124" s="38"/>
      <c r="G124" s="38"/>
      <c r="H124" s="38"/>
      <c r="I124" s="38"/>
      <c r="J124" s="38"/>
      <c r="K124" s="38"/>
      <c r="L124" s="38"/>
      <c r="M124" s="38"/>
    </row>
    <row r="125" spans="1:14" s="32" customFormat="1" ht="14.25" customHeight="1" x14ac:dyDescent="0.3">
      <c r="A125" s="100" t="s">
        <v>1094</v>
      </c>
      <c r="B125" s="125" t="s">
        <v>1095</v>
      </c>
      <c r="C125" s="311">
        <v>19950</v>
      </c>
      <c r="D125" s="71">
        <f>(OBSAH!$J$6/100)*Tabulka201079838595[[#This Row],[Sloupec3]]</f>
        <v>0</v>
      </c>
      <c r="E125" s="57">
        <f>Tabulka201079838595[[#This Row],[Sloupec3]]-Tabulka201079838595[[#This Row],[Sloupec4]]</f>
        <v>19950</v>
      </c>
      <c r="F125" s="38"/>
      <c r="G125" s="38"/>
      <c r="H125" s="38"/>
      <c r="I125" s="38"/>
      <c r="J125" s="38"/>
      <c r="K125" s="38"/>
      <c r="L125" s="38"/>
      <c r="M125" s="38"/>
    </row>
    <row r="126" spans="1:14" s="32" customFormat="1" ht="14.25" customHeight="1" x14ac:dyDescent="0.3">
      <c r="A126" s="100" t="s">
        <v>1096</v>
      </c>
      <c r="B126" s="125" t="s">
        <v>1097</v>
      </c>
      <c r="C126" s="311">
        <v>20113</v>
      </c>
      <c r="D126" s="71">
        <f>(OBSAH!$J$6/100)*Tabulka201079838595[[#This Row],[Sloupec3]]</f>
        <v>0</v>
      </c>
      <c r="E126" s="57">
        <f>Tabulka201079838595[[#This Row],[Sloupec3]]-Tabulka201079838595[[#This Row],[Sloupec4]]</f>
        <v>20113</v>
      </c>
      <c r="F126" s="38"/>
      <c r="G126" s="38"/>
      <c r="H126" s="38"/>
      <c r="I126" s="38"/>
      <c r="J126" s="38"/>
      <c r="K126" s="38"/>
      <c r="L126" s="38"/>
      <c r="M126" s="38"/>
    </row>
    <row r="127" spans="1:14" s="32" customFormat="1" ht="14.25" customHeight="1" x14ac:dyDescent="0.3">
      <c r="A127" s="100" t="s">
        <v>1098</v>
      </c>
      <c r="B127" s="125" t="s">
        <v>1099</v>
      </c>
      <c r="C127" s="311">
        <v>20811</v>
      </c>
      <c r="D127" s="71">
        <f>(OBSAH!$J$6/100)*Tabulka201079838595[[#This Row],[Sloupec3]]</f>
        <v>0</v>
      </c>
      <c r="E127" s="57">
        <f>Tabulka201079838595[[#This Row],[Sloupec3]]-Tabulka201079838595[[#This Row],[Sloupec4]]</f>
        <v>20811</v>
      </c>
      <c r="F127" s="38"/>
      <c r="G127" s="38"/>
      <c r="H127" s="38"/>
      <c r="I127" s="38"/>
      <c r="J127" s="38"/>
      <c r="K127" s="38"/>
      <c r="L127" s="38"/>
      <c r="M127" s="38"/>
    </row>
    <row r="128" spans="1:14" s="32" customFormat="1" ht="14.25" customHeight="1" x14ac:dyDescent="0.3">
      <c r="A128" s="100" t="s">
        <v>1100</v>
      </c>
      <c r="B128" s="125" t="s">
        <v>1101</v>
      </c>
      <c r="C128" s="311">
        <v>20818</v>
      </c>
      <c r="D128" s="71">
        <f>(OBSAH!$J$6/100)*Tabulka201079838595[[#This Row],[Sloupec3]]</f>
        <v>0</v>
      </c>
      <c r="E128" s="57">
        <f>Tabulka201079838595[[#This Row],[Sloupec3]]-Tabulka201079838595[[#This Row],[Sloupec4]]</f>
        <v>20818</v>
      </c>
      <c r="F128" s="38"/>
      <c r="G128" s="38"/>
      <c r="H128" s="38"/>
      <c r="I128" s="38"/>
      <c r="J128" s="38"/>
      <c r="K128" s="38"/>
      <c r="L128" s="38"/>
      <c r="M128" s="38"/>
    </row>
    <row r="129" spans="1:13" s="32" customFormat="1" ht="14.25" customHeight="1" x14ac:dyDescent="0.3">
      <c r="A129" s="100" t="s">
        <v>1102</v>
      </c>
      <c r="B129" s="125" t="s">
        <v>1103</v>
      </c>
      <c r="C129" s="311">
        <v>21011</v>
      </c>
      <c r="D129" s="71">
        <f>(OBSAH!$J$6/100)*Tabulka201079838595[[#This Row],[Sloupec3]]</f>
        <v>0</v>
      </c>
      <c r="E129" s="57">
        <f>Tabulka201079838595[[#This Row],[Sloupec3]]-Tabulka201079838595[[#This Row],[Sloupec4]]</f>
        <v>21011</v>
      </c>
      <c r="F129" s="38"/>
      <c r="G129" s="38"/>
      <c r="H129" s="38"/>
      <c r="I129" s="38"/>
      <c r="J129" s="38"/>
      <c r="K129" s="38"/>
      <c r="L129" s="38"/>
      <c r="M129" s="38"/>
    </row>
    <row r="130" spans="1:13" s="32" customFormat="1" ht="14.25" customHeight="1" x14ac:dyDescent="0.3">
      <c r="A130" s="100" t="s">
        <v>1104</v>
      </c>
      <c r="B130" s="125" t="s">
        <v>1105</v>
      </c>
      <c r="C130" s="311">
        <v>23691</v>
      </c>
      <c r="D130" s="71">
        <f>(OBSAH!$J$6/100)*Tabulka201079838595[[#This Row],[Sloupec3]]</f>
        <v>0</v>
      </c>
      <c r="E130" s="57">
        <f>Tabulka201079838595[[#This Row],[Sloupec3]]-Tabulka201079838595[[#This Row],[Sloupec4]]</f>
        <v>23691</v>
      </c>
      <c r="F130" s="38"/>
      <c r="G130" s="38"/>
      <c r="H130" s="38"/>
      <c r="I130" s="38"/>
      <c r="J130" s="38"/>
      <c r="K130" s="38"/>
      <c r="L130" s="38"/>
      <c r="M130" s="38"/>
    </row>
    <row r="131" spans="1:13" s="32" customFormat="1" ht="14.25" customHeight="1" x14ac:dyDescent="0.3">
      <c r="A131" s="100" t="s">
        <v>1106</v>
      </c>
      <c r="B131" s="125" t="s">
        <v>1107</v>
      </c>
      <c r="C131" s="311">
        <v>23869</v>
      </c>
      <c r="D131" s="71">
        <f>(OBSAH!$J$6/100)*Tabulka201079838595[[#This Row],[Sloupec3]]</f>
        <v>0</v>
      </c>
      <c r="E131" s="57">
        <f>Tabulka201079838595[[#This Row],[Sloupec3]]-Tabulka201079838595[[#This Row],[Sloupec4]]</f>
        <v>23869</v>
      </c>
      <c r="F131" s="38"/>
      <c r="G131" s="38"/>
      <c r="H131" s="38"/>
      <c r="I131" s="38"/>
      <c r="J131" s="38"/>
      <c r="K131" s="38"/>
      <c r="L131" s="38"/>
      <c r="M131" s="38"/>
    </row>
    <row r="132" spans="1:13" s="32" customFormat="1" ht="14.25" customHeight="1" x14ac:dyDescent="0.3">
      <c r="A132" s="100" t="s">
        <v>1108</v>
      </c>
      <c r="B132" s="125" t="s">
        <v>1109</v>
      </c>
      <c r="C132" s="311">
        <v>24406</v>
      </c>
      <c r="D132" s="71">
        <f>(OBSAH!$J$6/100)*Tabulka201079838595[[#This Row],[Sloupec3]]</f>
        <v>0</v>
      </c>
      <c r="E132" s="57">
        <f>Tabulka201079838595[[#This Row],[Sloupec3]]-Tabulka201079838595[[#This Row],[Sloupec4]]</f>
        <v>24406</v>
      </c>
      <c r="F132" s="38"/>
      <c r="G132" s="38"/>
      <c r="H132" s="38"/>
      <c r="I132" s="38"/>
      <c r="J132" s="38"/>
      <c r="K132" s="38"/>
      <c r="L132" s="38"/>
      <c r="M132" s="38"/>
    </row>
    <row r="133" spans="1:13" s="32" customFormat="1" ht="14.25" customHeight="1" x14ac:dyDescent="0.3">
      <c r="A133" s="100" t="s">
        <v>1110</v>
      </c>
      <c r="B133" s="125" t="s">
        <v>1111</v>
      </c>
      <c r="C133" s="311">
        <v>24641</v>
      </c>
      <c r="D133" s="71">
        <f>(OBSAH!$J$6/100)*Tabulka201079838595[[#This Row],[Sloupec3]]</f>
        <v>0</v>
      </c>
      <c r="E133" s="57">
        <f>Tabulka201079838595[[#This Row],[Sloupec3]]-Tabulka201079838595[[#This Row],[Sloupec4]]</f>
        <v>24641</v>
      </c>
      <c r="F133" s="38"/>
      <c r="G133" s="38"/>
      <c r="H133" s="38"/>
      <c r="I133" s="38"/>
      <c r="J133" s="38"/>
      <c r="K133" s="38"/>
      <c r="L133" s="38"/>
      <c r="M133" s="38"/>
    </row>
    <row r="134" spans="1:13" s="32" customFormat="1" ht="14.25" customHeight="1" x14ac:dyDescent="0.3">
      <c r="A134" s="100" t="s">
        <v>1112</v>
      </c>
      <c r="B134" s="125" t="s">
        <v>1113</v>
      </c>
      <c r="C134" s="311">
        <v>24843</v>
      </c>
      <c r="D134" s="71">
        <f>(OBSAH!$J$6/100)*Tabulka201079838595[[#This Row],[Sloupec3]]</f>
        <v>0</v>
      </c>
      <c r="E134" s="57">
        <f>Tabulka201079838595[[#This Row],[Sloupec3]]-Tabulka201079838595[[#This Row],[Sloupec4]]</f>
        <v>24843</v>
      </c>
      <c r="F134" s="38"/>
      <c r="G134" s="38"/>
      <c r="H134" s="38"/>
      <c r="I134" s="38"/>
      <c r="J134" s="38"/>
      <c r="K134" s="38"/>
      <c r="L134" s="38"/>
      <c r="M134" s="38"/>
    </row>
    <row r="135" spans="1:13" s="32" customFormat="1" ht="14.25" customHeight="1" x14ac:dyDescent="0.3">
      <c r="A135" s="100" t="s">
        <v>1114</v>
      </c>
      <c r="B135" s="125" t="s">
        <v>1115</v>
      </c>
      <c r="C135" s="311">
        <v>28189</v>
      </c>
      <c r="D135" s="71">
        <f>(OBSAH!$J$6/100)*Tabulka201079838595[[#This Row],[Sloupec3]]</f>
        <v>0</v>
      </c>
      <c r="E135" s="57">
        <f>Tabulka201079838595[[#This Row],[Sloupec3]]-Tabulka201079838595[[#This Row],[Sloupec4]]</f>
        <v>28189</v>
      </c>
      <c r="F135" s="38"/>
      <c r="G135" s="38"/>
      <c r="H135" s="38"/>
      <c r="I135" s="38"/>
      <c r="J135" s="38"/>
      <c r="K135" s="38"/>
      <c r="L135" s="38"/>
      <c r="M135" s="38"/>
    </row>
    <row r="136" spans="1:13" s="32" customFormat="1" ht="14.25" customHeight="1" x14ac:dyDescent="0.3">
      <c r="A136" s="100" t="s">
        <v>1116</v>
      </c>
      <c r="B136" s="125" t="s">
        <v>1117</v>
      </c>
      <c r="C136" s="311">
        <v>28363</v>
      </c>
      <c r="D136" s="71">
        <f>(OBSAH!$J$6/100)*Tabulka201079838595[[#This Row],[Sloupec3]]</f>
        <v>0</v>
      </c>
      <c r="E136" s="57">
        <f>Tabulka201079838595[[#This Row],[Sloupec3]]-Tabulka201079838595[[#This Row],[Sloupec4]]</f>
        <v>28363</v>
      </c>
      <c r="F136" s="38"/>
      <c r="G136" s="38"/>
      <c r="H136" s="38"/>
      <c r="I136" s="38"/>
      <c r="J136" s="38"/>
      <c r="K136" s="38"/>
      <c r="L136" s="38"/>
      <c r="M136" s="38"/>
    </row>
    <row r="137" spans="1:13" s="32" customFormat="1" ht="14.25" customHeight="1" x14ac:dyDescent="0.3">
      <c r="A137" s="100" t="s">
        <v>1118</v>
      </c>
      <c r="B137" s="125" t="s">
        <v>1119</v>
      </c>
      <c r="C137" s="311">
        <v>28825</v>
      </c>
      <c r="D137" s="71">
        <f>(OBSAH!$J$6/100)*Tabulka201079838595[[#This Row],[Sloupec3]]</f>
        <v>0</v>
      </c>
      <c r="E137" s="57">
        <f>Tabulka201079838595[[#This Row],[Sloupec3]]-Tabulka201079838595[[#This Row],[Sloupec4]]</f>
        <v>28825</v>
      </c>
      <c r="F137" s="38"/>
      <c r="G137" s="38"/>
      <c r="H137" s="38"/>
      <c r="I137" s="38"/>
      <c r="J137" s="38"/>
      <c r="K137" s="38"/>
      <c r="L137" s="38"/>
      <c r="M137" s="38"/>
    </row>
    <row r="138" spans="1:13" s="32" customFormat="1" ht="14.25" customHeight="1" x14ac:dyDescent="0.3">
      <c r="A138" s="100" t="s">
        <v>1120</v>
      </c>
      <c r="B138" s="125" t="s">
        <v>1121</v>
      </c>
      <c r="C138" s="311">
        <v>29057</v>
      </c>
      <c r="D138" s="71">
        <f>(OBSAH!$J$6/100)*Tabulka201079838595[[#This Row],[Sloupec3]]</f>
        <v>0</v>
      </c>
      <c r="E138" s="57">
        <f>Tabulka201079838595[[#This Row],[Sloupec3]]-Tabulka201079838595[[#This Row],[Sloupec4]]</f>
        <v>29057</v>
      </c>
      <c r="F138" s="38"/>
      <c r="G138" s="38"/>
      <c r="H138" s="38"/>
      <c r="I138" s="38"/>
      <c r="J138" s="38"/>
      <c r="K138" s="38"/>
      <c r="L138" s="38"/>
      <c r="M138" s="38"/>
    </row>
    <row r="139" spans="1:13" s="32" customFormat="1" ht="14.25" customHeight="1" x14ac:dyDescent="0.3">
      <c r="A139" s="100" t="s">
        <v>1122</v>
      </c>
      <c r="B139" s="125" t="s">
        <v>1123</v>
      </c>
      <c r="C139" s="311">
        <v>29261</v>
      </c>
      <c r="D139" s="71">
        <f>(OBSAH!$J$6/100)*Tabulka201079838595[[#This Row],[Sloupec3]]</f>
        <v>0</v>
      </c>
      <c r="E139" s="57">
        <f>Tabulka201079838595[[#This Row],[Sloupec3]]-Tabulka201079838595[[#This Row],[Sloupec4]]</f>
        <v>29261</v>
      </c>
      <c r="F139" s="38"/>
      <c r="G139" s="38"/>
      <c r="H139" s="38"/>
      <c r="I139" s="38"/>
      <c r="J139" s="38"/>
      <c r="K139" s="38"/>
      <c r="L139" s="38"/>
      <c r="M139" s="38"/>
    </row>
    <row r="140" spans="1:13" s="32" customFormat="1" ht="14.25" customHeight="1" x14ac:dyDescent="0.3">
      <c r="A140" s="100" t="s">
        <v>1124</v>
      </c>
      <c r="B140" s="125" t="s">
        <v>1125</v>
      </c>
      <c r="C140" s="311">
        <v>32206</v>
      </c>
      <c r="D140" s="71">
        <f>(OBSAH!$J$6/100)*Tabulka201079838595[[#This Row],[Sloupec3]]</f>
        <v>0</v>
      </c>
      <c r="E140" s="57">
        <f>Tabulka201079838595[[#This Row],[Sloupec3]]-Tabulka201079838595[[#This Row],[Sloupec4]]</f>
        <v>32206</v>
      </c>
      <c r="F140" s="38"/>
      <c r="G140" s="38"/>
      <c r="H140" s="38"/>
      <c r="I140" s="38"/>
      <c r="J140" s="38"/>
      <c r="K140" s="38"/>
      <c r="L140" s="38"/>
      <c r="M140" s="38"/>
    </row>
    <row r="141" spans="1:13" s="32" customFormat="1" ht="14.25" customHeight="1" x14ac:dyDescent="0.3">
      <c r="A141" s="100" t="s">
        <v>1126</v>
      </c>
      <c r="B141" s="125" t="s">
        <v>1127</v>
      </c>
      <c r="C141" s="311">
        <v>32385</v>
      </c>
      <c r="D141" s="71">
        <f>(OBSAH!$J$6/100)*Tabulka201079838595[[#This Row],[Sloupec3]]</f>
        <v>0</v>
      </c>
      <c r="E141" s="57">
        <f>Tabulka201079838595[[#This Row],[Sloupec3]]-Tabulka201079838595[[#This Row],[Sloupec4]]</f>
        <v>32385</v>
      </c>
      <c r="F141" s="38"/>
      <c r="G141" s="38"/>
      <c r="H141" s="38"/>
      <c r="I141" s="38"/>
      <c r="J141" s="38"/>
      <c r="K141" s="38"/>
      <c r="L141" s="38"/>
      <c r="M141" s="38"/>
    </row>
    <row r="142" spans="1:13" s="32" customFormat="1" ht="14.25" customHeight="1" x14ac:dyDescent="0.3">
      <c r="A142" s="100" t="s">
        <v>1128</v>
      </c>
      <c r="B142" s="125" t="s">
        <v>1129</v>
      </c>
      <c r="C142" s="311">
        <v>32922</v>
      </c>
      <c r="D142" s="71">
        <f>(OBSAH!$J$6/100)*Tabulka201079838595[[#This Row],[Sloupec3]]</f>
        <v>0</v>
      </c>
      <c r="E142" s="57">
        <f>Tabulka201079838595[[#This Row],[Sloupec3]]-Tabulka201079838595[[#This Row],[Sloupec4]]</f>
        <v>32922</v>
      </c>
      <c r="F142" s="38"/>
      <c r="G142" s="38"/>
      <c r="H142" s="38"/>
      <c r="I142" s="38"/>
      <c r="J142" s="38"/>
      <c r="K142" s="38"/>
      <c r="L142" s="38"/>
      <c r="M142" s="38"/>
    </row>
    <row r="143" spans="1:13" s="32" customFormat="1" ht="14.25" customHeight="1" x14ac:dyDescent="0.3">
      <c r="A143" s="100" t="s">
        <v>1130</v>
      </c>
      <c r="B143" s="125" t="s">
        <v>1131</v>
      </c>
      <c r="C143" s="311">
        <v>33155</v>
      </c>
      <c r="D143" s="71">
        <f>(OBSAH!$J$6/100)*Tabulka201079838595[[#This Row],[Sloupec3]]</f>
        <v>0</v>
      </c>
      <c r="E143" s="57">
        <f>Tabulka201079838595[[#This Row],[Sloupec3]]-Tabulka201079838595[[#This Row],[Sloupec4]]</f>
        <v>33155</v>
      </c>
      <c r="F143" s="38"/>
      <c r="G143" s="38"/>
      <c r="H143" s="38"/>
      <c r="I143" s="38"/>
      <c r="J143" s="38"/>
      <c r="K143" s="38"/>
      <c r="L143" s="38"/>
      <c r="M143" s="38"/>
    </row>
    <row r="144" spans="1:13" s="32" customFormat="1" ht="14.25" customHeight="1" x14ac:dyDescent="0.3">
      <c r="A144" s="100" t="s">
        <v>1132</v>
      </c>
      <c r="B144" s="125" t="s">
        <v>1133</v>
      </c>
      <c r="C144" s="311">
        <v>33358</v>
      </c>
      <c r="D144" s="71">
        <f>(OBSAH!$J$6/100)*Tabulka201079838595[[#This Row],[Sloupec3]]</f>
        <v>0</v>
      </c>
      <c r="E144" s="57">
        <f>Tabulka201079838595[[#This Row],[Sloupec3]]-Tabulka201079838595[[#This Row],[Sloupec4]]</f>
        <v>33358</v>
      </c>
      <c r="F144" s="38"/>
      <c r="G144" s="38"/>
      <c r="H144" s="38"/>
      <c r="I144" s="38"/>
      <c r="J144" s="38"/>
      <c r="K144" s="38"/>
      <c r="L144" s="38"/>
      <c r="M144" s="38"/>
    </row>
    <row r="145" spans="1:13" s="32" customFormat="1" ht="14.25" customHeight="1" x14ac:dyDescent="0.3">
      <c r="A145" s="100" t="s">
        <v>1134</v>
      </c>
      <c r="B145" s="125" t="s">
        <v>1135</v>
      </c>
      <c r="C145" s="311">
        <v>36657</v>
      </c>
      <c r="D145" s="71">
        <f>(OBSAH!$J$6/100)*Tabulka201079838595[[#This Row],[Sloupec3]]</f>
        <v>0</v>
      </c>
      <c r="E145" s="57">
        <f>Tabulka201079838595[[#This Row],[Sloupec3]]-Tabulka201079838595[[#This Row],[Sloupec4]]</f>
        <v>36657</v>
      </c>
      <c r="F145" s="38"/>
      <c r="G145" s="38"/>
      <c r="H145" s="38"/>
      <c r="I145" s="38"/>
      <c r="J145" s="38"/>
      <c r="K145" s="38"/>
      <c r="L145" s="38"/>
      <c r="M145" s="38"/>
    </row>
    <row r="146" spans="1:13" s="32" customFormat="1" ht="14.25" customHeight="1" x14ac:dyDescent="0.3">
      <c r="A146" s="100" t="s">
        <v>1136</v>
      </c>
      <c r="B146" s="125" t="s">
        <v>1137</v>
      </c>
      <c r="C146" s="311">
        <v>36834</v>
      </c>
      <c r="D146" s="71">
        <f>(OBSAH!$J$6/100)*Tabulka201079838595[[#This Row],[Sloupec3]]</f>
        <v>0</v>
      </c>
      <c r="E146" s="57">
        <f>Tabulka201079838595[[#This Row],[Sloupec3]]-Tabulka201079838595[[#This Row],[Sloupec4]]</f>
        <v>36834</v>
      </c>
      <c r="F146" s="38"/>
      <c r="G146" s="38"/>
      <c r="H146" s="38"/>
      <c r="I146" s="38"/>
      <c r="J146" s="38"/>
      <c r="K146" s="38"/>
      <c r="L146" s="38"/>
      <c r="M146" s="38"/>
    </row>
    <row r="147" spans="1:13" s="32" customFormat="1" ht="14.25" customHeight="1" x14ac:dyDescent="0.3">
      <c r="A147" s="100" t="s">
        <v>1138</v>
      </c>
      <c r="B147" s="125" t="s">
        <v>1139</v>
      </c>
      <c r="C147" s="311">
        <v>37296</v>
      </c>
      <c r="D147" s="71">
        <f>(OBSAH!$J$6/100)*Tabulka201079838595[[#This Row],[Sloupec3]]</f>
        <v>0</v>
      </c>
      <c r="E147" s="57">
        <f>Tabulka201079838595[[#This Row],[Sloupec3]]-Tabulka201079838595[[#This Row],[Sloupec4]]</f>
        <v>37296</v>
      </c>
      <c r="F147" s="38"/>
      <c r="G147" s="38"/>
      <c r="H147" s="38"/>
      <c r="I147" s="38"/>
      <c r="J147" s="38"/>
      <c r="K147" s="38"/>
      <c r="L147" s="38"/>
      <c r="M147" s="38"/>
    </row>
    <row r="148" spans="1:13" s="32" customFormat="1" ht="14.25" customHeight="1" x14ac:dyDescent="0.3">
      <c r="A148" s="100" t="s">
        <v>1140</v>
      </c>
      <c r="B148" s="125" t="s">
        <v>1141</v>
      </c>
      <c r="C148" s="311">
        <v>37525</v>
      </c>
      <c r="D148" s="71">
        <f>(OBSAH!$J$6/100)*Tabulka201079838595[[#This Row],[Sloupec3]]</f>
        <v>0</v>
      </c>
      <c r="E148" s="57">
        <f>Tabulka201079838595[[#This Row],[Sloupec3]]-Tabulka201079838595[[#This Row],[Sloupec4]]</f>
        <v>37525</v>
      </c>
      <c r="F148" s="38"/>
      <c r="G148" s="38"/>
      <c r="H148" s="38"/>
      <c r="I148" s="38"/>
      <c r="J148" s="38"/>
      <c r="K148" s="38"/>
      <c r="L148" s="38"/>
      <c r="M148" s="38"/>
    </row>
    <row r="149" spans="1:13" s="32" customFormat="1" ht="14.25" customHeight="1" x14ac:dyDescent="0.3">
      <c r="A149" s="101" t="s">
        <v>1142</v>
      </c>
      <c r="B149" s="102" t="s">
        <v>1143</v>
      </c>
      <c r="C149" s="312">
        <v>37705</v>
      </c>
      <c r="D149" s="68">
        <f>(OBSAH!$J$6/100)*Tabulka201079838595[[#This Row],[Sloupec3]]</f>
        <v>0</v>
      </c>
      <c r="E149" s="58">
        <f>Tabulka201079838595[[#This Row],[Sloupec3]]-Tabulka201079838595[[#This Row],[Sloupec4]]</f>
        <v>37705</v>
      </c>
      <c r="F149" s="38"/>
      <c r="G149" s="38"/>
      <c r="H149" s="38"/>
      <c r="I149" s="38"/>
      <c r="J149" s="38"/>
      <c r="K149" s="38"/>
      <c r="L149" s="38"/>
      <c r="M149" s="38"/>
    </row>
    <row r="150" spans="1:13" ht="15" customHeight="1" x14ac:dyDescent="0.4">
      <c r="A150" s="441" t="s">
        <v>120</v>
      </c>
      <c r="B150" s="441"/>
      <c r="C150" s="441"/>
      <c r="D150" s="441"/>
      <c r="E150" s="441"/>
      <c r="F150" s="3"/>
      <c r="G150" s="3"/>
      <c r="H150" s="3"/>
      <c r="I150" s="3"/>
      <c r="J150" s="3"/>
      <c r="K150" s="3"/>
      <c r="L150" s="3"/>
      <c r="M150" s="3"/>
    </row>
    <row r="151" spans="1:13" ht="15" customHeight="1" x14ac:dyDescent="0.4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</row>
  </sheetData>
  <mergeCells count="22">
    <mergeCell ref="A1:E1"/>
    <mergeCell ref="F1:H1"/>
    <mergeCell ref="A2:E2"/>
    <mergeCell ref="F2:H2"/>
    <mergeCell ref="A3:E3"/>
    <mergeCell ref="A4:E4"/>
    <mergeCell ref="A5:E5"/>
    <mergeCell ref="A6:E6"/>
    <mergeCell ref="A7:E7"/>
    <mergeCell ref="A8:E8"/>
    <mergeCell ref="G8:L8"/>
    <mergeCell ref="G9:L9"/>
    <mergeCell ref="G20:L20"/>
    <mergeCell ref="G21:L21"/>
    <mergeCell ref="G22:L22"/>
    <mergeCell ref="A117:E117"/>
    <mergeCell ref="A150:E150"/>
    <mergeCell ref="G23:L23"/>
    <mergeCell ref="A44:E44"/>
    <mergeCell ref="A81:E81"/>
    <mergeCell ref="A82:E82"/>
    <mergeCell ref="A83:E83"/>
  </mergeCells>
  <hyperlinks>
    <hyperlink ref="F2" location="OBSAH!I128" display="PŘEJÍT NA UPOZORNĚNÍ" xr:uid="{00000000-0004-0000-0800-000000000000}"/>
    <hyperlink ref="A150" location="'PŘÍSTUPOVÉ SYSTÉMY'!A67" display="ODKAZ NA ČIPY RFID 125kHz" xr:uid="{00000000-0004-0000-0800-000001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4">
    <tablePart r:id="rId2"/>
    <tablePart r:id="rId3"/>
    <tablePart r:id="rId4"/>
    <tablePart r:id="rId5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3CDDD"/>
  </sheetPr>
  <dimension ref="A1:AMK151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4" ht="39" customHeight="1" x14ac:dyDescent="0.7">
      <c r="A3" s="439" t="s">
        <v>81</v>
      </c>
      <c r="B3" s="439"/>
      <c r="C3" s="439"/>
      <c r="D3" s="439"/>
      <c r="E3" s="439"/>
      <c r="F3" s="3"/>
      <c r="G3" s="3"/>
      <c r="H3" s="3"/>
      <c r="I3" s="3"/>
      <c r="J3" s="3"/>
      <c r="K3" s="3"/>
      <c r="L3" s="3"/>
      <c r="M3" s="3"/>
    </row>
    <row r="4" spans="1:14" ht="15" customHeight="1" x14ac:dyDescent="0.55000000000000004">
      <c r="A4" s="450"/>
      <c r="B4" s="450"/>
      <c r="C4" s="450"/>
      <c r="D4" s="450"/>
      <c r="E4" s="450"/>
      <c r="F4" s="3"/>
      <c r="G4" s="3"/>
      <c r="H4" s="3"/>
      <c r="I4" s="3"/>
      <c r="J4" s="3"/>
      <c r="K4" s="3"/>
      <c r="L4" s="3"/>
      <c r="M4" s="3"/>
    </row>
    <row r="5" spans="1:14" ht="15" customHeight="1" x14ac:dyDescent="0.7">
      <c r="A5" s="376"/>
      <c r="B5" s="376"/>
      <c r="C5" s="376"/>
      <c r="D5" s="376"/>
      <c r="E5" s="376"/>
      <c r="F5" s="3"/>
      <c r="G5" s="3"/>
      <c r="H5" s="3"/>
      <c r="I5" s="3"/>
      <c r="J5" s="3"/>
      <c r="K5" s="3"/>
      <c r="L5" s="3"/>
      <c r="M5" s="3"/>
    </row>
    <row r="6" spans="1:14" ht="54" customHeight="1" x14ac:dyDescent="0.4">
      <c r="A6" s="476" t="s">
        <v>949</v>
      </c>
      <c r="B6" s="476"/>
      <c r="C6" s="476"/>
      <c r="D6" s="476"/>
      <c r="E6" s="476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477" t="s">
        <v>1144</v>
      </c>
      <c r="B7" s="477"/>
      <c r="C7" s="477"/>
      <c r="D7" s="477"/>
      <c r="E7" s="477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475" t="s">
        <v>83</v>
      </c>
      <c r="B8" s="475"/>
      <c r="C8" s="475"/>
      <c r="D8" s="475"/>
      <c r="E8" s="475"/>
      <c r="F8" s="3"/>
      <c r="G8" s="445"/>
      <c r="H8" s="445"/>
      <c r="I8" s="445"/>
      <c r="J8" s="445"/>
      <c r="K8" s="445"/>
      <c r="L8" s="445"/>
      <c r="M8" s="3"/>
    </row>
    <row r="9" spans="1:14" s="44" customFormat="1" ht="22.5" customHeight="1" x14ac:dyDescent="0.25">
      <c r="A9" s="132" t="s">
        <v>56</v>
      </c>
      <c r="B9" s="132" t="s">
        <v>57</v>
      </c>
      <c r="C9" s="133" t="s">
        <v>58</v>
      </c>
      <c r="D9" s="133" t="s">
        <v>59</v>
      </c>
      <c r="E9" s="134" t="s">
        <v>60</v>
      </c>
      <c r="F9" s="76"/>
      <c r="G9" s="433"/>
      <c r="H9" s="433"/>
      <c r="I9" s="433"/>
      <c r="J9" s="433"/>
      <c r="K9" s="433"/>
      <c r="L9" s="433"/>
      <c r="M9" s="42"/>
    </row>
    <row r="10" spans="1:14" s="32" customFormat="1" ht="14.25" customHeight="1" x14ac:dyDescent="0.3">
      <c r="A10" s="98">
        <v>4004003982</v>
      </c>
      <c r="B10" s="99" t="s">
        <v>1145</v>
      </c>
      <c r="C10" s="310">
        <v>6379</v>
      </c>
      <c r="D10" s="69">
        <f>(OBSAH!$J$6/100)*Tabulka2010794100[[#This Row],[Sloupec3]]</f>
        <v>0</v>
      </c>
      <c r="E10" s="70">
        <f>Tabulka2010794100[[#This Row],[Sloupec3]]-Tabulka2010794100[[#This Row],[Sloupec4]]</f>
        <v>6379</v>
      </c>
      <c r="F10" s="38"/>
      <c r="G10" s="38"/>
      <c r="H10" s="38"/>
      <c r="I10" s="38"/>
      <c r="J10" s="38"/>
      <c r="K10" s="38"/>
      <c r="L10" s="38"/>
      <c r="M10" s="38"/>
    </row>
    <row r="11" spans="1:14" s="32" customFormat="1" ht="14.25" customHeight="1" x14ac:dyDescent="0.3">
      <c r="A11" s="100">
        <v>4004003983</v>
      </c>
      <c r="B11" s="125" t="s">
        <v>1146</v>
      </c>
      <c r="C11" s="311">
        <v>6612</v>
      </c>
      <c r="D11" s="71">
        <f>(OBSAH!$J$6/100)*Tabulka2010794100[[#This Row],[Sloupec3]]</f>
        <v>0</v>
      </c>
      <c r="E11" s="57">
        <f>Tabulka2010794100[[#This Row],[Sloupec3]]-Tabulka2010794100[[#This Row],[Sloupec4]]</f>
        <v>6612</v>
      </c>
      <c r="F11" s="38"/>
      <c r="G11" s="38"/>
      <c r="H11" s="38"/>
      <c r="I11" s="38"/>
      <c r="J11" s="38"/>
      <c r="K11" s="38"/>
      <c r="L11" s="38"/>
      <c r="M11" s="38"/>
    </row>
    <row r="12" spans="1:14" s="32" customFormat="1" ht="14.25" customHeight="1" x14ac:dyDescent="0.3">
      <c r="A12" s="100">
        <v>4004003984</v>
      </c>
      <c r="B12" s="125" t="s">
        <v>1147</v>
      </c>
      <c r="C12" s="311">
        <v>6788</v>
      </c>
      <c r="D12" s="71">
        <f>(OBSAH!$J$6/100)*Tabulka2010794100[[#This Row],[Sloupec3]]</f>
        <v>0</v>
      </c>
      <c r="E12" s="57">
        <f>Tabulka2010794100[[#This Row],[Sloupec3]]-Tabulka2010794100[[#This Row],[Sloupec4]]</f>
        <v>6788</v>
      </c>
      <c r="F12" s="38"/>
      <c r="G12" s="38"/>
      <c r="H12" s="38"/>
      <c r="I12" s="38"/>
      <c r="J12" s="38"/>
      <c r="K12" s="38"/>
      <c r="L12" s="38"/>
      <c r="M12" s="38"/>
    </row>
    <row r="13" spans="1:14" s="32" customFormat="1" ht="14.25" customHeight="1" x14ac:dyDescent="0.3">
      <c r="A13" s="100">
        <v>4004003985</v>
      </c>
      <c r="B13" s="125" t="s">
        <v>1148</v>
      </c>
      <c r="C13" s="311">
        <v>9573</v>
      </c>
      <c r="D13" s="71">
        <f>(OBSAH!$J$6/100)*Tabulka2010794100[[#This Row],[Sloupec3]]</f>
        <v>0</v>
      </c>
      <c r="E13" s="57">
        <f>Tabulka2010794100[[#This Row],[Sloupec3]]-Tabulka2010794100[[#This Row],[Sloupec4]]</f>
        <v>9573</v>
      </c>
      <c r="F13" s="38"/>
      <c r="G13" s="38"/>
      <c r="H13" s="38"/>
      <c r="I13" s="38"/>
      <c r="J13" s="38"/>
      <c r="K13" s="38"/>
      <c r="L13" s="38"/>
      <c r="M13" s="38"/>
    </row>
    <row r="14" spans="1:14" s="32" customFormat="1" ht="14.25" customHeight="1" x14ac:dyDescent="0.3">
      <c r="A14" s="100">
        <v>4004003986</v>
      </c>
      <c r="B14" s="125" t="s">
        <v>1149</v>
      </c>
      <c r="C14" s="311">
        <v>9804</v>
      </c>
      <c r="D14" s="71">
        <f>(OBSAH!$J$6/100)*Tabulka2010794100[[#This Row],[Sloupec3]]</f>
        <v>0</v>
      </c>
      <c r="E14" s="57">
        <f>Tabulka2010794100[[#This Row],[Sloupec3]]-Tabulka2010794100[[#This Row],[Sloupec4]]</f>
        <v>9804</v>
      </c>
      <c r="F14" s="38"/>
      <c r="G14" s="38"/>
      <c r="H14" s="38"/>
      <c r="I14" s="38"/>
      <c r="J14" s="38"/>
      <c r="K14" s="38"/>
      <c r="L14" s="38"/>
      <c r="M14" s="38"/>
    </row>
    <row r="15" spans="1:14" s="32" customFormat="1" ht="14.25" customHeight="1" x14ac:dyDescent="0.3">
      <c r="A15" s="100">
        <v>4004003987</v>
      </c>
      <c r="B15" s="125" t="s">
        <v>1150</v>
      </c>
      <c r="C15" s="311">
        <v>9814</v>
      </c>
      <c r="D15" s="71">
        <f>(OBSAH!$J$6/100)*Tabulka2010794100[[#This Row],[Sloupec3]]</f>
        <v>0</v>
      </c>
      <c r="E15" s="57">
        <f>Tabulka2010794100[[#This Row],[Sloupec3]]-Tabulka2010794100[[#This Row],[Sloupec4]]</f>
        <v>9814</v>
      </c>
      <c r="F15" s="38"/>
      <c r="G15" s="38"/>
      <c r="H15" s="38"/>
      <c r="I15" s="38"/>
      <c r="J15" s="38"/>
      <c r="K15" s="38"/>
      <c r="L15" s="38"/>
      <c r="M15" s="38"/>
    </row>
    <row r="16" spans="1:14" s="32" customFormat="1" ht="14.25" customHeight="1" x14ac:dyDescent="0.3">
      <c r="A16" s="100">
        <v>4004003988</v>
      </c>
      <c r="B16" s="125" t="s">
        <v>1151</v>
      </c>
      <c r="C16" s="311">
        <v>10004</v>
      </c>
      <c r="D16" s="71">
        <f>(OBSAH!$J$6/100)*Tabulka2010794100[[#This Row],[Sloupec3]]</f>
        <v>0</v>
      </c>
      <c r="E16" s="57">
        <f>Tabulka2010794100[[#This Row],[Sloupec3]]-Tabulka2010794100[[#This Row],[Sloupec4]]</f>
        <v>10004</v>
      </c>
      <c r="F16" s="38"/>
      <c r="G16" s="38"/>
      <c r="H16" s="38"/>
      <c r="I16" s="38"/>
      <c r="J16" s="38"/>
      <c r="K16" s="38"/>
      <c r="L16" s="38"/>
      <c r="M16" s="38"/>
    </row>
    <row r="17" spans="1:13" s="32" customFormat="1" ht="14.25" customHeight="1" x14ac:dyDescent="0.3">
      <c r="A17" s="100">
        <v>4004003989</v>
      </c>
      <c r="B17" s="125" t="s">
        <v>1152</v>
      </c>
      <c r="C17" s="311">
        <v>10181</v>
      </c>
      <c r="D17" s="71">
        <f>(OBSAH!$J$6/100)*Tabulka2010794100[[#This Row],[Sloupec3]]</f>
        <v>0</v>
      </c>
      <c r="E17" s="57">
        <f>Tabulka2010794100[[#This Row],[Sloupec3]]-Tabulka2010794100[[#This Row],[Sloupec4]]</f>
        <v>10181</v>
      </c>
      <c r="F17" s="38"/>
      <c r="G17" s="38"/>
      <c r="H17" s="38"/>
      <c r="I17" s="38"/>
      <c r="J17" s="38"/>
      <c r="K17" s="38"/>
      <c r="L17" s="38"/>
      <c r="M17" s="38"/>
    </row>
    <row r="18" spans="1:13" s="32" customFormat="1" ht="14.25" customHeight="1" x14ac:dyDescent="0.3">
      <c r="A18" s="100">
        <v>4004003990</v>
      </c>
      <c r="B18" s="125" t="s">
        <v>1153</v>
      </c>
      <c r="C18" s="311">
        <v>14244</v>
      </c>
      <c r="D18" s="71">
        <f>(OBSAH!$J$6/100)*Tabulka2010794100[[#This Row],[Sloupec3]]</f>
        <v>0</v>
      </c>
      <c r="E18" s="57">
        <f>Tabulka2010794100[[#This Row],[Sloupec3]]-Tabulka2010794100[[#This Row],[Sloupec4]]</f>
        <v>14244</v>
      </c>
      <c r="F18" s="38"/>
      <c r="G18" s="38"/>
      <c r="H18" s="38"/>
      <c r="I18" s="38"/>
      <c r="J18" s="38"/>
      <c r="K18" s="38"/>
      <c r="L18" s="38"/>
      <c r="M18" s="38"/>
    </row>
    <row r="19" spans="1:13" s="32" customFormat="1" ht="14.25" customHeight="1" x14ac:dyDescent="0.3">
      <c r="A19" s="100">
        <v>4004003991</v>
      </c>
      <c r="B19" s="125" t="s">
        <v>1154</v>
      </c>
      <c r="C19" s="311">
        <v>14266</v>
      </c>
      <c r="D19" s="71">
        <f>(OBSAH!$J$6/100)*Tabulka2010794100[[#This Row],[Sloupec3]]</f>
        <v>0</v>
      </c>
      <c r="E19" s="57">
        <f>Tabulka2010794100[[#This Row],[Sloupec3]]-Tabulka2010794100[[#This Row],[Sloupec4]]</f>
        <v>14266</v>
      </c>
      <c r="F19" s="38"/>
      <c r="G19" s="38"/>
      <c r="H19" s="38"/>
      <c r="I19" s="38"/>
      <c r="J19" s="38"/>
      <c r="K19" s="38"/>
      <c r="L19" s="38"/>
      <c r="M19" s="38"/>
    </row>
    <row r="20" spans="1:13" s="32" customFormat="1" ht="14.25" customHeight="1" x14ac:dyDescent="0.3">
      <c r="A20" s="100">
        <v>4004003992</v>
      </c>
      <c r="B20" s="125" t="s">
        <v>1155</v>
      </c>
      <c r="C20" s="311">
        <v>14272</v>
      </c>
      <c r="D20" s="71">
        <f>(OBSAH!$J$6/100)*Tabulka2010794100[[#This Row],[Sloupec3]]</f>
        <v>0</v>
      </c>
      <c r="E20" s="57">
        <f>Tabulka2010794100[[#This Row],[Sloupec3]]-Tabulka2010794100[[#This Row],[Sloupec4]]</f>
        <v>14272</v>
      </c>
      <c r="F20" s="38"/>
      <c r="G20" s="448"/>
      <c r="H20" s="448"/>
      <c r="I20" s="448"/>
      <c r="J20" s="448"/>
      <c r="K20" s="448"/>
      <c r="L20" s="448"/>
      <c r="M20" s="38"/>
    </row>
    <row r="21" spans="1:13" s="32" customFormat="1" ht="14.25" customHeight="1" x14ac:dyDescent="0.3">
      <c r="A21" s="100">
        <v>4004003993</v>
      </c>
      <c r="B21" s="125" t="s">
        <v>1156</v>
      </c>
      <c r="C21" s="311">
        <v>14490</v>
      </c>
      <c r="D21" s="71">
        <f>(OBSAH!$J$6/100)*Tabulka2010794100[[#This Row],[Sloupec3]]</f>
        <v>0</v>
      </c>
      <c r="E21" s="57">
        <f>Tabulka2010794100[[#This Row],[Sloupec3]]-Tabulka2010794100[[#This Row],[Sloupec4]]</f>
        <v>14490</v>
      </c>
      <c r="F21" s="38"/>
      <c r="G21" s="430"/>
      <c r="H21" s="430"/>
      <c r="I21" s="430"/>
      <c r="J21" s="430"/>
      <c r="K21" s="430"/>
      <c r="L21" s="430"/>
      <c r="M21" s="38"/>
    </row>
    <row r="22" spans="1:13" s="32" customFormat="1" ht="14.25" customHeight="1" x14ac:dyDescent="0.3">
      <c r="A22" s="100">
        <v>4004003994</v>
      </c>
      <c r="B22" s="125" t="s">
        <v>1157</v>
      </c>
      <c r="C22" s="311">
        <v>14670</v>
      </c>
      <c r="D22" s="71">
        <f>(OBSAH!$J$6/100)*Tabulka2010794100[[#This Row],[Sloupec3]]</f>
        <v>0</v>
      </c>
      <c r="E22" s="57">
        <f>Tabulka2010794100[[#This Row],[Sloupec3]]-Tabulka2010794100[[#This Row],[Sloupec4]]</f>
        <v>14670</v>
      </c>
      <c r="F22" s="38"/>
      <c r="G22" s="448"/>
      <c r="H22" s="448"/>
      <c r="I22" s="448"/>
      <c r="J22" s="448"/>
      <c r="K22" s="448"/>
      <c r="L22" s="448"/>
      <c r="M22" s="38"/>
    </row>
    <row r="23" spans="1:13" s="32" customFormat="1" ht="14.25" customHeight="1" x14ac:dyDescent="0.3">
      <c r="A23" s="100">
        <v>4004003995</v>
      </c>
      <c r="B23" s="125" t="s">
        <v>1158</v>
      </c>
      <c r="C23" s="311">
        <v>18029</v>
      </c>
      <c r="D23" s="71">
        <f>(OBSAH!$J$6/100)*Tabulka2010794100[[#This Row],[Sloupec3]]</f>
        <v>0</v>
      </c>
      <c r="E23" s="57">
        <f>Tabulka2010794100[[#This Row],[Sloupec3]]-Tabulka2010794100[[#This Row],[Sloupec4]]</f>
        <v>18029</v>
      </c>
      <c r="F23" s="38"/>
      <c r="G23" s="430"/>
      <c r="H23" s="430"/>
      <c r="I23" s="430"/>
      <c r="J23" s="430"/>
      <c r="K23" s="430"/>
      <c r="L23" s="430"/>
      <c r="M23" s="38"/>
    </row>
    <row r="24" spans="1:13" s="32" customFormat="1" ht="14.25" customHeight="1" x14ac:dyDescent="0.3">
      <c r="A24" s="100">
        <v>4004003996</v>
      </c>
      <c r="B24" s="125" t="s">
        <v>1159</v>
      </c>
      <c r="C24" s="311">
        <v>18261</v>
      </c>
      <c r="D24" s="71">
        <f>(OBSAH!$J$6/100)*Tabulka2010794100[[#This Row],[Sloupec3]]</f>
        <v>0</v>
      </c>
      <c r="E24" s="57">
        <f>Tabulka2010794100[[#This Row],[Sloupec3]]-Tabulka2010794100[[#This Row],[Sloupec4]]</f>
        <v>18261</v>
      </c>
      <c r="F24" s="38"/>
      <c r="G24" s="38"/>
      <c r="H24" s="38"/>
      <c r="I24" s="38"/>
      <c r="J24" s="38"/>
      <c r="K24" s="38"/>
      <c r="L24" s="38"/>
      <c r="M24" s="38"/>
    </row>
    <row r="25" spans="1:13" s="32" customFormat="1" ht="14.25" customHeight="1" x14ac:dyDescent="0.3">
      <c r="A25" s="100">
        <v>4004003997</v>
      </c>
      <c r="B25" s="125" t="s">
        <v>1160</v>
      </c>
      <c r="C25" s="311">
        <v>18269</v>
      </c>
      <c r="D25" s="71">
        <f>(OBSAH!$J$6/100)*Tabulka2010794100[[#This Row],[Sloupec3]]</f>
        <v>0</v>
      </c>
      <c r="E25" s="57">
        <f>Tabulka2010794100[[#This Row],[Sloupec3]]-Tabulka2010794100[[#This Row],[Sloupec4]]</f>
        <v>18269</v>
      </c>
      <c r="F25" s="38"/>
      <c r="G25" s="38"/>
      <c r="H25" s="38"/>
      <c r="I25" s="38"/>
      <c r="J25" s="38"/>
      <c r="K25" s="38"/>
      <c r="L25" s="38"/>
      <c r="M25" s="38"/>
    </row>
    <row r="26" spans="1:13" s="32" customFormat="1" ht="14.25" customHeight="1" x14ac:dyDescent="0.3">
      <c r="A26" s="100">
        <v>4004003998</v>
      </c>
      <c r="B26" s="125" t="s">
        <v>1161</v>
      </c>
      <c r="C26" s="311">
        <v>18489</v>
      </c>
      <c r="D26" s="71">
        <f>(OBSAH!$J$6/100)*Tabulka2010794100[[#This Row],[Sloupec3]]</f>
        <v>0</v>
      </c>
      <c r="E26" s="57">
        <f>Tabulka2010794100[[#This Row],[Sloupec3]]-Tabulka2010794100[[#This Row],[Sloupec4]]</f>
        <v>18489</v>
      </c>
      <c r="F26" s="38"/>
      <c r="G26" s="38"/>
      <c r="H26" s="38"/>
      <c r="I26" s="38"/>
      <c r="J26" s="38"/>
      <c r="K26" s="38"/>
      <c r="L26" s="38"/>
      <c r="M26" s="38"/>
    </row>
    <row r="27" spans="1:13" s="32" customFormat="1" ht="14.25" customHeight="1" x14ac:dyDescent="0.3">
      <c r="A27" s="100">
        <v>4004003999</v>
      </c>
      <c r="B27" s="125" t="s">
        <v>1162</v>
      </c>
      <c r="C27" s="311">
        <v>18664</v>
      </c>
      <c r="D27" s="71">
        <f>(OBSAH!$J$6/100)*Tabulka2010794100[[#This Row],[Sloupec3]]</f>
        <v>0</v>
      </c>
      <c r="E27" s="57">
        <f>Tabulka2010794100[[#This Row],[Sloupec3]]-Tabulka2010794100[[#This Row],[Sloupec4]]</f>
        <v>18664</v>
      </c>
      <c r="F27" s="38"/>
      <c r="G27" s="38"/>
      <c r="H27" s="38"/>
      <c r="I27" s="38"/>
      <c r="J27" s="38"/>
      <c r="K27" s="38"/>
      <c r="L27" s="38"/>
      <c r="M27" s="38"/>
    </row>
    <row r="28" spans="1:13" s="32" customFormat="1" ht="14.25" customHeight="1" x14ac:dyDescent="0.3">
      <c r="A28" s="100">
        <v>4004004000</v>
      </c>
      <c r="B28" s="125" t="s">
        <v>1163</v>
      </c>
      <c r="C28" s="311">
        <v>22515</v>
      </c>
      <c r="D28" s="71">
        <f>(OBSAH!$J$6/100)*Tabulka2010794100[[#This Row],[Sloupec3]]</f>
        <v>0</v>
      </c>
      <c r="E28" s="57">
        <f>Tabulka2010794100[[#This Row],[Sloupec3]]-Tabulka2010794100[[#This Row],[Sloupec4]]</f>
        <v>22515</v>
      </c>
      <c r="F28" s="38"/>
      <c r="G28" s="38"/>
      <c r="H28" s="38"/>
      <c r="I28" s="38"/>
      <c r="J28" s="38"/>
      <c r="K28" s="38"/>
      <c r="L28" s="38"/>
      <c r="M28" s="38"/>
    </row>
    <row r="29" spans="1:13" s="32" customFormat="1" ht="14.25" customHeight="1" x14ac:dyDescent="0.3">
      <c r="A29" s="100">
        <v>4004004001</v>
      </c>
      <c r="B29" s="125" t="s">
        <v>1164</v>
      </c>
      <c r="C29" s="311">
        <v>22750</v>
      </c>
      <c r="D29" s="71">
        <f>(OBSAH!$J$6/100)*Tabulka2010794100[[#This Row],[Sloupec3]]</f>
        <v>0</v>
      </c>
      <c r="E29" s="57">
        <f>Tabulka2010794100[[#This Row],[Sloupec3]]-Tabulka2010794100[[#This Row],[Sloupec4]]</f>
        <v>22750</v>
      </c>
      <c r="F29" s="38"/>
      <c r="G29" s="38"/>
      <c r="H29" s="38"/>
      <c r="I29" s="38"/>
      <c r="J29" s="38"/>
      <c r="K29" s="38"/>
      <c r="L29" s="38"/>
      <c r="M29" s="38"/>
    </row>
    <row r="30" spans="1:13" s="32" customFormat="1" ht="14.25" customHeight="1" x14ac:dyDescent="0.3">
      <c r="A30" s="100">
        <v>4004004002</v>
      </c>
      <c r="B30" s="125" t="s">
        <v>1165</v>
      </c>
      <c r="C30" s="311">
        <v>22756</v>
      </c>
      <c r="D30" s="71">
        <f>(OBSAH!$J$6/100)*Tabulka2010794100[[#This Row],[Sloupec3]]</f>
        <v>0</v>
      </c>
      <c r="E30" s="57">
        <f>Tabulka2010794100[[#This Row],[Sloupec3]]-Tabulka2010794100[[#This Row],[Sloupec4]]</f>
        <v>22756</v>
      </c>
      <c r="F30" s="38"/>
      <c r="G30" s="38"/>
      <c r="H30" s="38"/>
      <c r="I30" s="38"/>
      <c r="J30" s="38"/>
      <c r="K30" s="38"/>
      <c r="L30" s="38"/>
      <c r="M30" s="38"/>
    </row>
    <row r="31" spans="1:13" s="32" customFormat="1" ht="14.25" customHeight="1" x14ac:dyDescent="0.3">
      <c r="A31" s="100">
        <v>4004004003</v>
      </c>
      <c r="B31" s="125" t="s">
        <v>1166</v>
      </c>
      <c r="C31" s="311">
        <v>22976</v>
      </c>
      <c r="D31" s="71">
        <f>(OBSAH!$J$6/100)*Tabulka2010794100[[#This Row],[Sloupec3]]</f>
        <v>0</v>
      </c>
      <c r="E31" s="57">
        <f>Tabulka2010794100[[#This Row],[Sloupec3]]-Tabulka2010794100[[#This Row],[Sloupec4]]</f>
        <v>22976</v>
      </c>
      <c r="F31" s="38"/>
      <c r="G31" s="38"/>
      <c r="H31" s="38"/>
      <c r="I31" s="38"/>
      <c r="J31" s="38"/>
      <c r="K31" s="38"/>
      <c r="L31" s="38"/>
      <c r="M31" s="38"/>
    </row>
    <row r="32" spans="1:13" s="32" customFormat="1" ht="14.25" customHeight="1" x14ac:dyDescent="0.3">
      <c r="A32" s="100">
        <v>4004004004</v>
      </c>
      <c r="B32" s="125" t="s">
        <v>1167</v>
      </c>
      <c r="C32" s="311">
        <v>23153</v>
      </c>
      <c r="D32" s="71">
        <f>(OBSAH!$J$6/100)*Tabulka2010794100[[#This Row],[Sloupec3]]</f>
        <v>0</v>
      </c>
      <c r="E32" s="57">
        <f>Tabulka2010794100[[#This Row],[Sloupec3]]-Tabulka2010794100[[#This Row],[Sloupec4]]</f>
        <v>23153</v>
      </c>
      <c r="F32" s="38"/>
      <c r="G32" s="38"/>
      <c r="H32" s="38"/>
      <c r="I32" s="38"/>
      <c r="J32" s="38"/>
      <c r="K32" s="38"/>
      <c r="L32" s="38"/>
      <c r="M32" s="38"/>
    </row>
    <row r="33" spans="1:13" s="32" customFormat="1" ht="14.25" customHeight="1" x14ac:dyDescent="0.3">
      <c r="A33" s="100">
        <v>4004004005</v>
      </c>
      <c r="B33" s="125" t="s">
        <v>1168</v>
      </c>
      <c r="C33" s="311">
        <v>26777</v>
      </c>
      <c r="D33" s="71">
        <f>(OBSAH!$J$6/100)*Tabulka2010794100[[#This Row],[Sloupec3]]</f>
        <v>0</v>
      </c>
      <c r="E33" s="57">
        <f>Tabulka2010794100[[#This Row],[Sloupec3]]-Tabulka2010794100[[#This Row],[Sloupec4]]</f>
        <v>26777</v>
      </c>
      <c r="F33" s="38"/>
      <c r="G33" s="38"/>
      <c r="H33" s="38"/>
      <c r="I33" s="38"/>
      <c r="J33" s="38"/>
      <c r="K33" s="38"/>
      <c r="L33" s="38"/>
      <c r="M33" s="38"/>
    </row>
    <row r="34" spans="1:13" s="32" customFormat="1" ht="14.25" customHeight="1" x14ac:dyDescent="0.3">
      <c r="A34" s="100">
        <v>4004004006</v>
      </c>
      <c r="B34" s="125" t="s">
        <v>1169</v>
      </c>
      <c r="C34" s="311">
        <v>27010</v>
      </c>
      <c r="D34" s="71">
        <f>(OBSAH!$J$6/100)*Tabulka2010794100[[#This Row],[Sloupec3]]</f>
        <v>0</v>
      </c>
      <c r="E34" s="57">
        <f>Tabulka2010794100[[#This Row],[Sloupec3]]-Tabulka2010794100[[#This Row],[Sloupec4]]</f>
        <v>27010</v>
      </c>
      <c r="F34" s="38"/>
      <c r="G34" s="38"/>
      <c r="H34" s="38"/>
      <c r="I34" s="38"/>
      <c r="J34" s="38"/>
      <c r="K34" s="38"/>
      <c r="L34" s="38"/>
      <c r="M34" s="38"/>
    </row>
    <row r="35" spans="1:13" s="32" customFormat="1" ht="14.25" customHeight="1" x14ac:dyDescent="0.3">
      <c r="A35" s="100">
        <v>4004004007</v>
      </c>
      <c r="B35" s="125" t="s">
        <v>1170</v>
      </c>
      <c r="C35" s="311">
        <v>27016</v>
      </c>
      <c r="D35" s="71">
        <f>(OBSAH!$J$6/100)*Tabulka2010794100[[#This Row],[Sloupec3]]</f>
        <v>0</v>
      </c>
      <c r="E35" s="57">
        <f>Tabulka2010794100[[#This Row],[Sloupec3]]-Tabulka2010794100[[#This Row],[Sloupec4]]</f>
        <v>27016</v>
      </c>
      <c r="F35" s="38"/>
      <c r="G35" s="38"/>
      <c r="H35" s="38"/>
      <c r="I35" s="38"/>
      <c r="J35" s="38"/>
      <c r="K35" s="38"/>
      <c r="L35" s="38"/>
      <c r="M35" s="38"/>
    </row>
    <row r="36" spans="1:13" s="32" customFormat="1" ht="14.25" customHeight="1" x14ac:dyDescent="0.3">
      <c r="A36" s="100">
        <v>4004004008</v>
      </c>
      <c r="B36" s="125" t="s">
        <v>1171</v>
      </c>
      <c r="C36" s="311">
        <v>27233</v>
      </c>
      <c r="D36" s="71">
        <f>(OBSAH!$J$6/100)*Tabulka2010794100[[#This Row],[Sloupec3]]</f>
        <v>0</v>
      </c>
      <c r="E36" s="57">
        <f>Tabulka2010794100[[#This Row],[Sloupec3]]-Tabulka2010794100[[#This Row],[Sloupec4]]</f>
        <v>27233</v>
      </c>
      <c r="F36" s="38"/>
      <c r="G36" s="38"/>
      <c r="H36" s="38"/>
      <c r="I36" s="38"/>
      <c r="J36" s="38"/>
      <c r="K36" s="38"/>
      <c r="L36" s="38"/>
      <c r="M36" s="38"/>
    </row>
    <row r="37" spans="1:13" s="32" customFormat="1" ht="14.25" customHeight="1" x14ac:dyDescent="0.3">
      <c r="A37" s="100">
        <v>4004004009</v>
      </c>
      <c r="B37" s="125" t="s">
        <v>1172</v>
      </c>
      <c r="C37" s="311">
        <v>27412</v>
      </c>
      <c r="D37" s="71">
        <f>(OBSAH!$J$6/100)*Tabulka2010794100[[#This Row],[Sloupec3]]</f>
        <v>0</v>
      </c>
      <c r="E37" s="57">
        <f>Tabulka2010794100[[#This Row],[Sloupec3]]-Tabulka2010794100[[#This Row],[Sloupec4]]</f>
        <v>27412</v>
      </c>
      <c r="F37" s="38"/>
      <c r="G37" s="38"/>
      <c r="H37" s="38"/>
      <c r="I37" s="38"/>
      <c r="J37" s="38"/>
      <c r="K37" s="38"/>
      <c r="L37" s="38"/>
      <c r="M37" s="38"/>
    </row>
    <row r="38" spans="1:13" s="32" customFormat="1" ht="14.25" customHeight="1" x14ac:dyDescent="0.3">
      <c r="A38" s="100">
        <v>4004004010</v>
      </c>
      <c r="B38" s="125" t="s">
        <v>1173</v>
      </c>
      <c r="C38" s="311">
        <v>31217</v>
      </c>
      <c r="D38" s="71">
        <f>(OBSAH!$J$6/100)*Tabulka2010794100[[#This Row],[Sloupec3]]</f>
        <v>0</v>
      </c>
      <c r="E38" s="57">
        <f>Tabulka2010794100[[#This Row],[Sloupec3]]-Tabulka2010794100[[#This Row],[Sloupec4]]</f>
        <v>31217</v>
      </c>
      <c r="F38" s="38"/>
      <c r="G38" s="38"/>
      <c r="H38" s="38"/>
      <c r="I38" s="38"/>
      <c r="J38" s="38"/>
      <c r="K38" s="38"/>
      <c r="L38" s="38"/>
      <c r="M38" s="38"/>
    </row>
    <row r="39" spans="1:13" s="32" customFormat="1" ht="14.25" customHeight="1" x14ac:dyDescent="0.3">
      <c r="A39" s="100">
        <v>4004004011</v>
      </c>
      <c r="B39" s="125" t="s">
        <v>1174</v>
      </c>
      <c r="C39" s="311">
        <v>31224</v>
      </c>
      <c r="D39" s="71">
        <f>(OBSAH!$J$6/100)*Tabulka2010794100[[#This Row],[Sloupec3]]</f>
        <v>0</v>
      </c>
      <c r="E39" s="57">
        <f>Tabulka2010794100[[#This Row],[Sloupec3]]-Tabulka2010794100[[#This Row],[Sloupec4]]</f>
        <v>31224</v>
      </c>
      <c r="F39" s="38"/>
      <c r="G39" s="38"/>
      <c r="H39" s="38"/>
      <c r="I39" s="38"/>
      <c r="J39" s="38"/>
      <c r="K39" s="38"/>
      <c r="L39" s="38"/>
      <c r="M39" s="38"/>
    </row>
    <row r="40" spans="1:13" s="32" customFormat="1" ht="14.25" customHeight="1" x14ac:dyDescent="0.3">
      <c r="A40" s="100">
        <v>4004004012</v>
      </c>
      <c r="B40" s="125" t="s">
        <v>1175</v>
      </c>
      <c r="C40" s="311">
        <v>31442</v>
      </c>
      <c r="D40" s="71">
        <f>(OBSAH!$J$6/100)*Tabulka2010794100[[#This Row],[Sloupec3]]</f>
        <v>0</v>
      </c>
      <c r="E40" s="57">
        <f>Tabulka2010794100[[#This Row],[Sloupec3]]-Tabulka2010794100[[#This Row],[Sloupec4]]</f>
        <v>31442</v>
      </c>
      <c r="F40" s="38"/>
      <c r="G40" s="38"/>
      <c r="H40" s="38"/>
      <c r="I40" s="38"/>
      <c r="J40" s="38"/>
      <c r="K40" s="38"/>
      <c r="L40" s="38"/>
      <c r="M40" s="38"/>
    </row>
    <row r="41" spans="1:13" s="32" customFormat="1" ht="14.25" customHeight="1" x14ac:dyDescent="0.3">
      <c r="A41" s="100">
        <v>4004004013</v>
      </c>
      <c r="B41" s="125" t="s">
        <v>1176</v>
      </c>
      <c r="C41" s="311">
        <v>31676</v>
      </c>
      <c r="D41" s="71">
        <f>(OBSAH!$J$6/100)*Tabulka2010794100[[#This Row],[Sloupec3]]</f>
        <v>0</v>
      </c>
      <c r="E41" s="57">
        <f>Tabulka2010794100[[#This Row],[Sloupec3]]-Tabulka2010794100[[#This Row],[Sloupec4]]</f>
        <v>31676</v>
      </c>
      <c r="F41" s="38"/>
      <c r="G41" s="38"/>
      <c r="H41" s="38"/>
      <c r="I41" s="38"/>
      <c r="J41" s="38"/>
      <c r="K41" s="38"/>
      <c r="L41" s="38"/>
      <c r="M41" s="38"/>
    </row>
    <row r="42" spans="1:13" s="32" customFormat="1" ht="14.25" customHeight="1" x14ac:dyDescent="0.3">
      <c r="A42" s="101">
        <v>4004004014</v>
      </c>
      <c r="B42" s="102" t="s">
        <v>1177</v>
      </c>
      <c r="C42" s="312">
        <v>31852</v>
      </c>
      <c r="D42" s="68">
        <f>(OBSAH!$J$6/100)*Tabulka2010794100[[#This Row],[Sloupec3]]</f>
        <v>0</v>
      </c>
      <c r="E42" s="58">
        <f>Tabulka2010794100[[#This Row],[Sloupec3]]-Tabulka2010794100[[#This Row],[Sloupec4]]</f>
        <v>31852</v>
      </c>
      <c r="F42" s="38"/>
      <c r="G42" s="38"/>
      <c r="H42" s="38"/>
      <c r="I42" s="38"/>
      <c r="J42" s="38"/>
      <c r="K42" s="38"/>
      <c r="L42" s="38"/>
      <c r="M42" s="38"/>
    </row>
    <row r="43" spans="1:13" ht="15" customHeight="1" x14ac:dyDescent="0.4">
      <c r="A43" s="103"/>
      <c r="B43" s="84"/>
      <c r="C43" s="131"/>
      <c r="D43" s="61"/>
      <c r="E43" s="62"/>
      <c r="F43" s="3"/>
      <c r="G43" s="3"/>
      <c r="H43" s="3"/>
      <c r="I43" s="3"/>
      <c r="J43" s="3"/>
      <c r="K43" s="3"/>
      <c r="L43" s="3"/>
      <c r="M43" s="3"/>
    </row>
    <row r="44" spans="1:13" ht="22.5" customHeight="1" x14ac:dyDescent="0.4">
      <c r="A44" s="472" t="s">
        <v>91</v>
      </c>
      <c r="B44" s="472"/>
      <c r="C44" s="472"/>
      <c r="D44" s="472"/>
      <c r="E44" s="472"/>
      <c r="F44" s="3"/>
      <c r="G44" s="3"/>
      <c r="H44" s="3"/>
      <c r="I44" s="3"/>
      <c r="J44" s="3"/>
      <c r="K44" s="3"/>
      <c r="L44" s="3"/>
      <c r="M44" s="3"/>
    </row>
    <row r="45" spans="1:13" s="44" customFormat="1" ht="22.5" customHeight="1" x14ac:dyDescent="0.25">
      <c r="A45" s="135" t="s">
        <v>56</v>
      </c>
      <c r="B45" s="135" t="s">
        <v>57</v>
      </c>
      <c r="C45" s="136" t="s">
        <v>58</v>
      </c>
      <c r="D45" s="136" t="s">
        <v>59</v>
      </c>
      <c r="E45" s="137" t="s">
        <v>60</v>
      </c>
      <c r="F45" s="42"/>
      <c r="G45" s="42"/>
      <c r="H45" s="42"/>
      <c r="I45" s="42"/>
      <c r="J45" s="42"/>
      <c r="K45" s="42"/>
      <c r="L45" s="42"/>
      <c r="M45" s="42"/>
    </row>
    <row r="46" spans="1:13" s="32" customFormat="1" ht="14.25" customHeight="1" x14ac:dyDescent="0.3">
      <c r="A46" s="98">
        <v>4004004015</v>
      </c>
      <c r="B46" s="99" t="s">
        <v>1178</v>
      </c>
      <c r="C46" s="310">
        <v>6527</v>
      </c>
      <c r="D46" s="69">
        <f>(OBSAH!$J$6/100)*Tabulka20107949699[[#This Row],[Sloupec3]]</f>
        <v>0</v>
      </c>
      <c r="E46" s="70">
        <f>Tabulka20107949699[[#This Row],[Sloupec3]]-Tabulka20107949699[[#This Row],[Sloupec4]]</f>
        <v>6527</v>
      </c>
      <c r="F46" s="38"/>
      <c r="G46" s="38"/>
      <c r="H46" s="38"/>
      <c r="I46" s="38"/>
      <c r="J46" s="38"/>
      <c r="K46" s="38"/>
      <c r="L46" s="38"/>
      <c r="M46" s="38"/>
    </row>
    <row r="47" spans="1:13" s="32" customFormat="1" ht="14.25" customHeight="1" x14ac:dyDescent="0.3">
      <c r="A47" s="100">
        <v>4004004016</v>
      </c>
      <c r="B47" s="125" t="s">
        <v>1179</v>
      </c>
      <c r="C47" s="311">
        <v>6758</v>
      </c>
      <c r="D47" s="71">
        <f>(OBSAH!$J$6/100)*Tabulka20107949699[[#This Row],[Sloupec3]]</f>
        <v>0</v>
      </c>
      <c r="E47" s="57">
        <f>Tabulka20107949699[[#This Row],[Sloupec3]]-Tabulka20107949699[[#This Row],[Sloupec4]]</f>
        <v>6758</v>
      </c>
      <c r="F47" s="38"/>
      <c r="G47" s="38"/>
      <c r="H47" s="38"/>
      <c r="I47" s="38"/>
      <c r="J47" s="38"/>
      <c r="K47" s="38"/>
      <c r="L47" s="38"/>
      <c r="M47" s="38"/>
    </row>
    <row r="48" spans="1:13" s="32" customFormat="1" ht="14.25" customHeight="1" x14ac:dyDescent="0.3">
      <c r="A48" s="100">
        <v>4004004017</v>
      </c>
      <c r="B48" s="125" t="s">
        <v>1180</v>
      </c>
      <c r="C48" s="311">
        <v>6935</v>
      </c>
      <c r="D48" s="71">
        <f>(OBSAH!$J$6/100)*Tabulka20107949699[[#This Row],[Sloupec3]]</f>
        <v>0</v>
      </c>
      <c r="E48" s="57">
        <f>Tabulka20107949699[[#This Row],[Sloupec3]]-Tabulka20107949699[[#This Row],[Sloupec4]]</f>
        <v>6935</v>
      </c>
      <c r="F48" s="38"/>
      <c r="G48" s="38"/>
      <c r="H48" s="38"/>
      <c r="I48" s="38"/>
      <c r="J48" s="38"/>
      <c r="K48" s="38"/>
      <c r="L48" s="38"/>
      <c r="M48" s="38"/>
    </row>
    <row r="49" spans="1:13" s="32" customFormat="1" ht="14.25" customHeight="1" x14ac:dyDescent="0.3">
      <c r="A49" s="100">
        <v>4004004018</v>
      </c>
      <c r="B49" s="125" t="s">
        <v>1181</v>
      </c>
      <c r="C49" s="311">
        <v>10014</v>
      </c>
      <c r="D49" s="71">
        <f>(OBSAH!$J$6/100)*Tabulka20107949699[[#This Row],[Sloupec3]]</f>
        <v>0</v>
      </c>
      <c r="E49" s="57">
        <f>Tabulka20107949699[[#This Row],[Sloupec3]]-Tabulka20107949699[[#This Row],[Sloupec4]]</f>
        <v>10014</v>
      </c>
      <c r="F49" s="38"/>
      <c r="G49" s="38"/>
      <c r="H49" s="38"/>
      <c r="I49" s="38"/>
      <c r="J49" s="38"/>
      <c r="K49" s="38"/>
      <c r="L49" s="38"/>
      <c r="M49" s="38"/>
    </row>
    <row r="50" spans="1:13" s="32" customFormat="1" ht="14.25" customHeight="1" x14ac:dyDescent="0.3">
      <c r="A50" s="100">
        <v>4004004019</v>
      </c>
      <c r="B50" s="125" t="s">
        <v>1182</v>
      </c>
      <c r="C50" s="311">
        <v>10247</v>
      </c>
      <c r="D50" s="71">
        <f>(OBSAH!$J$6/100)*Tabulka20107949699[[#This Row],[Sloupec3]]</f>
        <v>0</v>
      </c>
      <c r="E50" s="57">
        <f>Tabulka20107949699[[#This Row],[Sloupec3]]-Tabulka20107949699[[#This Row],[Sloupec4]]</f>
        <v>10247</v>
      </c>
      <c r="F50" s="38"/>
      <c r="G50" s="38"/>
      <c r="H50" s="38"/>
      <c r="I50" s="38"/>
      <c r="J50" s="38"/>
      <c r="K50" s="38"/>
      <c r="L50" s="38"/>
      <c r="M50" s="38"/>
    </row>
    <row r="51" spans="1:13" s="32" customFormat="1" ht="14.25" customHeight="1" x14ac:dyDescent="0.3">
      <c r="A51" s="100">
        <v>4004004021</v>
      </c>
      <c r="B51" s="125" t="s">
        <v>1183</v>
      </c>
      <c r="C51" s="311">
        <v>10254</v>
      </c>
      <c r="D51" s="71">
        <f>(OBSAH!$J$6/100)*Tabulka20107949699[[#This Row],[Sloupec3]]</f>
        <v>0</v>
      </c>
      <c r="E51" s="57">
        <f>Tabulka20107949699[[#This Row],[Sloupec3]]-Tabulka20107949699[[#This Row],[Sloupec4]]</f>
        <v>10254</v>
      </c>
      <c r="F51" s="38"/>
      <c r="G51" s="38"/>
      <c r="H51" s="38"/>
      <c r="I51" s="38"/>
      <c r="J51" s="38"/>
      <c r="K51" s="38"/>
      <c r="L51" s="38"/>
      <c r="M51" s="38"/>
    </row>
    <row r="52" spans="1:13" s="32" customFormat="1" ht="14.25" customHeight="1" x14ac:dyDescent="0.3">
      <c r="A52" s="100">
        <v>4004004022</v>
      </c>
      <c r="B52" s="125" t="s">
        <v>1184</v>
      </c>
      <c r="C52" s="311">
        <v>10445</v>
      </c>
      <c r="D52" s="71">
        <f>(OBSAH!$J$6/100)*Tabulka20107949699[[#This Row],[Sloupec3]]</f>
        <v>0</v>
      </c>
      <c r="E52" s="57">
        <f>Tabulka20107949699[[#This Row],[Sloupec3]]-Tabulka20107949699[[#This Row],[Sloupec4]]</f>
        <v>10445</v>
      </c>
      <c r="F52" s="38"/>
      <c r="G52" s="38"/>
      <c r="H52" s="38"/>
      <c r="I52" s="38"/>
      <c r="J52" s="38"/>
      <c r="K52" s="38"/>
      <c r="L52" s="38"/>
      <c r="M52" s="38"/>
    </row>
    <row r="53" spans="1:13" s="32" customFormat="1" ht="14.25" customHeight="1" x14ac:dyDescent="0.3">
      <c r="A53" s="100">
        <v>4004004023</v>
      </c>
      <c r="B53" s="125" t="s">
        <v>1185</v>
      </c>
      <c r="C53" s="311">
        <v>10623</v>
      </c>
      <c r="D53" s="71">
        <f>(OBSAH!$J$6/100)*Tabulka20107949699[[#This Row],[Sloupec3]]</f>
        <v>0</v>
      </c>
      <c r="E53" s="57">
        <f>Tabulka20107949699[[#This Row],[Sloupec3]]-Tabulka20107949699[[#This Row],[Sloupec4]]</f>
        <v>10623</v>
      </c>
      <c r="F53" s="38"/>
      <c r="G53" s="38"/>
      <c r="H53" s="38"/>
      <c r="I53" s="38"/>
      <c r="J53" s="38"/>
      <c r="K53" s="38"/>
      <c r="L53" s="38"/>
      <c r="M53" s="38"/>
    </row>
    <row r="54" spans="1:13" s="32" customFormat="1" ht="14.25" customHeight="1" x14ac:dyDescent="0.3">
      <c r="A54" s="100">
        <v>4004004024</v>
      </c>
      <c r="B54" s="125" t="s">
        <v>1186</v>
      </c>
      <c r="C54" s="311">
        <v>14684</v>
      </c>
      <c r="D54" s="71">
        <f>(OBSAH!$J$6/100)*Tabulka20107949699[[#This Row],[Sloupec3]]</f>
        <v>0</v>
      </c>
      <c r="E54" s="57">
        <f>Tabulka20107949699[[#This Row],[Sloupec3]]-Tabulka20107949699[[#This Row],[Sloupec4]]</f>
        <v>14684</v>
      </c>
      <c r="F54" s="38"/>
      <c r="G54" s="38"/>
      <c r="H54" s="38"/>
      <c r="I54" s="38"/>
      <c r="J54" s="38"/>
      <c r="K54" s="38"/>
      <c r="L54" s="38"/>
      <c r="M54" s="38"/>
    </row>
    <row r="55" spans="1:13" s="32" customFormat="1" ht="14.25" customHeight="1" x14ac:dyDescent="0.3">
      <c r="A55" s="100">
        <v>4004004025</v>
      </c>
      <c r="B55" s="125" t="s">
        <v>1187</v>
      </c>
      <c r="C55" s="311">
        <v>14707</v>
      </c>
      <c r="D55" s="71">
        <f>(OBSAH!$J$6/100)*Tabulka20107949699[[#This Row],[Sloupec3]]</f>
        <v>0</v>
      </c>
      <c r="E55" s="57">
        <f>Tabulka20107949699[[#This Row],[Sloupec3]]-Tabulka20107949699[[#This Row],[Sloupec4]]</f>
        <v>14707</v>
      </c>
      <c r="F55" s="38"/>
      <c r="G55" s="38"/>
      <c r="H55" s="38"/>
      <c r="I55" s="38"/>
      <c r="J55" s="38"/>
      <c r="K55" s="38"/>
      <c r="L55" s="38"/>
      <c r="M55" s="38"/>
    </row>
    <row r="56" spans="1:13" s="32" customFormat="1" ht="14.25" customHeight="1" x14ac:dyDescent="0.3">
      <c r="A56" s="100">
        <v>4004004026</v>
      </c>
      <c r="B56" s="125" t="s">
        <v>1188</v>
      </c>
      <c r="C56" s="311">
        <v>14713</v>
      </c>
      <c r="D56" s="71">
        <f>(OBSAH!$J$6/100)*Tabulka20107949699[[#This Row],[Sloupec3]]</f>
        <v>0</v>
      </c>
      <c r="E56" s="57">
        <f>Tabulka20107949699[[#This Row],[Sloupec3]]-Tabulka20107949699[[#This Row],[Sloupec4]]</f>
        <v>14713</v>
      </c>
      <c r="F56" s="38"/>
      <c r="G56" s="38"/>
      <c r="H56" s="38"/>
      <c r="I56" s="38"/>
      <c r="J56" s="38"/>
      <c r="K56" s="38"/>
      <c r="L56" s="38"/>
      <c r="M56" s="38"/>
    </row>
    <row r="57" spans="1:13" s="32" customFormat="1" ht="14.25" customHeight="1" x14ac:dyDescent="0.3">
      <c r="A57" s="100">
        <v>4004004027</v>
      </c>
      <c r="B57" s="125" t="s">
        <v>1189</v>
      </c>
      <c r="C57" s="311">
        <v>14931</v>
      </c>
      <c r="D57" s="71">
        <f>(OBSAH!$J$6/100)*Tabulka20107949699[[#This Row],[Sloupec3]]</f>
        <v>0</v>
      </c>
      <c r="E57" s="57">
        <f>Tabulka20107949699[[#This Row],[Sloupec3]]-Tabulka20107949699[[#This Row],[Sloupec4]]</f>
        <v>14931</v>
      </c>
      <c r="F57" s="38"/>
      <c r="G57" s="38"/>
      <c r="H57" s="38"/>
      <c r="I57" s="38"/>
      <c r="J57" s="38"/>
      <c r="K57" s="38"/>
      <c r="L57" s="38"/>
      <c r="M57" s="38"/>
    </row>
    <row r="58" spans="1:13" s="32" customFormat="1" ht="14.25" customHeight="1" x14ac:dyDescent="0.3">
      <c r="A58" s="100">
        <v>4004004028</v>
      </c>
      <c r="B58" s="125" t="s">
        <v>1190</v>
      </c>
      <c r="C58" s="311">
        <v>15110</v>
      </c>
      <c r="D58" s="71">
        <f>(OBSAH!$J$6/100)*Tabulka20107949699[[#This Row],[Sloupec3]]</f>
        <v>0</v>
      </c>
      <c r="E58" s="57">
        <f>Tabulka20107949699[[#This Row],[Sloupec3]]-Tabulka20107949699[[#This Row],[Sloupec4]]</f>
        <v>15110</v>
      </c>
      <c r="F58" s="38"/>
      <c r="G58" s="38"/>
      <c r="H58" s="38"/>
      <c r="I58" s="38"/>
      <c r="J58" s="38"/>
      <c r="K58" s="38"/>
      <c r="L58" s="38"/>
      <c r="M58" s="38"/>
    </row>
    <row r="59" spans="1:13" s="32" customFormat="1" ht="14.25" customHeight="1" x14ac:dyDescent="0.3">
      <c r="A59" s="100">
        <v>4004004029</v>
      </c>
      <c r="B59" s="125" t="s">
        <v>1191</v>
      </c>
      <c r="C59" s="311">
        <v>18471</v>
      </c>
      <c r="D59" s="71">
        <f>(OBSAH!$J$6/100)*Tabulka20107949699[[#This Row],[Sloupec3]]</f>
        <v>0</v>
      </c>
      <c r="E59" s="57">
        <f>Tabulka20107949699[[#This Row],[Sloupec3]]-Tabulka20107949699[[#This Row],[Sloupec4]]</f>
        <v>18471</v>
      </c>
      <c r="F59" s="38"/>
      <c r="G59" s="38"/>
      <c r="H59" s="38"/>
      <c r="I59" s="38"/>
      <c r="J59" s="38"/>
      <c r="K59" s="38"/>
      <c r="L59" s="38"/>
      <c r="M59" s="38"/>
    </row>
    <row r="60" spans="1:13" s="32" customFormat="1" ht="14.25" customHeight="1" x14ac:dyDescent="0.3">
      <c r="A60" s="100">
        <v>4004004030</v>
      </c>
      <c r="B60" s="125" t="s">
        <v>1192</v>
      </c>
      <c r="C60" s="311">
        <v>18701</v>
      </c>
      <c r="D60" s="71">
        <f>(OBSAH!$J$6/100)*Tabulka20107949699[[#This Row],[Sloupec3]]</f>
        <v>0</v>
      </c>
      <c r="E60" s="57">
        <f>Tabulka20107949699[[#This Row],[Sloupec3]]-Tabulka20107949699[[#This Row],[Sloupec4]]</f>
        <v>18701</v>
      </c>
      <c r="F60" s="38"/>
      <c r="G60" s="38"/>
      <c r="H60" s="38"/>
      <c r="I60" s="38"/>
      <c r="J60" s="38"/>
      <c r="K60" s="38"/>
      <c r="L60" s="38"/>
      <c r="M60" s="38"/>
    </row>
    <row r="61" spans="1:13" s="32" customFormat="1" ht="14.25" customHeight="1" x14ac:dyDescent="0.3">
      <c r="A61" s="100">
        <v>4004004031</v>
      </c>
      <c r="B61" s="125" t="s">
        <v>1193</v>
      </c>
      <c r="C61" s="311">
        <v>19105</v>
      </c>
      <c r="D61" s="71">
        <f>(OBSAH!$J$6/100)*Tabulka20107949699[[#This Row],[Sloupec3]]</f>
        <v>0</v>
      </c>
      <c r="E61" s="57">
        <f>Tabulka20107949699[[#This Row],[Sloupec3]]-Tabulka20107949699[[#This Row],[Sloupec4]]</f>
        <v>19105</v>
      </c>
      <c r="F61" s="38"/>
      <c r="G61" s="38"/>
      <c r="H61" s="38"/>
      <c r="I61" s="38"/>
      <c r="J61" s="38"/>
      <c r="K61" s="38"/>
      <c r="L61" s="38"/>
      <c r="M61" s="38"/>
    </row>
    <row r="62" spans="1:13" s="32" customFormat="1" ht="14.25" customHeight="1" x14ac:dyDescent="0.3">
      <c r="A62" s="100">
        <v>4004004032</v>
      </c>
      <c r="B62" s="125" t="s">
        <v>1194</v>
      </c>
      <c r="C62" s="311">
        <v>18711</v>
      </c>
      <c r="D62" s="71">
        <f>(OBSAH!$J$6/100)*Tabulka20107949699[[#This Row],[Sloupec3]]</f>
        <v>0</v>
      </c>
      <c r="E62" s="57">
        <f>Tabulka20107949699[[#This Row],[Sloupec3]]-Tabulka20107949699[[#This Row],[Sloupec4]]</f>
        <v>18711</v>
      </c>
      <c r="F62" s="38"/>
      <c r="G62" s="38"/>
      <c r="H62" s="38"/>
      <c r="I62" s="38"/>
      <c r="J62" s="38"/>
      <c r="K62" s="38"/>
      <c r="L62" s="38"/>
      <c r="M62" s="38"/>
    </row>
    <row r="63" spans="1:13" s="32" customFormat="1" ht="14.25" customHeight="1" x14ac:dyDescent="0.3">
      <c r="A63" s="100">
        <v>4004004033</v>
      </c>
      <c r="B63" s="125" t="s">
        <v>1195</v>
      </c>
      <c r="C63" s="311">
        <v>18930</v>
      </c>
      <c r="D63" s="71">
        <f>(OBSAH!$J$6/100)*Tabulka20107949699[[#This Row],[Sloupec3]]</f>
        <v>0</v>
      </c>
      <c r="E63" s="57">
        <f>Tabulka20107949699[[#This Row],[Sloupec3]]-Tabulka20107949699[[#This Row],[Sloupec4]]</f>
        <v>18930</v>
      </c>
      <c r="F63" s="38"/>
      <c r="G63" s="38"/>
      <c r="H63" s="38"/>
      <c r="I63" s="38"/>
      <c r="J63" s="38"/>
      <c r="K63" s="38"/>
      <c r="L63" s="38"/>
      <c r="M63" s="38"/>
    </row>
    <row r="64" spans="1:13" s="32" customFormat="1" ht="14.25" customHeight="1" x14ac:dyDescent="0.3">
      <c r="A64" s="100">
        <v>4004004034</v>
      </c>
      <c r="B64" s="125" t="s">
        <v>1196</v>
      </c>
      <c r="C64" s="311">
        <v>22957</v>
      </c>
      <c r="D64" s="71">
        <f>(OBSAH!$J$6/100)*Tabulka20107949699[[#This Row],[Sloupec3]]</f>
        <v>0</v>
      </c>
      <c r="E64" s="57">
        <f>Tabulka20107949699[[#This Row],[Sloupec3]]-Tabulka20107949699[[#This Row],[Sloupec4]]</f>
        <v>22957</v>
      </c>
      <c r="F64" s="38"/>
      <c r="G64" s="38"/>
      <c r="H64" s="38"/>
      <c r="I64" s="38"/>
      <c r="J64" s="38"/>
      <c r="K64" s="38"/>
      <c r="L64" s="38"/>
      <c r="M64" s="38"/>
    </row>
    <row r="65" spans="1:13" s="32" customFormat="1" ht="14.25" customHeight="1" x14ac:dyDescent="0.3">
      <c r="A65" s="100">
        <v>4004004035</v>
      </c>
      <c r="B65" s="125" t="s">
        <v>1197</v>
      </c>
      <c r="C65" s="311">
        <v>23191</v>
      </c>
      <c r="D65" s="71">
        <f>(OBSAH!$J$6/100)*Tabulka20107949699[[#This Row],[Sloupec3]]</f>
        <v>0</v>
      </c>
      <c r="E65" s="57">
        <f>Tabulka20107949699[[#This Row],[Sloupec3]]-Tabulka20107949699[[#This Row],[Sloupec4]]</f>
        <v>23191</v>
      </c>
      <c r="F65" s="38"/>
      <c r="G65" s="38"/>
      <c r="H65" s="38"/>
      <c r="I65" s="38"/>
      <c r="J65" s="38"/>
      <c r="K65" s="38"/>
      <c r="L65" s="38"/>
      <c r="M65" s="38"/>
    </row>
    <row r="66" spans="1:13" s="32" customFormat="1" ht="14.25" customHeight="1" x14ac:dyDescent="0.3">
      <c r="A66" s="100">
        <v>4004004036</v>
      </c>
      <c r="B66" s="125" t="s">
        <v>1198</v>
      </c>
      <c r="C66" s="311">
        <v>23197</v>
      </c>
      <c r="D66" s="71">
        <f>(OBSAH!$J$6/100)*Tabulka20107949699[[#This Row],[Sloupec3]]</f>
        <v>0</v>
      </c>
      <c r="E66" s="57">
        <f>Tabulka20107949699[[#This Row],[Sloupec3]]-Tabulka20107949699[[#This Row],[Sloupec4]]</f>
        <v>23197</v>
      </c>
      <c r="F66" s="38"/>
      <c r="G66" s="38"/>
      <c r="H66" s="38"/>
      <c r="I66" s="38"/>
      <c r="J66" s="38"/>
      <c r="K66" s="38"/>
      <c r="L66" s="38"/>
      <c r="M66" s="38"/>
    </row>
    <row r="67" spans="1:13" s="32" customFormat="1" ht="14.25" customHeight="1" x14ac:dyDescent="0.3">
      <c r="A67" s="100">
        <v>4004004037</v>
      </c>
      <c r="B67" s="125" t="s">
        <v>1199</v>
      </c>
      <c r="C67" s="311">
        <v>23415</v>
      </c>
      <c r="D67" s="71">
        <f>(OBSAH!$J$6/100)*Tabulka20107949699[[#This Row],[Sloupec3]]</f>
        <v>0</v>
      </c>
      <c r="E67" s="57">
        <f>Tabulka20107949699[[#This Row],[Sloupec3]]-Tabulka20107949699[[#This Row],[Sloupec4]]</f>
        <v>23415</v>
      </c>
      <c r="F67" s="38"/>
      <c r="G67" s="38"/>
      <c r="H67" s="38"/>
      <c r="I67" s="38"/>
      <c r="J67" s="38"/>
      <c r="K67" s="38"/>
      <c r="L67" s="38"/>
      <c r="M67" s="38"/>
    </row>
    <row r="68" spans="1:13" s="32" customFormat="1" ht="14.25" customHeight="1" x14ac:dyDescent="0.3">
      <c r="A68" s="100">
        <v>4004004038</v>
      </c>
      <c r="B68" s="125" t="s">
        <v>1200</v>
      </c>
      <c r="C68" s="311">
        <v>23594</v>
      </c>
      <c r="D68" s="71">
        <f>(OBSAH!$J$6/100)*Tabulka20107949699[[#This Row],[Sloupec3]]</f>
        <v>0</v>
      </c>
      <c r="E68" s="57">
        <f>Tabulka20107949699[[#This Row],[Sloupec3]]-Tabulka20107949699[[#This Row],[Sloupec4]]</f>
        <v>23594</v>
      </c>
      <c r="F68" s="38"/>
      <c r="G68" s="38"/>
      <c r="H68" s="38"/>
      <c r="I68" s="38"/>
      <c r="J68" s="38"/>
      <c r="K68" s="38"/>
      <c r="L68" s="38"/>
      <c r="M68" s="38"/>
    </row>
    <row r="69" spans="1:13" s="32" customFormat="1" ht="14.25" customHeight="1" x14ac:dyDescent="0.3">
      <c r="A69" s="100">
        <v>4004004039</v>
      </c>
      <c r="B69" s="125" t="s">
        <v>1201</v>
      </c>
      <c r="C69" s="311">
        <v>27218</v>
      </c>
      <c r="D69" s="71">
        <f>(OBSAH!$J$6/100)*Tabulka20107949699[[#This Row],[Sloupec3]]</f>
        <v>0</v>
      </c>
      <c r="E69" s="57">
        <f>Tabulka20107949699[[#This Row],[Sloupec3]]-Tabulka20107949699[[#This Row],[Sloupec4]]</f>
        <v>27218</v>
      </c>
      <c r="F69" s="38"/>
      <c r="G69" s="38"/>
      <c r="H69" s="38"/>
      <c r="I69" s="38"/>
      <c r="J69" s="38"/>
      <c r="K69" s="38"/>
      <c r="L69" s="38"/>
      <c r="M69" s="38"/>
    </row>
    <row r="70" spans="1:13" s="32" customFormat="1" ht="14.25" customHeight="1" x14ac:dyDescent="0.3">
      <c r="A70" s="100">
        <v>4004004040</v>
      </c>
      <c r="B70" s="125" t="s">
        <v>1202</v>
      </c>
      <c r="C70" s="311">
        <v>27451</v>
      </c>
      <c r="D70" s="71">
        <f>(OBSAH!$J$6/100)*Tabulka20107949699[[#This Row],[Sloupec3]]</f>
        <v>0</v>
      </c>
      <c r="E70" s="57">
        <f>Tabulka20107949699[[#This Row],[Sloupec3]]-Tabulka20107949699[[#This Row],[Sloupec4]]</f>
        <v>27451</v>
      </c>
      <c r="F70" s="38"/>
      <c r="G70" s="38"/>
      <c r="H70" s="38"/>
      <c r="I70" s="38"/>
      <c r="J70" s="38"/>
      <c r="K70" s="38"/>
      <c r="L70" s="38"/>
      <c r="M70" s="38"/>
    </row>
    <row r="71" spans="1:13" s="32" customFormat="1" ht="14.25" customHeight="1" x14ac:dyDescent="0.3">
      <c r="A71" s="100">
        <v>4004004041</v>
      </c>
      <c r="B71" s="125" t="s">
        <v>1203</v>
      </c>
      <c r="C71" s="311">
        <v>27457</v>
      </c>
      <c r="D71" s="71">
        <f>(OBSAH!$J$6/100)*Tabulka20107949699[[#This Row],[Sloupec3]]</f>
        <v>0</v>
      </c>
      <c r="E71" s="57">
        <f>Tabulka20107949699[[#This Row],[Sloupec3]]-Tabulka20107949699[[#This Row],[Sloupec4]]</f>
        <v>27457</v>
      </c>
      <c r="F71" s="38"/>
      <c r="G71" s="38"/>
      <c r="H71" s="38"/>
      <c r="I71" s="38"/>
      <c r="J71" s="38"/>
      <c r="K71" s="38"/>
      <c r="L71" s="38"/>
      <c r="M71" s="38"/>
    </row>
    <row r="72" spans="1:13" s="32" customFormat="1" ht="14.25" customHeight="1" x14ac:dyDescent="0.3">
      <c r="A72" s="100">
        <v>4004004042</v>
      </c>
      <c r="B72" s="125" t="s">
        <v>1204</v>
      </c>
      <c r="C72" s="311">
        <v>27675</v>
      </c>
      <c r="D72" s="71">
        <f>(OBSAH!$J$6/100)*Tabulka20107949699[[#This Row],[Sloupec3]]</f>
        <v>0</v>
      </c>
      <c r="E72" s="57">
        <f>Tabulka20107949699[[#This Row],[Sloupec3]]-Tabulka20107949699[[#This Row],[Sloupec4]]</f>
        <v>27675</v>
      </c>
      <c r="F72" s="38"/>
      <c r="G72" s="38"/>
      <c r="H72" s="38"/>
      <c r="I72" s="38"/>
      <c r="J72" s="38"/>
      <c r="K72" s="38"/>
      <c r="L72" s="38"/>
      <c r="M72" s="38"/>
    </row>
    <row r="73" spans="1:13" s="32" customFormat="1" ht="14.25" customHeight="1" x14ac:dyDescent="0.3">
      <c r="A73" s="100">
        <v>4004004043</v>
      </c>
      <c r="B73" s="125" t="s">
        <v>1205</v>
      </c>
      <c r="C73" s="311">
        <v>27853</v>
      </c>
      <c r="D73" s="71">
        <f>(OBSAH!$J$6/100)*Tabulka20107949699[[#This Row],[Sloupec3]]</f>
        <v>0</v>
      </c>
      <c r="E73" s="57">
        <f>Tabulka20107949699[[#This Row],[Sloupec3]]-Tabulka20107949699[[#This Row],[Sloupec4]]</f>
        <v>27853</v>
      </c>
      <c r="F73" s="38"/>
      <c r="G73" s="38"/>
      <c r="H73" s="38"/>
      <c r="I73" s="38"/>
      <c r="J73" s="38"/>
      <c r="K73" s="38"/>
      <c r="L73" s="38"/>
      <c r="M73" s="38"/>
    </row>
    <row r="74" spans="1:13" s="32" customFormat="1" ht="14.25" customHeight="1" x14ac:dyDescent="0.3">
      <c r="A74" s="100">
        <v>4004004044</v>
      </c>
      <c r="B74" s="125" t="s">
        <v>1206</v>
      </c>
      <c r="C74" s="311">
        <v>31657</v>
      </c>
      <c r="D74" s="71">
        <f>(OBSAH!$J$6/100)*Tabulka20107949699[[#This Row],[Sloupec3]]</f>
        <v>0</v>
      </c>
      <c r="E74" s="57">
        <f>Tabulka20107949699[[#This Row],[Sloupec3]]-Tabulka20107949699[[#This Row],[Sloupec4]]</f>
        <v>31657</v>
      </c>
      <c r="F74" s="38"/>
      <c r="G74" s="38"/>
      <c r="H74" s="38"/>
      <c r="I74" s="38"/>
      <c r="J74" s="38"/>
      <c r="K74" s="38"/>
      <c r="L74" s="38"/>
      <c r="M74" s="38"/>
    </row>
    <row r="75" spans="1:13" s="32" customFormat="1" ht="14.25" customHeight="1" x14ac:dyDescent="0.3">
      <c r="A75" s="100">
        <v>4004004045</v>
      </c>
      <c r="B75" s="125" t="s">
        <v>1207</v>
      </c>
      <c r="C75" s="311">
        <v>31665</v>
      </c>
      <c r="D75" s="71">
        <f>(OBSAH!$J$6/100)*Tabulka20107949699[[#This Row],[Sloupec3]]</f>
        <v>0</v>
      </c>
      <c r="E75" s="57">
        <f>Tabulka20107949699[[#This Row],[Sloupec3]]-Tabulka20107949699[[#This Row],[Sloupec4]]</f>
        <v>31665</v>
      </c>
      <c r="F75" s="38"/>
      <c r="G75" s="38"/>
      <c r="H75" s="38"/>
      <c r="I75" s="38"/>
      <c r="J75" s="38"/>
      <c r="K75" s="38"/>
      <c r="L75" s="38"/>
      <c r="M75" s="38"/>
    </row>
    <row r="76" spans="1:13" s="32" customFormat="1" ht="14.25" customHeight="1" x14ac:dyDescent="0.3">
      <c r="A76" s="100">
        <v>4004004046</v>
      </c>
      <c r="B76" s="125" t="s">
        <v>1208</v>
      </c>
      <c r="C76" s="311">
        <v>31883</v>
      </c>
      <c r="D76" s="71">
        <f>(OBSAH!$J$6/100)*Tabulka20107949699[[#This Row],[Sloupec3]]</f>
        <v>0</v>
      </c>
      <c r="E76" s="57">
        <f>Tabulka20107949699[[#This Row],[Sloupec3]]-Tabulka20107949699[[#This Row],[Sloupec4]]</f>
        <v>31883</v>
      </c>
      <c r="F76" s="38"/>
      <c r="G76" s="38"/>
      <c r="H76" s="38"/>
      <c r="I76" s="38"/>
      <c r="J76" s="38"/>
      <c r="K76" s="38"/>
      <c r="L76" s="38"/>
      <c r="M76" s="38"/>
    </row>
    <row r="77" spans="1:13" s="32" customFormat="1" ht="14.25" customHeight="1" x14ac:dyDescent="0.3">
      <c r="A77" s="100">
        <v>4004004047</v>
      </c>
      <c r="B77" s="125" t="s">
        <v>1209</v>
      </c>
      <c r="C77" s="311">
        <v>32118</v>
      </c>
      <c r="D77" s="71">
        <f>(OBSAH!$J$6/100)*Tabulka20107949699[[#This Row],[Sloupec3]]</f>
        <v>0</v>
      </c>
      <c r="E77" s="57">
        <f>Tabulka20107949699[[#This Row],[Sloupec3]]-Tabulka20107949699[[#This Row],[Sloupec4]]</f>
        <v>32118</v>
      </c>
      <c r="F77" s="38"/>
      <c r="G77" s="38"/>
      <c r="H77" s="38"/>
      <c r="I77" s="38"/>
      <c r="J77" s="38"/>
      <c r="K77" s="38"/>
      <c r="L77" s="38"/>
      <c r="M77" s="38"/>
    </row>
    <row r="78" spans="1:13" s="32" customFormat="1" ht="14.25" customHeight="1" x14ac:dyDescent="0.3">
      <c r="A78" s="101">
        <v>4004004048</v>
      </c>
      <c r="B78" s="102" t="s">
        <v>1210</v>
      </c>
      <c r="C78" s="312">
        <v>32292</v>
      </c>
      <c r="D78" s="68">
        <f>(OBSAH!$J$6/100)*Tabulka20107949699[[#This Row],[Sloupec3]]</f>
        <v>0</v>
      </c>
      <c r="E78" s="58">
        <f>Tabulka20107949699[[#This Row],[Sloupec3]]-Tabulka20107949699[[#This Row],[Sloupec4]]</f>
        <v>32292</v>
      </c>
      <c r="F78" s="38"/>
      <c r="G78" s="38"/>
      <c r="H78" s="38"/>
      <c r="I78" s="38"/>
      <c r="J78" s="38"/>
      <c r="K78" s="38"/>
      <c r="L78" s="38"/>
      <c r="M78" s="38"/>
    </row>
    <row r="79" spans="1:13" ht="15" customHeight="1" x14ac:dyDescent="0.4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1:13" ht="15" customHeight="1" x14ac:dyDescent="0.4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1:13" ht="36" customHeight="1" x14ac:dyDescent="0.4">
      <c r="A81" s="473" t="s">
        <v>1211</v>
      </c>
      <c r="B81" s="473"/>
      <c r="C81" s="473"/>
      <c r="D81" s="473"/>
      <c r="E81" s="473"/>
      <c r="F81" s="3"/>
      <c r="G81" s="3"/>
      <c r="H81" s="3"/>
      <c r="I81" s="3"/>
      <c r="J81" s="3"/>
      <c r="K81" s="3"/>
      <c r="L81" s="3"/>
      <c r="M81" s="3"/>
    </row>
    <row r="82" spans="1:13" ht="36" customHeight="1" x14ac:dyDescent="0.4">
      <c r="A82" s="474" t="s">
        <v>427</v>
      </c>
      <c r="B82" s="474"/>
      <c r="C82" s="474"/>
      <c r="D82" s="474"/>
      <c r="E82" s="474"/>
      <c r="F82" s="3"/>
      <c r="G82" s="3"/>
      <c r="H82" s="3"/>
      <c r="I82" s="3"/>
      <c r="J82" s="3"/>
      <c r="K82" s="3"/>
      <c r="L82" s="3"/>
      <c r="M82" s="3"/>
    </row>
    <row r="83" spans="1:13" ht="22.5" customHeight="1" x14ac:dyDescent="0.4">
      <c r="A83" s="475" t="s">
        <v>83</v>
      </c>
      <c r="B83" s="475"/>
      <c r="C83" s="475"/>
      <c r="D83" s="475"/>
      <c r="E83" s="475"/>
      <c r="F83" s="3"/>
      <c r="G83" s="3"/>
      <c r="H83" s="3"/>
      <c r="I83" s="3"/>
      <c r="J83" s="3"/>
      <c r="K83" s="3"/>
      <c r="L83" s="3"/>
      <c r="M83" s="3"/>
    </row>
    <row r="84" spans="1:13" s="44" customFormat="1" ht="22.5" customHeight="1" x14ac:dyDescent="0.25">
      <c r="A84" s="64" t="s">
        <v>56</v>
      </c>
      <c r="B84" s="64" t="s">
        <v>57</v>
      </c>
      <c r="C84" s="65" t="s">
        <v>58</v>
      </c>
      <c r="D84" s="65" t="s">
        <v>59</v>
      </c>
      <c r="E84" s="66" t="s">
        <v>60</v>
      </c>
      <c r="F84" s="42"/>
      <c r="G84" s="42"/>
      <c r="H84" s="42"/>
      <c r="I84" s="42"/>
      <c r="J84" s="42"/>
      <c r="K84" s="42"/>
      <c r="L84" s="42"/>
      <c r="M84" s="42"/>
    </row>
    <row r="85" spans="1:13" s="32" customFormat="1" ht="14.25" customHeight="1" x14ac:dyDescent="0.3">
      <c r="A85" s="98">
        <v>4004004115</v>
      </c>
      <c r="B85" s="99" t="s">
        <v>1212</v>
      </c>
      <c r="C85" s="310">
        <v>14687</v>
      </c>
      <c r="D85" s="69">
        <f>(OBSAH!$J$6/100)*Tabulka201079849497[[#This Row],[Sloupec3]]</f>
        <v>0</v>
      </c>
      <c r="E85" s="70">
        <f>Tabulka201079849497[[#This Row],[Sloupec3]]-Tabulka201079849497[[#This Row],[Sloupec4]]</f>
        <v>14687</v>
      </c>
      <c r="F85" s="38"/>
      <c r="G85" s="38"/>
      <c r="H85" s="38"/>
      <c r="I85" s="38"/>
      <c r="J85" s="38"/>
      <c r="K85" s="38"/>
      <c r="L85" s="38"/>
      <c r="M85" s="38"/>
    </row>
    <row r="86" spans="1:13" s="32" customFormat="1" ht="14.25" customHeight="1" x14ac:dyDescent="0.3">
      <c r="A86" s="100">
        <v>4004004116</v>
      </c>
      <c r="B86" s="125" t="s">
        <v>1213</v>
      </c>
      <c r="C86" s="311">
        <v>14918</v>
      </c>
      <c r="D86" s="71">
        <f>(OBSAH!$J$6/100)*Tabulka201079849497[[#This Row],[Sloupec3]]</f>
        <v>0</v>
      </c>
      <c r="E86" s="57">
        <f>Tabulka201079849497[[#This Row],[Sloupec3]]-Tabulka201079849497[[#This Row],[Sloupec4]]</f>
        <v>14918</v>
      </c>
      <c r="F86" s="38"/>
      <c r="G86" s="38"/>
      <c r="H86" s="38"/>
      <c r="I86" s="38"/>
      <c r="J86" s="38"/>
      <c r="K86" s="38"/>
      <c r="L86" s="38"/>
      <c r="M86" s="38"/>
    </row>
    <row r="87" spans="1:13" s="32" customFormat="1" ht="14.25" customHeight="1" x14ac:dyDescent="0.3">
      <c r="A87" s="100">
        <v>4004004117</v>
      </c>
      <c r="B87" s="125" t="s">
        <v>1214</v>
      </c>
      <c r="C87" s="311">
        <v>15060</v>
      </c>
      <c r="D87" s="71">
        <f>(OBSAH!$J$6/100)*Tabulka201079849497[[#This Row],[Sloupec3]]</f>
        <v>0</v>
      </c>
      <c r="E87" s="57">
        <f>Tabulka201079849497[[#This Row],[Sloupec3]]-Tabulka201079849497[[#This Row],[Sloupec4]]</f>
        <v>15060</v>
      </c>
      <c r="F87" s="38"/>
      <c r="G87" s="38"/>
      <c r="H87" s="38"/>
      <c r="I87" s="38"/>
      <c r="J87" s="38"/>
      <c r="K87" s="38"/>
      <c r="L87" s="38"/>
      <c r="M87" s="38"/>
    </row>
    <row r="88" spans="1:13" s="32" customFormat="1" ht="14.25" customHeight="1" x14ac:dyDescent="0.3">
      <c r="A88" s="100">
        <v>4004004118</v>
      </c>
      <c r="B88" s="125" t="s">
        <v>1215</v>
      </c>
      <c r="C88" s="311">
        <v>19120</v>
      </c>
      <c r="D88" s="71">
        <f>(OBSAH!$J$6/100)*Tabulka201079849497[[#This Row],[Sloupec3]]</f>
        <v>0</v>
      </c>
      <c r="E88" s="57">
        <f>Tabulka201079849497[[#This Row],[Sloupec3]]-Tabulka201079849497[[#This Row],[Sloupec4]]</f>
        <v>19120</v>
      </c>
      <c r="F88" s="38"/>
      <c r="G88" s="38"/>
      <c r="H88" s="38"/>
      <c r="I88" s="38"/>
      <c r="J88" s="38"/>
      <c r="K88" s="38"/>
      <c r="L88" s="38"/>
      <c r="M88" s="38"/>
    </row>
    <row r="89" spans="1:13" s="32" customFormat="1" ht="14.25" customHeight="1" x14ac:dyDescent="0.3">
      <c r="A89" s="100">
        <v>4004004119</v>
      </c>
      <c r="B89" s="125" t="s">
        <v>1216</v>
      </c>
      <c r="C89" s="311">
        <v>19380</v>
      </c>
      <c r="D89" s="71">
        <f>(OBSAH!$J$6/100)*Tabulka201079849497[[#This Row],[Sloupec3]]</f>
        <v>0</v>
      </c>
      <c r="E89" s="57">
        <f>Tabulka201079849497[[#This Row],[Sloupec3]]-Tabulka201079849497[[#This Row],[Sloupec4]]</f>
        <v>19380</v>
      </c>
      <c r="F89" s="38"/>
      <c r="G89" s="38"/>
      <c r="H89" s="38"/>
      <c r="I89" s="38"/>
      <c r="J89" s="38"/>
      <c r="K89" s="38"/>
      <c r="L89" s="38"/>
      <c r="M89" s="38"/>
    </row>
    <row r="90" spans="1:13" s="32" customFormat="1" ht="14.25" customHeight="1" x14ac:dyDescent="0.3">
      <c r="A90" s="100">
        <v>4004004120</v>
      </c>
      <c r="B90" s="125" t="s">
        <v>1217</v>
      </c>
      <c r="C90" s="311">
        <v>19557</v>
      </c>
      <c r="D90" s="71">
        <f>(OBSAH!$J$6/100)*Tabulka201079849497[[#This Row],[Sloupec3]]</f>
        <v>0</v>
      </c>
      <c r="E90" s="57">
        <f>Tabulka201079849497[[#This Row],[Sloupec3]]-Tabulka201079849497[[#This Row],[Sloupec4]]</f>
        <v>19557</v>
      </c>
      <c r="F90" s="38"/>
      <c r="G90" s="38"/>
      <c r="H90" s="38"/>
      <c r="I90" s="38"/>
      <c r="J90" s="38"/>
      <c r="K90" s="38"/>
      <c r="L90" s="38"/>
      <c r="M90" s="38"/>
    </row>
    <row r="91" spans="1:13" s="32" customFormat="1" ht="14.25" customHeight="1" x14ac:dyDescent="0.3">
      <c r="A91" s="100">
        <v>4004004121</v>
      </c>
      <c r="B91" s="125" t="s">
        <v>1218</v>
      </c>
      <c r="C91" s="311">
        <v>19578</v>
      </c>
      <c r="D91" s="71">
        <f>(OBSAH!$J$6/100)*Tabulka201079849497[[#This Row],[Sloupec3]]</f>
        <v>0</v>
      </c>
      <c r="E91" s="57">
        <f>Tabulka201079849497[[#This Row],[Sloupec3]]-Tabulka201079849497[[#This Row],[Sloupec4]]</f>
        <v>19578</v>
      </c>
      <c r="F91" s="38"/>
      <c r="G91" s="38"/>
      <c r="H91" s="38"/>
      <c r="I91" s="38"/>
      <c r="J91" s="38"/>
      <c r="K91" s="38"/>
      <c r="L91" s="38"/>
      <c r="M91" s="38"/>
    </row>
    <row r="92" spans="1:13" s="32" customFormat="1" ht="14.25" customHeight="1" x14ac:dyDescent="0.3">
      <c r="A92" s="100">
        <v>4004004122</v>
      </c>
      <c r="B92" s="125" t="s">
        <v>1219</v>
      </c>
      <c r="C92" s="311">
        <v>19755</v>
      </c>
      <c r="D92" s="71">
        <f>(OBSAH!$J$6/100)*Tabulka201079849497[[#This Row],[Sloupec3]]</f>
        <v>0</v>
      </c>
      <c r="E92" s="57">
        <f>Tabulka201079849497[[#This Row],[Sloupec3]]-Tabulka201079849497[[#This Row],[Sloupec4]]</f>
        <v>19755</v>
      </c>
      <c r="F92" s="38"/>
      <c r="G92" s="38"/>
      <c r="H92" s="38"/>
      <c r="I92" s="38"/>
      <c r="J92" s="38"/>
      <c r="K92" s="38"/>
      <c r="L92" s="38"/>
      <c r="M92" s="38"/>
    </row>
    <row r="93" spans="1:13" s="32" customFormat="1" ht="14.25" customHeight="1" x14ac:dyDescent="0.3">
      <c r="A93" s="100">
        <v>4004004123</v>
      </c>
      <c r="B93" s="125" t="s">
        <v>1220</v>
      </c>
      <c r="C93" s="311">
        <v>20468</v>
      </c>
      <c r="D93" s="71">
        <f>(OBSAH!$J$6/100)*Tabulka201079849497[[#This Row],[Sloupec3]]</f>
        <v>0</v>
      </c>
      <c r="E93" s="57">
        <f>Tabulka201079849497[[#This Row],[Sloupec3]]-Tabulka201079849497[[#This Row],[Sloupec4]]</f>
        <v>20468</v>
      </c>
      <c r="F93" s="38"/>
      <c r="G93" s="38"/>
      <c r="H93" s="38"/>
      <c r="I93" s="38"/>
      <c r="J93" s="38"/>
      <c r="K93" s="38"/>
      <c r="L93" s="38"/>
      <c r="M93" s="38"/>
    </row>
    <row r="94" spans="1:13" s="32" customFormat="1" ht="14.25" customHeight="1" x14ac:dyDescent="0.3">
      <c r="A94" s="100">
        <v>4004004124</v>
      </c>
      <c r="B94" s="125" t="s">
        <v>1221</v>
      </c>
      <c r="C94" s="311">
        <v>20490</v>
      </c>
      <c r="D94" s="71">
        <f>(OBSAH!$J$6/100)*Tabulka201079849497[[#This Row],[Sloupec3]]</f>
        <v>0</v>
      </c>
      <c r="E94" s="57">
        <f>Tabulka201079849497[[#This Row],[Sloupec3]]-Tabulka201079849497[[#This Row],[Sloupec4]]</f>
        <v>20490</v>
      </c>
      <c r="F94" s="38"/>
      <c r="G94" s="38"/>
      <c r="H94" s="38"/>
      <c r="I94" s="38"/>
      <c r="J94" s="38"/>
      <c r="K94" s="38"/>
      <c r="L94" s="38"/>
      <c r="M94" s="38"/>
    </row>
    <row r="95" spans="1:13" s="32" customFormat="1" ht="14.25" customHeight="1" x14ac:dyDescent="0.3">
      <c r="A95" s="100">
        <v>4004004125</v>
      </c>
      <c r="B95" s="125" t="s">
        <v>1222</v>
      </c>
      <c r="C95" s="311">
        <v>20664</v>
      </c>
      <c r="D95" s="71">
        <f>(OBSAH!$J$6/100)*Tabulka201079849497[[#This Row],[Sloupec3]]</f>
        <v>0</v>
      </c>
      <c r="E95" s="57">
        <f>Tabulka201079849497[[#This Row],[Sloupec3]]-Tabulka201079849497[[#This Row],[Sloupec4]]</f>
        <v>20664</v>
      </c>
      <c r="F95" s="38"/>
      <c r="G95" s="38"/>
      <c r="H95" s="38"/>
      <c r="I95" s="38"/>
      <c r="J95" s="38"/>
      <c r="K95" s="38"/>
      <c r="L95" s="38"/>
      <c r="M95" s="38"/>
    </row>
    <row r="96" spans="1:13" s="32" customFormat="1" ht="14.25" customHeight="1" x14ac:dyDescent="0.3">
      <c r="A96" s="100">
        <v>4004004126</v>
      </c>
      <c r="B96" s="125" t="s">
        <v>1223</v>
      </c>
      <c r="C96" s="311">
        <v>23375</v>
      </c>
      <c r="D96" s="71">
        <f>(OBSAH!$J$6/100)*Tabulka201079849497[[#This Row],[Sloupec3]]</f>
        <v>0</v>
      </c>
      <c r="E96" s="57">
        <f>Tabulka201079849497[[#This Row],[Sloupec3]]-Tabulka201079849497[[#This Row],[Sloupec4]]</f>
        <v>23375</v>
      </c>
      <c r="F96" s="38"/>
      <c r="G96" s="38"/>
      <c r="H96" s="38"/>
      <c r="I96" s="38"/>
      <c r="J96" s="38"/>
      <c r="K96" s="38"/>
      <c r="L96" s="38"/>
      <c r="M96" s="38"/>
    </row>
    <row r="97" spans="1:13" s="32" customFormat="1" ht="14.25" customHeight="1" x14ac:dyDescent="0.3">
      <c r="A97" s="100">
        <v>4004004127</v>
      </c>
      <c r="B97" s="125" t="s">
        <v>1224</v>
      </c>
      <c r="C97" s="311">
        <v>23552</v>
      </c>
      <c r="D97" s="71">
        <f>(OBSAH!$J$6/100)*Tabulka201079849497[[#This Row],[Sloupec3]]</f>
        <v>0</v>
      </c>
      <c r="E97" s="57">
        <f>Tabulka201079849497[[#This Row],[Sloupec3]]-Tabulka201079849497[[#This Row],[Sloupec4]]</f>
        <v>23552</v>
      </c>
      <c r="F97" s="38"/>
      <c r="G97" s="38"/>
      <c r="H97" s="38"/>
      <c r="I97" s="38"/>
      <c r="J97" s="38"/>
      <c r="K97" s="38"/>
      <c r="L97" s="38"/>
      <c r="M97" s="38"/>
    </row>
    <row r="98" spans="1:13" s="32" customFormat="1" ht="14.25" customHeight="1" x14ac:dyDescent="0.3">
      <c r="A98" s="100">
        <v>4004004128</v>
      </c>
      <c r="B98" s="125" t="s">
        <v>1225</v>
      </c>
      <c r="C98" s="311">
        <v>24226</v>
      </c>
      <c r="D98" s="71">
        <f>(OBSAH!$J$6/100)*Tabulka201079849497[[#This Row],[Sloupec3]]</f>
        <v>0</v>
      </c>
      <c r="E98" s="57">
        <f>Tabulka201079849497[[#This Row],[Sloupec3]]-Tabulka201079849497[[#This Row],[Sloupec4]]</f>
        <v>24226</v>
      </c>
      <c r="F98" s="38"/>
      <c r="G98" s="38"/>
      <c r="H98" s="38"/>
      <c r="I98" s="38"/>
      <c r="J98" s="38"/>
      <c r="K98" s="38"/>
      <c r="L98" s="38"/>
      <c r="M98" s="38"/>
    </row>
    <row r="99" spans="1:13" s="32" customFormat="1" ht="14.25" customHeight="1" x14ac:dyDescent="0.3">
      <c r="A99" s="100">
        <v>4004004129</v>
      </c>
      <c r="B99" s="125" t="s">
        <v>1226</v>
      </c>
      <c r="C99" s="311">
        <v>24456</v>
      </c>
      <c r="D99" s="71">
        <f>(OBSAH!$J$6/100)*Tabulka201079849497[[#This Row],[Sloupec3]]</f>
        <v>0</v>
      </c>
      <c r="E99" s="57">
        <f>Tabulka201079849497[[#This Row],[Sloupec3]]-Tabulka201079849497[[#This Row],[Sloupec4]]</f>
        <v>24456</v>
      </c>
      <c r="F99" s="38"/>
      <c r="G99" s="38"/>
      <c r="H99" s="38"/>
      <c r="I99" s="38"/>
      <c r="J99" s="38"/>
      <c r="K99" s="38"/>
      <c r="L99" s="38"/>
      <c r="M99" s="38"/>
    </row>
    <row r="100" spans="1:13" s="32" customFormat="1" ht="14.25" customHeight="1" x14ac:dyDescent="0.3">
      <c r="A100" s="100">
        <v>4004004130</v>
      </c>
      <c r="B100" s="125" t="s">
        <v>1227</v>
      </c>
      <c r="C100" s="311">
        <v>24662</v>
      </c>
      <c r="D100" s="71">
        <f>(OBSAH!$J$6/100)*Tabulka201079849497[[#This Row],[Sloupec3]]</f>
        <v>0</v>
      </c>
      <c r="E100" s="57">
        <f>Tabulka201079849497[[#This Row],[Sloupec3]]-Tabulka201079849497[[#This Row],[Sloupec4]]</f>
        <v>24662</v>
      </c>
      <c r="F100" s="38"/>
      <c r="G100" s="38"/>
      <c r="H100" s="38"/>
      <c r="I100" s="38"/>
      <c r="J100" s="38"/>
      <c r="K100" s="38"/>
      <c r="L100" s="38"/>
      <c r="M100" s="38"/>
    </row>
    <row r="101" spans="1:13" s="32" customFormat="1" ht="14.25" customHeight="1" x14ac:dyDescent="0.3">
      <c r="A101" s="100">
        <v>4004004131</v>
      </c>
      <c r="B101" s="125" t="s">
        <v>1228</v>
      </c>
      <c r="C101" s="311">
        <v>28033</v>
      </c>
      <c r="D101" s="71">
        <f>(OBSAH!$J$6/100)*Tabulka201079849497[[#This Row],[Sloupec3]]</f>
        <v>0</v>
      </c>
      <c r="E101" s="57">
        <f>Tabulka201079849497[[#This Row],[Sloupec3]]-Tabulka201079849497[[#This Row],[Sloupec4]]</f>
        <v>28033</v>
      </c>
      <c r="F101" s="38"/>
      <c r="G101" s="38"/>
      <c r="H101" s="38"/>
      <c r="I101" s="38"/>
      <c r="J101" s="38"/>
      <c r="K101" s="38"/>
      <c r="L101" s="38"/>
      <c r="M101" s="38"/>
    </row>
    <row r="102" spans="1:13" s="32" customFormat="1" ht="14.25" customHeight="1" x14ac:dyDescent="0.3">
      <c r="A102" s="100">
        <v>4004004132</v>
      </c>
      <c r="B102" s="125" t="s">
        <v>1229</v>
      </c>
      <c r="C102" s="311">
        <v>28210</v>
      </c>
      <c r="D102" s="71">
        <f>(OBSAH!$J$6/100)*Tabulka201079849497[[#This Row],[Sloupec3]]</f>
        <v>0</v>
      </c>
      <c r="E102" s="57">
        <f>Tabulka201079849497[[#This Row],[Sloupec3]]-Tabulka201079849497[[#This Row],[Sloupec4]]</f>
        <v>28210</v>
      </c>
      <c r="F102" s="38"/>
      <c r="G102" s="38"/>
      <c r="H102" s="38"/>
      <c r="I102" s="38"/>
      <c r="J102" s="38"/>
      <c r="K102" s="38"/>
      <c r="L102" s="38"/>
      <c r="M102" s="38"/>
    </row>
    <row r="103" spans="1:13" s="32" customFormat="1" ht="14.25" customHeight="1" x14ac:dyDescent="0.3">
      <c r="A103" s="100">
        <v>4004004133</v>
      </c>
      <c r="B103" s="125" t="s">
        <v>1230</v>
      </c>
      <c r="C103" s="311">
        <v>28712</v>
      </c>
      <c r="D103" s="71">
        <f>(OBSAH!$J$6/100)*Tabulka201079849497[[#This Row],[Sloupec3]]</f>
        <v>0</v>
      </c>
      <c r="E103" s="57">
        <f>Tabulka201079849497[[#This Row],[Sloupec3]]-Tabulka201079849497[[#This Row],[Sloupec4]]</f>
        <v>28712</v>
      </c>
      <c r="F103" s="38"/>
      <c r="G103" s="38"/>
      <c r="H103" s="38"/>
      <c r="I103" s="38"/>
      <c r="J103" s="38"/>
      <c r="K103" s="38"/>
      <c r="L103" s="38"/>
      <c r="M103" s="38"/>
    </row>
    <row r="104" spans="1:13" s="32" customFormat="1" ht="14.25" customHeight="1" x14ac:dyDescent="0.3">
      <c r="A104" s="100">
        <v>4004004134</v>
      </c>
      <c r="B104" s="125" t="s">
        <v>1231</v>
      </c>
      <c r="C104" s="311">
        <v>28944</v>
      </c>
      <c r="D104" s="71">
        <f>(OBSAH!$J$6/100)*Tabulka201079849497[[#This Row],[Sloupec3]]</f>
        <v>0</v>
      </c>
      <c r="E104" s="57">
        <f>Tabulka201079849497[[#This Row],[Sloupec3]]-Tabulka201079849497[[#This Row],[Sloupec4]]</f>
        <v>28944</v>
      </c>
      <c r="F104" s="38"/>
      <c r="G104" s="38"/>
      <c r="H104" s="38"/>
      <c r="I104" s="38"/>
      <c r="J104" s="38"/>
      <c r="K104" s="38"/>
      <c r="L104" s="38"/>
      <c r="M104" s="38"/>
    </row>
    <row r="105" spans="1:13" s="32" customFormat="1" ht="14.25" customHeight="1" x14ac:dyDescent="0.3">
      <c r="A105" s="100">
        <v>4004004135</v>
      </c>
      <c r="B105" s="125" t="s">
        <v>1232</v>
      </c>
      <c r="C105" s="311">
        <v>29147</v>
      </c>
      <c r="D105" s="71">
        <f>(OBSAH!$J$6/100)*Tabulka201079849497[[#This Row],[Sloupec3]]</f>
        <v>0</v>
      </c>
      <c r="E105" s="57">
        <f>Tabulka201079849497[[#This Row],[Sloupec3]]-Tabulka201079849497[[#This Row],[Sloupec4]]</f>
        <v>29147</v>
      </c>
      <c r="F105" s="38"/>
      <c r="G105" s="38"/>
      <c r="H105" s="38"/>
      <c r="I105" s="38"/>
      <c r="J105" s="38"/>
      <c r="K105" s="38"/>
      <c r="L105" s="38"/>
      <c r="M105" s="38"/>
    </row>
    <row r="106" spans="1:13" s="32" customFormat="1" ht="14.25" customHeight="1" x14ac:dyDescent="0.3">
      <c r="A106" s="100">
        <v>4004004136</v>
      </c>
      <c r="B106" s="125" t="s">
        <v>1233</v>
      </c>
      <c r="C106" s="311">
        <v>32120</v>
      </c>
      <c r="D106" s="71">
        <f>(OBSAH!$J$6/100)*Tabulka201079849497[[#This Row],[Sloupec3]]</f>
        <v>0</v>
      </c>
      <c r="E106" s="57">
        <f>Tabulka201079849497[[#This Row],[Sloupec3]]-Tabulka201079849497[[#This Row],[Sloupec4]]</f>
        <v>32120</v>
      </c>
      <c r="F106" s="38"/>
      <c r="G106" s="38"/>
      <c r="H106" s="38"/>
      <c r="I106" s="38"/>
      <c r="J106" s="38"/>
      <c r="K106" s="38"/>
      <c r="L106" s="38"/>
      <c r="M106" s="38"/>
    </row>
    <row r="107" spans="1:13" s="32" customFormat="1" ht="14.25" customHeight="1" x14ac:dyDescent="0.3">
      <c r="A107" s="100">
        <v>4004004137</v>
      </c>
      <c r="B107" s="125" t="s">
        <v>1234</v>
      </c>
      <c r="C107" s="311">
        <v>32298</v>
      </c>
      <c r="D107" s="71">
        <f>(OBSAH!$J$6/100)*Tabulka201079849497[[#This Row],[Sloupec3]]</f>
        <v>0</v>
      </c>
      <c r="E107" s="57">
        <f>Tabulka201079849497[[#This Row],[Sloupec3]]-Tabulka201079849497[[#This Row],[Sloupec4]]</f>
        <v>32298</v>
      </c>
      <c r="F107" s="38"/>
      <c r="G107" s="38"/>
      <c r="H107" s="38"/>
      <c r="I107" s="38"/>
      <c r="J107" s="38"/>
      <c r="K107" s="38"/>
      <c r="L107" s="38"/>
      <c r="M107" s="38"/>
    </row>
    <row r="108" spans="1:13" s="32" customFormat="1" ht="14.25" customHeight="1" x14ac:dyDescent="0.3">
      <c r="A108" s="100">
        <v>4004004138</v>
      </c>
      <c r="B108" s="125" t="s">
        <v>1235</v>
      </c>
      <c r="C108" s="311">
        <v>32970</v>
      </c>
      <c r="D108" s="71">
        <f>(OBSAH!$J$6/100)*Tabulka201079849497[[#This Row],[Sloupec3]]</f>
        <v>0</v>
      </c>
      <c r="E108" s="57">
        <f>Tabulka201079849497[[#This Row],[Sloupec3]]-Tabulka201079849497[[#This Row],[Sloupec4]]</f>
        <v>32970</v>
      </c>
      <c r="F108" s="38"/>
      <c r="G108" s="38"/>
      <c r="H108" s="38"/>
      <c r="I108" s="38"/>
      <c r="J108" s="38"/>
      <c r="K108" s="38"/>
      <c r="L108" s="38"/>
      <c r="M108" s="38"/>
    </row>
    <row r="109" spans="1:13" s="32" customFormat="1" ht="14.25" customHeight="1" x14ac:dyDescent="0.3">
      <c r="A109" s="100">
        <v>4004004139</v>
      </c>
      <c r="B109" s="125" t="s">
        <v>1236</v>
      </c>
      <c r="C109" s="311">
        <v>33204</v>
      </c>
      <c r="D109" s="71">
        <f>(OBSAH!$J$6/100)*Tabulka201079849497[[#This Row],[Sloupec3]]</f>
        <v>0</v>
      </c>
      <c r="E109" s="57">
        <f>Tabulka201079849497[[#This Row],[Sloupec3]]-Tabulka201079849497[[#This Row],[Sloupec4]]</f>
        <v>33204</v>
      </c>
      <c r="F109" s="38"/>
      <c r="G109" s="38"/>
      <c r="H109" s="38"/>
      <c r="I109" s="38"/>
      <c r="J109" s="38"/>
      <c r="K109" s="38"/>
      <c r="L109" s="38"/>
      <c r="M109" s="38"/>
    </row>
    <row r="110" spans="1:13" s="32" customFormat="1" ht="14.25" customHeight="1" x14ac:dyDescent="0.3">
      <c r="A110" s="100">
        <v>4004004140</v>
      </c>
      <c r="B110" s="125" t="s">
        <v>1237</v>
      </c>
      <c r="C110" s="311">
        <v>33407</v>
      </c>
      <c r="D110" s="71">
        <f>(OBSAH!$J$6/100)*Tabulka201079849497[[#This Row],[Sloupec3]]</f>
        <v>0</v>
      </c>
      <c r="E110" s="57">
        <f>Tabulka201079849497[[#This Row],[Sloupec3]]-Tabulka201079849497[[#This Row],[Sloupec4]]</f>
        <v>33407</v>
      </c>
      <c r="F110" s="38"/>
      <c r="G110" s="38"/>
      <c r="H110" s="38"/>
      <c r="I110" s="38"/>
      <c r="J110" s="38"/>
      <c r="K110" s="38"/>
      <c r="L110" s="38"/>
      <c r="M110" s="38"/>
    </row>
    <row r="111" spans="1:13" s="32" customFormat="1" ht="14.25" customHeight="1" x14ac:dyDescent="0.3">
      <c r="A111" s="100">
        <v>4004004141</v>
      </c>
      <c r="B111" s="125" t="s">
        <v>1238</v>
      </c>
      <c r="C111" s="311">
        <v>36733</v>
      </c>
      <c r="D111" s="71">
        <f>(OBSAH!$J$6/100)*Tabulka201079849497[[#This Row],[Sloupec3]]</f>
        <v>0</v>
      </c>
      <c r="E111" s="57">
        <f>Tabulka201079849497[[#This Row],[Sloupec3]]-Tabulka201079849497[[#This Row],[Sloupec4]]</f>
        <v>36733</v>
      </c>
      <c r="F111" s="38"/>
      <c r="G111" s="38"/>
      <c r="H111" s="38"/>
      <c r="I111" s="38"/>
      <c r="J111" s="38"/>
      <c r="K111" s="38"/>
      <c r="L111" s="38"/>
      <c r="M111" s="38"/>
    </row>
    <row r="112" spans="1:13" s="32" customFormat="1" ht="14.25" customHeight="1" x14ac:dyDescent="0.3">
      <c r="A112" s="100">
        <v>4004004142</v>
      </c>
      <c r="B112" s="125" t="s">
        <v>1239</v>
      </c>
      <c r="C112" s="311">
        <v>36909</v>
      </c>
      <c r="D112" s="71">
        <f>(OBSAH!$J$6/100)*Tabulka201079849497[[#This Row],[Sloupec3]]</f>
        <v>0</v>
      </c>
      <c r="E112" s="57">
        <f>Tabulka201079849497[[#This Row],[Sloupec3]]-Tabulka201079849497[[#This Row],[Sloupec4]]</f>
        <v>36909</v>
      </c>
      <c r="F112" s="38"/>
      <c r="G112" s="38"/>
      <c r="H112" s="38"/>
      <c r="I112" s="38"/>
      <c r="J112" s="38"/>
      <c r="K112" s="38"/>
      <c r="L112" s="38"/>
      <c r="M112" s="38"/>
    </row>
    <row r="113" spans="1:14" s="32" customFormat="1" ht="14.25" customHeight="1" x14ac:dyDescent="0.3">
      <c r="A113" s="100">
        <v>4004004143</v>
      </c>
      <c r="B113" s="125" t="s">
        <v>1240</v>
      </c>
      <c r="C113" s="311">
        <v>37412</v>
      </c>
      <c r="D113" s="71">
        <f>(OBSAH!$J$6/100)*Tabulka201079849497[[#This Row],[Sloupec3]]</f>
        <v>0</v>
      </c>
      <c r="E113" s="57">
        <f>Tabulka201079849497[[#This Row],[Sloupec3]]-Tabulka201079849497[[#This Row],[Sloupec4]]</f>
        <v>37412</v>
      </c>
      <c r="F113" s="38"/>
      <c r="G113" s="38"/>
      <c r="H113" s="38"/>
      <c r="I113" s="38"/>
      <c r="J113" s="38"/>
      <c r="K113" s="38"/>
      <c r="L113" s="38"/>
      <c r="M113" s="38"/>
    </row>
    <row r="114" spans="1:14" s="32" customFormat="1" ht="14.25" customHeight="1" x14ac:dyDescent="0.3">
      <c r="A114" s="100">
        <v>4004004144</v>
      </c>
      <c r="B114" s="125" t="s">
        <v>1241</v>
      </c>
      <c r="C114" s="311">
        <v>37643</v>
      </c>
      <c r="D114" s="71">
        <f>(OBSAH!$J$6/100)*Tabulka201079849497[[#This Row],[Sloupec3]]</f>
        <v>0</v>
      </c>
      <c r="E114" s="57">
        <f>Tabulka201079849497[[#This Row],[Sloupec3]]-Tabulka201079849497[[#This Row],[Sloupec4]]</f>
        <v>37643</v>
      </c>
      <c r="F114" s="38"/>
      <c r="G114" s="38"/>
      <c r="H114" s="38"/>
      <c r="I114" s="38"/>
      <c r="J114" s="38"/>
      <c r="K114" s="38"/>
      <c r="L114" s="38"/>
      <c r="M114" s="38"/>
    </row>
    <row r="115" spans="1:14" s="32" customFormat="1" ht="14.25" customHeight="1" x14ac:dyDescent="0.3">
      <c r="A115" s="101">
        <v>4004004145</v>
      </c>
      <c r="B115" s="102" t="s">
        <v>1242</v>
      </c>
      <c r="C115" s="312">
        <v>37821</v>
      </c>
      <c r="D115" s="68">
        <f>(OBSAH!$J$6/100)*Tabulka201079849497[[#This Row],[Sloupec3]]</f>
        <v>0</v>
      </c>
      <c r="E115" s="58">
        <f>Tabulka201079849497[[#This Row],[Sloupec3]]-Tabulka201079849497[[#This Row],[Sloupec4]]</f>
        <v>37821</v>
      </c>
      <c r="F115" s="38"/>
      <c r="G115" s="38"/>
      <c r="H115" s="38"/>
      <c r="I115" s="38"/>
      <c r="J115" s="38"/>
      <c r="K115" s="38"/>
      <c r="L115" s="38"/>
      <c r="M115" s="38"/>
    </row>
    <row r="116" spans="1:14" x14ac:dyDescent="0.4">
      <c r="A116" s="103"/>
      <c r="B116" s="84"/>
      <c r="C116" s="131"/>
      <c r="D116" s="61"/>
      <c r="E116" s="62"/>
      <c r="F116" s="3"/>
      <c r="G116" s="3"/>
      <c r="H116" s="3"/>
      <c r="I116" s="3"/>
      <c r="J116" s="3"/>
      <c r="K116" s="3"/>
      <c r="L116" s="3"/>
      <c r="M116" s="3"/>
      <c r="N116" s="32"/>
    </row>
    <row r="117" spans="1:14" ht="22.5" customHeight="1" x14ac:dyDescent="0.4">
      <c r="A117" s="472" t="s">
        <v>91</v>
      </c>
      <c r="B117" s="472"/>
      <c r="C117" s="472"/>
      <c r="D117" s="472"/>
      <c r="E117" s="472"/>
      <c r="F117" s="3"/>
      <c r="G117" s="3"/>
      <c r="H117" s="3"/>
      <c r="I117" s="3"/>
      <c r="J117" s="3"/>
      <c r="K117" s="3"/>
      <c r="L117" s="3"/>
      <c r="M117" s="3"/>
    </row>
    <row r="118" spans="1:14" s="44" customFormat="1" ht="22.5" customHeight="1" x14ac:dyDescent="0.25">
      <c r="A118" s="64" t="s">
        <v>56</v>
      </c>
      <c r="B118" s="64" t="s">
        <v>57</v>
      </c>
      <c r="C118" s="65" t="s">
        <v>58</v>
      </c>
      <c r="D118" s="65" t="s">
        <v>59</v>
      </c>
      <c r="E118" s="66" t="s">
        <v>60</v>
      </c>
      <c r="F118" s="42"/>
      <c r="G118" s="42"/>
      <c r="H118" s="42"/>
      <c r="I118" s="42"/>
      <c r="J118" s="42"/>
      <c r="K118" s="42"/>
      <c r="L118" s="42"/>
      <c r="M118" s="42"/>
    </row>
    <row r="119" spans="1:14" s="32" customFormat="1" ht="14.25" customHeight="1" x14ac:dyDescent="0.3">
      <c r="A119" s="98">
        <v>4004004146</v>
      </c>
      <c r="B119" s="99" t="s">
        <v>1243</v>
      </c>
      <c r="C119" s="310">
        <v>15129</v>
      </c>
      <c r="D119" s="69">
        <f>(OBSAH!$J$6/100)*Tabulka20107983859598[[#This Row],[Sloupec3]]</f>
        <v>0</v>
      </c>
      <c r="E119" s="70">
        <f>Tabulka20107983859598[[#This Row],[Sloupec3]]-Tabulka20107983859598[[#This Row],[Sloupec4]]</f>
        <v>15129</v>
      </c>
      <c r="F119" s="38"/>
      <c r="G119" s="38"/>
      <c r="H119" s="38"/>
      <c r="I119" s="38"/>
      <c r="J119" s="38"/>
      <c r="K119" s="38"/>
      <c r="L119" s="38"/>
      <c r="M119" s="38"/>
    </row>
    <row r="120" spans="1:14" s="32" customFormat="1" ht="14.25" customHeight="1" x14ac:dyDescent="0.3">
      <c r="A120" s="100">
        <v>4004004147</v>
      </c>
      <c r="B120" s="125" t="s">
        <v>1244</v>
      </c>
      <c r="C120" s="311">
        <v>15358</v>
      </c>
      <c r="D120" s="71">
        <f>(OBSAH!$J$6/100)*Tabulka20107983859598[[#This Row],[Sloupec3]]</f>
        <v>0</v>
      </c>
      <c r="E120" s="57">
        <f>Tabulka20107983859598[[#This Row],[Sloupec3]]-Tabulka20107983859598[[#This Row],[Sloupec4]]</f>
        <v>15358</v>
      </c>
      <c r="F120" s="38"/>
      <c r="G120" s="38"/>
      <c r="H120" s="38"/>
      <c r="I120" s="38"/>
      <c r="J120" s="38"/>
      <c r="K120" s="38"/>
      <c r="L120" s="38"/>
      <c r="M120" s="38"/>
    </row>
    <row r="121" spans="1:14" s="32" customFormat="1" ht="14.25" customHeight="1" x14ac:dyDescent="0.3">
      <c r="A121" s="100">
        <v>4004004148</v>
      </c>
      <c r="B121" s="125" t="s">
        <v>1245</v>
      </c>
      <c r="C121" s="311">
        <v>15501</v>
      </c>
      <c r="D121" s="71">
        <f>(OBSAH!$J$6/100)*Tabulka20107983859598[[#This Row],[Sloupec3]]</f>
        <v>0</v>
      </c>
      <c r="E121" s="57">
        <f>Tabulka20107983859598[[#This Row],[Sloupec3]]-Tabulka20107983859598[[#This Row],[Sloupec4]]</f>
        <v>15501</v>
      </c>
      <c r="F121" s="38"/>
      <c r="G121" s="38"/>
      <c r="H121" s="38"/>
      <c r="I121" s="38"/>
      <c r="J121" s="38"/>
      <c r="K121" s="38"/>
      <c r="L121" s="38"/>
      <c r="M121" s="38"/>
    </row>
    <row r="122" spans="1:14" s="32" customFormat="1" ht="14.25" customHeight="1" x14ac:dyDescent="0.3">
      <c r="A122" s="100">
        <v>4004004149</v>
      </c>
      <c r="B122" s="125" t="s">
        <v>1246</v>
      </c>
      <c r="C122" s="311">
        <v>19561</v>
      </c>
      <c r="D122" s="71">
        <f>(OBSAH!$J$6/100)*Tabulka20107983859598[[#This Row],[Sloupec3]]</f>
        <v>0</v>
      </c>
      <c r="E122" s="57">
        <f>Tabulka20107983859598[[#This Row],[Sloupec3]]-Tabulka20107983859598[[#This Row],[Sloupec4]]</f>
        <v>19561</v>
      </c>
      <c r="F122" s="38"/>
      <c r="G122" s="38"/>
      <c r="H122" s="38"/>
      <c r="I122" s="38"/>
      <c r="J122" s="38"/>
      <c r="K122" s="38"/>
      <c r="L122" s="38"/>
      <c r="M122" s="38"/>
    </row>
    <row r="123" spans="1:14" s="32" customFormat="1" ht="14.25" customHeight="1" x14ac:dyDescent="0.3">
      <c r="A123" s="100">
        <v>4004004150</v>
      </c>
      <c r="B123" s="125" t="s">
        <v>1247</v>
      </c>
      <c r="C123" s="311">
        <v>19820</v>
      </c>
      <c r="D123" s="71">
        <f>(OBSAH!$J$6/100)*Tabulka20107983859598[[#This Row],[Sloupec3]]</f>
        <v>0</v>
      </c>
      <c r="E123" s="57">
        <f>Tabulka20107983859598[[#This Row],[Sloupec3]]-Tabulka20107983859598[[#This Row],[Sloupec4]]</f>
        <v>19820</v>
      </c>
      <c r="F123" s="38"/>
      <c r="G123" s="38"/>
      <c r="H123" s="38"/>
      <c r="I123" s="38"/>
      <c r="J123" s="38"/>
      <c r="K123" s="38"/>
      <c r="L123" s="38"/>
      <c r="M123" s="38"/>
    </row>
    <row r="124" spans="1:14" s="32" customFormat="1" ht="14.25" customHeight="1" x14ac:dyDescent="0.3">
      <c r="A124" s="100">
        <v>4004004151</v>
      </c>
      <c r="B124" s="125" t="s">
        <v>1248</v>
      </c>
      <c r="C124" s="311">
        <v>19998</v>
      </c>
      <c r="D124" s="71">
        <f>(OBSAH!$J$6/100)*Tabulka20107983859598[[#This Row],[Sloupec3]]</f>
        <v>0</v>
      </c>
      <c r="E124" s="57">
        <f>Tabulka20107983859598[[#This Row],[Sloupec3]]-Tabulka20107983859598[[#This Row],[Sloupec4]]</f>
        <v>19998</v>
      </c>
      <c r="F124" s="38"/>
      <c r="G124" s="38"/>
      <c r="H124" s="38"/>
      <c r="I124" s="38"/>
      <c r="J124" s="38"/>
      <c r="K124" s="38"/>
      <c r="L124" s="38"/>
      <c r="M124" s="38"/>
    </row>
    <row r="125" spans="1:14" s="32" customFormat="1" ht="14.25" customHeight="1" x14ac:dyDescent="0.3">
      <c r="A125" s="100">
        <v>4004004152</v>
      </c>
      <c r="B125" s="125" t="s">
        <v>1249</v>
      </c>
      <c r="C125" s="311">
        <v>20020</v>
      </c>
      <c r="D125" s="71">
        <f>(OBSAH!$J$6/100)*Tabulka20107983859598[[#This Row],[Sloupec3]]</f>
        <v>0</v>
      </c>
      <c r="E125" s="57">
        <f>Tabulka20107983859598[[#This Row],[Sloupec3]]-Tabulka20107983859598[[#This Row],[Sloupec4]]</f>
        <v>20020</v>
      </c>
      <c r="F125" s="38"/>
      <c r="G125" s="38"/>
      <c r="H125" s="38"/>
      <c r="I125" s="38"/>
      <c r="J125" s="38"/>
      <c r="K125" s="38"/>
      <c r="L125" s="38"/>
      <c r="M125" s="38"/>
    </row>
    <row r="126" spans="1:14" s="32" customFormat="1" ht="14.25" customHeight="1" x14ac:dyDescent="0.3">
      <c r="A126" s="100">
        <v>4004004153</v>
      </c>
      <c r="B126" s="125" t="s">
        <v>1250</v>
      </c>
      <c r="C126" s="311">
        <v>20195</v>
      </c>
      <c r="D126" s="71">
        <f>(OBSAH!$J$6/100)*Tabulka20107983859598[[#This Row],[Sloupec3]]</f>
        <v>0</v>
      </c>
      <c r="E126" s="57">
        <f>Tabulka20107983859598[[#This Row],[Sloupec3]]-Tabulka20107983859598[[#This Row],[Sloupec4]]</f>
        <v>20195</v>
      </c>
      <c r="F126" s="38"/>
      <c r="G126" s="38"/>
      <c r="H126" s="38"/>
      <c r="I126" s="38"/>
      <c r="J126" s="38"/>
      <c r="K126" s="38"/>
      <c r="L126" s="38"/>
      <c r="M126" s="38"/>
    </row>
    <row r="127" spans="1:14" s="32" customFormat="1" ht="14.25" customHeight="1" x14ac:dyDescent="0.3">
      <c r="A127" s="100">
        <v>4004004154</v>
      </c>
      <c r="B127" s="125" t="s">
        <v>1251</v>
      </c>
      <c r="C127" s="311">
        <v>20908</v>
      </c>
      <c r="D127" s="71">
        <f>(OBSAH!$J$6/100)*Tabulka20107983859598[[#This Row],[Sloupec3]]</f>
        <v>0</v>
      </c>
      <c r="E127" s="57">
        <f>Tabulka20107983859598[[#This Row],[Sloupec3]]-Tabulka20107983859598[[#This Row],[Sloupec4]]</f>
        <v>20908</v>
      </c>
      <c r="F127" s="38"/>
      <c r="G127" s="38"/>
      <c r="H127" s="38"/>
      <c r="I127" s="38"/>
      <c r="J127" s="38"/>
      <c r="K127" s="38"/>
      <c r="L127" s="38"/>
      <c r="M127" s="38"/>
    </row>
    <row r="128" spans="1:14" s="32" customFormat="1" ht="14.25" customHeight="1" x14ac:dyDescent="0.3">
      <c r="A128" s="100">
        <v>4004004155</v>
      </c>
      <c r="B128" s="125" t="s">
        <v>1252</v>
      </c>
      <c r="C128" s="311">
        <v>20931</v>
      </c>
      <c r="D128" s="71">
        <f>(OBSAH!$J$6/100)*Tabulka20107983859598[[#This Row],[Sloupec3]]</f>
        <v>0</v>
      </c>
      <c r="E128" s="57">
        <f>Tabulka20107983859598[[#This Row],[Sloupec3]]-Tabulka20107983859598[[#This Row],[Sloupec4]]</f>
        <v>20931</v>
      </c>
      <c r="F128" s="38"/>
      <c r="G128" s="38"/>
      <c r="H128" s="38"/>
      <c r="I128" s="38"/>
      <c r="J128" s="38"/>
      <c r="K128" s="38"/>
      <c r="L128" s="38"/>
      <c r="M128" s="38"/>
    </row>
    <row r="129" spans="1:13" s="32" customFormat="1" ht="14.25" customHeight="1" x14ac:dyDescent="0.3">
      <c r="A129" s="100">
        <v>4004004156</v>
      </c>
      <c r="B129" s="125" t="s">
        <v>1253</v>
      </c>
      <c r="C129" s="311">
        <v>21107</v>
      </c>
      <c r="D129" s="71">
        <f>(OBSAH!$J$6/100)*Tabulka20107983859598[[#This Row],[Sloupec3]]</f>
        <v>0</v>
      </c>
      <c r="E129" s="57">
        <f>Tabulka20107983859598[[#This Row],[Sloupec3]]-Tabulka20107983859598[[#This Row],[Sloupec4]]</f>
        <v>21107</v>
      </c>
      <c r="F129" s="38"/>
      <c r="G129" s="38"/>
      <c r="H129" s="38"/>
      <c r="I129" s="38"/>
      <c r="J129" s="38"/>
      <c r="K129" s="38"/>
      <c r="L129" s="38"/>
      <c r="M129" s="38"/>
    </row>
    <row r="130" spans="1:13" s="32" customFormat="1" ht="14.25" customHeight="1" x14ac:dyDescent="0.3">
      <c r="A130" s="100">
        <v>4004004157</v>
      </c>
      <c r="B130" s="125" t="s">
        <v>1254</v>
      </c>
      <c r="C130" s="311">
        <v>23816</v>
      </c>
      <c r="D130" s="71">
        <f>(OBSAH!$J$6/100)*Tabulka20107983859598[[#This Row],[Sloupec3]]</f>
        <v>0</v>
      </c>
      <c r="E130" s="57">
        <f>Tabulka20107983859598[[#This Row],[Sloupec3]]-Tabulka20107983859598[[#This Row],[Sloupec4]]</f>
        <v>23816</v>
      </c>
      <c r="F130" s="38"/>
      <c r="G130" s="38"/>
      <c r="H130" s="38"/>
      <c r="I130" s="38"/>
      <c r="J130" s="38"/>
      <c r="K130" s="38"/>
      <c r="L130" s="38"/>
      <c r="M130" s="38"/>
    </row>
    <row r="131" spans="1:13" s="32" customFormat="1" ht="14.25" customHeight="1" x14ac:dyDescent="0.3">
      <c r="A131" s="100">
        <v>4004004158</v>
      </c>
      <c r="B131" s="125" t="s">
        <v>1255</v>
      </c>
      <c r="C131" s="311">
        <v>23992</v>
      </c>
      <c r="D131" s="71">
        <f>(OBSAH!$J$6/100)*Tabulka20107983859598[[#This Row],[Sloupec3]]</f>
        <v>0</v>
      </c>
      <c r="E131" s="57">
        <f>Tabulka20107983859598[[#This Row],[Sloupec3]]-Tabulka20107983859598[[#This Row],[Sloupec4]]</f>
        <v>23992</v>
      </c>
      <c r="F131" s="38"/>
      <c r="G131" s="38"/>
      <c r="H131" s="38"/>
      <c r="I131" s="38"/>
      <c r="J131" s="38"/>
      <c r="K131" s="38"/>
      <c r="L131" s="38"/>
      <c r="M131" s="38"/>
    </row>
    <row r="132" spans="1:13" s="32" customFormat="1" ht="14.25" customHeight="1" x14ac:dyDescent="0.3">
      <c r="A132" s="100">
        <v>4004004159</v>
      </c>
      <c r="B132" s="125" t="s">
        <v>1256</v>
      </c>
      <c r="C132" s="311">
        <v>24667</v>
      </c>
      <c r="D132" s="71">
        <f>(OBSAH!$J$6/100)*Tabulka20107983859598[[#This Row],[Sloupec3]]</f>
        <v>0</v>
      </c>
      <c r="E132" s="57">
        <f>Tabulka20107983859598[[#This Row],[Sloupec3]]-Tabulka20107983859598[[#This Row],[Sloupec4]]</f>
        <v>24667</v>
      </c>
      <c r="F132" s="38"/>
      <c r="G132" s="38"/>
      <c r="H132" s="38"/>
      <c r="I132" s="38"/>
      <c r="J132" s="38"/>
      <c r="K132" s="38"/>
      <c r="L132" s="38"/>
      <c r="M132" s="38"/>
    </row>
    <row r="133" spans="1:13" s="32" customFormat="1" ht="14.25" customHeight="1" x14ac:dyDescent="0.3">
      <c r="A133" s="100">
        <v>4004004160</v>
      </c>
      <c r="B133" s="125" t="s">
        <v>1257</v>
      </c>
      <c r="C133" s="311">
        <v>24897</v>
      </c>
      <c r="D133" s="71">
        <f>(OBSAH!$J$6/100)*Tabulka20107983859598[[#This Row],[Sloupec3]]</f>
        <v>0</v>
      </c>
      <c r="E133" s="57">
        <f>Tabulka20107983859598[[#This Row],[Sloupec3]]-Tabulka20107983859598[[#This Row],[Sloupec4]]</f>
        <v>24897</v>
      </c>
      <c r="F133" s="38"/>
      <c r="G133" s="38"/>
      <c r="H133" s="38"/>
      <c r="I133" s="38"/>
      <c r="J133" s="38"/>
      <c r="K133" s="38"/>
      <c r="L133" s="38"/>
      <c r="M133" s="38"/>
    </row>
    <row r="134" spans="1:13" s="32" customFormat="1" ht="14.25" customHeight="1" x14ac:dyDescent="0.3">
      <c r="A134" s="100">
        <v>4004004161</v>
      </c>
      <c r="B134" s="125" t="s">
        <v>1258</v>
      </c>
      <c r="C134" s="311">
        <v>25104</v>
      </c>
      <c r="D134" s="71">
        <f>(OBSAH!$J$6/100)*Tabulka20107983859598[[#This Row],[Sloupec3]]</f>
        <v>0</v>
      </c>
      <c r="E134" s="57">
        <f>Tabulka20107983859598[[#This Row],[Sloupec3]]-Tabulka20107983859598[[#This Row],[Sloupec4]]</f>
        <v>25104</v>
      </c>
      <c r="F134" s="38"/>
      <c r="G134" s="38"/>
      <c r="H134" s="38"/>
      <c r="I134" s="38"/>
      <c r="J134" s="38"/>
      <c r="K134" s="38"/>
      <c r="L134" s="38"/>
      <c r="M134" s="38"/>
    </row>
    <row r="135" spans="1:13" s="32" customFormat="1" ht="14.25" customHeight="1" x14ac:dyDescent="0.3">
      <c r="A135" s="100">
        <v>4004004162</v>
      </c>
      <c r="B135" s="125" t="s">
        <v>1259</v>
      </c>
      <c r="C135" s="311">
        <v>28474</v>
      </c>
      <c r="D135" s="71">
        <f>(OBSAH!$J$6/100)*Tabulka20107983859598[[#This Row],[Sloupec3]]</f>
        <v>0</v>
      </c>
      <c r="E135" s="57">
        <f>Tabulka20107983859598[[#This Row],[Sloupec3]]-Tabulka20107983859598[[#This Row],[Sloupec4]]</f>
        <v>28474</v>
      </c>
      <c r="F135" s="38"/>
      <c r="G135" s="38"/>
      <c r="H135" s="38"/>
      <c r="I135" s="38"/>
      <c r="J135" s="38"/>
      <c r="K135" s="38"/>
      <c r="L135" s="38"/>
      <c r="M135" s="38"/>
    </row>
    <row r="136" spans="1:13" s="32" customFormat="1" ht="14.25" customHeight="1" x14ac:dyDescent="0.3">
      <c r="A136" s="100">
        <v>4004004163</v>
      </c>
      <c r="B136" s="125" t="s">
        <v>1260</v>
      </c>
      <c r="C136" s="311">
        <v>28653</v>
      </c>
      <c r="D136" s="71">
        <f>(OBSAH!$J$6/100)*Tabulka20107983859598[[#This Row],[Sloupec3]]</f>
        <v>0</v>
      </c>
      <c r="E136" s="57">
        <f>Tabulka20107983859598[[#This Row],[Sloupec3]]-Tabulka20107983859598[[#This Row],[Sloupec4]]</f>
        <v>28653</v>
      </c>
      <c r="F136" s="38"/>
      <c r="G136" s="38"/>
      <c r="H136" s="38"/>
      <c r="I136" s="38"/>
      <c r="J136" s="38"/>
      <c r="K136" s="38"/>
      <c r="L136" s="38"/>
      <c r="M136" s="38"/>
    </row>
    <row r="137" spans="1:13" s="32" customFormat="1" ht="14.25" customHeight="1" x14ac:dyDescent="0.3">
      <c r="A137" s="100">
        <v>4004004164</v>
      </c>
      <c r="B137" s="125" t="s">
        <v>1261</v>
      </c>
      <c r="C137" s="311">
        <v>29153</v>
      </c>
      <c r="D137" s="71">
        <f>(OBSAH!$J$6/100)*Tabulka20107983859598[[#This Row],[Sloupec3]]</f>
        <v>0</v>
      </c>
      <c r="E137" s="57">
        <f>Tabulka20107983859598[[#This Row],[Sloupec3]]-Tabulka20107983859598[[#This Row],[Sloupec4]]</f>
        <v>29153</v>
      </c>
      <c r="F137" s="38"/>
      <c r="G137" s="38"/>
      <c r="H137" s="38"/>
      <c r="I137" s="38"/>
      <c r="J137" s="38"/>
      <c r="K137" s="38"/>
      <c r="L137" s="38"/>
      <c r="M137" s="38"/>
    </row>
    <row r="138" spans="1:13" s="32" customFormat="1" ht="14.25" customHeight="1" x14ac:dyDescent="0.3">
      <c r="A138" s="100">
        <v>4004004165</v>
      </c>
      <c r="B138" s="125" t="s">
        <v>1262</v>
      </c>
      <c r="C138" s="311">
        <v>29385</v>
      </c>
      <c r="D138" s="71">
        <f>(OBSAH!$J$6/100)*Tabulka20107983859598[[#This Row],[Sloupec3]]</f>
        <v>0</v>
      </c>
      <c r="E138" s="57">
        <f>Tabulka20107983859598[[#This Row],[Sloupec3]]-Tabulka20107983859598[[#This Row],[Sloupec4]]</f>
        <v>29385</v>
      </c>
      <c r="F138" s="38"/>
      <c r="G138" s="38"/>
      <c r="H138" s="38"/>
      <c r="I138" s="38"/>
      <c r="J138" s="38"/>
      <c r="K138" s="38"/>
      <c r="L138" s="38"/>
      <c r="M138" s="38"/>
    </row>
    <row r="139" spans="1:13" s="32" customFormat="1" ht="14.25" customHeight="1" x14ac:dyDescent="0.3">
      <c r="A139" s="100">
        <v>4004004166</v>
      </c>
      <c r="B139" s="125" t="s">
        <v>1263</v>
      </c>
      <c r="C139" s="311">
        <v>29589</v>
      </c>
      <c r="D139" s="71">
        <f>(OBSAH!$J$6/100)*Tabulka20107983859598[[#This Row],[Sloupec3]]</f>
        <v>0</v>
      </c>
      <c r="E139" s="57">
        <f>Tabulka20107983859598[[#This Row],[Sloupec3]]-Tabulka20107983859598[[#This Row],[Sloupec4]]</f>
        <v>29589</v>
      </c>
      <c r="F139" s="38"/>
      <c r="G139" s="38"/>
      <c r="H139" s="38"/>
      <c r="I139" s="38"/>
      <c r="J139" s="38"/>
      <c r="K139" s="38"/>
      <c r="L139" s="38"/>
      <c r="M139" s="38"/>
    </row>
    <row r="140" spans="1:13" s="32" customFormat="1" ht="14.25" customHeight="1" x14ac:dyDescent="0.3">
      <c r="A140" s="100">
        <v>4004004167</v>
      </c>
      <c r="B140" s="125" t="s">
        <v>1264</v>
      </c>
      <c r="C140" s="311">
        <v>32561</v>
      </c>
      <c r="D140" s="71">
        <f>(OBSAH!$J$6/100)*Tabulka20107983859598[[#This Row],[Sloupec3]]</f>
        <v>0</v>
      </c>
      <c r="E140" s="57">
        <f>Tabulka20107983859598[[#This Row],[Sloupec3]]-Tabulka20107983859598[[#This Row],[Sloupec4]]</f>
        <v>32561</v>
      </c>
      <c r="F140" s="38"/>
      <c r="G140" s="38"/>
      <c r="H140" s="38"/>
      <c r="I140" s="38"/>
      <c r="J140" s="38"/>
      <c r="K140" s="38"/>
      <c r="L140" s="38"/>
      <c r="M140" s="38"/>
    </row>
    <row r="141" spans="1:13" s="32" customFormat="1" ht="14.25" customHeight="1" x14ac:dyDescent="0.3">
      <c r="A141" s="100">
        <v>4004004168</v>
      </c>
      <c r="B141" s="125" t="s">
        <v>1265</v>
      </c>
      <c r="C141" s="311">
        <v>32739</v>
      </c>
      <c r="D141" s="71">
        <f>(OBSAH!$J$6/100)*Tabulka20107983859598[[#This Row],[Sloupec3]]</f>
        <v>0</v>
      </c>
      <c r="E141" s="57">
        <f>Tabulka20107983859598[[#This Row],[Sloupec3]]-Tabulka20107983859598[[#This Row],[Sloupec4]]</f>
        <v>32739</v>
      </c>
      <c r="F141" s="38"/>
      <c r="G141" s="38"/>
      <c r="H141" s="38"/>
      <c r="I141" s="38"/>
      <c r="J141" s="38"/>
      <c r="K141" s="38"/>
      <c r="L141" s="38"/>
      <c r="M141" s="38"/>
    </row>
    <row r="142" spans="1:13" s="32" customFormat="1" ht="14.25" customHeight="1" x14ac:dyDescent="0.3">
      <c r="A142" s="100">
        <v>4004004169</v>
      </c>
      <c r="B142" s="125" t="s">
        <v>1266</v>
      </c>
      <c r="C142" s="311">
        <v>33411</v>
      </c>
      <c r="D142" s="71">
        <f>(OBSAH!$J$6/100)*Tabulka20107983859598[[#This Row],[Sloupec3]]</f>
        <v>0</v>
      </c>
      <c r="E142" s="57">
        <f>Tabulka20107983859598[[#This Row],[Sloupec3]]-Tabulka20107983859598[[#This Row],[Sloupec4]]</f>
        <v>33411</v>
      </c>
      <c r="F142" s="38"/>
      <c r="G142" s="38"/>
      <c r="H142" s="38"/>
      <c r="I142" s="38"/>
      <c r="J142" s="38"/>
      <c r="K142" s="38"/>
      <c r="L142" s="38"/>
      <c r="M142" s="38"/>
    </row>
    <row r="143" spans="1:13" s="32" customFormat="1" ht="14.25" customHeight="1" x14ac:dyDescent="0.3">
      <c r="A143" s="100">
        <v>4004004170</v>
      </c>
      <c r="B143" s="125" t="s">
        <v>1267</v>
      </c>
      <c r="C143" s="311">
        <v>33645</v>
      </c>
      <c r="D143" s="71">
        <f>(OBSAH!$J$6/100)*Tabulka20107983859598[[#This Row],[Sloupec3]]</f>
        <v>0</v>
      </c>
      <c r="E143" s="57">
        <f>Tabulka20107983859598[[#This Row],[Sloupec3]]-Tabulka20107983859598[[#This Row],[Sloupec4]]</f>
        <v>33645</v>
      </c>
      <c r="F143" s="38"/>
      <c r="G143" s="38"/>
      <c r="H143" s="38"/>
      <c r="I143" s="38"/>
      <c r="J143" s="38"/>
      <c r="K143" s="38"/>
      <c r="L143" s="38"/>
      <c r="M143" s="38"/>
    </row>
    <row r="144" spans="1:13" s="32" customFormat="1" ht="14.25" customHeight="1" x14ac:dyDescent="0.3">
      <c r="A144" s="100">
        <v>4004004171</v>
      </c>
      <c r="B144" s="125" t="s">
        <v>1268</v>
      </c>
      <c r="C144" s="311">
        <v>33847</v>
      </c>
      <c r="D144" s="71">
        <f>(OBSAH!$J$6/100)*Tabulka20107983859598[[#This Row],[Sloupec3]]</f>
        <v>0</v>
      </c>
      <c r="E144" s="57">
        <f>Tabulka20107983859598[[#This Row],[Sloupec3]]-Tabulka20107983859598[[#This Row],[Sloupec4]]</f>
        <v>33847</v>
      </c>
      <c r="F144" s="38"/>
      <c r="G144" s="38"/>
      <c r="H144" s="38"/>
      <c r="I144" s="38"/>
      <c r="J144" s="38"/>
      <c r="K144" s="38"/>
      <c r="L144" s="38"/>
      <c r="M144" s="38"/>
    </row>
    <row r="145" spans="1:13" s="32" customFormat="1" ht="14.25" customHeight="1" x14ac:dyDescent="0.3">
      <c r="A145" s="100">
        <v>4004004172</v>
      </c>
      <c r="B145" s="125" t="s">
        <v>1269</v>
      </c>
      <c r="C145" s="311">
        <v>37174</v>
      </c>
      <c r="D145" s="71">
        <f>(OBSAH!$J$6/100)*Tabulka20107983859598[[#This Row],[Sloupec3]]</f>
        <v>0</v>
      </c>
      <c r="E145" s="57">
        <f>Tabulka20107983859598[[#This Row],[Sloupec3]]-Tabulka20107983859598[[#This Row],[Sloupec4]]</f>
        <v>37174</v>
      </c>
      <c r="F145" s="38"/>
      <c r="G145" s="38"/>
      <c r="H145" s="38"/>
      <c r="I145" s="38"/>
      <c r="J145" s="38"/>
      <c r="K145" s="38"/>
      <c r="L145" s="38"/>
      <c r="M145" s="38"/>
    </row>
    <row r="146" spans="1:13" s="32" customFormat="1" ht="14.25" customHeight="1" x14ac:dyDescent="0.3">
      <c r="A146" s="100">
        <v>4004004173</v>
      </c>
      <c r="B146" s="125" t="s">
        <v>1270</v>
      </c>
      <c r="C146" s="311">
        <v>37351</v>
      </c>
      <c r="D146" s="71">
        <f>(OBSAH!$J$6/100)*Tabulka20107983859598[[#This Row],[Sloupec3]]</f>
        <v>0</v>
      </c>
      <c r="E146" s="57">
        <f>Tabulka20107983859598[[#This Row],[Sloupec3]]-Tabulka20107983859598[[#This Row],[Sloupec4]]</f>
        <v>37351</v>
      </c>
      <c r="F146" s="38"/>
      <c r="G146" s="38"/>
      <c r="H146" s="38"/>
      <c r="I146" s="38"/>
      <c r="J146" s="38"/>
      <c r="K146" s="38"/>
      <c r="L146" s="38"/>
      <c r="M146" s="38"/>
    </row>
    <row r="147" spans="1:13" s="32" customFormat="1" ht="14.25" customHeight="1" x14ac:dyDescent="0.3">
      <c r="A147" s="100">
        <v>4004004174</v>
      </c>
      <c r="B147" s="125" t="s">
        <v>1271</v>
      </c>
      <c r="C147" s="311">
        <v>37854</v>
      </c>
      <c r="D147" s="71">
        <f>(OBSAH!$J$6/100)*Tabulka20107983859598[[#This Row],[Sloupec3]]</f>
        <v>0</v>
      </c>
      <c r="E147" s="57">
        <f>Tabulka20107983859598[[#This Row],[Sloupec3]]-Tabulka20107983859598[[#This Row],[Sloupec4]]</f>
        <v>37854</v>
      </c>
      <c r="F147" s="38"/>
      <c r="G147" s="38"/>
      <c r="H147" s="38"/>
      <c r="I147" s="38"/>
      <c r="J147" s="38"/>
      <c r="K147" s="38"/>
      <c r="L147" s="38"/>
      <c r="M147" s="38"/>
    </row>
    <row r="148" spans="1:13" s="32" customFormat="1" ht="14.25" customHeight="1" x14ac:dyDescent="0.3">
      <c r="A148" s="100">
        <v>4004004175</v>
      </c>
      <c r="B148" s="125" t="s">
        <v>1272</v>
      </c>
      <c r="C148" s="311">
        <v>38084</v>
      </c>
      <c r="D148" s="71">
        <f>(OBSAH!$J$6/100)*Tabulka20107983859598[[#This Row],[Sloupec3]]</f>
        <v>0</v>
      </c>
      <c r="E148" s="57">
        <f>Tabulka20107983859598[[#This Row],[Sloupec3]]-Tabulka20107983859598[[#This Row],[Sloupec4]]</f>
        <v>38084</v>
      </c>
      <c r="F148" s="38"/>
      <c r="G148" s="38"/>
      <c r="H148" s="38"/>
      <c r="I148" s="38"/>
      <c r="J148" s="38"/>
      <c r="K148" s="38"/>
      <c r="L148" s="38"/>
      <c r="M148" s="38"/>
    </row>
    <row r="149" spans="1:13" s="32" customFormat="1" ht="14.25" customHeight="1" x14ac:dyDescent="0.3">
      <c r="A149" s="101">
        <v>4004004176</v>
      </c>
      <c r="B149" s="102" t="s">
        <v>1273</v>
      </c>
      <c r="C149" s="312">
        <v>38264</v>
      </c>
      <c r="D149" s="68">
        <f>(OBSAH!$J$6/100)*Tabulka20107983859598[[#This Row],[Sloupec3]]</f>
        <v>0</v>
      </c>
      <c r="E149" s="58">
        <f>Tabulka20107983859598[[#This Row],[Sloupec3]]-Tabulka20107983859598[[#This Row],[Sloupec4]]</f>
        <v>38264</v>
      </c>
      <c r="F149" s="38"/>
      <c r="G149" s="38"/>
      <c r="H149" s="38"/>
      <c r="I149" s="38"/>
      <c r="J149" s="38"/>
      <c r="K149" s="38"/>
      <c r="L149" s="38"/>
      <c r="M149" s="38"/>
    </row>
    <row r="150" spans="1:13" x14ac:dyDescent="0.4">
      <c r="A150" s="441" t="s">
        <v>120</v>
      </c>
      <c r="B150" s="441"/>
      <c r="C150" s="441"/>
      <c r="D150" s="441"/>
      <c r="E150" s="441"/>
      <c r="F150" s="3"/>
      <c r="G150" s="3"/>
      <c r="H150" s="3"/>
      <c r="I150" s="3"/>
      <c r="J150" s="3"/>
      <c r="K150" s="3"/>
      <c r="L150" s="3"/>
      <c r="M150" s="3"/>
    </row>
    <row r="151" spans="1:13" x14ac:dyDescent="0.4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</row>
  </sheetData>
  <mergeCells count="22">
    <mergeCell ref="A1:E1"/>
    <mergeCell ref="F1:H1"/>
    <mergeCell ref="A2:E2"/>
    <mergeCell ref="F2:H2"/>
    <mergeCell ref="A3:E3"/>
    <mergeCell ref="A4:E4"/>
    <mergeCell ref="A5:E5"/>
    <mergeCell ref="A6:E6"/>
    <mergeCell ref="A7:E7"/>
    <mergeCell ref="A8:E8"/>
    <mergeCell ref="G8:L8"/>
    <mergeCell ref="G9:L9"/>
    <mergeCell ref="G20:L20"/>
    <mergeCell ref="G21:L21"/>
    <mergeCell ref="G22:L22"/>
    <mergeCell ref="A117:E117"/>
    <mergeCell ref="A150:E150"/>
    <mergeCell ref="G23:L23"/>
    <mergeCell ref="A44:E44"/>
    <mergeCell ref="A81:E81"/>
    <mergeCell ref="A82:E82"/>
    <mergeCell ref="A83:E83"/>
  </mergeCells>
  <hyperlinks>
    <hyperlink ref="F2" location="OBSAH!I128" display="PŘEJÍT NA UPOZORNĚNÍ" xr:uid="{00000000-0004-0000-0900-000000000000}"/>
    <hyperlink ref="A150" location="'PŘÍSTUPOVÉ SYSTÉMY'!A67" display="ODKAZ NA ČIPY RFID 125kHz" xr:uid="{00000000-0004-0000-0900-000001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4">
    <tablePart r:id="rId2"/>
    <tablePart r:id="rId3"/>
    <tablePart r:id="rId4"/>
    <tablePart r:id="rId5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  <pageSetUpPr fitToPage="1"/>
  </sheetPr>
  <dimension ref="A1:AMK93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3" ht="27" x14ac:dyDescent="0.6">
      <c r="A3" s="486" t="s">
        <v>1369</v>
      </c>
      <c r="B3" s="486"/>
      <c r="C3" s="486"/>
      <c r="D3" s="486"/>
      <c r="E3" s="486"/>
      <c r="F3" s="252"/>
      <c r="G3" s="252"/>
      <c r="H3" s="252"/>
      <c r="I3" s="3"/>
      <c r="J3" s="3"/>
      <c r="K3" s="3"/>
      <c r="L3" s="3"/>
      <c r="M3" s="3"/>
    </row>
    <row r="4" spans="1:13" ht="27" x14ac:dyDescent="0.6">
      <c r="A4" s="499" t="s">
        <v>1370</v>
      </c>
      <c r="B4" s="500"/>
      <c r="C4" s="500"/>
      <c r="D4" s="500"/>
      <c r="E4" s="500"/>
      <c r="F4" s="260"/>
      <c r="G4" s="252"/>
      <c r="H4" s="252"/>
      <c r="I4" s="3"/>
      <c r="J4" s="3"/>
      <c r="K4" s="3"/>
      <c r="L4" s="3"/>
      <c r="M4" s="3"/>
    </row>
    <row r="5" spans="1:13" ht="15" customHeight="1" x14ac:dyDescent="0.55000000000000004">
      <c r="A5" s="450"/>
      <c r="B5" s="450"/>
      <c r="C5" s="450"/>
      <c r="D5" s="450"/>
      <c r="E5" s="450"/>
      <c r="F5" s="252"/>
      <c r="G5" s="252"/>
      <c r="H5" s="252"/>
      <c r="I5" s="3"/>
      <c r="J5" s="3"/>
      <c r="K5" s="3"/>
      <c r="L5" s="3"/>
      <c r="M5" s="3"/>
    </row>
    <row r="6" spans="1:13" ht="15" customHeight="1" x14ac:dyDescent="0.7">
      <c r="A6" s="376"/>
      <c r="B6" s="376"/>
      <c r="C6" s="376"/>
      <c r="D6" s="376"/>
      <c r="E6" s="376"/>
      <c r="F6" s="252"/>
      <c r="G6" s="252"/>
      <c r="H6" s="252"/>
      <c r="I6" s="3"/>
      <c r="J6" s="3"/>
      <c r="K6" s="3"/>
      <c r="L6" s="3"/>
      <c r="M6" s="3"/>
    </row>
    <row r="7" spans="1:13" ht="54.65" customHeight="1" x14ac:dyDescent="0.4">
      <c r="A7" s="476" t="s">
        <v>949</v>
      </c>
      <c r="B7" s="476"/>
      <c r="C7" s="476"/>
      <c r="D7" s="476"/>
      <c r="E7" s="476"/>
      <c r="F7" s="252"/>
      <c r="G7" s="252"/>
      <c r="H7" s="252"/>
      <c r="I7" s="3"/>
      <c r="J7" s="3"/>
      <c r="K7" s="3"/>
      <c r="L7" s="3"/>
      <c r="M7" s="3"/>
    </row>
    <row r="8" spans="1:13" ht="36" customHeight="1" x14ac:dyDescent="0.4">
      <c r="A8" s="477" t="s">
        <v>1374</v>
      </c>
      <c r="B8" s="477"/>
      <c r="C8" s="477"/>
      <c r="D8" s="477"/>
      <c r="E8" s="477"/>
      <c r="F8" s="252"/>
      <c r="G8" s="252"/>
      <c r="H8" s="252"/>
      <c r="I8" s="3"/>
      <c r="J8" s="3"/>
      <c r="K8" s="3"/>
      <c r="L8" s="3"/>
      <c r="M8" s="3"/>
    </row>
    <row r="9" spans="1:13" ht="22.4" customHeight="1" x14ac:dyDescent="0.4">
      <c r="A9" s="475" t="s">
        <v>1347</v>
      </c>
      <c r="B9" s="475"/>
      <c r="C9" s="475"/>
      <c r="D9" s="475"/>
      <c r="E9" s="475"/>
      <c r="F9" s="252"/>
      <c r="G9" s="252"/>
      <c r="H9" s="252"/>
      <c r="I9" s="3"/>
      <c r="J9" s="3"/>
      <c r="K9" s="3"/>
      <c r="L9" s="3"/>
      <c r="M9" s="3"/>
    </row>
    <row r="10" spans="1:13" ht="22.4" customHeight="1" x14ac:dyDescent="0.4">
      <c r="A10" s="135" t="s">
        <v>56</v>
      </c>
      <c r="B10" s="135" t="s">
        <v>57</v>
      </c>
      <c r="C10" s="136" t="s">
        <v>58</v>
      </c>
      <c r="D10" s="501" t="s">
        <v>1371</v>
      </c>
      <c r="E10" s="502"/>
      <c r="F10" s="252"/>
      <c r="G10" s="252"/>
      <c r="H10" s="252"/>
      <c r="I10" s="3"/>
      <c r="J10" s="3"/>
      <c r="K10" s="3"/>
      <c r="L10" s="3"/>
      <c r="M10" s="3"/>
    </row>
    <row r="11" spans="1:13" ht="15" customHeight="1" x14ac:dyDescent="0.4">
      <c r="A11" s="125">
        <v>4004006000</v>
      </c>
      <c r="B11" s="125" t="s">
        <v>1372</v>
      </c>
      <c r="C11" s="124">
        <v>2516</v>
      </c>
      <c r="D11" s="503"/>
      <c r="E11" s="504"/>
      <c r="F11" s="252"/>
      <c r="G11" s="252"/>
      <c r="H11" s="252"/>
      <c r="I11" s="3"/>
      <c r="J11" s="3"/>
      <c r="K11" s="3"/>
      <c r="L11" s="3"/>
      <c r="M11" s="3"/>
    </row>
    <row r="12" spans="1:13" ht="15" customHeight="1" x14ac:dyDescent="0.4">
      <c r="A12" s="103"/>
      <c r="B12" s="84"/>
      <c r="C12" s="131"/>
      <c r="D12" s="61"/>
      <c r="E12" s="62"/>
      <c r="F12" s="252"/>
      <c r="G12" s="252"/>
      <c r="H12" s="252"/>
      <c r="I12" s="3"/>
      <c r="J12" s="3"/>
      <c r="K12" s="3"/>
      <c r="L12" s="3"/>
      <c r="M12" s="3"/>
    </row>
    <row r="13" spans="1:13" ht="22.4" customHeight="1" x14ac:dyDescent="0.4">
      <c r="A13" s="472" t="s">
        <v>1348</v>
      </c>
      <c r="B13" s="472"/>
      <c r="C13" s="472"/>
      <c r="D13" s="472"/>
      <c r="E13" s="472"/>
      <c r="F13" s="252"/>
      <c r="G13" s="252"/>
      <c r="H13" s="252"/>
      <c r="I13" s="3"/>
      <c r="J13" s="3"/>
      <c r="K13" s="3"/>
      <c r="L13" s="3"/>
      <c r="M13" s="3"/>
    </row>
    <row r="14" spans="1:13" ht="22.4" customHeight="1" x14ac:dyDescent="0.4">
      <c r="A14" s="135" t="s">
        <v>56</v>
      </c>
      <c r="B14" s="135" t="s">
        <v>57</v>
      </c>
      <c r="C14" s="136" t="s">
        <v>58</v>
      </c>
      <c r="D14" s="501" t="s">
        <v>1371</v>
      </c>
      <c r="E14" s="502"/>
      <c r="F14" s="252"/>
      <c r="G14" s="252"/>
      <c r="H14" s="252"/>
      <c r="I14" s="3"/>
      <c r="J14" s="3"/>
      <c r="K14" s="3"/>
      <c r="L14" s="3"/>
      <c r="M14" s="3"/>
    </row>
    <row r="15" spans="1:13" ht="15" customHeight="1" x14ac:dyDescent="0.4">
      <c r="A15" s="125">
        <v>4004006008</v>
      </c>
      <c r="B15" s="125" t="s">
        <v>1373</v>
      </c>
      <c r="C15" s="124">
        <v>2516</v>
      </c>
      <c r="D15" s="503"/>
      <c r="E15" s="504"/>
      <c r="F15" s="252"/>
      <c r="G15" s="252"/>
      <c r="H15" s="252"/>
      <c r="I15" s="3"/>
      <c r="J15" s="3"/>
      <c r="K15" s="3"/>
      <c r="L15" s="3"/>
      <c r="M15" s="3"/>
    </row>
    <row r="16" spans="1:13" ht="15" customHeight="1" x14ac:dyDescent="0.4">
      <c r="A16" s="251"/>
      <c r="B16" s="251"/>
      <c r="C16" s="251"/>
      <c r="D16" s="251"/>
      <c r="E16" s="251"/>
      <c r="F16" s="252"/>
      <c r="G16" s="252"/>
      <c r="H16" s="252"/>
      <c r="I16" s="3"/>
      <c r="J16" s="3"/>
      <c r="K16" s="3"/>
      <c r="L16" s="3"/>
      <c r="M16" s="3"/>
    </row>
    <row r="17" spans="1:13" ht="15" customHeight="1" x14ac:dyDescent="0.4">
      <c r="A17" s="251"/>
      <c r="B17" s="251"/>
      <c r="C17" s="251"/>
      <c r="D17" s="251"/>
      <c r="E17" s="251"/>
      <c r="F17" s="252"/>
      <c r="G17" s="252"/>
      <c r="H17" s="252"/>
      <c r="I17" s="3"/>
      <c r="J17" s="3"/>
      <c r="K17" s="3"/>
      <c r="L17" s="3"/>
      <c r="M17" s="3"/>
    </row>
    <row r="18" spans="1:13" ht="54.65" customHeight="1" x14ac:dyDescent="0.4">
      <c r="A18" s="469" t="s">
        <v>25</v>
      </c>
      <c r="B18" s="469"/>
      <c r="C18" s="469"/>
      <c r="D18" s="469"/>
      <c r="E18" s="469"/>
      <c r="F18" s="252"/>
      <c r="G18" s="252"/>
      <c r="H18" s="252"/>
      <c r="I18" s="3"/>
      <c r="J18" s="3"/>
      <c r="K18" s="3"/>
      <c r="L18" s="3"/>
      <c r="M18" s="3"/>
    </row>
    <row r="19" spans="1:13" ht="36" customHeight="1" x14ac:dyDescent="0.4">
      <c r="A19" s="487" t="s">
        <v>1352</v>
      </c>
      <c r="B19" s="488"/>
      <c r="C19" s="488"/>
      <c r="D19" s="488"/>
      <c r="E19" s="489"/>
      <c r="F19" s="252"/>
      <c r="G19" s="252"/>
      <c r="H19" s="252"/>
      <c r="I19" s="3"/>
      <c r="J19" s="3"/>
      <c r="K19" s="3"/>
      <c r="L19" s="3"/>
      <c r="M19" s="3"/>
    </row>
    <row r="20" spans="1:13" ht="22.4" customHeight="1" x14ac:dyDescent="0.4">
      <c r="A20" s="490" t="s">
        <v>1349</v>
      </c>
      <c r="B20" s="491"/>
      <c r="C20" s="491"/>
      <c r="D20" s="491"/>
      <c r="E20" s="492"/>
      <c r="F20" s="252"/>
      <c r="G20" s="252"/>
      <c r="H20" s="252"/>
      <c r="I20" s="3"/>
      <c r="J20" s="3"/>
      <c r="K20" s="3"/>
      <c r="L20" s="3"/>
      <c r="M20" s="3"/>
    </row>
    <row r="21" spans="1:13" ht="22.4" customHeight="1" x14ac:dyDescent="0.4">
      <c r="A21" s="254" t="s">
        <v>56</v>
      </c>
      <c r="B21" s="254" t="s">
        <v>57</v>
      </c>
      <c r="C21" s="255" t="s">
        <v>58</v>
      </c>
      <c r="D21" s="255" t="s">
        <v>59</v>
      </c>
      <c r="E21" s="256" t="s">
        <v>60</v>
      </c>
      <c r="F21" s="252"/>
      <c r="G21" s="252"/>
      <c r="H21" s="252"/>
      <c r="I21" s="3"/>
      <c r="J21" s="3"/>
      <c r="K21" s="3"/>
      <c r="L21" s="3"/>
      <c r="M21" s="3"/>
    </row>
    <row r="22" spans="1:13" ht="15" customHeight="1" x14ac:dyDescent="0.4">
      <c r="A22" s="99">
        <v>4004020001</v>
      </c>
      <c r="B22" s="99" t="s">
        <v>1353</v>
      </c>
      <c r="C22" s="219">
        <v>8766</v>
      </c>
      <c r="D22" s="69">
        <f>(OBSAH!$J$6/100)*Tabulka2010794104116127711[[#This Row],[Sloupec3]]</f>
        <v>0</v>
      </c>
      <c r="E22" s="274">
        <f>Tabulka2010794104116127711[[#This Row],[Sloupec3]]-Tabulka2010794104116127711[[#This Row],[Sloupec4]]</f>
        <v>8766</v>
      </c>
      <c r="F22" s="252"/>
      <c r="G22" s="252"/>
      <c r="H22" s="252"/>
      <c r="I22" s="3"/>
      <c r="J22" s="3"/>
      <c r="K22" s="3"/>
      <c r="L22" s="3"/>
      <c r="M22" s="3"/>
    </row>
    <row r="23" spans="1:13" ht="15" customHeight="1" x14ac:dyDescent="0.4">
      <c r="A23" s="125">
        <v>4004020002</v>
      </c>
      <c r="B23" s="125" t="s">
        <v>1354</v>
      </c>
      <c r="C23" s="124">
        <v>9625</v>
      </c>
      <c r="D23" s="71">
        <f>(OBSAH!$J$6/100)*Tabulka2010794104116127711[[#This Row],[Sloupec3]]</f>
        <v>0</v>
      </c>
      <c r="E23" s="274">
        <f>Tabulka2010794104116127711[[#This Row],[Sloupec3]]-Tabulka2010794104116127711[[#This Row],[Sloupec4]]</f>
        <v>9625</v>
      </c>
      <c r="F23" s="252"/>
      <c r="G23" s="252"/>
      <c r="H23" s="252"/>
      <c r="I23" s="3"/>
      <c r="J23" s="3"/>
      <c r="K23" s="3"/>
      <c r="L23" s="3"/>
      <c r="M23" s="3"/>
    </row>
    <row r="24" spans="1:13" ht="15" customHeight="1" x14ac:dyDescent="0.4">
      <c r="A24" s="265"/>
      <c r="B24" s="265"/>
      <c r="C24" s="266"/>
      <c r="D24" s="267"/>
      <c r="E24" s="268"/>
      <c r="F24" s="252"/>
      <c r="G24" s="252"/>
      <c r="H24" s="252"/>
      <c r="I24" s="3"/>
      <c r="J24" s="3"/>
      <c r="K24" s="3"/>
      <c r="L24" s="3"/>
      <c r="M24" s="3"/>
    </row>
    <row r="25" spans="1:13" ht="15" customHeight="1" x14ac:dyDescent="0.4">
      <c r="A25" s="269"/>
      <c r="B25" s="270"/>
      <c r="C25" s="271"/>
      <c r="D25" s="272"/>
      <c r="E25" s="273"/>
      <c r="F25" s="252"/>
      <c r="G25" s="252"/>
      <c r="H25" s="252"/>
      <c r="I25" s="3"/>
      <c r="J25" s="3"/>
      <c r="K25" s="3"/>
      <c r="L25" s="3"/>
      <c r="M25" s="3"/>
    </row>
    <row r="26" spans="1:13" ht="22.4" customHeight="1" x14ac:dyDescent="0.4">
      <c r="A26" s="493" t="s">
        <v>1350</v>
      </c>
      <c r="B26" s="493"/>
      <c r="C26" s="493"/>
      <c r="D26" s="493"/>
      <c r="E26" s="493"/>
      <c r="F26" s="252"/>
      <c r="G26" s="252"/>
      <c r="H26" s="252"/>
      <c r="I26" s="3"/>
      <c r="J26" s="3"/>
      <c r="K26" s="3"/>
      <c r="L26" s="3"/>
      <c r="M26" s="3"/>
    </row>
    <row r="27" spans="1:13" ht="22.4" customHeight="1" x14ac:dyDescent="0.4">
      <c r="A27" s="254" t="s">
        <v>56</v>
      </c>
      <c r="B27" s="254" t="s">
        <v>57</v>
      </c>
      <c r="C27" s="255" t="s">
        <v>58</v>
      </c>
      <c r="D27" s="255" t="s">
        <v>59</v>
      </c>
      <c r="E27" s="256" t="s">
        <v>60</v>
      </c>
      <c r="F27" s="252"/>
      <c r="G27" s="252"/>
      <c r="H27" s="252"/>
      <c r="I27" s="3"/>
      <c r="J27" s="3"/>
      <c r="K27" s="3"/>
      <c r="L27" s="3"/>
      <c r="M27" s="3"/>
    </row>
    <row r="28" spans="1:13" ht="15" customHeight="1" x14ac:dyDescent="0.4">
      <c r="A28" s="99">
        <v>4004020003</v>
      </c>
      <c r="B28" s="99" t="s">
        <v>1355</v>
      </c>
      <c r="C28" s="219">
        <v>8897</v>
      </c>
      <c r="D28" s="69">
        <f>(OBSAH!$J$6/100)*Tabulka20107949610311512226[[#This Row],[Sloupec3]]</f>
        <v>0</v>
      </c>
      <c r="E28" s="274">
        <f>Tabulka20107949610311512226[[#This Row],[Sloupec3]]-Tabulka20107949610311512226[[#This Row],[Sloupec4]]</f>
        <v>8897</v>
      </c>
      <c r="F28" s="252"/>
      <c r="G28" s="252"/>
      <c r="H28" s="252"/>
      <c r="I28" s="3"/>
      <c r="J28" s="3"/>
      <c r="K28" s="3"/>
      <c r="L28" s="3"/>
      <c r="M28" s="3"/>
    </row>
    <row r="29" spans="1:13" ht="15" customHeight="1" x14ac:dyDescent="0.4">
      <c r="A29" s="125">
        <v>4004020004</v>
      </c>
      <c r="B29" s="125" t="s">
        <v>1356</v>
      </c>
      <c r="C29" s="124">
        <v>9756</v>
      </c>
      <c r="D29" s="71">
        <f>(OBSAH!$J$6/100)*Tabulka20107949610311512226[[#This Row],[Sloupec3]]</f>
        <v>0</v>
      </c>
      <c r="E29" s="275">
        <f>Tabulka20107949610311512226[[#This Row],[Sloupec3]]-Tabulka20107949610311512226[[#This Row],[Sloupec4]]</f>
        <v>9756</v>
      </c>
      <c r="F29" s="252"/>
      <c r="G29" s="252"/>
      <c r="H29" s="252"/>
      <c r="I29" s="3"/>
      <c r="J29" s="3"/>
      <c r="K29" s="3"/>
      <c r="L29" s="3"/>
      <c r="M29" s="3"/>
    </row>
    <row r="30" spans="1:13" ht="15" customHeight="1" x14ac:dyDescent="0.4">
      <c r="A30" s="265"/>
      <c r="B30" s="265"/>
      <c r="C30" s="266"/>
      <c r="D30" s="267"/>
      <c r="E30" s="268"/>
      <c r="F30" s="252"/>
      <c r="G30" s="252"/>
      <c r="H30" s="252"/>
      <c r="I30" s="3"/>
      <c r="J30" s="3"/>
      <c r="K30" s="3"/>
      <c r="L30" s="3"/>
      <c r="M30" s="3"/>
    </row>
    <row r="31" spans="1:13" ht="15" customHeight="1" x14ac:dyDescent="0.4">
      <c r="A31" s="265"/>
      <c r="B31" s="265"/>
      <c r="C31" s="266"/>
      <c r="D31" s="267"/>
      <c r="E31" s="268"/>
      <c r="F31" s="252"/>
      <c r="G31" s="252"/>
      <c r="H31" s="252"/>
      <c r="I31" s="3"/>
      <c r="J31" s="3"/>
      <c r="K31" s="3"/>
      <c r="L31" s="3"/>
      <c r="M31" s="3"/>
    </row>
    <row r="32" spans="1:13" ht="22.4" customHeight="1" x14ac:dyDescent="0.4">
      <c r="A32" s="493" t="s">
        <v>1351</v>
      </c>
      <c r="B32" s="493"/>
      <c r="C32" s="493"/>
      <c r="D32" s="493"/>
      <c r="E32" s="493"/>
      <c r="F32" s="252"/>
      <c r="G32" s="252"/>
      <c r="H32" s="252"/>
      <c r="I32" s="3"/>
      <c r="J32" s="3"/>
      <c r="K32" s="3"/>
      <c r="L32" s="3"/>
      <c r="M32" s="3"/>
    </row>
    <row r="33" spans="1:13" ht="22.4" customHeight="1" x14ac:dyDescent="0.4">
      <c r="A33" s="254" t="s">
        <v>56</v>
      </c>
      <c r="B33" s="254" t="s">
        <v>57</v>
      </c>
      <c r="C33" s="255" t="s">
        <v>58</v>
      </c>
      <c r="D33" s="255" t="s">
        <v>59</v>
      </c>
      <c r="E33" s="256" t="s">
        <v>60</v>
      </c>
      <c r="F33" s="252"/>
      <c r="G33" s="252"/>
      <c r="H33" s="252"/>
      <c r="I33" s="3"/>
      <c r="J33" s="3"/>
      <c r="K33" s="3"/>
      <c r="L33" s="3"/>
      <c r="M33" s="3"/>
    </row>
    <row r="34" spans="1:13" ht="15" customHeight="1" x14ac:dyDescent="0.4">
      <c r="A34" s="99">
        <v>4004020005</v>
      </c>
      <c r="B34" s="99" t="s">
        <v>1357</v>
      </c>
      <c r="C34" s="219">
        <v>8897</v>
      </c>
      <c r="D34" s="69">
        <f>(OBSAH!$J$6/100)*Tabulka2010794961031151222629[[#This Row],[Sloupec3]]</f>
        <v>0</v>
      </c>
      <c r="E34" s="274">
        <f>Tabulka2010794961031151222629[[#This Row],[Sloupec3]]-Tabulka2010794961031151222629[[#This Row],[Sloupec4]]</f>
        <v>8897</v>
      </c>
      <c r="F34" s="252"/>
      <c r="G34" s="252"/>
      <c r="H34" s="252"/>
      <c r="I34" s="3"/>
      <c r="J34" s="3"/>
      <c r="K34" s="3"/>
      <c r="L34" s="3"/>
      <c r="M34" s="3"/>
    </row>
    <row r="35" spans="1:13" ht="15" customHeight="1" x14ac:dyDescent="0.4">
      <c r="A35" s="125">
        <v>4004020006</v>
      </c>
      <c r="B35" s="125" t="s">
        <v>1358</v>
      </c>
      <c r="C35" s="124">
        <v>9756</v>
      </c>
      <c r="D35" s="71">
        <f>(OBSAH!$J$6/100)*Tabulka2010794961031151222629[[#This Row],[Sloupec3]]</f>
        <v>0</v>
      </c>
      <c r="E35" s="275">
        <f>Tabulka2010794961031151222629[[#This Row],[Sloupec3]]-Tabulka2010794961031151222629[[#This Row],[Sloupec4]]</f>
        <v>9756</v>
      </c>
      <c r="F35" s="252"/>
      <c r="G35" s="252"/>
      <c r="H35" s="252"/>
      <c r="I35" s="3"/>
      <c r="J35" s="3"/>
      <c r="K35" s="3"/>
      <c r="L35" s="3"/>
      <c r="M35" s="3"/>
    </row>
    <row r="36" spans="1:13" ht="15" customHeight="1" x14ac:dyDescent="0.4">
      <c r="A36" s="265"/>
      <c r="B36" s="265"/>
      <c r="C36" s="266"/>
      <c r="D36" s="267"/>
      <c r="E36" s="268"/>
      <c r="F36" s="252"/>
      <c r="G36" s="252"/>
      <c r="H36" s="252"/>
      <c r="I36" s="3"/>
      <c r="J36" s="3"/>
      <c r="K36" s="3"/>
      <c r="L36" s="3"/>
      <c r="M36" s="3"/>
    </row>
    <row r="37" spans="1:13" ht="15" customHeight="1" x14ac:dyDescent="0.4">
      <c r="A37" s="265"/>
      <c r="B37" s="265"/>
      <c r="C37" s="266"/>
      <c r="D37" s="267"/>
      <c r="E37" s="268"/>
      <c r="F37" s="252"/>
      <c r="G37" s="252"/>
      <c r="H37" s="252"/>
      <c r="I37" s="3"/>
      <c r="J37" s="3"/>
      <c r="K37" s="3"/>
      <c r="L37" s="3"/>
      <c r="M37" s="3"/>
    </row>
    <row r="38" spans="1:13" ht="54.65" customHeight="1" x14ac:dyDescent="0.4">
      <c r="A38" s="495" t="s">
        <v>12</v>
      </c>
      <c r="B38" s="495"/>
      <c r="C38" s="495"/>
      <c r="D38" s="495"/>
      <c r="E38" s="495"/>
      <c r="F38" s="252"/>
      <c r="G38" s="252"/>
      <c r="H38" s="252"/>
      <c r="I38" s="3"/>
      <c r="J38" s="3"/>
      <c r="K38" s="3"/>
      <c r="L38" s="3"/>
      <c r="M38" s="3"/>
    </row>
    <row r="39" spans="1:13" ht="46.95" customHeight="1" x14ac:dyDescent="0.4">
      <c r="A39" s="496" t="s">
        <v>1366</v>
      </c>
      <c r="B39" s="497"/>
      <c r="C39" s="497"/>
      <c r="D39" s="497"/>
      <c r="E39" s="498"/>
      <c r="F39" s="252"/>
      <c r="G39" s="252"/>
      <c r="H39" s="252"/>
      <c r="I39" s="3"/>
      <c r="J39" s="3"/>
      <c r="K39" s="3"/>
      <c r="L39" s="3"/>
      <c r="M39" s="3"/>
    </row>
    <row r="40" spans="1:13" ht="22.4" customHeight="1" x14ac:dyDescent="0.4">
      <c r="A40" s="482" t="s">
        <v>1351</v>
      </c>
      <c r="B40" s="483"/>
      <c r="C40" s="483"/>
      <c r="D40" s="483"/>
      <c r="E40" s="484"/>
      <c r="F40" s="252"/>
      <c r="G40" s="252"/>
      <c r="H40" s="252"/>
      <c r="I40" s="3"/>
      <c r="J40" s="3"/>
      <c r="K40" s="3"/>
      <c r="L40" s="3"/>
      <c r="M40" s="3"/>
    </row>
    <row r="41" spans="1:13" ht="22.4" customHeight="1" x14ac:dyDescent="0.4">
      <c r="A41" s="257" t="s">
        <v>56</v>
      </c>
      <c r="B41" s="257" t="s">
        <v>57</v>
      </c>
      <c r="C41" s="258" t="s">
        <v>58</v>
      </c>
      <c r="D41" s="258" t="s">
        <v>59</v>
      </c>
      <c r="E41" s="259" t="s">
        <v>60</v>
      </c>
      <c r="F41" s="252"/>
      <c r="G41" s="252"/>
      <c r="H41" s="252"/>
      <c r="I41" s="3"/>
      <c r="J41" s="3"/>
      <c r="K41" s="3"/>
      <c r="L41" s="3"/>
      <c r="M41" s="3"/>
    </row>
    <row r="42" spans="1:13" ht="15" customHeight="1" x14ac:dyDescent="0.4">
      <c r="A42" s="99">
        <v>4004020010</v>
      </c>
      <c r="B42" s="99" t="s">
        <v>1362</v>
      </c>
      <c r="C42" s="219">
        <v>19982</v>
      </c>
      <c r="D42" s="69">
        <f>(OBSAH!$J$6/100)*Tabulka201079410411612771147[[#This Row],[Sloupec3]]</f>
        <v>0</v>
      </c>
      <c r="E42" s="274">
        <f>Tabulka201079410411612771147[[#This Row],[Sloupec3]]-Tabulka201079410411612771147[[#This Row],[Sloupec4]]</f>
        <v>19982</v>
      </c>
      <c r="F42" s="252"/>
      <c r="G42" s="252"/>
      <c r="H42" s="260"/>
      <c r="I42" s="261"/>
      <c r="J42" s="261"/>
      <c r="K42" s="261"/>
      <c r="L42" s="261"/>
      <c r="M42" s="261"/>
    </row>
    <row r="43" spans="1:13" ht="15" customHeight="1" x14ac:dyDescent="0.4">
      <c r="A43" s="125">
        <v>4004020011</v>
      </c>
      <c r="B43" s="125" t="s">
        <v>1363</v>
      </c>
      <c r="C43" s="124">
        <v>26876</v>
      </c>
      <c r="D43" s="71">
        <f>(OBSAH!$J$6/100)*Tabulka201079410411612771147[[#This Row],[Sloupec3]]</f>
        <v>0</v>
      </c>
      <c r="E43" s="274">
        <f>Tabulka201079410411612771147[[#This Row],[Sloupec3]]-Tabulka201079410411612771147[[#This Row],[Sloupec4]]</f>
        <v>26876</v>
      </c>
      <c r="F43" s="252"/>
      <c r="G43" s="252"/>
      <c r="H43" s="260"/>
      <c r="I43" s="261"/>
      <c r="J43" s="261"/>
      <c r="K43" s="261"/>
      <c r="L43" s="261"/>
      <c r="M43" s="261"/>
    </row>
    <row r="44" spans="1:13" ht="15" customHeight="1" x14ac:dyDescent="0.4">
      <c r="A44" s="265"/>
      <c r="B44" s="265"/>
      <c r="C44" s="266"/>
      <c r="D44" s="267"/>
      <c r="E44" s="268"/>
      <c r="F44" s="252"/>
      <c r="G44" s="252"/>
      <c r="H44" s="260"/>
      <c r="I44" s="261"/>
      <c r="J44" s="261"/>
      <c r="K44" s="261"/>
      <c r="L44" s="261"/>
      <c r="M44" s="261"/>
    </row>
    <row r="45" spans="1:13" ht="15" customHeight="1" x14ac:dyDescent="0.4">
      <c r="A45" s="269"/>
      <c r="B45" s="270"/>
      <c r="C45" s="271"/>
      <c r="D45" s="272"/>
      <c r="E45" s="273"/>
      <c r="F45" s="252"/>
      <c r="G45" s="252"/>
      <c r="H45" s="260"/>
      <c r="I45" s="261"/>
      <c r="J45" s="261"/>
      <c r="K45" s="261"/>
      <c r="L45" s="261"/>
      <c r="M45" s="261"/>
    </row>
    <row r="46" spans="1:13" ht="46.95" customHeight="1" x14ac:dyDescent="0.4">
      <c r="A46" s="479" t="s">
        <v>1367</v>
      </c>
      <c r="B46" s="480"/>
      <c r="C46" s="480"/>
      <c r="D46" s="480"/>
      <c r="E46" s="481"/>
      <c r="F46" s="252"/>
      <c r="G46" s="252"/>
      <c r="H46" s="494"/>
      <c r="I46" s="494"/>
      <c r="J46" s="494"/>
      <c r="K46" s="494"/>
      <c r="L46" s="494"/>
      <c r="M46" s="261"/>
    </row>
    <row r="47" spans="1:13" ht="22.4" customHeight="1" x14ac:dyDescent="0.4">
      <c r="A47" s="482" t="s">
        <v>1351</v>
      </c>
      <c r="B47" s="483"/>
      <c r="C47" s="483"/>
      <c r="D47" s="483"/>
      <c r="E47" s="484"/>
      <c r="F47" s="252"/>
      <c r="G47" s="252"/>
      <c r="H47" s="478"/>
      <c r="I47" s="478"/>
      <c r="J47" s="478"/>
      <c r="K47" s="478"/>
      <c r="L47" s="478"/>
      <c r="M47" s="261"/>
    </row>
    <row r="48" spans="1:13" ht="22.4" customHeight="1" x14ac:dyDescent="0.4">
      <c r="A48" s="257" t="s">
        <v>56</v>
      </c>
      <c r="B48" s="257" t="s">
        <v>57</v>
      </c>
      <c r="C48" s="258" t="s">
        <v>58</v>
      </c>
      <c r="D48" s="258" t="s">
        <v>59</v>
      </c>
      <c r="E48" s="259" t="s">
        <v>60</v>
      </c>
      <c r="F48" s="252"/>
      <c r="G48" s="252"/>
      <c r="H48" s="262"/>
      <c r="I48" s="262"/>
      <c r="J48" s="263"/>
      <c r="K48" s="263"/>
      <c r="L48" s="264"/>
      <c r="M48" s="261"/>
    </row>
    <row r="49" spans="1:13" ht="15" customHeight="1" x14ac:dyDescent="0.4">
      <c r="A49" s="99">
        <v>4004020014</v>
      </c>
      <c r="B49" s="99" t="s">
        <v>1364</v>
      </c>
      <c r="C49" s="219">
        <v>18972</v>
      </c>
      <c r="D49" s="69">
        <f>(OBSAH!$J$6/100)*Tabulka20107941041161277114727[[#This Row],[Sloupec3]]</f>
        <v>0</v>
      </c>
      <c r="E49" s="274">
        <f>Tabulka20107941041161277114727[[#This Row],[Sloupec3]]-Tabulka20107941041161277114727[[#This Row],[Sloupec4]]</f>
        <v>18972</v>
      </c>
      <c r="F49" s="252"/>
      <c r="G49" s="252"/>
      <c r="H49" s="260"/>
      <c r="I49" s="261"/>
      <c r="J49" s="261"/>
      <c r="K49" s="261"/>
      <c r="L49" s="261"/>
      <c r="M49" s="261"/>
    </row>
    <row r="50" spans="1:13" ht="15" customHeight="1" x14ac:dyDescent="0.4">
      <c r="A50" s="125">
        <v>4004020015</v>
      </c>
      <c r="B50" s="125" t="s">
        <v>1365</v>
      </c>
      <c r="C50" s="124">
        <v>24855</v>
      </c>
      <c r="D50" s="71">
        <f>(OBSAH!$J$6/100)*Tabulka20107941041161277114727[[#This Row],[Sloupec3]]</f>
        <v>0</v>
      </c>
      <c r="E50" s="274">
        <f>Tabulka20107941041161277114727[[#This Row],[Sloupec3]]-Tabulka20107941041161277114727[[#This Row],[Sloupec4]]</f>
        <v>24855</v>
      </c>
      <c r="F50" s="252"/>
      <c r="G50" s="252"/>
      <c r="H50" s="252"/>
      <c r="I50" s="3"/>
      <c r="J50" s="3"/>
      <c r="K50" s="3"/>
      <c r="L50" s="3"/>
      <c r="M50" s="3"/>
    </row>
    <row r="51" spans="1:13" ht="15" customHeight="1" x14ac:dyDescent="0.4">
      <c r="A51" s="265"/>
      <c r="B51" s="265"/>
      <c r="C51" s="266"/>
      <c r="D51" s="267"/>
      <c r="E51" s="268"/>
      <c r="F51" s="252"/>
      <c r="G51" s="252"/>
      <c r="H51" s="252"/>
      <c r="I51" s="3"/>
      <c r="J51" s="3"/>
      <c r="K51" s="3"/>
      <c r="L51" s="3"/>
      <c r="M51" s="3"/>
    </row>
    <row r="52" spans="1:13" ht="15" customHeight="1" x14ac:dyDescent="0.4">
      <c r="A52" s="265"/>
      <c r="B52" s="265"/>
      <c r="C52" s="266"/>
      <c r="D52" s="267"/>
      <c r="E52" s="268"/>
      <c r="F52" s="252"/>
      <c r="G52" s="252"/>
      <c r="H52" s="252"/>
      <c r="I52" s="3"/>
      <c r="J52" s="3"/>
      <c r="K52" s="3"/>
      <c r="L52" s="3"/>
      <c r="M52" s="3"/>
    </row>
    <row r="53" spans="1:13" ht="46.75" customHeight="1" x14ac:dyDescent="0.4">
      <c r="A53" s="479" t="s">
        <v>1368</v>
      </c>
      <c r="B53" s="480"/>
      <c r="C53" s="480"/>
      <c r="D53" s="480"/>
      <c r="E53" s="481"/>
      <c r="F53" s="252"/>
      <c r="G53" s="252"/>
      <c r="H53" s="252"/>
      <c r="I53" s="3"/>
      <c r="J53" s="3"/>
      <c r="K53" s="3"/>
      <c r="L53" s="3"/>
      <c r="M53" s="3"/>
    </row>
    <row r="54" spans="1:13" ht="22.4" customHeight="1" x14ac:dyDescent="0.4">
      <c r="A54" s="482" t="s">
        <v>1349</v>
      </c>
      <c r="B54" s="483"/>
      <c r="C54" s="483"/>
      <c r="D54" s="483"/>
      <c r="E54" s="484"/>
      <c r="F54" s="252"/>
      <c r="G54" s="252"/>
      <c r="H54" s="252"/>
      <c r="I54" s="3"/>
      <c r="J54" s="3"/>
      <c r="K54" s="3"/>
      <c r="L54" s="3"/>
      <c r="M54" s="3"/>
    </row>
    <row r="55" spans="1:13" ht="22.4" customHeight="1" x14ac:dyDescent="0.4">
      <c r="A55" s="257" t="s">
        <v>56</v>
      </c>
      <c r="B55" s="257" t="s">
        <v>57</v>
      </c>
      <c r="C55" s="258" t="s">
        <v>58</v>
      </c>
      <c r="D55" s="258" t="s">
        <v>59</v>
      </c>
      <c r="E55" s="259" t="s">
        <v>60</v>
      </c>
      <c r="F55" s="252"/>
      <c r="G55" s="252"/>
      <c r="H55" s="252"/>
      <c r="I55" s="3"/>
      <c r="J55" s="3"/>
      <c r="K55" s="3"/>
      <c r="L55" s="3"/>
      <c r="M55" s="3"/>
    </row>
    <row r="56" spans="1:13" ht="15" customHeight="1" x14ac:dyDescent="0.4">
      <c r="A56" s="99">
        <v>4004020007</v>
      </c>
      <c r="B56" s="99" t="s">
        <v>1359</v>
      </c>
      <c r="C56" s="219">
        <v>14567</v>
      </c>
      <c r="D56" s="69">
        <f>(OBSAH!$J$6/100)*Tabulka20107941041161277114794[[#This Row],[Sloupec3]]</f>
        <v>0</v>
      </c>
      <c r="E56" s="274">
        <f>Tabulka20107941041161277114794[[#This Row],[Sloupec3]]-Tabulka20107941041161277114794[[#This Row],[Sloupec4]]</f>
        <v>14567</v>
      </c>
      <c r="F56" s="252"/>
      <c r="G56" s="252"/>
      <c r="H56" s="252"/>
      <c r="I56" s="3"/>
      <c r="J56" s="3"/>
      <c r="K56" s="3"/>
      <c r="L56" s="3"/>
      <c r="M56" s="3"/>
    </row>
    <row r="57" spans="1:13" ht="15" customHeight="1" x14ac:dyDescent="0.4">
      <c r="A57" s="265"/>
      <c r="B57" s="265"/>
      <c r="C57" s="266"/>
      <c r="D57" s="267"/>
      <c r="E57" s="268"/>
      <c r="F57" s="252"/>
      <c r="G57" s="252"/>
      <c r="H57" s="252"/>
      <c r="I57" s="3"/>
      <c r="J57" s="3"/>
      <c r="K57" s="3"/>
      <c r="L57" s="3"/>
      <c r="M57" s="3"/>
    </row>
    <row r="58" spans="1:13" ht="15" customHeight="1" x14ac:dyDescent="0.4">
      <c r="A58" s="269"/>
      <c r="B58" s="270"/>
      <c r="C58" s="271"/>
      <c r="D58" s="272"/>
      <c r="E58" s="273"/>
      <c r="F58" s="252"/>
      <c r="G58" s="252"/>
      <c r="H58" s="252"/>
      <c r="I58" s="3"/>
      <c r="J58" s="3"/>
      <c r="K58" s="3"/>
      <c r="L58" s="3"/>
      <c r="M58" s="3"/>
    </row>
    <row r="59" spans="1:13" ht="22.4" customHeight="1" x14ac:dyDescent="0.4">
      <c r="A59" s="485" t="s">
        <v>1350</v>
      </c>
      <c r="B59" s="485"/>
      <c r="C59" s="485"/>
      <c r="D59" s="485"/>
      <c r="E59" s="485"/>
      <c r="F59" s="252"/>
      <c r="G59" s="252"/>
      <c r="H59" s="252"/>
      <c r="I59" s="3"/>
      <c r="J59" s="3"/>
      <c r="K59" s="3"/>
      <c r="L59" s="3"/>
      <c r="M59" s="3"/>
    </row>
    <row r="60" spans="1:13" ht="22.4" customHeight="1" x14ac:dyDescent="0.4">
      <c r="A60" s="257" t="s">
        <v>56</v>
      </c>
      <c r="B60" s="257" t="s">
        <v>57</v>
      </c>
      <c r="C60" s="258" t="s">
        <v>58</v>
      </c>
      <c r="D60" s="258" t="s">
        <v>59</v>
      </c>
      <c r="E60" s="259" t="s">
        <v>60</v>
      </c>
      <c r="F60" s="252"/>
      <c r="G60" s="252"/>
      <c r="H60" s="252"/>
      <c r="I60" s="3"/>
      <c r="J60" s="3"/>
      <c r="K60" s="3"/>
      <c r="L60" s="3"/>
      <c r="M60" s="3"/>
    </row>
    <row r="61" spans="1:13" ht="15" customHeight="1" x14ac:dyDescent="0.4">
      <c r="A61" s="99">
        <v>4004020008</v>
      </c>
      <c r="B61" s="99" t="s">
        <v>1360</v>
      </c>
      <c r="C61" s="219">
        <v>14705</v>
      </c>
      <c r="D61" s="69">
        <f>(OBSAH!$J$6/100)*Tabulka201079496103115122264895[[#This Row],[Sloupec3]]</f>
        <v>0</v>
      </c>
      <c r="E61" s="274">
        <f>Tabulka201079496103115122264895[[#This Row],[Sloupec3]]-Tabulka201079496103115122264895[[#This Row],[Sloupec4]]</f>
        <v>14705</v>
      </c>
      <c r="F61" s="252"/>
      <c r="G61" s="252"/>
      <c r="H61" s="252"/>
      <c r="I61" s="3"/>
      <c r="J61" s="3"/>
      <c r="K61" s="3"/>
      <c r="L61" s="3"/>
      <c r="M61" s="3"/>
    </row>
    <row r="62" spans="1:13" ht="15" customHeight="1" x14ac:dyDescent="0.4">
      <c r="A62" s="265"/>
      <c r="B62" s="265"/>
      <c r="C62" s="266"/>
      <c r="D62" s="267"/>
      <c r="E62" s="268"/>
      <c r="F62" s="252"/>
      <c r="G62" s="252"/>
      <c r="H62" s="252"/>
      <c r="I62" s="3"/>
      <c r="J62" s="3"/>
      <c r="K62" s="3"/>
      <c r="L62" s="3"/>
      <c r="M62" s="3"/>
    </row>
    <row r="63" spans="1:13" ht="15" customHeight="1" x14ac:dyDescent="0.4">
      <c r="A63" s="265"/>
      <c r="B63" s="265"/>
      <c r="C63" s="266"/>
      <c r="D63" s="267"/>
      <c r="E63" s="268"/>
      <c r="F63" s="252"/>
      <c r="G63" s="252"/>
      <c r="H63" s="252"/>
      <c r="I63" s="3"/>
      <c r="J63" s="3"/>
      <c r="K63" s="3"/>
      <c r="L63" s="3"/>
      <c r="M63" s="3"/>
    </row>
    <row r="64" spans="1:13" ht="22.4" customHeight="1" x14ac:dyDescent="0.4">
      <c r="A64" s="485" t="s">
        <v>1351</v>
      </c>
      <c r="B64" s="485"/>
      <c r="C64" s="485"/>
      <c r="D64" s="485"/>
      <c r="E64" s="485"/>
      <c r="F64" s="252"/>
      <c r="G64" s="252"/>
      <c r="H64" s="252"/>
      <c r="I64" s="3"/>
      <c r="J64" s="3"/>
      <c r="K64" s="3"/>
      <c r="L64" s="3"/>
      <c r="M64" s="3"/>
    </row>
    <row r="65" spans="1:13" ht="22.4" customHeight="1" x14ac:dyDescent="0.4">
      <c r="A65" s="257" t="s">
        <v>56</v>
      </c>
      <c r="B65" s="257" t="s">
        <v>57</v>
      </c>
      <c r="C65" s="258" t="s">
        <v>58</v>
      </c>
      <c r="D65" s="258" t="s">
        <v>59</v>
      </c>
      <c r="E65" s="259" t="s">
        <v>60</v>
      </c>
      <c r="F65" s="252"/>
      <c r="G65" s="252"/>
      <c r="H65" s="252"/>
      <c r="I65" s="3"/>
      <c r="J65" s="3"/>
      <c r="K65" s="3"/>
      <c r="L65" s="3"/>
      <c r="M65" s="3"/>
    </row>
    <row r="66" spans="1:13" ht="15" customHeight="1" x14ac:dyDescent="0.4">
      <c r="A66" s="99">
        <v>4004020009</v>
      </c>
      <c r="B66" s="99" t="s">
        <v>1361</v>
      </c>
      <c r="C66" s="219">
        <v>14705</v>
      </c>
      <c r="D66" s="69">
        <f>(OBSAH!$J$6/100)*Tabulka20107949610311512226294996[[#This Row],[Sloupec3]]</f>
        <v>0</v>
      </c>
      <c r="E66" s="274">
        <f>Tabulka20107949610311512226294996[[#This Row],[Sloupec3]]-Tabulka20107949610311512226294996[[#This Row],[Sloupec4]]</f>
        <v>14705</v>
      </c>
      <c r="F66" s="252"/>
      <c r="G66" s="252"/>
      <c r="H66" s="252"/>
      <c r="I66" s="3"/>
      <c r="J66" s="3"/>
      <c r="K66" s="3"/>
      <c r="L66" s="3"/>
      <c r="M66" s="3"/>
    </row>
    <row r="67" spans="1:13" ht="15" customHeight="1" x14ac:dyDescent="0.4">
      <c r="A67" s="251"/>
      <c r="B67" s="251"/>
      <c r="C67" s="251"/>
      <c r="D67" s="251"/>
      <c r="E67" s="251"/>
      <c r="F67" s="252"/>
      <c r="G67" s="252"/>
      <c r="H67" s="252"/>
      <c r="I67" s="3"/>
      <c r="J67" s="3"/>
      <c r="K67" s="3"/>
      <c r="L67" s="3"/>
      <c r="M67" s="3"/>
    </row>
    <row r="68" spans="1:13" ht="15" customHeight="1" x14ac:dyDescent="0.4">
      <c r="A68" s="251"/>
      <c r="B68" s="251"/>
      <c r="C68" s="251"/>
      <c r="D68" s="251"/>
      <c r="E68" s="251"/>
      <c r="F68" s="252"/>
      <c r="G68" s="252"/>
      <c r="H68" s="252"/>
      <c r="I68" s="3"/>
      <c r="J68" s="3"/>
      <c r="K68" s="3"/>
      <c r="L68" s="3"/>
      <c r="M68" s="3"/>
    </row>
    <row r="69" spans="1:13" ht="15" customHeight="1" x14ac:dyDescent="0.4">
      <c r="A69" s="251"/>
      <c r="B69" s="251"/>
      <c r="C69" s="251"/>
      <c r="D69" s="251"/>
      <c r="E69" s="251"/>
      <c r="F69" s="252"/>
      <c r="G69" s="252"/>
      <c r="H69" s="252"/>
      <c r="I69" s="3"/>
      <c r="J69" s="3"/>
      <c r="K69" s="3"/>
      <c r="L69" s="3"/>
      <c r="M69" s="3"/>
    </row>
    <row r="70" spans="1:13" ht="39" customHeight="1" x14ac:dyDescent="0.6">
      <c r="A70" s="486" t="s">
        <v>32</v>
      </c>
      <c r="B70" s="486"/>
      <c r="C70" s="486"/>
      <c r="D70" s="486"/>
      <c r="E70" s="486"/>
      <c r="F70" s="3"/>
      <c r="G70" s="3"/>
      <c r="H70" s="3"/>
      <c r="I70" s="3"/>
      <c r="J70" s="3"/>
      <c r="K70" s="3"/>
      <c r="L70" s="3"/>
      <c r="M70" s="3"/>
    </row>
    <row r="71" spans="1:13" ht="15" customHeight="1" x14ac:dyDescent="0.55000000000000004">
      <c r="A71" s="450"/>
      <c r="B71" s="450"/>
      <c r="C71" s="450"/>
      <c r="D71" s="450"/>
      <c r="E71" s="450"/>
      <c r="F71" s="3"/>
      <c r="G71" s="3"/>
      <c r="H71" s="3"/>
      <c r="I71" s="3"/>
      <c r="J71" s="3"/>
      <c r="K71" s="3"/>
      <c r="L71" s="3"/>
      <c r="M71" s="3"/>
    </row>
    <row r="72" spans="1:13" ht="15" customHeight="1" x14ac:dyDescent="0.7">
      <c r="A72" s="376"/>
      <c r="B72" s="376"/>
      <c r="C72" s="376"/>
      <c r="D72" s="376"/>
      <c r="E72" s="376"/>
      <c r="F72" s="3"/>
      <c r="G72" s="3"/>
      <c r="H72" s="3"/>
      <c r="I72" s="3"/>
      <c r="J72" s="3"/>
      <c r="K72" s="3"/>
      <c r="L72" s="3"/>
      <c r="M72" s="3"/>
    </row>
    <row r="73" spans="1:13" ht="54.75" customHeight="1" x14ac:dyDescent="0.4">
      <c r="A73" s="476" t="s">
        <v>949</v>
      </c>
      <c r="B73" s="476"/>
      <c r="C73" s="476"/>
      <c r="D73" s="476"/>
      <c r="E73" s="476"/>
      <c r="F73" s="3"/>
      <c r="G73" s="3"/>
      <c r="H73" s="3"/>
      <c r="I73" s="3"/>
      <c r="J73" s="3"/>
      <c r="K73" s="3"/>
      <c r="L73" s="3"/>
      <c r="M73" s="3"/>
    </row>
    <row r="74" spans="1:13" ht="36" customHeight="1" x14ac:dyDescent="0.4">
      <c r="A74" s="477" t="s">
        <v>1274</v>
      </c>
      <c r="B74" s="477"/>
      <c r="C74" s="477"/>
      <c r="D74" s="477"/>
      <c r="E74" s="477"/>
      <c r="F74" s="3"/>
      <c r="G74" s="3"/>
      <c r="H74" s="3"/>
      <c r="I74" s="3"/>
      <c r="J74" s="3"/>
      <c r="K74" s="3"/>
      <c r="L74" s="3"/>
      <c r="M74" s="3"/>
    </row>
    <row r="75" spans="1:13" ht="22.5" customHeight="1" x14ac:dyDescent="0.4">
      <c r="A75" s="475" t="s">
        <v>83</v>
      </c>
      <c r="B75" s="475"/>
      <c r="C75" s="475"/>
      <c r="D75" s="475"/>
      <c r="E75" s="475"/>
      <c r="F75" s="3"/>
      <c r="G75" s="445"/>
      <c r="H75" s="445"/>
      <c r="I75" s="445"/>
      <c r="J75" s="445"/>
      <c r="K75" s="445"/>
      <c r="L75" s="445"/>
      <c r="M75" s="3"/>
    </row>
    <row r="76" spans="1:13" s="44" customFormat="1" ht="22.5" customHeight="1" x14ac:dyDescent="0.25">
      <c r="A76" s="64" t="s">
        <v>56</v>
      </c>
      <c r="B76" s="64" t="s">
        <v>57</v>
      </c>
      <c r="C76" s="65" t="s">
        <v>58</v>
      </c>
      <c r="D76" s="65" t="s">
        <v>59</v>
      </c>
      <c r="E76" s="66" t="s">
        <v>60</v>
      </c>
      <c r="F76" s="76"/>
      <c r="G76" s="433"/>
      <c r="H76" s="433"/>
      <c r="I76" s="433"/>
      <c r="J76" s="433"/>
      <c r="K76" s="433"/>
      <c r="L76" s="433"/>
      <c r="M76" s="42"/>
    </row>
    <row r="77" spans="1:13" s="32" customFormat="1" ht="14.25" customHeight="1" x14ac:dyDescent="0.3">
      <c r="A77" s="98">
        <v>4004000145</v>
      </c>
      <c r="B77" s="99" t="s">
        <v>1275</v>
      </c>
      <c r="C77" s="219">
        <v>1731</v>
      </c>
      <c r="D77" s="69">
        <f>(OBSAH!$J$6/100)*Tabulka2010794104116127[[#This Row],[Sloupec3]]</f>
        <v>0</v>
      </c>
      <c r="E77" s="70">
        <f>Tabulka2010794104116127[[#This Row],[Sloupec3]]-Tabulka2010794104116127[[#This Row],[Sloupec4]]</f>
        <v>1731</v>
      </c>
      <c r="F77" s="38"/>
      <c r="G77" s="38"/>
      <c r="H77" s="38"/>
      <c r="I77" s="38"/>
      <c r="J77" s="38"/>
      <c r="K77" s="38"/>
      <c r="L77" s="38"/>
      <c r="M77" s="38"/>
    </row>
    <row r="78" spans="1:13" s="32" customFormat="1" ht="14.25" customHeight="1" x14ac:dyDescent="0.3">
      <c r="A78" s="100">
        <v>4004000147</v>
      </c>
      <c r="B78" s="125" t="s">
        <v>1276</v>
      </c>
      <c r="C78" s="124">
        <v>1787</v>
      </c>
      <c r="D78" s="71">
        <f>(OBSAH!$J$6/100)*Tabulka2010794104116127[[#This Row],[Sloupec3]]</f>
        <v>0</v>
      </c>
      <c r="E78" s="57">
        <f>Tabulka2010794104116127[[#This Row],[Sloupec3]]-Tabulka2010794104116127[[#This Row],[Sloupec4]]</f>
        <v>1787</v>
      </c>
      <c r="F78" s="38"/>
      <c r="G78" s="38"/>
      <c r="H78" s="38"/>
      <c r="I78" s="38"/>
      <c r="J78" s="38"/>
      <c r="K78" s="38"/>
      <c r="L78" s="38"/>
      <c r="M78" s="38"/>
    </row>
    <row r="79" spans="1:13" s="32" customFormat="1" ht="14.25" customHeight="1" x14ac:dyDescent="0.3">
      <c r="A79" s="100">
        <v>4004000149</v>
      </c>
      <c r="B79" s="125" t="s">
        <v>1277</v>
      </c>
      <c r="C79" s="124">
        <v>1880</v>
      </c>
      <c r="D79" s="71">
        <f>(OBSAH!$J$6/100)*Tabulka2010794104116127[[#This Row],[Sloupec3]]</f>
        <v>0</v>
      </c>
      <c r="E79" s="57">
        <f>Tabulka2010794104116127[[#This Row],[Sloupec3]]-Tabulka2010794104116127[[#This Row],[Sloupec4]]</f>
        <v>1880</v>
      </c>
      <c r="F79" s="38"/>
      <c r="G79" s="38"/>
      <c r="H79" s="38"/>
      <c r="I79" s="38"/>
      <c r="J79" s="38"/>
      <c r="K79" s="38"/>
      <c r="L79" s="38"/>
      <c r="M79" s="38"/>
    </row>
    <row r="80" spans="1:13" s="32" customFormat="1" ht="14.25" customHeight="1" x14ac:dyDescent="0.3">
      <c r="A80" s="100">
        <v>4004000151</v>
      </c>
      <c r="B80" s="125" t="s">
        <v>1278</v>
      </c>
      <c r="C80" s="124">
        <v>1944</v>
      </c>
      <c r="D80" s="71">
        <f>(OBSAH!$J$6/100)*Tabulka2010794104116127[[#This Row],[Sloupec3]]</f>
        <v>0</v>
      </c>
      <c r="E80" s="57">
        <f>Tabulka2010794104116127[[#This Row],[Sloupec3]]-Tabulka2010794104116127[[#This Row],[Sloupec4]]</f>
        <v>1944</v>
      </c>
      <c r="F80" s="38"/>
      <c r="G80" s="38"/>
      <c r="H80" s="38"/>
      <c r="I80" s="38"/>
      <c r="J80" s="38"/>
      <c r="K80" s="38"/>
      <c r="L80" s="38"/>
      <c r="M80" s="38"/>
    </row>
    <row r="81" spans="1:13" s="32" customFormat="1" ht="14.25" customHeight="1" x14ac:dyDescent="0.3">
      <c r="A81" s="100">
        <v>4004001264</v>
      </c>
      <c r="B81" s="125" t="s">
        <v>1279</v>
      </c>
      <c r="C81" s="124">
        <v>2926</v>
      </c>
      <c r="D81" s="71">
        <f>(OBSAH!$J$6/100)*Tabulka2010794104116127[[#This Row],[Sloupec3]]</f>
        <v>0</v>
      </c>
      <c r="E81" s="57">
        <f>Tabulka2010794104116127[[#This Row],[Sloupec3]]-Tabulka2010794104116127[[#This Row],[Sloupec4]]</f>
        <v>2926</v>
      </c>
      <c r="F81" s="38"/>
      <c r="G81" s="38"/>
      <c r="H81" s="38"/>
      <c r="I81" s="38"/>
      <c r="J81" s="38"/>
      <c r="K81" s="38"/>
      <c r="L81" s="38"/>
      <c r="M81" s="38"/>
    </row>
    <row r="82" spans="1:13" s="32" customFormat="1" ht="14.25" customHeight="1" x14ac:dyDescent="0.3">
      <c r="A82" s="101">
        <v>4004000338</v>
      </c>
      <c r="B82" s="102" t="s">
        <v>1280</v>
      </c>
      <c r="C82" s="180">
        <v>3628</v>
      </c>
      <c r="D82" s="68">
        <f>(OBSAH!$J$6/100)*Tabulka2010794104116127[[#This Row],[Sloupec3]]</f>
        <v>0</v>
      </c>
      <c r="E82" s="58">
        <f>Tabulka2010794104116127[[#This Row],[Sloupec3]]-Tabulka2010794104116127[[#This Row],[Sloupec4]]</f>
        <v>3628</v>
      </c>
      <c r="F82" s="38"/>
      <c r="G82" s="38"/>
      <c r="H82" s="38"/>
      <c r="I82" s="38"/>
      <c r="J82" s="38"/>
      <c r="K82" s="38"/>
      <c r="L82" s="38"/>
      <c r="M82" s="38"/>
    </row>
    <row r="83" spans="1:13" ht="15" customHeight="1" x14ac:dyDescent="0.4">
      <c r="A83" s="103"/>
      <c r="B83" s="84"/>
      <c r="C83" s="131"/>
      <c r="D83" s="61"/>
      <c r="E83" s="62"/>
      <c r="F83" s="3"/>
      <c r="G83" s="3"/>
      <c r="H83" s="3"/>
      <c r="I83" s="3"/>
      <c r="J83" s="3"/>
      <c r="K83" s="3"/>
      <c r="L83" s="3"/>
      <c r="M83" s="3"/>
    </row>
    <row r="84" spans="1:13" ht="22.5" customHeight="1" x14ac:dyDescent="0.4">
      <c r="A84" s="472" t="s">
        <v>91</v>
      </c>
      <c r="B84" s="472"/>
      <c r="C84" s="472"/>
      <c r="D84" s="472"/>
      <c r="E84" s="472"/>
      <c r="F84" s="3"/>
      <c r="G84" s="3"/>
      <c r="H84" s="3"/>
      <c r="I84" s="3"/>
      <c r="J84" s="3"/>
      <c r="K84" s="3"/>
      <c r="L84" s="3"/>
      <c r="M84" s="3"/>
    </row>
    <row r="85" spans="1:13" s="44" customFormat="1" ht="22.5" customHeight="1" x14ac:dyDescent="0.25">
      <c r="A85" s="64" t="s">
        <v>56</v>
      </c>
      <c r="B85" s="64" t="s">
        <v>57</v>
      </c>
      <c r="C85" s="65" t="s">
        <v>58</v>
      </c>
      <c r="D85" s="65" t="s">
        <v>59</v>
      </c>
      <c r="E85" s="66" t="s">
        <v>60</v>
      </c>
      <c r="F85" s="42"/>
      <c r="G85" s="42"/>
      <c r="H85" s="42"/>
      <c r="I85" s="42"/>
      <c r="J85" s="42"/>
      <c r="K85" s="42"/>
      <c r="L85" s="42"/>
      <c r="M85" s="42"/>
    </row>
    <row r="86" spans="1:13" s="32" customFormat="1" ht="14.25" customHeight="1" x14ac:dyDescent="0.3">
      <c r="A86" s="98">
        <v>4004000954</v>
      </c>
      <c r="B86" s="99" t="s">
        <v>1281</v>
      </c>
      <c r="C86" s="219">
        <v>1787</v>
      </c>
      <c r="D86" s="69">
        <f>(OBSAH!$J$6/100)*Tabulka201079496103115122[[#This Row],[Sloupec3]]</f>
        <v>0</v>
      </c>
      <c r="E86" s="70">
        <f>Tabulka201079496103115122[[#This Row],[Sloupec3]]-Tabulka201079496103115122[[#This Row],[Sloupec4]]</f>
        <v>1787</v>
      </c>
      <c r="F86" s="38"/>
      <c r="G86" s="38"/>
      <c r="H86" s="38"/>
      <c r="I86" s="38"/>
      <c r="J86" s="38"/>
      <c r="K86" s="38"/>
      <c r="L86" s="38"/>
      <c r="M86" s="38"/>
    </row>
    <row r="87" spans="1:13" s="32" customFormat="1" ht="14.25" customHeight="1" x14ac:dyDescent="0.3">
      <c r="A87" s="100">
        <v>4004000951</v>
      </c>
      <c r="B87" s="125" t="s">
        <v>1282</v>
      </c>
      <c r="C87" s="124">
        <v>1847</v>
      </c>
      <c r="D87" s="71">
        <f>(OBSAH!$J$6/100)*Tabulka201079496103115122[[#This Row],[Sloupec3]]</f>
        <v>0</v>
      </c>
      <c r="E87" s="57">
        <f>Tabulka201079496103115122[[#This Row],[Sloupec3]]-Tabulka201079496103115122[[#This Row],[Sloupec4]]</f>
        <v>1847</v>
      </c>
      <c r="F87" s="38"/>
      <c r="G87" s="38"/>
      <c r="H87" s="38"/>
      <c r="I87" s="38"/>
      <c r="J87" s="38"/>
      <c r="K87" s="38"/>
      <c r="L87" s="38"/>
      <c r="M87" s="38"/>
    </row>
    <row r="88" spans="1:13" s="32" customFormat="1" ht="14.25" customHeight="1" x14ac:dyDescent="0.3">
      <c r="A88" s="100">
        <v>4004000955</v>
      </c>
      <c r="B88" s="125" t="s">
        <v>1283</v>
      </c>
      <c r="C88" s="124">
        <v>1924</v>
      </c>
      <c r="D88" s="71">
        <f>(OBSAH!$J$6/100)*Tabulka201079496103115122[[#This Row],[Sloupec3]]</f>
        <v>0</v>
      </c>
      <c r="E88" s="57">
        <f>Tabulka201079496103115122[[#This Row],[Sloupec3]]-Tabulka201079496103115122[[#This Row],[Sloupec4]]</f>
        <v>1924</v>
      </c>
      <c r="F88" s="38"/>
      <c r="G88" s="38"/>
      <c r="H88" s="38"/>
      <c r="I88" s="38"/>
      <c r="J88" s="38"/>
      <c r="K88" s="38"/>
      <c r="L88" s="38"/>
      <c r="M88" s="38"/>
    </row>
    <row r="89" spans="1:13" s="32" customFormat="1" ht="14.25" customHeight="1" x14ac:dyDescent="0.3">
      <c r="A89" s="100">
        <v>4004000956</v>
      </c>
      <c r="B89" s="125" t="s">
        <v>1284</v>
      </c>
      <c r="C89" s="124">
        <v>1980</v>
      </c>
      <c r="D89" s="71">
        <f>(OBSAH!$J$6/100)*Tabulka201079496103115122[[#This Row],[Sloupec3]]</f>
        <v>0</v>
      </c>
      <c r="E89" s="57">
        <f>Tabulka201079496103115122[[#This Row],[Sloupec3]]-Tabulka201079496103115122[[#This Row],[Sloupec4]]</f>
        <v>1980</v>
      </c>
      <c r="F89" s="38"/>
      <c r="G89" s="38"/>
      <c r="H89" s="38"/>
      <c r="I89" s="38"/>
      <c r="J89" s="38"/>
      <c r="K89" s="38"/>
      <c r="L89" s="38"/>
      <c r="M89" s="38"/>
    </row>
    <row r="90" spans="1:13" s="32" customFormat="1" ht="14.25" customHeight="1" x14ac:dyDescent="0.3">
      <c r="A90" s="100">
        <v>4004001265</v>
      </c>
      <c r="B90" s="125" t="s">
        <v>1285</v>
      </c>
      <c r="C90" s="124">
        <v>2986</v>
      </c>
      <c r="D90" s="71">
        <f>(OBSAH!$J$6/100)*Tabulka201079496103115122[[#This Row],[Sloupec3]]</f>
        <v>0</v>
      </c>
      <c r="E90" s="57">
        <f>Tabulka201079496103115122[[#This Row],[Sloupec3]]-Tabulka201079496103115122[[#This Row],[Sloupec4]]</f>
        <v>2986</v>
      </c>
      <c r="F90" s="38"/>
      <c r="G90" s="38"/>
      <c r="H90" s="38"/>
      <c r="I90" s="38"/>
      <c r="J90" s="38"/>
      <c r="K90" s="38"/>
      <c r="L90" s="38"/>
      <c r="M90" s="38"/>
    </row>
    <row r="91" spans="1:13" s="32" customFormat="1" ht="14.25" customHeight="1" x14ac:dyDescent="0.3">
      <c r="A91" s="101">
        <v>4004000223</v>
      </c>
      <c r="B91" s="102" t="s">
        <v>1286</v>
      </c>
      <c r="C91" s="180">
        <v>3661</v>
      </c>
      <c r="D91" s="68">
        <f>(OBSAH!$J$6/100)*Tabulka201079496103115122[[#This Row],[Sloupec3]]</f>
        <v>0</v>
      </c>
      <c r="E91" s="58">
        <f>Tabulka201079496103115122[[#This Row],[Sloupec3]]-Tabulka201079496103115122[[#This Row],[Sloupec4]]</f>
        <v>3661</v>
      </c>
      <c r="F91" s="38"/>
      <c r="G91" s="38"/>
      <c r="H91" s="38"/>
      <c r="I91" s="38"/>
      <c r="J91" s="38"/>
      <c r="K91" s="38"/>
      <c r="L91" s="38"/>
      <c r="M91" s="38"/>
    </row>
    <row r="92" spans="1:13" ht="15" customHeight="1" x14ac:dyDescent="0.4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1:13" ht="15" customHeight="1" x14ac:dyDescent="0.4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</sheetData>
  <mergeCells count="39">
    <mergeCell ref="A38:E38"/>
    <mergeCell ref="A39:E39"/>
    <mergeCell ref="A40:E40"/>
    <mergeCell ref="A32:E32"/>
    <mergeCell ref="A1:E1"/>
    <mergeCell ref="A4:E4"/>
    <mergeCell ref="D10:E11"/>
    <mergeCell ref="D14:E15"/>
    <mergeCell ref="F1:H1"/>
    <mergeCell ref="A2:E2"/>
    <mergeCell ref="F2:H2"/>
    <mergeCell ref="A70:E70"/>
    <mergeCell ref="A3:E3"/>
    <mergeCell ref="A5:E5"/>
    <mergeCell ref="A6:E6"/>
    <mergeCell ref="A7:E7"/>
    <mergeCell ref="A8:E8"/>
    <mergeCell ref="A9:E9"/>
    <mergeCell ref="A13:E13"/>
    <mergeCell ref="A18:E18"/>
    <mergeCell ref="A19:E19"/>
    <mergeCell ref="A20:E20"/>
    <mergeCell ref="A26:E26"/>
    <mergeCell ref="H46:L46"/>
    <mergeCell ref="A84:E84"/>
    <mergeCell ref="A71:E71"/>
    <mergeCell ref="A72:E72"/>
    <mergeCell ref="A73:E73"/>
    <mergeCell ref="A74:E74"/>
    <mergeCell ref="A75:E75"/>
    <mergeCell ref="H47:L47"/>
    <mergeCell ref="A46:E46"/>
    <mergeCell ref="A47:E47"/>
    <mergeCell ref="G75:L75"/>
    <mergeCell ref="G76:L76"/>
    <mergeCell ref="A64:E64"/>
    <mergeCell ref="A53:E53"/>
    <mergeCell ref="A54:E54"/>
    <mergeCell ref="A59:E59"/>
  </mergeCells>
  <hyperlinks>
    <hyperlink ref="F2" location="OBSAH!I128" display="PŘEJÍT NA UPOZORNĚNÍ" xr:uid="{00000000-0004-0000-0A00-000000000000}"/>
  </hyperlinks>
  <pageMargins left="0.7" right="0.7" top="0.78749999999999998" bottom="0.78749999999999998" header="0.51180555555555496" footer="0.51180555555555496"/>
  <pageSetup paperSize="9" scale="53" firstPageNumber="0" fitToHeight="0" orientation="portrait" horizontalDpi="300" verticalDpi="300" r:id="rId1"/>
  <drawing r:id="rId2"/>
  <tableParts count="10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  <pageSetUpPr fitToPage="1"/>
  </sheetPr>
  <dimension ref="A1:AMK71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3" width="10.15234375" style="138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3" ht="39" customHeight="1" x14ac:dyDescent="0.6">
      <c r="A3" s="486" t="s">
        <v>33</v>
      </c>
      <c r="B3" s="486"/>
      <c r="C3" s="486"/>
      <c r="D3" s="486"/>
      <c r="E3" s="486"/>
    </row>
    <row r="4" spans="1:13" ht="15" customHeight="1" x14ac:dyDescent="0.55000000000000004">
      <c r="A4" s="450"/>
      <c r="B4" s="450"/>
      <c r="C4" s="450"/>
      <c r="D4" s="450"/>
      <c r="E4" s="450"/>
    </row>
    <row r="5" spans="1:13" ht="15" customHeight="1" x14ac:dyDescent="0.7">
      <c r="A5" s="376"/>
      <c r="B5" s="376"/>
      <c r="C5" s="376"/>
      <c r="D5" s="376"/>
      <c r="E5" s="376"/>
    </row>
    <row r="6" spans="1:13" ht="36" customHeight="1" x14ac:dyDescent="0.4">
      <c r="A6" s="507" t="s">
        <v>34</v>
      </c>
      <c r="B6" s="507"/>
      <c r="C6" s="507"/>
      <c r="D6" s="507"/>
      <c r="E6" s="507"/>
    </row>
    <row r="7" spans="1:13" ht="15" customHeight="1" x14ac:dyDescent="0.7">
      <c r="A7" s="139"/>
      <c r="B7" s="140"/>
      <c r="C7" s="140"/>
      <c r="D7" s="140"/>
      <c r="E7" s="140"/>
    </row>
    <row r="8" spans="1:13" ht="22.5" customHeight="1" x14ac:dyDescent="0.4">
      <c r="A8" s="505" t="s">
        <v>1287</v>
      </c>
      <c r="B8" s="505"/>
      <c r="C8" s="505"/>
      <c r="D8" s="505"/>
      <c r="E8" s="505"/>
    </row>
    <row r="9" spans="1:13" ht="22.5" customHeight="1" x14ac:dyDescent="0.4">
      <c r="A9" s="141" t="s">
        <v>56</v>
      </c>
      <c r="B9" s="141" t="s">
        <v>57</v>
      </c>
      <c r="C9" s="142" t="s">
        <v>58</v>
      </c>
      <c r="D9" s="142" t="s">
        <v>59</v>
      </c>
      <c r="E9" s="143" t="s">
        <v>60</v>
      </c>
    </row>
    <row r="10" spans="1:13" ht="14.25" customHeight="1" x14ac:dyDescent="0.4">
      <c r="A10" s="339">
        <v>4004004813</v>
      </c>
      <c r="B10" s="339" t="s">
        <v>1288</v>
      </c>
      <c r="C10" s="336">
        <v>10749</v>
      </c>
      <c r="D10" s="197">
        <f>(OBSAH!$J$6/100)*Tabulka20107941041161271391436674[[#This Row],[Sloupec3]]</f>
        <v>0</v>
      </c>
      <c r="E10" s="198">
        <f>Tabulka20107941041161271391436674[[#This Row],[Sloupec3]]-Tabulka20107941041161271391436674[[#This Row],[Sloupec4]]</f>
        <v>10749</v>
      </c>
    </row>
    <row r="11" spans="1:13" ht="14.25" customHeight="1" x14ac:dyDescent="0.4">
      <c r="A11" s="239">
        <v>4004004815</v>
      </c>
      <c r="B11" s="239" t="s">
        <v>1289</v>
      </c>
      <c r="C11" s="335">
        <v>10609</v>
      </c>
      <c r="D11" s="237">
        <f>(OBSAH!$J$6/100)*Tabulka20107941041161271391436674[[#This Row],[Sloupec3]]</f>
        <v>0</v>
      </c>
      <c r="E11" s="238">
        <f>Tabulka20107941041161271391436674[[#This Row],[Sloupec3]]-Tabulka20107941041161271391436674[[#This Row],[Sloupec4]]</f>
        <v>10609</v>
      </c>
    </row>
    <row r="12" spans="1:13" ht="14.25" customHeight="1" x14ac:dyDescent="0.4">
      <c r="A12" s="339">
        <v>4004004814</v>
      </c>
      <c r="B12" s="339" t="s">
        <v>1290</v>
      </c>
      <c r="C12" s="336">
        <v>10896</v>
      </c>
      <c r="D12" s="197">
        <f>(OBSAH!$J$6/100)*Tabulka2010794961031151221381426573[[#This Row],[Sloupec3]]</f>
        <v>0</v>
      </c>
      <c r="E12" s="198">
        <f>Tabulka2010794961031151221381426573[[#This Row],[Sloupec3]]-Tabulka2010794961031151221381426573[[#This Row],[Sloupec4]]</f>
        <v>10896</v>
      </c>
    </row>
    <row r="13" spans="1:13" ht="14.25" customHeight="1" x14ac:dyDescent="0.4">
      <c r="A13" s="239">
        <v>4004004816</v>
      </c>
      <c r="B13" s="239" t="s">
        <v>1291</v>
      </c>
      <c r="C13" s="335">
        <v>10756</v>
      </c>
      <c r="D13" s="237">
        <f>(OBSAH!$J$6/100)*Tabulka2010794961031151221381426573[[#This Row],[Sloupec3]]</f>
        <v>0</v>
      </c>
      <c r="E13" s="238">
        <f>Tabulka2010794961031151221381426573[[#This Row],[Sloupec3]]-Tabulka2010794961031151221381426573[[#This Row],[Sloupec4]]</f>
        <v>10756</v>
      </c>
    </row>
    <row r="14" spans="1:13" ht="15" customHeight="1" x14ac:dyDescent="0.7">
      <c r="A14" s="337"/>
      <c r="B14" s="338"/>
      <c r="C14" s="338"/>
      <c r="D14" s="338"/>
      <c r="E14" s="338"/>
    </row>
    <row r="15" spans="1:13" ht="15" customHeight="1" x14ac:dyDescent="0.7">
      <c r="A15" s="337"/>
      <c r="B15" s="338"/>
      <c r="C15" s="338"/>
      <c r="D15" s="338"/>
      <c r="E15" s="338"/>
    </row>
    <row r="16" spans="1:13" ht="22.5" customHeight="1" x14ac:dyDescent="0.4">
      <c r="A16" s="505" t="s">
        <v>1292</v>
      </c>
      <c r="B16" s="505"/>
      <c r="C16" s="505"/>
      <c r="D16" s="505"/>
      <c r="E16" s="505"/>
    </row>
    <row r="17" spans="1:13" ht="22.5" customHeight="1" x14ac:dyDescent="0.4">
      <c r="A17" s="141" t="s">
        <v>56</v>
      </c>
      <c r="B17" s="141" t="s">
        <v>57</v>
      </c>
      <c r="C17" s="142" t="s">
        <v>58</v>
      </c>
      <c r="D17" s="142" t="s">
        <v>59</v>
      </c>
      <c r="E17" s="143" t="s">
        <v>60</v>
      </c>
    </row>
    <row r="18" spans="1:13" ht="14.25" customHeight="1" x14ac:dyDescent="0.4">
      <c r="A18" s="339">
        <v>4004005614</v>
      </c>
      <c r="B18" s="339" t="s">
        <v>1293</v>
      </c>
      <c r="C18" s="336">
        <v>11293</v>
      </c>
      <c r="D18" s="197">
        <f>(OBSAH!$J$6/100)*Tabulka2010794104116127139143667478[[#This Row],[Sloupec3]]</f>
        <v>0</v>
      </c>
      <c r="E18" s="198">
        <f>Tabulka2010794104116127139143667478[[#This Row],[Sloupec3]]-Tabulka2010794104116127139143667478[[#This Row],[Sloupec4]]</f>
        <v>11293</v>
      </c>
    </row>
    <row r="19" spans="1:13" ht="14.25" customHeight="1" x14ac:dyDescent="0.4">
      <c r="A19" s="239">
        <v>4004005638</v>
      </c>
      <c r="B19" s="239" t="s">
        <v>1294</v>
      </c>
      <c r="C19" s="335">
        <v>11441</v>
      </c>
      <c r="D19" s="237">
        <f>(OBSAH!$J$6/100)*Tabulka201079496103115122138142657377[[#This Row],[Sloupec3]]</f>
        <v>0</v>
      </c>
      <c r="E19" s="238">
        <f>Tabulka201079496103115122138142657377[[#This Row],[Sloupec3]]-Tabulka201079496103115122138142657377[[#This Row],[Sloupec4]]</f>
        <v>11441</v>
      </c>
    </row>
    <row r="20" spans="1:13" ht="15" customHeight="1" x14ac:dyDescent="0.7">
      <c r="A20" s="337"/>
      <c r="B20" s="338"/>
      <c r="C20" s="338"/>
      <c r="D20" s="338"/>
      <c r="E20" s="338"/>
    </row>
    <row r="21" spans="1:13" ht="15" customHeight="1" x14ac:dyDescent="0.7">
      <c r="A21" s="337"/>
      <c r="B21" s="338"/>
      <c r="C21" s="338"/>
      <c r="D21" s="338"/>
      <c r="E21" s="338"/>
    </row>
    <row r="22" spans="1:13" ht="22.5" customHeight="1" x14ac:dyDescent="0.4">
      <c r="A22" s="505" t="s">
        <v>1295</v>
      </c>
      <c r="B22" s="505"/>
      <c r="C22" s="505"/>
      <c r="D22" s="505"/>
      <c r="E22" s="505"/>
    </row>
    <row r="23" spans="1:13" ht="22.5" customHeight="1" x14ac:dyDescent="0.4">
      <c r="A23" s="141" t="s">
        <v>56</v>
      </c>
      <c r="B23" s="141" t="s">
        <v>57</v>
      </c>
      <c r="C23" s="142" t="s">
        <v>58</v>
      </c>
      <c r="D23" s="142" t="s">
        <v>59</v>
      </c>
      <c r="E23" s="143" t="s">
        <v>60</v>
      </c>
    </row>
    <row r="24" spans="1:13" ht="14.25" customHeight="1" x14ac:dyDescent="0.4">
      <c r="A24" s="339">
        <v>4004005651</v>
      </c>
      <c r="B24" s="339" t="s">
        <v>1296</v>
      </c>
      <c r="C24" s="336">
        <v>11838</v>
      </c>
      <c r="D24" s="197">
        <f>(OBSAH!$J$6/100)*Tabulka201079410411612713914366747883[[#This Row],[Sloupec3]]</f>
        <v>0</v>
      </c>
      <c r="E24" s="198">
        <f>Tabulka201079410411612713914366747883[[#This Row],[Sloupec3]]-Tabulka201079410411612713914366747883[[#This Row],[Sloupec4]]</f>
        <v>11838</v>
      </c>
    </row>
    <row r="25" spans="1:13" ht="14.25" customHeight="1" x14ac:dyDescent="0.4">
      <c r="A25" s="239">
        <v>4004005652</v>
      </c>
      <c r="B25" s="239" t="s">
        <v>1297</v>
      </c>
      <c r="C25" s="335">
        <v>11984</v>
      </c>
      <c r="D25" s="237">
        <f>(OBSAH!$J$6/100)*Tabulka20107949610311512213814265737779[[#This Row],[Sloupec3]]</f>
        <v>0</v>
      </c>
      <c r="E25" s="238">
        <f>Tabulka20107949610311512213814265737779[[#This Row],[Sloupec3]]-Tabulka20107949610311512213814265737779[[#This Row],[Sloupec4]]</f>
        <v>11984</v>
      </c>
    </row>
    <row r="26" spans="1:13" ht="15" customHeight="1" x14ac:dyDescent="0.4">
      <c r="A26" s="38"/>
      <c r="B26" s="38"/>
      <c r="C26" s="96"/>
      <c r="D26" s="61"/>
      <c r="E26" s="62"/>
    </row>
    <row r="27" spans="1:13" ht="15" customHeight="1" x14ac:dyDescent="0.4">
      <c r="A27" s="38"/>
      <c r="B27" s="38"/>
      <c r="C27" s="96"/>
      <c r="D27" s="61"/>
      <c r="E27" s="62"/>
    </row>
    <row r="28" spans="1:13" s="32" customFormat="1" ht="15" customHeight="1" x14ac:dyDescent="0.3">
      <c r="A28" s="38"/>
      <c r="B28" s="38"/>
      <c r="C28" s="96"/>
      <c r="D28" s="61"/>
      <c r="E28" s="62"/>
      <c r="F28" s="1"/>
      <c r="G28" s="1"/>
      <c r="H28" s="1"/>
      <c r="I28" s="1"/>
      <c r="J28" s="1"/>
      <c r="K28" s="1"/>
      <c r="L28" s="1"/>
      <c r="M28" s="1"/>
    </row>
    <row r="29" spans="1:13" s="32" customFormat="1" ht="36" customHeight="1" x14ac:dyDescent="0.3">
      <c r="A29" s="506" t="s">
        <v>35</v>
      </c>
      <c r="B29" s="506"/>
      <c r="C29" s="506"/>
      <c r="D29" s="506"/>
      <c r="E29" s="506"/>
      <c r="F29" s="1"/>
      <c r="G29" s="1"/>
      <c r="H29" s="1"/>
      <c r="I29" s="1"/>
      <c r="J29" s="1"/>
      <c r="K29" s="1"/>
      <c r="L29" s="1"/>
      <c r="M29" s="1"/>
    </row>
    <row r="30" spans="1:13" s="32" customFormat="1" ht="22.5" customHeight="1" x14ac:dyDescent="0.3">
      <c r="A30" s="146" t="s">
        <v>56</v>
      </c>
      <c r="B30" s="146" t="s">
        <v>57</v>
      </c>
      <c r="C30" s="147" t="s">
        <v>58</v>
      </c>
      <c r="D30" s="147" t="s">
        <v>59</v>
      </c>
      <c r="E30" s="148" t="s">
        <v>60</v>
      </c>
      <c r="F30" s="1"/>
      <c r="G30" s="1"/>
      <c r="H30" s="1"/>
      <c r="I30" s="1"/>
      <c r="J30" s="1"/>
      <c r="K30" s="1"/>
      <c r="L30" s="1"/>
      <c r="M30" s="1"/>
    </row>
    <row r="31" spans="1:13" s="32" customFormat="1" ht="14.25" customHeight="1" x14ac:dyDescent="0.3">
      <c r="A31" s="149"/>
      <c r="B31" s="150" t="s">
        <v>1298</v>
      </c>
      <c r="C31" s="151"/>
      <c r="D31" s="151"/>
      <c r="E31" s="152"/>
      <c r="F31" s="1"/>
      <c r="G31" s="1"/>
      <c r="H31" s="1"/>
      <c r="I31" s="1"/>
      <c r="J31" s="1"/>
      <c r="K31" s="1"/>
      <c r="L31" s="1"/>
      <c r="M31" s="1"/>
    </row>
    <row r="32" spans="1:13" s="32" customFormat="1" ht="14.25" customHeight="1" x14ac:dyDescent="0.3">
      <c r="A32" s="183">
        <v>4110000311</v>
      </c>
      <c r="B32" s="183" t="s">
        <v>1299</v>
      </c>
      <c r="C32" s="276">
        <v>41</v>
      </c>
      <c r="D32" s="197">
        <f>(OBSAH!$J$6/100)*Tabulka20107941041161271391433772[[#This Row],[Sloupec3]]</f>
        <v>0</v>
      </c>
      <c r="E32" s="198">
        <f>Tabulka20107941041161271391433772[[#This Row],[Sloupec3]]-Tabulka20107941041161271391433772[[#This Row],[Sloupec4]]</f>
        <v>41</v>
      </c>
      <c r="F32" s="1"/>
      <c r="G32" s="1"/>
      <c r="H32" s="1"/>
      <c r="I32" s="1"/>
      <c r="J32" s="1"/>
      <c r="K32" s="1"/>
      <c r="L32" s="1"/>
      <c r="M32" s="1"/>
    </row>
    <row r="33" spans="1:13" s="32" customFormat="1" ht="14.25" customHeight="1" x14ac:dyDescent="0.3">
      <c r="A33" s="236">
        <v>4110000199</v>
      </c>
      <c r="B33" s="236" t="s">
        <v>1378</v>
      </c>
      <c r="C33" s="335">
        <v>120</v>
      </c>
      <c r="D33" s="237">
        <f>(OBSAH!$J$6/100)*Tabulka20107941041161271391433772[[#This Row],[Sloupec3]]</f>
        <v>0</v>
      </c>
      <c r="E33" s="238">
        <f>Tabulka20107941041161271391433772[[#This Row],[Sloupec3]]-Tabulka20107941041161271391433772[[#This Row],[Sloupec4]]</f>
        <v>120</v>
      </c>
      <c r="F33" s="1"/>
      <c r="G33" s="1"/>
      <c r="H33" s="1"/>
      <c r="I33" s="1"/>
      <c r="J33" s="1"/>
      <c r="K33" s="1"/>
      <c r="L33" s="1"/>
      <c r="M33" s="1"/>
    </row>
    <row r="34" spans="1:13" s="32" customFormat="1" ht="14.25" customHeight="1" x14ac:dyDescent="0.3">
      <c r="A34" s="235">
        <v>4110000012</v>
      </c>
      <c r="B34" s="235" t="s">
        <v>1300</v>
      </c>
      <c r="C34" s="336">
        <v>76</v>
      </c>
      <c r="D34" s="197">
        <f>(OBSAH!$J$6/100)*Tabulka20107941041161271391433772[[#This Row],[Sloupec3]]</f>
        <v>0</v>
      </c>
      <c r="E34" s="198">
        <f>Tabulka20107941041161271391433772[[#This Row],[Sloupec3]]-Tabulka20107941041161271391433772[[#This Row],[Sloupec4]]</f>
        <v>76</v>
      </c>
      <c r="F34" s="1"/>
      <c r="G34" s="1"/>
      <c r="H34" s="1"/>
      <c r="I34" s="1"/>
      <c r="J34" s="1"/>
      <c r="K34" s="1"/>
      <c r="L34" s="1"/>
      <c r="M34" s="1"/>
    </row>
    <row r="35" spans="1:13" s="32" customFormat="1" ht="14.25" customHeight="1" x14ac:dyDescent="0.3">
      <c r="A35" s="153"/>
      <c r="B35" s="154" t="s">
        <v>1301</v>
      </c>
      <c r="C35" s="151"/>
      <c r="D35" s="151"/>
      <c r="E35" s="152"/>
      <c r="F35" s="1"/>
      <c r="G35" s="1"/>
      <c r="H35" s="1"/>
      <c r="I35" s="1"/>
      <c r="J35" s="1"/>
      <c r="K35" s="1"/>
      <c r="L35" s="1"/>
      <c r="M35" s="1"/>
    </row>
    <row r="36" spans="1:13" s="32" customFormat="1" ht="14.25" customHeight="1" x14ac:dyDescent="0.3">
      <c r="A36" s="235">
        <v>4004001333</v>
      </c>
      <c r="B36" s="235" t="s">
        <v>1382</v>
      </c>
      <c r="C36" s="336">
        <v>2361</v>
      </c>
      <c r="D36" s="197">
        <f>(OBSAH!$J$6/100)*Tabulka20107941041161271391433772[[#This Row],[Sloupec3]]</f>
        <v>0</v>
      </c>
      <c r="E36" s="198">
        <f>Tabulka20107941041161271391433772[[#This Row],[Sloupec3]]-Tabulka20107941041161271391433772[[#This Row],[Sloupec4]]</f>
        <v>2361</v>
      </c>
      <c r="F36" s="1"/>
      <c r="G36" s="1"/>
      <c r="H36" s="1"/>
      <c r="I36" s="1"/>
      <c r="J36" s="1"/>
      <c r="K36" s="1"/>
      <c r="L36" s="1"/>
      <c r="M36" s="1"/>
    </row>
    <row r="37" spans="1:13" s="32" customFormat="1" ht="14.25" customHeight="1" x14ac:dyDescent="0.3">
      <c r="A37" s="235">
        <v>4002100040</v>
      </c>
      <c r="B37" s="235" t="s">
        <v>1302</v>
      </c>
      <c r="C37" s="336">
        <v>3879</v>
      </c>
      <c r="D37" s="197">
        <f>(OBSAH!$J$6/100)*Tabulka20107941041161271391433772[[#This Row],[Sloupec3]]</f>
        <v>0</v>
      </c>
      <c r="E37" s="198">
        <f>Tabulka20107941041161271391433772[[#This Row],[Sloupec3]]-Tabulka20107941041161271391433772[[#This Row],[Sloupec4]]</f>
        <v>3879</v>
      </c>
      <c r="F37" s="1"/>
      <c r="G37" s="1"/>
      <c r="H37" s="1"/>
      <c r="I37" s="1"/>
      <c r="J37" s="1"/>
      <c r="K37" s="1"/>
      <c r="L37" s="1"/>
      <c r="M37" s="1"/>
    </row>
    <row r="38" spans="1:13" s="32" customFormat="1" ht="14.25" customHeight="1" x14ac:dyDescent="0.3">
      <c r="A38" s="236">
        <v>4002100268</v>
      </c>
      <c r="B38" s="236" t="s">
        <v>1303</v>
      </c>
      <c r="C38" s="335">
        <v>825</v>
      </c>
      <c r="D38" s="237">
        <f>(OBSAH!$J$6/100)*Tabulka20107941041161271391433772[[#This Row],[Sloupec3]]</f>
        <v>0</v>
      </c>
      <c r="E38" s="238">
        <f>Tabulka20107941041161271391433772[[#This Row],[Sloupec3]]-Tabulka20107941041161271391433772[[#This Row],[Sloupec4]]</f>
        <v>825</v>
      </c>
      <c r="F38" s="1"/>
      <c r="G38" s="1"/>
      <c r="H38" s="1"/>
      <c r="I38" s="1"/>
      <c r="J38" s="1"/>
      <c r="K38" s="1"/>
      <c r="L38" s="1"/>
      <c r="M38" s="1"/>
    </row>
    <row r="39" spans="1:13" s="32" customFormat="1" ht="14.25" customHeight="1" x14ac:dyDescent="0.3">
      <c r="A39" s="235">
        <v>4002100049</v>
      </c>
      <c r="B39" s="235" t="s">
        <v>1304</v>
      </c>
      <c r="C39" s="336">
        <v>1100</v>
      </c>
      <c r="D39" s="197">
        <f>(OBSAH!$J$6/100)*Tabulka20107941041161271391433772[[#This Row],[Sloupec3]]</f>
        <v>0</v>
      </c>
      <c r="E39" s="198">
        <f>Tabulka20107941041161271391433772[[#This Row],[Sloupec3]]-Tabulka20107941041161271391433772[[#This Row],[Sloupec4]]</f>
        <v>1100</v>
      </c>
      <c r="F39" s="1"/>
      <c r="G39" s="1"/>
      <c r="H39" s="1"/>
      <c r="I39" s="1"/>
      <c r="J39" s="1"/>
      <c r="K39" s="1"/>
      <c r="L39" s="1"/>
      <c r="M39" s="1"/>
    </row>
    <row r="40" spans="1:13" s="32" customFormat="1" ht="14.25" customHeight="1" x14ac:dyDescent="0.3">
      <c r="A40" s="236">
        <v>4004005975</v>
      </c>
      <c r="B40" s="236" t="s">
        <v>1383</v>
      </c>
      <c r="C40" s="335">
        <v>3797</v>
      </c>
      <c r="D40" s="237">
        <f>(OBSAH!$J$6/100)*Tabulka20107941041161271391433772[[#This Row],[Sloupec3]]</f>
        <v>0</v>
      </c>
      <c r="E40" s="238">
        <f>Tabulka20107941041161271391433772[[#This Row],[Sloupec3]]-Tabulka20107941041161271391433772[[#This Row],[Sloupec4]]</f>
        <v>3797</v>
      </c>
      <c r="F40" s="1"/>
      <c r="G40" s="1"/>
      <c r="H40" s="1"/>
      <c r="I40" s="1"/>
      <c r="J40" s="1"/>
      <c r="K40" s="1"/>
      <c r="L40" s="1"/>
      <c r="M40" s="1"/>
    </row>
    <row r="41" spans="1:13" s="32" customFormat="1" ht="14.25" customHeight="1" x14ac:dyDescent="0.3">
      <c r="A41" s="235">
        <v>4004005739</v>
      </c>
      <c r="B41" s="235" t="s">
        <v>1384</v>
      </c>
      <c r="C41" s="336">
        <v>5365</v>
      </c>
      <c r="D41" s="197">
        <f>(OBSAH!$J$6/100)*Tabulka20107941041161271391433772[[#This Row],[Sloupec3]]</f>
        <v>0</v>
      </c>
      <c r="E41" s="198">
        <f>Tabulka20107941041161271391433772[[#This Row],[Sloupec3]]-Tabulka20107941041161271391433772[[#This Row],[Sloupec4]]</f>
        <v>5365</v>
      </c>
      <c r="F41" s="1"/>
      <c r="G41" s="1"/>
      <c r="H41" s="1"/>
      <c r="I41" s="1"/>
      <c r="J41" s="1"/>
      <c r="K41" s="1"/>
      <c r="L41" s="1"/>
      <c r="M41" s="1"/>
    </row>
    <row r="42" spans="1:13" ht="15" customHeight="1" x14ac:dyDescent="0.4">
      <c r="A42" s="3"/>
      <c r="B42" s="3"/>
      <c r="C42" s="145"/>
      <c r="D42" s="3"/>
      <c r="E42" s="3"/>
    </row>
    <row r="43" spans="1:13" ht="15" customHeight="1" x14ac:dyDescent="0.4">
      <c r="A43" s="3"/>
      <c r="B43" s="3"/>
      <c r="C43" s="145"/>
      <c r="D43" s="3"/>
      <c r="E43" s="3"/>
    </row>
    <row r="44" spans="1:13" s="32" customFormat="1" ht="14.25" customHeight="1" x14ac:dyDescent="0.3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</row>
    <row r="45" spans="1:13" x14ac:dyDescent="0.4">
      <c r="A45" s="155"/>
      <c r="B45" s="155"/>
      <c r="C45" s="155"/>
      <c r="D45" s="155"/>
      <c r="E45" s="155"/>
      <c r="F45" s="15"/>
      <c r="G45" s="15"/>
      <c r="H45" s="15"/>
      <c r="I45" s="15"/>
      <c r="J45" s="15"/>
      <c r="K45" s="15"/>
      <c r="L45" s="15"/>
      <c r="M45" s="15"/>
    </row>
    <row r="46" spans="1:13" ht="22.5" customHeight="1" x14ac:dyDescent="0.4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</row>
    <row r="47" spans="1:13" x14ac:dyDescent="0.4">
      <c r="A47" s="15"/>
      <c r="B47" s="15"/>
      <c r="C47" s="15"/>
      <c r="D47" s="15"/>
      <c r="E47" s="15"/>
      <c r="F47" s="43"/>
      <c r="G47" s="43"/>
      <c r="H47" s="43"/>
      <c r="I47" s="43"/>
      <c r="J47" s="43"/>
      <c r="K47" s="43"/>
      <c r="L47" s="43"/>
      <c r="M47" s="43"/>
    </row>
    <row r="48" spans="1:13" x14ac:dyDescent="0.4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</row>
    <row r="49" spans="1:13" ht="36" customHeight="1" x14ac:dyDescent="0.4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</row>
    <row r="50" spans="1:13" ht="22.5" customHeight="1" x14ac:dyDescent="0.4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</row>
    <row r="51" spans="1:13" ht="22.5" customHeight="1" x14ac:dyDescent="0.4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</row>
    <row r="52" spans="1:13" s="32" customFormat="1" ht="14.25" customHeight="1" x14ac:dyDescent="0.3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</row>
    <row r="53" spans="1:13" s="32" customFormat="1" ht="14.25" customHeight="1" x14ac:dyDescent="0.3">
      <c r="A53" s="155"/>
      <c r="B53" s="155"/>
      <c r="C53" s="155"/>
      <c r="D53" s="155"/>
      <c r="E53" s="155"/>
      <c r="F53" s="15"/>
      <c r="G53" s="15"/>
      <c r="H53" s="15"/>
      <c r="I53" s="15"/>
      <c r="J53" s="15"/>
      <c r="K53" s="15"/>
      <c r="L53" s="15"/>
      <c r="M53" s="15"/>
    </row>
    <row r="54" spans="1:13" x14ac:dyDescent="0.4">
      <c r="A54" s="155"/>
      <c r="B54" s="155"/>
      <c r="C54" s="155"/>
      <c r="D54" s="155"/>
      <c r="E54" s="155"/>
      <c r="F54" s="15"/>
      <c r="G54" s="15"/>
      <c r="H54" s="15"/>
      <c r="I54" s="15"/>
      <c r="J54" s="15"/>
      <c r="K54" s="15"/>
      <c r="L54" s="15"/>
      <c r="M54" s="15"/>
    </row>
    <row r="55" spans="1:13" x14ac:dyDescent="0.4">
      <c r="A55" s="15"/>
      <c r="B55" s="15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1:13" x14ac:dyDescent="0.4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</row>
    <row r="57" spans="1:13" x14ac:dyDescent="0.4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</row>
    <row r="58" spans="1:13" x14ac:dyDescent="0.4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</row>
    <row r="59" spans="1:13" x14ac:dyDescent="0.4">
      <c r="A59" s="15"/>
      <c r="B59" s="15"/>
      <c r="C59" s="156"/>
      <c r="D59" s="15"/>
      <c r="E59" s="15"/>
      <c r="F59" s="15"/>
      <c r="G59" s="15"/>
      <c r="H59" s="15"/>
      <c r="I59" s="15"/>
      <c r="J59" s="15"/>
      <c r="K59" s="15"/>
      <c r="L59" s="15"/>
      <c r="M59" s="15"/>
    </row>
    <row r="60" spans="1:13" x14ac:dyDescent="0.4">
      <c r="A60" s="15"/>
      <c r="B60" s="15"/>
      <c r="C60" s="156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spans="1:13" x14ac:dyDescent="0.4">
      <c r="A61" s="15"/>
      <c r="B61" s="15"/>
      <c r="C61" s="156"/>
      <c r="D61" s="15"/>
      <c r="E61" s="15"/>
      <c r="F61" s="15"/>
      <c r="G61" s="15"/>
      <c r="H61" s="15"/>
      <c r="I61" s="15"/>
      <c r="J61" s="15"/>
      <c r="K61" s="15"/>
      <c r="L61" s="15"/>
      <c r="M61" s="15"/>
    </row>
    <row r="71" spans="6:13" x14ac:dyDescent="0.4">
      <c r="F71" s="44"/>
      <c r="G71" s="44"/>
      <c r="H71" s="44"/>
      <c r="I71" s="44"/>
      <c r="J71" s="44"/>
      <c r="K71" s="44"/>
      <c r="L71" s="44"/>
      <c r="M71" s="44"/>
    </row>
  </sheetData>
  <mergeCells count="12">
    <mergeCell ref="A1:E1"/>
    <mergeCell ref="F1:H1"/>
    <mergeCell ref="A2:E2"/>
    <mergeCell ref="F2:H2"/>
    <mergeCell ref="A3:E3"/>
    <mergeCell ref="A22:E22"/>
    <mergeCell ref="A29:E29"/>
    <mergeCell ref="A4:E4"/>
    <mergeCell ref="A5:E5"/>
    <mergeCell ref="A6:E6"/>
    <mergeCell ref="A8:E8"/>
    <mergeCell ref="A16:E16"/>
  </mergeCells>
  <hyperlinks>
    <hyperlink ref="F2" location="OBSAH!I128" display="PŘEJÍT NA UPOZORNĚNÍ" xr:uid="{00000000-0004-0000-0B00-000000000000}"/>
  </hyperlinks>
  <pageMargins left="0.25" right="0.25" top="0.75" bottom="0.75" header="0.51180555555555496" footer="0.51180555555555496"/>
  <pageSetup paperSize="9" firstPageNumber="0" orientation="portrait" horizontalDpi="300" verticalDpi="300" r:id="rId1"/>
  <drawing r:id="rId2"/>
  <tableParts count="7">
    <tablePart r:id="rId3"/>
    <tablePart r:id="rId4"/>
    <tablePart r:id="rId5"/>
    <tablePart r:id="rId6"/>
    <tablePart r:id="rId7"/>
    <tablePart r:id="rId8"/>
    <tablePart r:id="rId9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D9D9D9"/>
    <pageSetUpPr fitToPage="1"/>
  </sheetPr>
  <dimension ref="A1:AMK45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3" ht="39" customHeight="1" x14ac:dyDescent="0.6">
      <c r="A3" s="486" t="s">
        <v>1305</v>
      </c>
      <c r="B3" s="486"/>
      <c r="C3" s="486"/>
      <c r="D3" s="486"/>
      <c r="E3" s="486"/>
    </row>
    <row r="4" spans="1:13" ht="15" customHeight="1" x14ac:dyDescent="0.55000000000000004">
      <c r="A4" s="450"/>
      <c r="B4" s="450"/>
      <c r="C4" s="450"/>
      <c r="D4" s="450"/>
      <c r="E4" s="450"/>
    </row>
    <row r="5" spans="1:13" ht="15" customHeight="1" x14ac:dyDescent="0.7">
      <c r="A5" s="376"/>
      <c r="B5" s="376"/>
      <c r="C5" s="376"/>
      <c r="D5" s="376"/>
      <c r="E5" s="376"/>
    </row>
    <row r="6" spans="1:13" ht="36" customHeight="1" x14ac:dyDescent="0.4">
      <c r="A6" s="508" t="s">
        <v>1306</v>
      </c>
      <c r="B6" s="508"/>
      <c r="C6" s="508"/>
      <c r="D6" s="508"/>
      <c r="E6" s="508"/>
    </row>
    <row r="7" spans="1:13" s="44" customFormat="1" ht="22.5" customHeight="1" x14ac:dyDescent="0.25">
      <c r="A7" s="157" t="s">
        <v>56</v>
      </c>
      <c r="B7" s="157" t="s">
        <v>57</v>
      </c>
      <c r="C7" s="158" t="s">
        <v>58</v>
      </c>
      <c r="D7" s="158" t="s">
        <v>59</v>
      </c>
      <c r="E7" s="159" t="s">
        <v>60</v>
      </c>
      <c r="F7" s="144"/>
      <c r="G7" s="509"/>
      <c r="H7" s="509"/>
      <c r="I7" s="509"/>
      <c r="J7" s="509"/>
      <c r="K7" s="509"/>
      <c r="L7" s="509"/>
    </row>
    <row r="8" spans="1:13" s="32" customFormat="1" ht="14.25" customHeight="1" x14ac:dyDescent="0.3">
      <c r="A8" s="160">
        <v>4002100051</v>
      </c>
      <c r="B8" s="240" t="s">
        <v>1307</v>
      </c>
      <c r="C8" s="340">
        <v>493</v>
      </c>
      <c r="D8" s="69">
        <f>(OBSAH!$J$6/100)*Tabulka201079410411612713921[[#This Row],[Sloupec3]]</f>
        <v>0</v>
      </c>
      <c r="E8" s="70">
        <f>Tabulka201079410411612713921[[#This Row],[Sloupec3]]-Tabulka201079410411612713921[[#This Row],[Sloupec4]]</f>
        <v>493</v>
      </c>
    </row>
    <row r="9" spans="1:13" s="32" customFormat="1" ht="14.25" customHeight="1" x14ac:dyDescent="0.3">
      <c r="A9" s="163">
        <v>4002100052</v>
      </c>
      <c r="B9" s="171" t="s">
        <v>1308</v>
      </c>
      <c r="C9" s="340">
        <v>867</v>
      </c>
      <c r="D9" s="71">
        <f>(OBSAH!$J$6/100)*Tabulka201079410411612713921[[#This Row],[Sloupec3]]</f>
        <v>0</v>
      </c>
      <c r="E9" s="57">
        <f>Tabulka201079410411612713921[[#This Row],[Sloupec3]]-Tabulka201079410411612713921[[#This Row],[Sloupec4]]</f>
        <v>867</v>
      </c>
    </row>
    <row r="10" spans="1:13" s="32" customFormat="1" ht="14.25" customHeight="1" x14ac:dyDescent="0.3">
      <c r="A10" s="163">
        <v>4002100053</v>
      </c>
      <c r="B10" s="171" t="s">
        <v>1309</v>
      </c>
      <c r="C10" s="340">
        <v>1050</v>
      </c>
      <c r="D10" s="71">
        <f>(OBSAH!$J$6/100)*Tabulka201079410411612713921[[#This Row],[Sloupec3]]</f>
        <v>0</v>
      </c>
      <c r="E10" s="57">
        <f>Tabulka201079410411612713921[[#This Row],[Sloupec3]]-Tabulka201079410411612713921[[#This Row],[Sloupec4]]</f>
        <v>1050</v>
      </c>
    </row>
    <row r="11" spans="1:13" s="32" customFormat="1" ht="14.25" customHeight="1" x14ac:dyDescent="0.3">
      <c r="A11" s="163">
        <v>4002100054</v>
      </c>
      <c r="B11" s="171" t="s">
        <v>1310</v>
      </c>
      <c r="C11" s="340">
        <v>1321</v>
      </c>
      <c r="D11" s="71">
        <f>(OBSAH!$J$6/100)*Tabulka201079410411612713921[[#This Row],[Sloupec3]]</f>
        <v>0</v>
      </c>
      <c r="E11" s="57">
        <f>Tabulka201079410411612713921[[#This Row],[Sloupec3]]-Tabulka201079410411612713921[[#This Row],[Sloupec4]]</f>
        <v>1321</v>
      </c>
    </row>
    <row r="12" spans="1:13" s="32" customFormat="1" ht="14.25" customHeight="1" x14ac:dyDescent="0.3">
      <c r="A12" s="163">
        <v>4002100055</v>
      </c>
      <c r="B12" s="171" t="s">
        <v>1311</v>
      </c>
      <c r="C12" s="340">
        <v>1512</v>
      </c>
      <c r="D12" s="71">
        <f>(OBSAH!$J$6/100)*Tabulka201079410411612713921[[#This Row],[Sloupec3]]</f>
        <v>0</v>
      </c>
      <c r="E12" s="57">
        <f>Tabulka201079410411612713921[[#This Row],[Sloupec3]]-Tabulka201079410411612713921[[#This Row],[Sloupec4]]</f>
        <v>1512</v>
      </c>
    </row>
    <row r="13" spans="1:13" s="32" customFormat="1" ht="14.25" customHeight="1" x14ac:dyDescent="0.3">
      <c r="A13" s="163">
        <v>4002100056</v>
      </c>
      <c r="B13" s="171" t="s">
        <v>1312</v>
      </c>
      <c r="C13" s="340">
        <v>1716</v>
      </c>
      <c r="D13" s="71">
        <f>(OBSAH!$J$6/100)*Tabulka201079410411612713921[[#This Row],[Sloupec3]]</f>
        <v>0</v>
      </c>
      <c r="E13" s="57">
        <f>Tabulka201079410411612713921[[#This Row],[Sloupec3]]-Tabulka201079410411612713921[[#This Row],[Sloupec4]]</f>
        <v>1716</v>
      </c>
    </row>
    <row r="14" spans="1:13" s="32" customFormat="1" ht="14.25" customHeight="1" x14ac:dyDescent="0.3">
      <c r="A14" s="241">
        <v>4002100057</v>
      </c>
      <c r="B14" s="242" t="s">
        <v>1313</v>
      </c>
      <c r="C14" s="340">
        <v>1906</v>
      </c>
      <c r="D14" s="68">
        <f>(OBSAH!$J$6/100)*Tabulka201079410411612713921[[#This Row],[Sloupec3]]</f>
        <v>0</v>
      </c>
      <c r="E14" s="58">
        <f>Tabulka201079410411612713921[[#This Row],[Sloupec3]]-Tabulka201079410411612713921[[#This Row],[Sloupec4]]</f>
        <v>1906</v>
      </c>
    </row>
    <row r="15" spans="1:13" ht="15" customHeight="1" x14ac:dyDescent="0.4">
      <c r="A15" s="3"/>
      <c r="B15" s="3"/>
      <c r="C15" s="3"/>
      <c r="D15" s="3"/>
      <c r="E15" s="3"/>
    </row>
    <row r="16" spans="1:13" ht="15" customHeight="1" x14ac:dyDescent="0.4">
      <c r="A16" s="3"/>
      <c r="B16" s="3"/>
      <c r="C16" s="3"/>
      <c r="D16" s="3"/>
      <c r="E16" s="3"/>
    </row>
    <row r="17" spans="1:12" x14ac:dyDescent="0.4">
      <c r="A17" s="3"/>
      <c r="B17" s="3"/>
      <c r="C17" s="3"/>
      <c r="D17" s="3"/>
      <c r="E17" s="3"/>
    </row>
    <row r="18" spans="1:12" ht="36" customHeight="1" x14ac:dyDescent="0.4">
      <c r="A18" s="508" t="s">
        <v>1314</v>
      </c>
      <c r="B18" s="508"/>
      <c r="C18" s="508"/>
      <c r="D18" s="508"/>
      <c r="E18" s="508"/>
    </row>
    <row r="19" spans="1:12" ht="22.5" customHeight="1" x14ac:dyDescent="0.4">
      <c r="A19" s="157" t="s">
        <v>56</v>
      </c>
      <c r="B19" s="157" t="s">
        <v>57</v>
      </c>
      <c r="C19" s="158" t="s">
        <v>58</v>
      </c>
      <c r="D19" s="158" t="s">
        <v>59</v>
      </c>
      <c r="E19" s="159" t="s">
        <v>60</v>
      </c>
    </row>
    <row r="20" spans="1:12" s="32" customFormat="1" ht="14.25" customHeight="1" x14ac:dyDescent="0.3">
      <c r="A20" s="160">
        <v>4002200076</v>
      </c>
      <c r="B20" s="240" t="s">
        <v>1315</v>
      </c>
      <c r="C20" s="69">
        <v>257</v>
      </c>
      <c r="D20" s="69">
        <f>(OBSAH!$J$6/100)*Tabulka201079410411612713914123[[#This Row],[Sloupec3]]</f>
        <v>0</v>
      </c>
      <c r="E20" s="70">
        <f>Tabulka201079410411612713914123[[#This Row],[Sloupec3]]-Tabulka201079410411612713914123[[#This Row],[Sloupec4]]</f>
        <v>257</v>
      </c>
      <c r="F20" s="249"/>
    </row>
    <row r="21" spans="1:12" s="32" customFormat="1" ht="14.25" customHeight="1" x14ac:dyDescent="0.3">
      <c r="A21" s="163">
        <v>4002200034</v>
      </c>
      <c r="B21" s="171" t="s">
        <v>1316</v>
      </c>
      <c r="C21" s="71">
        <v>374</v>
      </c>
      <c r="D21" s="71">
        <f>(OBSAH!$J$6/100)*Tabulka201079410411612713914123[[#This Row],[Sloupec3]]</f>
        <v>0</v>
      </c>
      <c r="E21" s="57">
        <f>Tabulka201079410411612713914123[[#This Row],[Sloupec3]]-Tabulka201079410411612713914123[[#This Row],[Sloupec4]]</f>
        <v>374</v>
      </c>
      <c r="F21" s="249"/>
    </row>
    <row r="22" spans="1:12" s="32" customFormat="1" ht="14.25" customHeight="1" x14ac:dyDescent="0.3">
      <c r="A22" s="163">
        <v>4002200035</v>
      </c>
      <c r="B22" s="171" t="s">
        <v>1317</v>
      </c>
      <c r="C22" s="71">
        <v>488</v>
      </c>
      <c r="D22" s="71">
        <f>(OBSAH!$J$6/100)*Tabulka201079410411612713914123[[#This Row],[Sloupec3]]</f>
        <v>0</v>
      </c>
      <c r="E22" s="57">
        <f>Tabulka201079410411612713914123[[#This Row],[Sloupec3]]-Tabulka201079410411612713914123[[#This Row],[Sloupec4]]</f>
        <v>488</v>
      </c>
      <c r="F22" s="249"/>
    </row>
    <row r="23" spans="1:12" s="32" customFormat="1" ht="14.25" customHeight="1" x14ac:dyDescent="0.3">
      <c r="A23" s="163">
        <v>4002200036</v>
      </c>
      <c r="B23" s="171" t="s">
        <v>1318</v>
      </c>
      <c r="C23" s="71">
        <v>535</v>
      </c>
      <c r="D23" s="71">
        <f>(OBSAH!$J$6/100)*Tabulka201079410411612713914123[[#This Row],[Sloupec3]]</f>
        <v>0</v>
      </c>
      <c r="E23" s="57">
        <f>Tabulka201079410411612713914123[[#This Row],[Sloupec3]]-Tabulka201079410411612713914123[[#This Row],[Sloupec4]]</f>
        <v>535</v>
      </c>
      <c r="F23" s="249"/>
    </row>
    <row r="24" spans="1:12" x14ac:dyDescent="0.4">
      <c r="A24" s="3"/>
      <c r="B24" s="3"/>
      <c r="C24" s="3"/>
      <c r="D24" s="3"/>
      <c r="E24" s="3"/>
    </row>
    <row r="25" spans="1:12" x14ac:dyDescent="0.4">
      <c r="A25" s="3"/>
      <c r="B25" s="3"/>
      <c r="C25" s="3"/>
      <c r="D25" s="3"/>
      <c r="E25" s="3"/>
    </row>
    <row r="26" spans="1:12" x14ac:dyDescent="0.4">
      <c r="A26" s="3"/>
      <c r="B26" s="3"/>
      <c r="C26" s="3"/>
      <c r="D26" s="3"/>
      <c r="E26" s="3"/>
    </row>
    <row r="27" spans="1:12" ht="36" customHeight="1" x14ac:dyDescent="0.4">
      <c r="A27" s="508" t="s">
        <v>39</v>
      </c>
      <c r="B27" s="508"/>
      <c r="C27" s="508"/>
      <c r="D27" s="508"/>
      <c r="E27" s="508"/>
    </row>
    <row r="28" spans="1:12" s="44" customFormat="1" ht="22.5" customHeight="1" x14ac:dyDescent="0.25">
      <c r="A28" s="157" t="s">
        <v>56</v>
      </c>
      <c r="B28" s="157" t="s">
        <v>57</v>
      </c>
      <c r="C28" s="158" t="s">
        <v>58</v>
      </c>
      <c r="D28" s="158" t="s">
        <v>59</v>
      </c>
      <c r="E28" s="159" t="s">
        <v>60</v>
      </c>
      <c r="F28" s="144"/>
      <c r="G28" s="509"/>
      <c r="H28" s="509"/>
      <c r="I28" s="509"/>
      <c r="J28" s="509"/>
      <c r="K28" s="509"/>
      <c r="L28" s="509"/>
    </row>
    <row r="29" spans="1:12" s="32" customFormat="1" ht="14.25" customHeight="1" x14ac:dyDescent="0.3">
      <c r="A29" s="160">
        <v>4130000111</v>
      </c>
      <c r="B29" s="161" t="s">
        <v>1319</v>
      </c>
      <c r="C29" s="331">
        <v>187</v>
      </c>
      <c r="D29" s="69">
        <f>(OBSAH!$J$6/100)*Tabulka20107941041161271392124[[#This Row],[Sloupec3]]</f>
        <v>0</v>
      </c>
      <c r="E29" s="70">
        <f>Tabulka20107941041161271392124[[#This Row],[Sloupec3]]-Tabulka20107941041161271392124[[#This Row],[Sloupec4]]</f>
        <v>187</v>
      </c>
    </row>
    <row r="30" spans="1:12" s="32" customFormat="1" ht="14.25" customHeight="1" x14ac:dyDescent="0.3">
      <c r="A30" s="163">
        <v>4130000127</v>
      </c>
      <c r="B30" s="164" t="s">
        <v>1320</v>
      </c>
      <c r="C30" s="333">
        <v>342</v>
      </c>
      <c r="D30" s="71">
        <f>(OBSAH!$J$6/100)*Tabulka20107941041161271392124[[#This Row],[Sloupec3]]</f>
        <v>0</v>
      </c>
      <c r="E30" s="57">
        <f>Tabulka20107941041161271392124[[#This Row],[Sloupec3]]-Tabulka20107941041161271392124[[#This Row],[Sloupec4]]</f>
        <v>342</v>
      </c>
    </row>
    <row r="31" spans="1:12" s="32" customFormat="1" ht="14.25" customHeight="1" x14ac:dyDescent="0.3">
      <c r="A31" s="163">
        <v>4130000130</v>
      </c>
      <c r="B31" s="164" t="s">
        <v>1321</v>
      </c>
      <c r="C31" s="333">
        <v>372</v>
      </c>
      <c r="D31" s="71">
        <f>(OBSAH!$J$6/100)*Tabulka20107941041161271392124[[#This Row],[Sloupec3]]</f>
        <v>0</v>
      </c>
      <c r="E31" s="57">
        <f>Tabulka20107941041161271392124[[#This Row],[Sloupec3]]-Tabulka20107941041161271392124[[#This Row],[Sloupec4]]</f>
        <v>372</v>
      </c>
    </row>
    <row r="32" spans="1:12" s="32" customFormat="1" ht="14.25" customHeight="1" x14ac:dyDescent="0.3">
      <c r="A32" s="163">
        <v>4130000138</v>
      </c>
      <c r="B32" s="164" t="s">
        <v>1322</v>
      </c>
      <c r="C32" s="333">
        <v>418</v>
      </c>
      <c r="D32" s="71">
        <f>(OBSAH!$J$6/100)*Tabulka20107941041161271392124[[#This Row],[Sloupec3]]</f>
        <v>0</v>
      </c>
      <c r="E32" s="57">
        <f>Tabulka20107941041161271392124[[#This Row],[Sloupec3]]-Tabulka20107941041161271392124[[#This Row],[Sloupec4]]</f>
        <v>418</v>
      </c>
    </row>
    <row r="33" spans="1:5" s="32" customFormat="1" ht="14.25" customHeight="1" x14ac:dyDescent="0.3">
      <c r="A33" s="163">
        <v>4130000131</v>
      </c>
      <c r="B33" s="164" t="s">
        <v>1323</v>
      </c>
      <c r="C33" s="333">
        <v>619</v>
      </c>
      <c r="D33" s="71">
        <f>(OBSAH!$J$6/100)*Tabulka20107941041161271392124[[#This Row],[Sloupec3]]</f>
        <v>0</v>
      </c>
      <c r="E33" s="57">
        <f>Tabulka20107941041161271392124[[#This Row],[Sloupec3]]-Tabulka20107941041161271392124[[#This Row],[Sloupec4]]</f>
        <v>619</v>
      </c>
    </row>
    <row r="34" spans="1:5" s="32" customFormat="1" ht="14.25" customHeight="1" x14ac:dyDescent="0.3">
      <c r="A34" s="163">
        <v>4130000137</v>
      </c>
      <c r="B34" s="164" t="s">
        <v>1324</v>
      </c>
      <c r="C34" s="333">
        <v>734</v>
      </c>
      <c r="D34" s="71">
        <f>(OBSAH!$J$6/100)*Tabulka20107941041161271392124[[#This Row],[Sloupec3]]</f>
        <v>0</v>
      </c>
      <c r="E34" s="57">
        <f>Tabulka20107941041161271392124[[#This Row],[Sloupec3]]-Tabulka20107941041161271392124[[#This Row],[Sloupec4]]</f>
        <v>734</v>
      </c>
    </row>
    <row r="35" spans="1:5" s="32" customFormat="1" ht="14.25" customHeight="1" x14ac:dyDescent="0.3">
      <c r="A35" s="163">
        <v>4130000134</v>
      </c>
      <c r="B35" s="164" t="s">
        <v>1325</v>
      </c>
      <c r="C35" s="333">
        <v>866</v>
      </c>
      <c r="D35" s="71">
        <f>(OBSAH!$J$6/100)*Tabulka20107941041161271392124[[#This Row],[Sloupec3]]</f>
        <v>0</v>
      </c>
      <c r="E35" s="57">
        <f>Tabulka20107941041161271392124[[#This Row],[Sloupec3]]-Tabulka20107941041161271392124[[#This Row],[Sloupec4]]</f>
        <v>866</v>
      </c>
    </row>
    <row r="36" spans="1:5" x14ac:dyDescent="0.4">
      <c r="A36" s="166">
        <v>4130000135</v>
      </c>
      <c r="B36" s="167" t="s">
        <v>1326</v>
      </c>
      <c r="C36" s="334">
        <v>928</v>
      </c>
      <c r="D36" s="68">
        <f>(OBSAH!$J$6/100)*Tabulka20107941041161271392124[[#This Row],[Sloupec3]]</f>
        <v>0</v>
      </c>
      <c r="E36" s="58">
        <f>Tabulka20107941041161271392124[[#This Row],[Sloupec3]]-Tabulka20107941041161271392124[[#This Row],[Sloupec4]]</f>
        <v>928</v>
      </c>
    </row>
    <row r="37" spans="1:5" x14ac:dyDescent="0.4">
      <c r="A37" s="3"/>
      <c r="B37" s="3"/>
      <c r="C37" s="3"/>
      <c r="D37" s="3"/>
      <c r="E37" s="3"/>
    </row>
    <row r="38" spans="1:5" x14ac:dyDescent="0.4">
      <c r="A38" s="3"/>
      <c r="B38" s="3"/>
      <c r="C38" s="3"/>
      <c r="D38" s="3"/>
      <c r="E38" s="3"/>
    </row>
    <row r="39" spans="1:5" x14ac:dyDescent="0.4">
      <c r="A39" s="3"/>
      <c r="B39" s="3"/>
      <c r="C39" s="3"/>
      <c r="D39" s="3"/>
      <c r="E39" s="3"/>
    </row>
    <row r="40" spans="1:5" ht="36" customHeight="1" x14ac:dyDescent="0.4">
      <c r="A40" s="508" t="s">
        <v>40</v>
      </c>
      <c r="B40" s="508"/>
      <c r="C40" s="508"/>
      <c r="D40" s="508"/>
      <c r="E40" s="508"/>
    </row>
    <row r="41" spans="1:5" ht="22.5" customHeight="1" x14ac:dyDescent="0.4">
      <c r="A41" s="157" t="s">
        <v>56</v>
      </c>
      <c r="B41" s="157" t="s">
        <v>57</v>
      </c>
      <c r="C41" s="158" t="s">
        <v>58</v>
      </c>
      <c r="D41" s="158" t="s">
        <v>59</v>
      </c>
      <c r="E41" s="159" t="s">
        <v>60</v>
      </c>
    </row>
    <row r="42" spans="1:5" s="32" customFormat="1" ht="14.25" customHeight="1" x14ac:dyDescent="0.3">
      <c r="A42" s="243">
        <v>4004004930</v>
      </c>
      <c r="B42" s="244" t="s">
        <v>1327</v>
      </c>
      <c r="C42" s="331">
        <v>1323</v>
      </c>
      <c r="D42" s="69">
        <f>(OBSAH!$J$6/100)*Tabulka20107941041161271392127[[#This Row],[Sloupec3]]</f>
        <v>0</v>
      </c>
      <c r="E42" s="70">
        <f>Tabulka20107941041161271392127[[#This Row],[Sloupec3]]-Tabulka20107941041161271392127[[#This Row],[Sloupec4]]</f>
        <v>1323</v>
      </c>
    </row>
    <row r="43" spans="1:5" s="32" customFormat="1" ht="14.25" customHeight="1" x14ac:dyDescent="0.3">
      <c r="A43" s="245">
        <v>4004005368</v>
      </c>
      <c r="B43" s="246" t="s">
        <v>1328</v>
      </c>
      <c r="C43" s="332">
        <v>1323</v>
      </c>
      <c r="D43" s="68">
        <f>(OBSAH!$J$6/100)*Tabulka20107941041161271392127[[#This Row],[Sloupec3]]</f>
        <v>0</v>
      </c>
      <c r="E43" s="58">
        <f>Tabulka20107941041161271392127[[#This Row],[Sloupec3]]-Tabulka20107941041161271392127[[#This Row],[Sloupec4]]</f>
        <v>1323</v>
      </c>
    </row>
    <row r="44" spans="1:5" x14ac:dyDescent="0.4">
      <c r="A44" s="3"/>
      <c r="B44" s="3"/>
      <c r="C44" s="3"/>
      <c r="D44" s="3"/>
      <c r="E44" s="3"/>
    </row>
    <row r="45" spans="1:5" x14ac:dyDescent="0.4">
      <c r="A45" s="3"/>
      <c r="B45" s="3"/>
      <c r="C45" s="3"/>
      <c r="D45" s="3"/>
      <c r="E45" s="3"/>
    </row>
  </sheetData>
  <mergeCells count="13">
    <mergeCell ref="A1:E1"/>
    <mergeCell ref="F1:H1"/>
    <mergeCell ref="A2:E2"/>
    <mergeCell ref="F2:H2"/>
    <mergeCell ref="A3:E3"/>
    <mergeCell ref="A27:E27"/>
    <mergeCell ref="G28:L28"/>
    <mergeCell ref="A40:E40"/>
    <mergeCell ref="A4:E4"/>
    <mergeCell ref="A5:E5"/>
    <mergeCell ref="A6:E6"/>
    <mergeCell ref="G7:L7"/>
    <mergeCell ref="A18:E18"/>
  </mergeCells>
  <hyperlinks>
    <hyperlink ref="F2" location="OBSAH!I128" display="PŘEJÍT NA UPOZORNĚNÍ" xr:uid="{00000000-0004-0000-0C00-000000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 r:id="rId1"/>
  <drawing r:id="rId2"/>
  <tableParts count="4">
    <tablePart r:id="rId3"/>
    <tablePart r:id="rId4"/>
    <tablePart r:id="rId5"/>
    <tablePart r:id="rId6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D9D9D9"/>
  </sheetPr>
  <dimension ref="A1:AMK44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436" t="s">
        <v>51</v>
      </c>
      <c r="B1" s="436"/>
      <c r="C1" s="436"/>
      <c r="D1" s="436"/>
      <c r="E1" s="436"/>
      <c r="F1" s="437" t="s">
        <v>52</v>
      </c>
      <c r="G1" s="437"/>
      <c r="H1" s="437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436" t="s">
        <v>53</v>
      </c>
      <c r="B2" s="436"/>
      <c r="C2" s="436"/>
      <c r="D2" s="436"/>
      <c r="E2" s="436"/>
      <c r="F2" s="438" t="s">
        <v>3</v>
      </c>
      <c r="G2" s="438"/>
      <c r="H2" s="438"/>
      <c r="I2" s="3"/>
      <c r="J2" s="3"/>
      <c r="K2" s="3"/>
      <c r="L2" s="3"/>
      <c r="M2" s="3"/>
    </row>
    <row r="3" spans="1:13" ht="39" customHeight="1" x14ac:dyDescent="0.6">
      <c r="A3" s="486" t="s">
        <v>41</v>
      </c>
      <c r="B3" s="486"/>
      <c r="C3" s="486"/>
      <c r="D3" s="486"/>
      <c r="E3" s="486"/>
    </row>
    <row r="4" spans="1:13" ht="15" customHeight="1" x14ac:dyDescent="0.55000000000000004">
      <c r="A4" s="450"/>
      <c r="B4" s="450"/>
      <c r="C4" s="450"/>
      <c r="D4" s="450"/>
      <c r="E4" s="450"/>
    </row>
    <row r="5" spans="1:13" ht="15" customHeight="1" x14ac:dyDescent="0.7">
      <c r="A5" s="376"/>
      <c r="B5" s="376"/>
      <c r="C5" s="376"/>
      <c r="D5" s="376"/>
      <c r="E5" s="376"/>
    </row>
    <row r="6" spans="1:13" ht="36" customHeight="1" x14ac:dyDescent="0.4">
      <c r="A6" s="510" t="s">
        <v>42</v>
      </c>
      <c r="B6" s="510"/>
      <c r="C6" s="510"/>
      <c r="D6" s="510"/>
      <c r="E6" s="510"/>
    </row>
    <row r="7" spans="1:13" s="44" customFormat="1" ht="22.5" customHeight="1" x14ac:dyDescent="0.25">
      <c r="A7" s="157" t="s">
        <v>56</v>
      </c>
      <c r="B7" s="157" t="s">
        <v>57</v>
      </c>
      <c r="C7" s="158" t="s">
        <v>58</v>
      </c>
      <c r="D7" s="158" t="s">
        <v>59</v>
      </c>
      <c r="E7" s="159" t="s">
        <v>60</v>
      </c>
      <c r="F7" s="144"/>
      <c r="G7" s="509"/>
      <c r="H7" s="509"/>
      <c r="I7" s="509"/>
      <c r="J7" s="509"/>
      <c r="K7" s="509"/>
      <c r="L7" s="509"/>
    </row>
    <row r="8" spans="1:13" s="32" customFormat="1" ht="14.25" customHeight="1" x14ac:dyDescent="0.3">
      <c r="A8" s="160">
        <v>4005100436</v>
      </c>
      <c r="B8" s="244" t="s">
        <v>1335</v>
      </c>
      <c r="C8" s="162">
        <v>945</v>
      </c>
      <c r="D8" s="69">
        <f>(OBSAH!$J$6/100)*Tabulka20107941041161271392129[[#This Row],[Sloupec3]]</f>
        <v>0</v>
      </c>
      <c r="E8" s="70">
        <f>Tabulka20107941041161271392129[[#This Row],[Sloupec3]]-Tabulka20107941041161271392129[[#This Row],[Sloupec4]]</f>
        <v>945</v>
      </c>
      <c r="F8" s="250"/>
    </row>
    <row r="9" spans="1:13" s="32" customFormat="1" ht="14.25" customHeight="1" x14ac:dyDescent="0.3">
      <c r="A9" s="160">
        <v>4005100476</v>
      </c>
      <c r="B9" s="168" t="s">
        <v>1336</v>
      </c>
      <c r="C9" s="165">
        <v>945</v>
      </c>
      <c r="D9" s="71">
        <f>(OBSAH!$J$6/100)*Tabulka20107941041161271392129[[#This Row],[Sloupec3]]</f>
        <v>0</v>
      </c>
      <c r="E9" s="57">
        <f>Tabulka20107941041161271392129[[#This Row],[Sloupec3]]-Tabulka20107941041161271392129[[#This Row],[Sloupec4]]</f>
        <v>945</v>
      </c>
      <c r="F9" s="250"/>
    </row>
    <row r="10" spans="1:13" s="32" customFormat="1" ht="14.25" customHeight="1" x14ac:dyDescent="0.3">
      <c r="A10" s="163">
        <v>4004005394</v>
      </c>
      <c r="B10" s="168" t="s">
        <v>1330</v>
      </c>
      <c r="C10" s="165">
        <v>1522</v>
      </c>
      <c r="D10" s="71">
        <f>(OBSAH!$J$6/100)*Tabulka20107941041161271392129[[#This Row],[Sloupec3]]</f>
        <v>0</v>
      </c>
      <c r="E10" s="57">
        <f>Tabulka20107941041161271392129[[#This Row],[Sloupec3]]-Tabulka20107941041161271392129[[#This Row],[Sloupec4]]</f>
        <v>1522</v>
      </c>
      <c r="F10" s="250"/>
    </row>
    <row r="11" spans="1:13" s="32" customFormat="1" ht="14.25" customHeight="1" x14ac:dyDescent="0.3">
      <c r="A11" s="163">
        <v>4004005391</v>
      </c>
      <c r="B11" s="168" t="s">
        <v>1329</v>
      </c>
      <c r="C11" s="165">
        <v>2168</v>
      </c>
      <c r="D11" s="71">
        <f>(OBSAH!$J$6/100)*Tabulka20107941041161271392129[[#This Row],[Sloupec3]]</f>
        <v>0</v>
      </c>
      <c r="E11" s="57">
        <f>Tabulka20107941041161271392129[[#This Row],[Sloupec3]]-Tabulka20107941041161271392129[[#This Row],[Sloupec4]]</f>
        <v>2168</v>
      </c>
      <c r="F11" s="250"/>
    </row>
    <row r="12" spans="1:13" s="32" customFormat="1" ht="14.25" customHeight="1" x14ac:dyDescent="0.3">
      <c r="A12" s="163">
        <v>4004005390</v>
      </c>
      <c r="B12" s="168" t="s">
        <v>1334</v>
      </c>
      <c r="C12" s="165">
        <v>2301</v>
      </c>
      <c r="D12" s="71">
        <f>(OBSAH!$J$6/100)*Tabulka20107941041161271392129[[#This Row],[Sloupec3]]</f>
        <v>0</v>
      </c>
      <c r="E12" s="57">
        <f>Tabulka20107941041161271392129[[#This Row],[Sloupec3]]-Tabulka20107941041161271392129[[#This Row],[Sloupec4]]</f>
        <v>2301</v>
      </c>
      <c r="F12" s="250"/>
    </row>
    <row r="13" spans="1:13" s="155" customFormat="1" ht="14.25" customHeight="1" x14ac:dyDescent="0.3">
      <c r="A13" s="163">
        <v>4110000392</v>
      </c>
      <c r="B13" s="168" t="s">
        <v>1410</v>
      </c>
      <c r="C13" s="71">
        <v>2900</v>
      </c>
      <c r="D13" s="71">
        <f>(OBSAH!$J$6/100)*Tabulka20107941041161271392129[[#This Row],[Sloupec3]]</f>
        <v>0</v>
      </c>
      <c r="E13" s="57">
        <f>Tabulka20107941041161271392129[[#This Row],[Sloupec3]]-Tabulka20107941041161271392129[[#This Row],[Sloupec4]]</f>
        <v>2900</v>
      </c>
      <c r="F13" s="250"/>
      <c r="I13" s="169"/>
    </row>
    <row r="14" spans="1:13" s="32" customFormat="1" ht="14.25" customHeight="1" x14ac:dyDescent="0.3">
      <c r="A14" s="163">
        <v>4004000801</v>
      </c>
      <c r="B14" s="168" t="s">
        <v>1333</v>
      </c>
      <c r="C14" s="165">
        <v>1943</v>
      </c>
      <c r="D14" s="71">
        <f>(OBSAH!$J$6/100)*Tabulka20107941041161271392129[[#This Row],[Sloupec3]]</f>
        <v>0</v>
      </c>
      <c r="E14" s="57">
        <f>Tabulka20107941041161271392129[[#This Row],[Sloupec3]]-Tabulka20107941041161271392129[[#This Row],[Sloupec4]]</f>
        <v>1943</v>
      </c>
      <c r="F14" s="250"/>
      <c r="I14" s="170"/>
    </row>
    <row r="15" spans="1:13" s="32" customFormat="1" ht="14.25" customHeight="1" x14ac:dyDescent="0.3">
      <c r="A15" s="163">
        <v>4004000800</v>
      </c>
      <c r="B15" s="168" t="s">
        <v>1332</v>
      </c>
      <c r="C15" s="165">
        <v>1777</v>
      </c>
      <c r="D15" s="71">
        <f>(OBSAH!$J$6/100)*Tabulka20107941041161271392129[[#This Row],[Sloupec3]]</f>
        <v>0</v>
      </c>
      <c r="E15" s="57">
        <f>Tabulka20107941041161271392129[[#This Row],[Sloupec3]]-Tabulka20107941041161271392129[[#This Row],[Sloupec4]]</f>
        <v>1777</v>
      </c>
      <c r="F15" s="250"/>
    </row>
    <row r="16" spans="1:13" s="32" customFormat="1" ht="14.25" customHeight="1" x14ac:dyDescent="0.3">
      <c r="A16" s="241">
        <v>4004000079</v>
      </c>
      <c r="B16" s="246" t="s">
        <v>1331</v>
      </c>
      <c r="C16" s="247">
        <v>1199</v>
      </c>
      <c r="D16" s="68">
        <f>(OBSAH!$J$6/100)*Tabulka20107941041161271392129[[#This Row],[Sloupec3]]</f>
        <v>0</v>
      </c>
      <c r="E16" s="58">
        <f>Tabulka20107941041161271392129[[#This Row],[Sloupec3]]-Tabulka20107941041161271392129[[#This Row],[Sloupec4]]</f>
        <v>1199</v>
      </c>
      <c r="F16" s="250"/>
    </row>
    <row r="17" spans="1:5" x14ac:dyDescent="0.4">
      <c r="A17" s="3"/>
      <c r="B17" s="3"/>
      <c r="C17" s="3"/>
      <c r="D17" s="3"/>
      <c r="E17" s="3"/>
    </row>
    <row r="18" spans="1:5" x14ac:dyDescent="0.4">
      <c r="A18" s="3"/>
      <c r="B18" s="3"/>
      <c r="C18" s="3"/>
      <c r="D18" s="3"/>
      <c r="E18" s="3"/>
    </row>
    <row r="19" spans="1:5" x14ac:dyDescent="0.4">
      <c r="A19" s="3"/>
      <c r="B19" s="3"/>
      <c r="C19" s="3"/>
      <c r="D19" s="3"/>
      <c r="E19" s="3"/>
    </row>
    <row r="20" spans="1:5" s="32" customFormat="1" ht="36" customHeight="1" x14ac:dyDescent="0.3">
      <c r="A20" s="510" t="s">
        <v>43</v>
      </c>
      <c r="B20" s="510"/>
      <c r="C20" s="510"/>
      <c r="D20" s="510"/>
      <c r="E20" s="510"/>
    </row>
    <row r="21" spans="1:5" s="32" customFormat="1" ht="22.5" customHeight="1" x14ac:dyDescent="0.3">
      <c r="A21" s="157" t="s">
        <v>56</v>
      </c>
      <c r="B21" s="157" t="s">
        <v>57</v>
      </c>
      <c r="C21" s="158" t="s">
        <v>58</v>
      </c>
      <c r="D21" s="158" t="s">
        <v>59</v>
      </c>
      <c r="E21" s="159" t="s">
        <v>60</v>
      </c>
    </row>
    <row r="22" spans="1:5" s="32" customFormat="1" ht="14.25" customHeight="1" x14ac:dyDescent="0.3">
      <c r="A22" s="160">
        <v>4004005623</v>
      </c>
      <c r="B22" s="240" t="s">
        <v>1337</v>
      </c>
      <c r="C22" s="69">
        <v>3016</v>
      </c>
      <c r="D22" s="69">
        <f>(OBSAH!$J$6/100)*Tabulka2010794104116127139212935[[#This Row],[Sloupec3]]</f>
        <v>0</v>
      </c>
      <c r="E22" s="70">
        <f>Tabulka2010794104116127139212935[[#This Row],[Sloupec3]]-Tabulka2010794104116127139212935[[#This Row],[Sloupec4]]</f>
        <v>3016</v>
      </c>
    </row>
    <row r="23" spans="1:5" s="32" customFormat="1" ht="14.25" customHeight="1" x14ac:dyDescent="0.3">
      <c r="A23" s="163">
        <v>4004005961</v>
      </c>
      <c r="B23" s="171" t="s">
        <v>1379</v>
      </c>
      <c r="C23" s="71">
        <v>1391</v>
      </c>
      <c r="D23" s="71">
        <f>(OBSAH!$J$6/100)*Tabulka2010794104116127139212935[[#This Row],[Sloupec3]]</f>
        <v>0</v>
      </c>
      <c r="E23" s="57">
        <f>Tabulka2010794104116127139212935[[#This Row],[Sloupec3]]-Tabulka2010794104116127139212935[[#This Row],[Sloupec4]]</f>
        <v>1391</v>
      </c>
    </row>
    <row r="24" spans="1:5" s="32" customFormat="1" ht="14.25" customHeight="1" x14ac:dyDescent="0.3">
      <c r="A24" s="163">
        <v>4004005624</v>
      </c>
      <c r="B24" s="171" t="s">
        <v>1380</v>
      </c>
      <c r="C24" s="71">
        <v>1391</v>
      </c>
      <c r="D24" s="71">
        <f>(OBSAH!$J$6/100)*Tabulka2010794104116127139212935[[#This Row],[Sloupec3]]</f>
        <v>0</v>
      </c>
      <c r="E24" s="57">
        <f>Tabulka2010794104116127139212935[[#This Row],[Sloupec3]]-Tabulka2010794104116127139212935[[#This Row],[Sloupec4]]</f>
        <v>1391</v>
      </c>
    </row>
    <row r="25" spans="1:5" s="32" customFormat="1" ht="14.25" customHeight="1" x14ac:dyDescent="0.3">
      <c r="A25" s="163">
        <v>4004005359</v>
      </c>
      <c r="B25" s="171" t="s">
        <v>1338</v>
      </c>
      <c r="C25" s="71">
        <v>1904</v>
      </c>
      <c r="D25" s="71">
        <f>(OBSAH!$J$6/100)*Tabulka2010794104116127139212935[[#This Row],[Sloupec3]]</f>
        <v>0</v>
      </c>
      <c r="E25" s="57">
        <f>Tabulka2010794104116127139212935[[#This Row],[Sloupec3]]-Tabulka2010794104116127139212935[[#This Row],[Sloupec4]]</f>
        <v>1904</v>
      </c>
    </row>
    <row r="26" spans="1:5" s="32" customFormat="1" ht="14.25" customHeight="1" x14ac:dyDescent="0.3">
      <c r="A26" s="163">
        <v>4004001366</v>
      </c>
      <c r="B26" s="171" t="s">
        <v>1339</v>
      </c>
      <c r="C26" s="71">
        <v>851</v>
      </c>
      <c r="D26" s="71">
        <f>(OBSAH!$J$6/100)*Tabulka2010794104116127139212935[[#This Row],[Sloupec3]]</f>
        <v>0</v>
      </c>
      <c r="E26" s="57">
        <f>Tabulka2010794104116127139212935[[#This Row],[Sloupec3]]-Tabulka2010794104116127139212935[[#This Row],[Sloupec4]]</f>
        <v>851</v>
      </c>
    </row>
    <row r="27" spans="1:5" s="32" customFormat="1" ht="14.25" customHeight="1" x14ac:dyDescent="0.3">
      <c r="A27" s="241">
        <v>4004005376</v>
      </c>
      <c r="B27" s="242" t="s">
        <v>1340</v>
      </c>
      <c r="C27" s="68">
        <v>6811</v>
      </c>
      <c r="D27" s="68">
        <f>(OBSAH!$J$6/100)*Tabulka2010794104116127139212935[[#This Row],[Sloupec3]]</f>
        <v>0</v>
      </c>
      <c r="E27" s="58">
        <f>Tabulka2010794104116127139212935[[#This Row],[Sloupec3]]-Tabulka2010794104116127139212935[[#This Row],[Sloupec4]]</f>
        <v>6811</v>
      </c>
    </row>
    <row r="28" spans="1:5" x14ac:dyDescent="0.4">
      <c r="A28" s="3"/>
      <c r="B28" s="3"/>
      <c r="C28" s="3"/>
      <c r="D28" s="3"/>
      <c r="E28" s="3"/>
    </row>
    <row r="29" spans="1:5" x14ac:dyDescent="0.4">
      <c r="A29" s="3"/>
      <c r="B29" s="3"/>
      <c r="C29" s="3"/>
      <c r="D29" s="3"/>
      <c r="E29" s="3"/>
    </row>
    <row r="30" spans="1:5" x14ac:dyDescent="0.4">
      <c r="A30" s="3"/>
      <c r="B30" s="3"/>
      <c r="C30" s="3"/>
      <c r="D30" s="3"/>
      <c r="E30" s="3"/>
    </row>
    <row r="31" spans="1:5" ht="36" customHeight="1" x14ac:dyDescent="0.4">
      <c r="A31" s="510" t="s">
        <v>44</v>
      </c>
      <c r="B31" s="510"/>
      <c r="C31" s="510"/>
      <c r="D31" s="510"/>
      <c r="E31" s="510"/>
    </row>
    <row r="32" spans="1:5" ht="22.5" customHeight="1" x14ac:dyDescent="0.4">
      <c r="A32" s="157" t="s">
        <v>56</v>
      </c>
      <c r="B32" s="157" t="s">
        <v>57</v>
      </c>
      <c r="C32" s="158" t="s">
        <v>58</v>
      </c>
      <c r="D32" s="158" t="s">
        <v>59</v>
      </c>
      <c r="E32" s="159" t="s">
        <v>60</v>
      </c>
    </row>
    <row r="33" spans="1:6" s="32" customFormat="1" ht="14.25" customHeight="1" x14ac:dyDescent="0.3">
      <c r="A33" s="160">
        <v>4004000081</v>
      </c>
      <c r="B33" s="240" t="s">
        <v>1341</v>
      </c>
      <c r="C33" s="69">
        <v>1334</v>
      </c>
      <c r="D33" s="69">
        <f>(OBSAH!$J$6/100)*Tabulka2010794104116127139141233036[[#This Row],[Sloupec3]]</f>
        <v>0</v>
      </c>
      <c r="E33" s="70">
        <f>Tabulka2010794104116127139141233036[[#This Row],[Sloupec3]]-Tabulka2010794104116127139141233036[[#This Row],[Sloupec4]]</f>
        <v>1334</v>
      </c>
      <c r="F33" s="249"/>
    </row>
    <row r="34" spans="1:6" s="32" customFormat="1" ht="14.25" customHeight="1" x14ac:dyDescent="0.3">
      <c r="A34" s="163">
        <v>4004005643</v>
      </c>
      <c r="B34" s="171" t="s">
        <v>1381</v>
      </c>
      <c r="C34" s="71">
        <v>1979</v>
      </c>
      <c r="D34" s="69">
        <f>(OBSAH!$J$6/100)*Tabulka2010794104116127139141233036[[#This Row],[Sloupec3]]</f>
        <v>0</v>
      </c>
      <c r="E34" s="70">
        <f>Tabulka2010794104116127139141233036[[#This Row],[Sloupec3]]-Tabulka2010794104116127139141233036[[#This Row],[Sloupec4]]</f>
        <v>1979</v>
      </c>
      <c r="F34" s="249"/>
    </row>
    <row r="35" spans="1:6" s="32" customFormat="1" ht="14.25" customHeight="1" x14ac:dyDescent="0.3">
      <c r="A35" s="112">
        <v>4004005156</v>
      </c>
      <c r="B35" s="113" t="s">
        <v>1342</v>
      </c>
      <c r="C35" s="71">
        <v>1026</v>
      </c>
      <c r="D35" s="71">
        <f>(OBSAH!$J$6/100)*Tabulka2010794104116127139141233036[[#This Row],[Sloupec3]]</f>
        <v>0</v>
      </c>
      <c r="E35" s="57">
        <f>Tabulka2010794104116127139141233036[[#This Row],[Sloupec3]]-Tabulka2010794104116127139141233036[[#This Row],[Sloupec4]]</f>
        <v>1026</v>
      </c>
      <c r="F35" s="249"/>
    </row>
    <row r="36" spans="1:6" x14ac:dyDescent="0.4">
      <c r="A36" s="172"/>
      <c r="B36" s="172"/>
      <c r="C36" s="172"/>
      <c r="D36" s="61"/>
      <c r="E36" s="62"/>
    </row>
    <row r="37" spans="1:6" x14ac:dyDescent="0.4">
      <c r="A37" s="3"/>
      <c r="B37" s="3"/>
      <c r="C37" s="3"/>
      <c r="D37" s="3"/>
      <c r="E37" s="3"/>
    </row>
    <row r="40" spans="1:6" ht="19.75" x14ac:dyDescent="0.4">
      <c r="A40" s="511"/>
      <c r="B40" s="511"/>
      <c r="C40" s="511"/>
      <c r="D40" s="511"/>
      <c r="E40" s="511"/>
    </row>
    <row r="41" spans="1:6" x14ac:dyDescent="0.4">
      <c r="A41" s="173"/>
      <c r="B41" s="173"/>
      <c r="C41" s="174"/>
      <c r="D41" s="174"/>
      <c r="E41" s="175"/>
    </row>
    <row r="42" spans="1:6" x14ac:dyDescent="0.4">
      <c r="A42" s="176"/>
      <c r="B42" s="176"/>
      <c r="C42" s="177"/>
      <c r="D42" s="178"/>
      <c r="E42" s="179"/>
    </row>
    <row r="43" spans="1:6" x14ac:dyDescent="0.4">
      <c r="A43" s="176"/>
      <c r="B43" s="176"/>
      <c r="C43" s="177"/>
      <c r="D43" s="178"/>
      <c r="E43" s="179"/>
    </row>
    <row r="44" spans="1:6" x14ac:dyDescent="0.4">
      <c r="A44" s="176"/>
      <c r="B44" s="176"/>
      <c r="C44" s="177"/>
      <c r="D44" s="178"/>
      <c r="E44" s="179"/>
    </row>
  </sheetData>
  <mergeCells count="12">
    <mergeCell ref="G7:L7"/>
    <mergeCell ref="A20:E20"/>
    <mergeCell ref="A1:E1"/>
    <mergeCell ref="F1:H1"/>
    <mergeCell ref="A2:E2"/>
    <mergeCell ref="F2:H2"/>
    <mergeCell ref="A3:E3"/>
    <mergeCell ref="A31:E31"/>
    <mergeCell ref="A40:E40"/>
    <mergeCell ref="A4:E4"/>
    <mergeCell ref="A5:E5"/>
    <mergeCell ref="A6:E6"/>
  </mergeCells>
  <hyperlinks>
    <hyperlink ref="F2" location="OBSAH!I128" display="PŘEJÍT NA UPOZORNĚNÍ" xr:uid="{00000000-0004-0000-0D00-000000000000}"/>
  </hyperlinks>
  <pageMargins left="0.7" right="0.7" top="0.78749999999999998" bottom="0.78749999999999998" header="0.51180555555555496" footer="0.51180555555555496"/>
  <pageSetup paperSize="9" firstPageNumber="0" orientation="landscape" horizontalDpi="300" verticalDpi="300"/>
  <drawing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</vt:i4>
      </vt:variant>
    </vt:vector>
  </HeadingPairs>
  <TitlesOfParts>
    <vt:vector size="14" baseType="lpstr">
      <vt:lpstr>OBSAH</vt:lpstr>
      <vt:lpstr>DOMOVNÍ TELEFONY</vt:lpstr>
      <vt:lpstr>MELODY GENOVA S KLÁVESNICÍ</vt:lpstr>
      <vt:lpstr>MELODY GENOVA S TLAČÍTKY</vt:lpstr>
      <vt:lpstr>DUO plus+ GENOVA S KLÁVESNICÍ</vt:lpstr>
      <vt:lpstr>DUO plus+ GENOVA S TLAČÍTKY</vt:lpstr>
      <vt:lpstr>DUO St. GEN. a FlatLine S KLÁV.</vt:lpstr>
      <vt:lpstr>DUO Standard GENOVA S TLAČÍTKY</vt:lpstr>
      <vt:lpstr>4+N-05-17 GENOVA S TLAČÍTKY</vt:lpstr>
      <vt:lpstr>4+N-05-16 GENOVA S TLAČÍTKY</vt:lpstr>
      <vt:lpstr>SADY A TLAČÍTKA BEZ KOM.</vt:lpstr>
      <vt:lpstr>PŘÍSTUPOVÉ SYSTÉMY</vt:lpstr>
      <vt:lpstr>DOPLŇKY K TABLŮM A TELEFONŮM</vt:lpstr>
      <vt:lpstr>VŠE DO ROZVADĚČŮ A STOUPAČEK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Halfar</dc:creator>
  <cp:lastModifiedBy>David Halfar</cp:lastModifiedBy>
  <cp:revision>1</cp:revision>
  <cp:lastPrinted>2022-11-30T10:02:48Z</cp:lastPrinted>
  <dcterms:created xsi:type="dcterms:W3CDTF">2006-09-16T00:00:00Z</dcterms:created>
  <dcterms:modified xsi:type="dcterms:W3CDTF">2023-11-29T14:37:09Z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