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66925"/>
  <mc:AlternateContent xmlns:mc="http://schemas.openxmlformats.org/markup-compatibility/2006">
    <mc:Choice Requires="x15">
      <x15ac:absPath xmlns:x15ac="http://schemas.microsoft.com/office/spreadsheetml/2010/11/ac" url="https://undp.sharepoint.com/sites/GFCRSecretariat689/Shared Documents/Resources and Files/03 Programming/21 Technical Assistance/Final materials/"/>
    </mc:Choice>
  </mc:AlternateContent>
  <xr:revisionPtr revIDLastSave="0" documentId="8_{1E5B6398-37D8-43F6-9D79-55EC3C79ADCC}" xr6:coauthVersionLast="47" xr6:coauthVersionMax="47" xr10:uidLastSave="{00000000-0000-0000-0000-000000000000}"/>
  <bookViews>
    <workbookView xWindow="-28920" yWindow="-5625" windowWidth="29040" windowHeight="15720" tabRatio="898" firstSheet="2" activeTab="2" xr2:uid="{00000000-000D-0000-FFFF-FFFF00000000}"/>
  </bookViews>
  <sheets>
    <sheet name="A. Work Plan -" sheetId="19" state="hidden" r:id="rId1"/>
    <sheet name="Guidance" sheetId="28" r:id="rId2"/>
    <sheet name="A. Budget by Outcome" sheetId="20" r:id="rId3"/>
    <sheet name="B. Workplan" sheetId="23" r:id="rId4"/>
    <sheet name="C. Budget UNDG Categories" sheetId="29" r:id="rId5"/>
    <sheet name="Staffing Notes" sheetId="24" state="hidden"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xlnm._FilterDatabase" localSheetId="2" hidden="1">'A. Budget by Outcome'!$A$5:$P$134</definedName>
    <definedName name="AGE">'[1]C. Budget by Outcome '!$E:$E</definedName>
    <definedName name="ass">#REF!</definedName>
    <definedName name="bb">'[2]C. Budget by Outcome '!$Y$1:$Y$7</definedName>
    <definedName name="CAT">'[1]C. Budget by Outcome '!$K:$K</definedName>
    <definedName name="Components">#REF!</definedName>
    <definedName name="CostInpInCmpInHealthProd">OFFSET([3]CostInpInCmpInSFpsmCat!$D$3,0,0,[3]CostInpInCmpInSFpsmCat!$D$1,1)</definedName>
    <definedName name="DiseaseComponent">#REF!</definedName>
    <definedName name="Grantcycle">[4]Definitions!#REF!</definedName>
    <definedName name="IMPLEMENTATION_PHASE">[4]Definitions!#REF!</definedName>
    <definedName name="listH">[4]Definitions!#REF!</definedName>
    <definedName name="listie">[4]Definitions!$B$31:$B$38</definedName>
    <definedName name="listnew">#REF!</definedName>
    <definedName name="listS">#REF!</definedName>
    <definedName name="listsda">#REF!</definedName>
    <definedName name="listserv">#REF!</definedName>
    <definedName name="MacrocategoriesALL">[4]Definitions!$B$127:$B$149</definedName>
    <definedName name="ModulesInCmp">OFFSET([3]ModInCmp!$C$2,0,0,NbrOfModulesInCmp,1)</definedName>
    <definedName name="NbrOfModulesInCmp">COUNT([3]ModInCmp!$A$1:$A$65536)</definedName>
    <definedName name="ProductsComp">INDIRECT([5]REST!$M1)</definedName>
    <definedName name="Prueba">#REF!</definedName>
    <definedName name="Revisión_y_actualización_de_materiales._Incorporación_de_nuevos_módulos_de_trabajo_en_Poder_Legisltivo">'[6]C. Budget by Outcome'!#REF!</definedName>
    <definedName name="SD">#REF!</definedName>
    <definedName name="SDA">#REF!</definedName>
    <definedName name="SPOT">'[1]C. Budget by Outcome '!$M:$M</definedName>
    <definedName name="UN">'[1]C. Budget by Outcome '!$N:$N</definedName>
    <definedName name="UNDG_1">'[7]C. Budget by Outcome '!$Z$1:$Z$7</definedName>
    <definedName name="UNDG_Budget_Category__1_7">#REF!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 i="20" l="1"/>
  <c r="M36" i="20" s="1"/>
  <c r="AE35" i="23"/>
  <c r="G11" i="29"/>
  <c r="G8" i="29"/>
  <c r="G7" i="29"/>
  <c r="F12" i="29"/>
  <c r="F11" i="29"/>
  <c r="F8" i="29"/>
  <c r="F7" i="29"/>
  <c r="E11" i="29"/>
  <c r="E8" i="29"/>
  <c r="E7" i="29"/>
  <c r="D8" i="29"/>
  <c r="D7" i="29"/>
  <c r="C11" i="29"/>
  <c r="C10" i="29"/>
  <c r="C8" i="29"/>
  <c r="C7" i="29"/>
  <c r="B8" i="29"/>
  <c r="L36" i="20" l="1"/>
  <c r="A35" i="23"/>
  <c r="A38" i="23"/>
  <c r="A17" i="23"/>
  <c r="J18" i="23"/>
  <c r="J17" i="23"/>
  <c r="L42" i="20"/>
  <c r="M46" i="20"/>
  <c r="D12" i="29" s="1"/>
  <c r="L46" i="20"/>
  <c r="M42" i="20"/>
  <c r="D10" i="29" s="1"/>
  <c r="N18" i="20"/>
  <c r="L47" i="20"/>
  <c r="L22" i="20"/>
  <c r="N25" i="20"/>
  <c r="N28" i="20"/>
  <c r="M28" i="20" s="1"/>
  <c r="N14" i="20"/>
  <c r="L14" i="20" s="1"/>
  <c r="N121" i="20"/>
  <c r="L121" i="20" s="1"/>
  <c r="L130" i="20"/>
  <c r="N130" i="20" s="1"/>
  <c r="L103" i="20"/>
  <c r="L141" i="20"/>
  <c r="A34" i="23"/>
  <c r="J37" i="23"/>
  <c r="J23" i="23"/>
  <c r="J22" i="23"/>
  <c r="J21" i="23"/>
  <c r="J20" i="23"/>
  <c r="A20" i="23"/>
  <c r="J16" i="23"/>
  <c r="J15" i="23"/>
  <c r="J14" i="23"/>
  <c r="J13" i="23"/>
  <c r="A13" i="23"/>
  <c r="J12" i="23"/>
  <c r="J11" i="23"/>
  <c r="J10" i="23"/>
  <c r="J9" i="23"/>
  <c r="J8" i="23"/>
  <c r="J7" i="23"/>
  <c r="A7" i="23"/>
  <c r="L28" i="20" l="1"/>
  <c r="M14" i="20"/>
  <c r="C12" i="29"/>
  <c r="N132" i="20"/>
  <c r="M105" i="20"/>
  <c r="M98" i="20"/>
  <c r="N103" i="20"/>
  <c r="N105" i="20" s="1"/>
  <c r="N109" i="20"/>
  <c r="F10" i="29" s="1"/>
  <c r="L96" i="20"/>
  <c r="L148" i="20"/>
  <c r="M140" i="20"/>
  <c r="L140" i="20"/>
  <c r="L132" i="20"/>
  <c r="AD33" i="23" s="1"/>
  <c r="L111" i="20"/>
  <c r="L110" i="20"/>
  <c r="L95" i="20"/>
  <c r="L94" i="20"/>
  <c r="M72" i="20"/>
  <c r="D11" i="29" s="1"/>
  <c r="N71" i="20"/>
  <c r="M71" i="20" s="1"/>
  <c r="L67" i="20"/>
  <c r="N56" i="20"/>
  <c r="M56" i="20"/>
  <c r="N53" i="20"/>
  <c r="M53" i="20"/>
  <c r="L29" i="20"/>
  <c r="M29" i="20"/>
  <c r="L11" i="20"/>
  <c r="N139" i="20"/>
  <c r="L139" i="20" s="1"/>
  <c r="N63" i="20"/>
  <c r="L63" i="20" l="1"/>
  <c r="B12" i="29" s="1"/>
  <c r="E12" i="29"/>
  <c r="G12" i="29"/>
  <c r="B11" i="29"/>
  <c r="B7" i="29"/>
  <c r="N96" i="20"/>
  <c r="N98" i="20" s="1"/>
  <c r="L105" i="20"/>
  <c r="L98" i="20"/>
  <c r="M73" i="20"/>
  <c r="M57" i="20"/>
  <c r="N57" i="20"/>
  <c r="AD17" i="23" s="1"/>
  <c r="M139" i="20"/>
  <c r="N15" i="20" l="1"/>
  <c r="N147" i="20"/>
  <c r="N144" i="20"/>
  <c r="N138" i="20"/>
  <c r="AD35" i="23" s="1"/>
  <c r="M111" i="20"/>
  <c r="M110" i="20"/>
  <c r="N10" i="20"/>
  <c r="N68" i="20"/>
  <c r="L68" i="20" s="1"/>
  <c r="N62" i="20"/>
  <c r="N45" i="20"/>
  <c r="N41" i="20"/>
  <c r="N40" i="20"/>
  <c r="N39" i="20"/>
  <c r="N33" i="20"/>
  <c r="N21" i="20"/>
  <c r="N97" i="20"/>
  <c r="N99" i="20" s="1"/>
  <c r="N82" i="20"/>
  <c r="N111" i="20"/>
  <c r="N104" i="20"/>
  <c r="L104" i="20" s="1"/>
  <c r="L106" i="20" s="1"/>
  <c r="N116" i="20"/>
  <c r="L116" i="20" s="1"/>
  <c r="N133" i="20"/>
  <c r="N87" i="20"/>
  <c r="N88" i="20"/>
  <c r="L88" i="20" s="1"/>
  <c r="N83" i="20"/>
  <c r="N110" i="20"/>
  <c r="F6" i="29" l="1"/>
  <c r="L62" i="20"/>
  <c r="L15" i="20"/>
  <c r="B10" i="29" s="1"/>
  <c r="E10" i="29"/>
  <c r="G10" i="29"/>
  <c r="L41" i="20"/>
  <c r="M41" i="20"/>
  <c r="M45" i="20"/>
  <c r="M48" i="20" s="1"/>
  <c r="L45" i="20"/>
  <c r="M40" i="20"/>
  <c r="L40" i="20"/>
  <c r="L21" i="20"/>
  <c r="L23" i="20" s="1"/>
  <c r="M21" i="20"/>
  <c r="M23" i="20" s="1"/>
  <c r="M138" i="20"/>
  <c r="L138" i="20"/>
  <c r="L142" i="20" s="1"/>
  <c r="L144" i="20"/>
  <c r="L145" i="20" s="1"/>
  <c r="M144" i="20"/>
  <c r="M145" i="20" s="1"/>
  <c r="L39" i="20"/>
  <c r="M39" i="20"/>
  <c r="L16" i="20"/>
  <c r="L64" i="20"/>
  <c r="M16" i="20"/>
  <c r="N106" i="20"/>
  <c r="N84" i="20"/>
  <c r="M84" i="20"/>
  <c r="L83" i="20"/>
  <c r="L84" i="20" s="1"/>
  <c r="L133" i="20"/>
  <c r="AE33" i="23" s="1"/>
  <c r="L87" i="20"/>
  <c r="N142" i="20"/>
  <c r="M106" i="20"/>
  <c r="M147" i="20"/>
  <c r="M149" i="20" s="1"/>
  <c r="L147" i="20"/>
  <c r="L149" i="20" s="1"/>
  <c r="L33" i="20"/>
  <c r="L34" i="20" s="1"/>
  <c r="M33" i="20"/>
  <c r="N34" i="20"/>
  <c r="M25" i="20"/>
  <c r="M26" i="20" s="1"/>
  <c r="L25" i="20"/>
  <c r="L26" i="20" s="1"/>
  <c r="M37" i="20"/>
  <c r="L37" i="20"/>
  <c r="N37" i="20"/>
  <c r="M18" i="20"/>
  <c r="M19" i="20" s="1"/>
  <c r="L18" i="20"/>
  <c r="L19" i="20" s="1"/>
  <c r="L48" i="20"/>
  <c r="M10" i="20"/>
  <c r="M12" i="20" s="1"/>
  <c r="L10" i="20"/>
  <c r="L82" i="20"/>
  <c r="M99" i="20"/>
  <c r="L97" i="20"/>
  <c r="L99" i="20" s="1"/>
  <c r="N73" i="20"/>
  <c r="N12" i="20"/>
  <c r="M92" i="20"/>
  <c r="L73" i="20"/>
  <c r="M64" i="20"/>
  <c r="L150" i="20" l="1"/>
  <c r="D6" i="29"/>
  <c r="M34" i="20"/>
  <c r="D9" i="29"/>
  <c r="D13" i="29" s="1"/>
  <c r="D14" i="29" s="1"/>
  <c r="D15" i="29" s="1"/>
  <c r="L12" i="20"/>
  <c r="L30" i="20" s="1"/>
  <c r="C6" i="29"/>
  <c r="M142" i="20"/>
  <c r="M150" i="20" s="1"/>
  <c r="L85" i="20"/>
  <c r="L43" i="20"/>
  <c r="M43" i="20"/>
  <c r="N90" i="20" l="1"/>
  <c r="N124" i="20"/>
  <c r="N117" i="20"/>
  <c r="L117" i="20" s="1"/>
  <c r="L118" i="20" s="1"/>
  <c r="N89" i="20"/>
  <c r="E9" i="29" l="1"/>
  <c r="N92" i="20"/>
  <c r="L89" i="20"/>
  <c r="N91" i="20"/>
  <c r="N112" i="20" s="1"/>
  <c r="L124" i="20"/>
  <c r="L90" i="20"/>
  <c r="M118" i="20"/>
  <c r="M112" i="20"/>
  <c r="M134" i="20" s="1"/>
  <c r="B9" i="29" l="1"/>
  <c r="L92" i="20"/>
  <c r="L113" i="20" s="1"/>
  <c r="AE25" i="23" s="1"/>
  <c r="L125" i="20"/>
  <c r="L91" i="20"/>
  <c r="L112" i="20" s="1"/>
  <c r="N149" i="20"/>
  <c r="AD42" i="23" s="1"/>
  <c r="N145" i="20"/>
  <c r="AD38" i="23" s="1"/>
  <c r="N76" i="20"/>
  <c r="N66" i="20"/>
  <c r="N64" i="20"/>
  <c r="N26" i="20"/>
  <c r="N23" i="20"/>
  <c r="N19" i="20"/>
  <c r="N16" i="20"/>
  <c r="L66" i="20" l="1"/>
  <c r="B6" i="29" s="1"/>
  <c r="B13" i="29" s="1"/>
  <c r="B14" i="29" s="1"/>
  <c r="B15" i="29" s="1"/>
  <c r="G6" i="29"/>
  <c r="E6" i="29"/>
  <c r="E13" i="29" s="1"/>
  <c r="E14" i="29" s="1"/>
  <c r="E15" i="29" s="1"/>
  <c r="AD25" i="23"/>
  <c r="L126" i="20"/>
  <c r="L134" i="20" s="1"/>
  <c r="AD30" i="23"/>
  <c r="N150" i="20"/>
  <c r="N69" i="20"/>
  <c r="N77" i="20" s="1"/>
  <c r="M69" i="20"/>
  <c r="M78" i="20" s="1"/>
  <c r="N29" i="20"/>
  <c r="N30" i="20" s="1"/>
  <c r="AD7" i="23" s="1"/>
  <c r="M30" i="20"/>
  <c r="M49" i="20"/>
  <c r="L49" i="20"/>
  <c r="N48" i="20"/>
  <c r="N43" i="20"/>
  <c r="L69" i="20" l="1"/>
  <c r="L78" i="20" s="1"/>
  <c r="N49" i="20"/>
  <c r="AD13" i="23" s="1"/>
  <c r="N78" i="20"/>
  <c r="AD20" i="23"/>
  <c r="M58" i="20"/>
  <c r="M151" i="20" s="1"/>
  <c r="L58" i="20"/>
  <c r="L151" i="20" l="1"/>
  <c r="L152" i="20" s="1"/>
  <c r="L153" i="20" s="1"/>
  <c r="L157" i="20" s="1"/>
  <c r="N58" i="20"/>
  <c r="M152" i="20"/>
  <c r="M153" i="20" s="1"/>
  <c r="M157" i="20" s="1"/>
  <c r="N120" i="20"/>
  <c r="N125" i="20"/>
  <c r="N118" i="20"/>
  <c r="N85" i="20"/>
  <c r="N113" i="20" s="1"/>
  <c r="J125" i="20"/>
  <c r="N157" i="20" l="1"/>
  <c r="G9" i="29"/>
  <c r="G13" i="29" s="1"/>
  <c r="G14" i="29" s="1"/>
  <c r="G15" i="29" s="1"/>
  <c r="F9" i="29"/>
  <c r="F13" i="29" s="1"/>
  <c r="F14" i="29" s="1"/>
  <c r="F15" i="29" s="1"/>
  <c r="L120" i="20"/>
  <c r="N126" i="20"/>
  <c r="N122" i="20"/>
  <c r="N127" i="20" s="1"/>
  <c r="N135" i="20" s="1"/>
  <c r="C9" i="29" l="1"/>
  <c r="C13" i="29" s="1"/>
  <c r="C14" i="29" s="1"/>
  <c r="C15" i="29" s="1"/>
  <c r="L122" i="20"/>
  <c r="L127" i="20" s="1"/>
  <c r="M122" i="20"/>
  <c r="N134" i="20"/>
  <c r="L135" i="20" l="1"/>
  <c r="L154" i="20" s="1"/>
  <c r="AE30" i="23"/>
  <c r="N151" i="20"/>
  <c r="N152" i="20" s="1"/>
  <c r="L155" i="20" l="1"/>
  <c r="L156" i="20" s="1"/>
  <c r="N156" i="20" s="1"/>
  <c r="N153" i="20"/>
  <c r="F32" i="24" l="1"/>
  <c r="F33" i="24"/>
  <c r="B31" i="24"/>
  <c r="B32" i="24"/>
  <c r="B33" i="24"/>
  <c r="B34" i="24" s="1"/>
  <c r="B35" i="24" s="1"/>
  <c r="B23" i="24"/>
  <c r="B24" i="24" s="1"/>
  <c r="B25" i="24" s="1"/>
  <c r="B26" i="24" s="1"/>
  <c r="B27" i="24" s="1"/>
  <c r="B16" i="24"/>
  <c r="B17" i="24" s="1"/>
  <c r="B18" i="24" s="1"/>
  <c r="B19" i="24" s="1"/>
  <c r="B20" i="24" s="1"/>
  <c r="B9" i="24"/>
  <c r="B10" i="24"/>
  <c r="I28" i="19"/>
  <c r="H28" i="19"/>
  <c r="J27" i="19"/>
  <c r="J25" i="19"/>
  <c r="J23" i="19"/>
  <c r="J28" i="19" s="1"/>
  <c r="J21" i="19"/>
  <c r="I17" i="19"/>
  <c r="H17" i="19"/>
  <c r="J16" i="19"/>
  <c r="J15" i="19"/>
  <c r="J14" i="19"/>
  <c r="A14" i="19"/>
  <c r="J13" i="19"/>
  <c r="A13" i="19"/>
  <c r="A15" i="19" s="1"/>
  <c r="I11" i="19"/>
  <c r="I18" i="19"/>
  <c r="I29" i="19" s="1"/>
  <c r="H11" i="19"/>
  <c r="H18" i="19" s="1"/>
  <c r="H29" i="19" s="1"/>
  <c r="J10" i="19"/>
  <c r="J9" i="19"/>
  <c r="J8" i="19"/>
  <c r="J7" i="19"/>
  <c r="A7" i="19"/>
  <c r="A9" i="19" s="1"/>
  <c r="J17" i="19" l="1"/>
  <c r="A16" i="19"/>
  <c r="J11" i="19"/>
  <c r="J18" i="19" s="1"/>
  <c r="A8" i="19"/>
  <c r="A10" i="19" s="1"/>
  <c r="H30" i="19"/>
  <c r="I30" i="19"/>
  <c r="I31" i="19" s="1"/>
  <c r="J29" i="19"/>
  <c r="J30" i="19" l="1"/>
  <c r="J31" i="19"/>
  <c r="H31" i="19"/>
</calcChain>
</file>

<file path=xl/sharedStrings.xml><?xml version="1.0" encoding="utf-8"?>
<sst xmlns="http://schemas.openxmlformats.org/spreadsheetml/2006/main" count="749" uniqueCount="491">
  <si>
    <t>WORK PLAN</t>
  </si>
  <si>
    <t>Joint SDG Fund - GFCR Fiji</t>
  </si>
  <si>
    <t>Outcome</t>
  </si>
  <si>
    <t xml:space="preserve">Output </t>
  </si>
  <si>
    <t xml:space="preserve">Outcome/Output Description </t>
  </si>
  <si>
    <t xml:space="preserve">TIME FRAME </t>
  </si>
  <si>
    <t>PLANNED BUDGET</t>
  </si>
  <si>
    <t>Recipient UN organization</t>
  </si>
  <si>
    <t>Implementing Partners</t>
  </si>
  <si>
    <t>Y1</t>
  </si>
  <si>
    <t>Y2</t>
  </si>
  <si>
    <t>Y3</t>
  </si>
  <si>
    <t>Y4</t>
  </si>
  <si>
    <t>Joint SDG Fund</t>
  </si>
  <si>
    <t>Global Fund for Coral Reefs</t>
  </si>
  <si>
    <t>Total USD</t>
  </si>
  <si>
    <t>A. PROGRAMME OUTCOME COSTS</t>
  </si>
  <si>
    <t>Outcome 1: Protection and effective management of Fijian priority coral reef sites and climate change-affected refugia are sustainably financed</t>
  </si>
  <si>
    <t>Output 1.1: Increased area of new climate refugia and priority sites designated as MPAs or LMMAs</t>
  </si>
  <si>
    <t>x</t>
  </si>
  <si>
    <t>Output 1.2: Established SPEs financed by revenue generation activities within and around LMMAs and a blended finance facility with high leverage potential for the private sector</t>
  </si>
  <si>
    <t xml:space="preserve">Output 1.3: Strengthened management, enforcement and monitoring systems of LMMAs by SPEs.  </t>
  </si>
  <si>
    <t>Output 1.4: Established coral reef and ridge to reef conservation legal and regulatory frameworks to promote protection and mitigation of local threats.</t>
  </si>
  <si>
    <t>Sub-total Outcome 1</t>
  </si>
  <si>
    <t>Outcome 2: Transforming the livelihoods of coral reef-dependent communities</t>
  </si>
  <si>
    <t>Output 2.1: Established Technical Assistance Facility, managed by local investment manager Matanataki, supported by UNCDF to develop a pipeline of investment ready reef-positive sustainable businesses and projects with an emphasis on employing local community members, especially women and youth</t>
  </si>
  <si>
    <t xml:space="preserve">Output 2.2: Mobilized public and private investment in priority sustainable initiatives related to addressing coral reef degradation drivers </t>
  </si>
  <si>
    <t xml:space="preserve">Output 2.3: Strengthened and harmonized policies, strategies, plans and financing from the government of Fiji for improved environmental biodiversity protection </t>
  </si>
  <si>
    <t>Output 2.4: Establish recognition, rewards and monitoring systems to incentivize the private sector to act sustainably</t>
  </si>
  <si>
    <t>Sub-total Outcome 2</t>
  </si>
  <si>
    <t>TOTAL PROGRAMME OUTCOME COSTS</t>
  </si>
  <si>
    <t>B. PROGRAMME MANAGMENT COSTS</t>
  </si>
  <si>
    <t>UNDP</t>
  </si>
  <si>
    <t>N/A</t>
  </si>
  <si>
    <t>UNCDF</t>
  </si>
  <si>
    <t>UNEP</t>
  </si>
  <si>
    <t>EVALUATION</t>
  </si>
  <si>
    <t>Evaluation</t>
  </si>
  <si>
    <t>TOTAL PROGRAMME MANAGMENT COSTS</t>
  </si>
  <si>
    <t>TOTAL DIRECT PROGRAMME COSTS</t>
  </si>
  <si>
    <t>Total Indirect Support Cost - GMS (7%)</t>
  </si>
  <si>
    <t>TOTAL COSTS</t>
  </si>
  <si>
    <t>Guidance Sheet: A. Budget by Outcome</t>
  </si>
  <si>
    <t>Overview</t>
  </si>
  <si>
    <t xml:space="preserve">The purpose of this sheet is for the Convening Agent to provide a detailed budget of the programme, down to the level of budget lines per activity. It is recommended to begin with Sheet A as it will auto-populate Sheets B and C with Outcome and Output names as well as financial sums. The budget should mirror the Outcomes, Outputs and Activities in the Programme Document. The GFCR deploys funding in 18-month tranches to ensure flexibility for adaptive programming and programme progress oversight. Once 80% of the funding is expnded or committed, the Conveing Agent will develop a subsequent budget and workplan for the following 18-month of implementation that will be review by the GFCR Global Team and Executive Board. This template should be developed in close collaboration with the implementing partners of the programme to reflect accurate needs, timeline and milestones. 
Please note, the overall high-level needs of the programme for the full lifetime of the programme should still be presented in the narrative of the programme proposal. </t>
  </si>
  <si>
    <t>Indicate the Name of the Outcome. Outcomes represent changes in the institutional or
behavioral capacities for development conditions that occur between the completion of outputs and the achievement of predefined overarching goals.</t>
  </si>
  <si>
    <t>Output</t>
  </si>
  <si>
    <t>Indicate the Name of the Output. Outputs are changes in skills or abilities and capacities of individuals or institutions, or the availability of new products and services that result from the completion of activities within a development intervention within the control of
the organization. They are achieved with the resources provided and within the time period specified.</t>
  </si>
  <si>
    <t>Activity</t>
  </si>
  <si>
    <t>Provide the name of the Output's activity that adequately describes the objective of the activity. Actions taken or work performed through which inputs, such as funds, technical assistance and other types of resources, are mobilized to produce specific outputs.</t>
  </si>
  <si>
    <t>Budget Lines</t>
  </si>
  <si>
    <t>Short description of the budget line within the activity.</t>
  </si>
  <si>
    <t>UNDG Budget Category (1-7)</t>
  </si>
  <si>
    <r>
      <t xml:space="preserve">UNDG Budget Categories are used by the UN Multi-Partner Trust Fund Office for accounting purposes. In Sheet C you will find a summary of the Budget by UNDG Categories. The Convening Agent should indicate the UNDG Budget Category </t>
    </r>
    <r>
      <rPr>
        <b/>
        <sz val="10"/>
        <color rgb="FF000000"/>
        <rFont val="Arial"/>
        <family val="2"/>
      </rPr>
      <t>with only a number between 1-7</t>
    </r>
    <r>
      <rPr>
        <sz val="10"/>
        <color rgb="FF000000"/>
        <rFont val="Arial"/>
        <family val="2"/>
      </rPr>
      <t xml:space="preserve">. This will ensure that the formulas in sheet C. Budget UNDG Categories are able to populate correctly. For guidance on what category to use, refer to the link on the right. </t>
    </r>
  </si>
  <si>
    <t>https://proposals.sdgfund.org/node/69</t>
  </si>
  <si>
    <t xml:space="preserve">Recipient Organization </t>
  </si>
  <si>
    <r>
      <t xml:space="preserve">Organizations that will receive funding directly from the GFCR. This includes the Convening Agent, and can also include UNCDF, or another core partner. There should not be more than three recipient organizations.  If UNCDF is a Recipient Organization </t>
    </r>
    <r>
      <rPr>
        <b/>
        <sz val="10"/>
        <color rgb="FF000000"/>
        <rFont val="Arial"/>
        <family val="2"/>
      </rPr>
      <t>do not include any staff costs</t>
    </r>
    <r>
      <rPr>
        <sz val="10"/>
        <color rgb="FF000000"/>
        <rFont val="Arial"/>
        <family val="2"/>
      </rPr>
      <t>, this is accounted for at the UNCDF Blue Bridge Global Level. The only budget category that should be used for UNCDF is #6 Transfers and Grants to Counterparts.</t>
    </r>
  </si>
  <si>
    <t>Implementing Partner (if any)</t>
  </si>
  <si>
    <t>For implementing partners that do not recieve grants from the GFCR but have funding flow through a Recipient Organization, indicate the implementing organisation in Column G. Leave blank if there is no additional Implementing Partner besides the Recipient Organisation.</t>
  </si>
  <si>
    <t>Unit Quantity</t>
  </si>
  <si>
    <t xml:space="preserve">How many units are needed for the Budget Line activity. The unit reflects the number of times the budget line activity is needed. For example, if two MPA business plans need to be completed, the number “2” can be inserted. It can also refer to the number of consultants. </t>
  </si>
  <si>
    <t>Unit Cost (USD)</t>
  </si>
  <si>
    <t xml:space="preserve">The per unit cost in USD.  
</t>
  </si>
  <si>
    <t>Duration</t>
  </si>
  <si>
    <t xml:space="preserve">The duration (i.e., how many months/years) will it take to complete. Enter only a number.
</t>
  </si>
  <si>
    <t>Time Unit or Lump Sums</t>
  </si>
  <si>
    <t xml:space="preserve">Indicate if the number inserted in the "Duration Column" represents days, months, or years.    </t>
  </si>
  <si>
    <t>Total Budget - Grant Amount</t>
  </si>
  <si>
    <t>The total budget for that budget line</t>
  </si>
  <si>
    <t>Total Budget - Grant Instrument Type</t>
  </si>
  <si>
    <t xml:space="preserve">Indicate if the grant for this budget line will be deployed as a pure grant, repayable grant, concessional loan, guarantee, or other financial instrument. </t>
  </si>
  <si>
    <t>Narrative Budget Description of Budget Lines</t>
  </si>
  <si>
    <r>
      <t>Describe in more detail the purpose, process and objective of the budget line in 2-5 sentences.</t>
    </r>
    <r>
      <rPr>
        <b/>
        <sz val="10"/>
        <color rgb="FF000000"/>
        <rFont val="Arial"/>
        <family val="2"/>
      </rPr>
      <t xml:space="preserve"> If the budget line is for staff costs - indicate the Title of the staff members  and the percentage of their time.</t>
    </r>
    <r>
      <rPr>
        <sz val="10"/>
        <color rgb="FF000000"/>
        <rFont val="Arial"/>
        <family val="2"/>
      </rPr>
      <t xml:space="preserve"> </t>
    </r>
    <r>
      <rPr>
        <b/>
        <sz val="10"/>
        <color rgb="FF000000"/>
        <rFont val="Arial"/>
        <family val="2"/>
      </rPr>
      <t xml:space="preserve">If a budget line is a transfer to an implementing partner and thus uses UNDG Budget Category #6 Transfers and Grants to Counterparts, indicate the proportion of the budget line that will be used for the implementing partner staff costs. </t>
    </r>
  </si>
  <si>
    <t>18-month  Grant Amount</t>
  </si>
  <si>
    <t xml:space="preserve">The GFCR requires an indication of grants that are needed for the first 18-months of implemtation.  Funding transfer tranches are based on 18-months to allow for a review of the programme's annual report to determine the grant needs for the subsequent tranche. </t>
  </si>
  <si>
    <t>Grant Instrument Type</t>
  </si>
  <si>
    <t>Programme Management Costs</t>
  </si>
  <si>
    <r>
      <rPr>
        <b/>
        <sz val="10"/>
        <color rgb="FF000000"/>
        <rFont val="Arial"/>
        <family val="2"/>
      </rPr>
      <t>Programme Management costs are not to exceed 18% of the total programme budget.</t>
    </r>
    <r>
      <rPr>
        <sz val="10"/>
        <color rgb="FF000000"/>
        <rFont val="Arial"/>
        <family val="2"/>
      </rPr>
      <t xml:space="preserve"> </t>
    </r>
  </si>
  <si>
    <t>Management and Operations</t>
  </si>
  <si>
    <t>Management and Operations include the costs for coordinating and managing at the programme level. This includes a Programme Manager, support staff, direct operations.</t>
  </si>
  <si>
    <t>Communication and Learning</t>
  </si>
  <si>
    <t xml:space="preserve">Budget for communications and learning should be included here. This can include the cost for printing material, journalists, events, etc. </t>
  </si>
  <si>
    <t>Audits</t>
  </si>
  <si>
    <t>The Convening Agent should budget for annual independent audits if they are a NUNO organisation of the programme during the Full Programme Phase. For the Concept Note phase, audits reports for the entire implementing office may be produced instead.</t>
  </si>
  <si>
    <t>Indirect Costs</t>
  </si>
  <si>
    <t xml:space="preserve">Indirect costs are not to exceed 7% of the total programme budget. </t>
  </si>
  <si>
    <t>Guidance: B. Workplan</t>
  </si>
  <si>
    <t xml:space="preserve">The workplan sheet is for the Convening Agent to communicate the 18-month targets, milestones and workplan for the programme. To note, Outcome, Output, Activity and budget amounts will be automatically populated through input to Sheet A: Budget by Outcome. </t>
  </si>
  <si>
    <t>Annual Targets</t>
  </si>
  <si>
    <t>Indicate the Annual Targets for each output, corresponding, when possible, with the results indicators in the programme document.</t>
  </si>
  <si>
    <t>Time Frame</t>
  </si>
  <si>
    <t xml:space="preserve">Indicate the timeframe for each activity by color filling  the corresponding cells. A quarterly timeline is needed for the first two years. </t>
  </si>
  <si>
    <t>Overall Budget Description</t>
  </si>
  <si>
    <t xml:space="preserve">Provide an overall description of the activity and the associated process and objectives in 2-5 sentences. </t>
  </si>
  <si>
    <t>Guidance: C. Budget by UNDG Categories</t>
  </si>
  <si>
    <t xml:space="preserve">UNDG Budget Categories are used by the UN Multi-Partner Trust Fund Office for accounting purposes. The values should be autopoulated based on the input to Sheet A. For guidance on what category to use, refer to accompanying guidance note. </t>
  </si>
  <si>
    <t>Co-Recipient (if any)</t>
  </si>
  <si>
    <t>Additional Co-Recipient columns can be added if they are receiving grants directly from the GFCR. The formulas to populate the Co-recipient columns will need to be revised to include the name of the organisation entered in the Recipient Organisation column Sheet A.</t>
  </si>
  <si>
    <t>Additional Guiding Principles</t>
  </si>
  <si>
    <t>Travel</t>
  </si>
  <si>
    <t xml:space="preserve">Travel must be strictly related to implementation of the programme. However, if travel is requested for international events or conferences, the GFCR Secretariat must pre-approve the trip through a written request. No first class/business class travel is permitted. </t>
  </si>
  <si>
    <t xml:space="preserve">Policy Work </t>
  </si>
  <si>
    <t xml:space="preserve">Policy work is not the focus of the GFCR but does play an important role in creating the proper enabling conditions for blue economy investments. The GFCR can support some policy work but rather than a percentage of the total project it would be a total cost over a specific period. For reference, a hypothetical GFCR programme in the Caribbean would not be granted more than US$200k for policy work over a period of four years. </t>
  </si>
  <si>
    <t>Staff Costs</t>
  </si>
  <si>
    <t xml:space="preserve">Staff costs of the Convening Agent should aim to be within the 25% range of the total budget. This includes staff costs under Programme Management Costs as well as the staff costs in Programme Outcome Costs section in Sheet A. The GFCR Secretariat will also carefully assess the level of staff costs to co-implementers. This includes the 7% indirect costs. </t>
  </si>
  <si>
    <t>Recipient Organizations:</t>
  </si>
  <si>
    <t>Catalytic Finance &amp; IUCN</t>
  </si>
  <si>
    <t>Programme Name:</t>
  </si>
  <si>
    <t>Technical Assistance and Capital Acceleration</t>
  </si>
  <si>
    <t xml:space="preserve">Activity </t>
  </si>
  <si>
    <t xml:space="preserve"> Recipient Organization</t>
  </si>
  <si>
    <t>Implementing Partner 
(if any)</t>
  </si>
  <si>
    <t>Unit quantity</t>
  </si>
  <si>
    <t>Unit Cost 
(USD)</t>
  </si>
  <si>
    <t>Time unit 
(Time units or Lump sum)</t>
  </si>
  <si>
    <t>TOTAL Budget</t>
  </si>
  <si>
    <t>Deliverables, objectivecs and targets of activity</t>
  </si>
  <si>
    <t>Tranche 1</t>
  </si>
  <si>
    <t>Tranche 2</t>
  </si>
  <si>
    <t>Narrative description of budget lines</t>
  </si>
  <si>
    <t>Outcome 1: Flexible Technical Assistance unlocks the potential of the GFCR Equity Fund</t>
  </si>
  <si>
    <t>Output 1.1: Technical Assistance - Agrion</t>
  </si>
  <si>
    <t>Activity 1.1.1: Landscape assessment of the impacts on the Costa dos Corais Marine Protected Area from agriculture</t>
  </si>
  <si>
    <t>1.1.1.2</t>
  </si>
  <si>
    <t>Environmental expert</t>
  </si>
  <si>
    <t>Catalytic Finance</t>
  </si>
  <si>
    <t>days</t>
  </si>
  <si>
    <t>80 days for expert(s) costing USD 1'000/day</t>
  </si>
  <si>
    <t>Landscape assessment of the impacts on the Costa dos Corais Marine Protected Area from agriculture. The results of this studies would inform the identification of priority regions and types of production where the use of Agrion’s products would be the most beneficial to the marine environment.
Deliverable: Brazil agriculture impact on the Costa dos Corais study, to inform Agrion reef positive strategy.</t>
  </si>
  <si>
    <t>1.1.1.3</t>
  </si>
  <si>
    <t>Site visit</t>
  </si>
  <si>
    <t>Lump sum</t>
  </si>
  <si>
    <t>Flights to Costa dos Corais + 7 hotel nights + costs on site</t>
  </si>
  <si>
    <t xml:space="preserve">Sub-Total Activity 1.1.1 for Catalytic Finance:   </t>
  </si>
  <si>
    <t>Activity 1.1.2: Support to the implementation of the Environmental and Social Action Plan (ESAP)</t>
  </si>
  <si>
    <t>1.1.2.2</t>
  </si>
  <si>
    <t>Specialist consultant</t>
  </si>
  <si>
    <t>Days</t>
  </si>
  <si>
    <t>90 days for 2 local specialist consultants at USD 700 day</t>
  </si>
  <si>
    <t xml:space="preserve">Support to the implementation of the Environmental and Social Action Plan (ESAP) </t>
  </si>
  <si>
    <t>1.1.2.3</t>
  </si>
  <si>
    <t>Flights to Costa dos Corais +4 hotel nights + costs on site</t>
  </si>
  <si>
    <t xml:space="preserve">Sub-Total Activity 1.1.2 for Catalytic Finance:   </t>
  </si>
  <si>
    <r>
      <t>Activity 1.1.3:</t>
    </r>
    <r>
      <rPr>
        <sz val="10"/>
        <color theme="0"/>
        <rFont val="Calibri"/>
        <family val="2"/>
      </rPr>
      <t>Life-Cycle Assessment (LCA) and GHG footprint optimization</t>
    </r>
  </si>
  <si>
    <t>1.1.3.2</t>
  </si>
  <si>
    <t>Environmental Expert</t>
  </si>
  <si>
    <t>30 days for 2 experts costing USD 1'000/day</t>
  </si>
  <si>
    <t>Full LCA report focusing on Agrion’s main commercial products.</t>
  </si>
  <si>
    <t xml:space="preserve">Sub-Total Activity 1.1.3 for Catalytic Finance:   </t>
  </si>
  <si>
    <t>Activity 1.1.4: Identification of additional regenerative agriculture practices</t>
  </si>
  <si>
    <t>1.1.4.2</t>
  </si>
  <si>
    <t>Agriculture expert</t>
  </si>
  <si>
    <t>60 days for (an) agriculture consultant(s) at USD 1'000/day</t>
  </si>
  <si>
    <r>
      <t>Deliverable</t>
    </r>
    <r>
      <rPr>
        <sz val="11"/>
        <color rgb="FF000000"/>
        <rFont val="Calibri"/>
        <family val="2"/>
      </rPr>
      <t>: Set of recommendations/ technical guidance to farmers on improve agricultural practices in combination with Agrion products.</t>
    </r>
  </si>
  <si>
    <t>1.1.4.3</t>
  </si>
  <si>
    <t>Consultant travel</t>
  </si>
  <si>
    <t>Flights to Costa dos Corais +3 hotel nights + costs on site</t>
  </si>
  <si>
    <t xml:space="preserve">Sub-Total Activity 1.1.4 for Catalytic Finance:   </t>
  </si>
  <si>
    <t>Activity 1.1.5: Development of an organic products line</t>
  </si>
  <si>
    <t>1.1.5.2</t>
  </si>
  <si>
    <t>Organic product consultant</t>
  </si>
  <si>
    <t>48 FTE for an expert costing USD 1'000/day</t>
  </si>
  <si>
    <r>
      <t>Deliverable:</t>
    </r>
    <r>
      <rPr>
        <sz val="11"/>
        <color rgb="FF000000"/>
        <rFont val="Calibri"/>
        <family val="2"/>
      </rPr>
      <t xml:space="preserve"> feasibility study and recommendations for the development of Agrion’s organic product line.</t>
    </r>
  </si>
  <si>
    <t xml:space="preserve">Sub-Total Activity 1.1.5 for Catalytic Finance:   </t>
  </si>
  <si>
    <t>Activity 1.1.6: Development of and M&amp;E framework and M&amp;E plan</t>
  </si>
  <si>
    <t>1.1.6.2</t>
  </si>
  <si>
    <t>M&amp;E Consultant</t>
  </si>
  <si>
    <t>30 days for (a) M&amp;E consultant(s) at USD 1'000/day</t>
  </si>
  <si>
    <r>
      <t xml:space="preserve">Deliverable: </t>
    </r>
    <r>
      <rPr>
        <sz val="11"/>
        <color rgb="FF000000"/>
        <rFont val="Calibri"/>
        <family val="2"/>
      </rPr>
      <t>M&amp;E plan and framework in line with the GFCR Grant Fund and Investment Fund M&amp;E strategies.</t>
    </r>
  </si>
  <si>
    <t xml:space="preserve">Sub-Total Activity 1.1.6 for Catalytic Finance:   </t>
  </si>
  <si>
    <t>Sub-Total Output 1.1 for Catalytic Finance:</t>
  </si>
  <si>
    <t>Output 1.2: Technical Assistance - Parley</t>
  </si>
  <si>
    <t>Activity 1.2.1:Support expansion plans to areas where plastics impact resilient coral reefs the most and assess financial viability</t>
  </si>
  <si>
    <t>1.2.1.2</t>
  </si>
  <si>
    <t>Coral reef expert</t>
  </si>
  <si>
    <t xml:space="preserve">60 days for (a) local coreef reef expert(s) at USD 1'000 per day </t>
  </si>
  <si>
    <t>A global assessment of resilient coral reefs impacted by plastic is conducted</t>
  </si>
  <si>
    <t xml:space="preserve">Sub-Total Activity 1.2.1 for Catalytic Finance:   </t>
  </si>
  <si>
    <t>Activity 1.2.2: Implementation of the Environmental and Social Action Plan (ESAP)</t>
  </si>
  <si>
    <t>1.2.2.2</t>
  </si>
  <si>
    <t>Consultants for each assessments</t>
  </si>
  <si>
    <t>40 days for 2 local consultant(s) at USD 800 per day</t>
  </si>
  <si>
    <t>Development and roll out of corporate ESMS to ensure that environmental and social standards are implemented at local NGO partner level</t>
  </si>
  <si>
    <t xml:space="preserve">Sub-Total Activity 1.2.2 for Catalytic Finance:   </t>
  </si>
  <si>
    <t>Activity 1.2.3: Support the Parley AIR Atoll Project in the Maldives within Gaaf Alif Atoll</t>
  </si>
  <si>
    <t>1.2.3.2</t>
  </si>
  <si>
    <t>Training costs (local consultants)</t>
  </si>
  <si>
    <t>120 days for local consultants at USD 800 per day</t>
  </si>
  <si>
    <t>Creation of an island level waste management system for all waste at the community level</t>
  </si>
  <si>
    <t>1.2.3.3</t>
  </si>
  <si>
    <t>Additional air challenge school activities</t>
  </si>
  <si>
    <t>2 local consultants at USD 500/day</t>
  </si>
  <si>
    <t>Greater engagement of councils and community in cleanups on the inhabited and uninhabited islands</t>
  </si>
  <si>
    <t>1.2.3.4</t>
  </si>
  <si>
    <t>Training and capacity building efforts for organic waste with focus on women</t>
  </si>
  <si>
    <t>2 local consultants at USD 400 per day for 140</t>
  </si>
  <si>
    <t>Creation of an all women producer organization</t>
  </si>
  <si>
    <t>1.2.3.6</t>
  </si>
  <si>
    <t>Travel for the training</t>
  </si>
  <si>
    <t>n/a</t>
  </si>
  <si>
    <t>Lumpsum</t>
  </si>
  <si>
    <t>Flights to local sites +7 hotel nights + costs on site</t>
  </si>
  <si>
    <t xml:space="preserve">Sub-Total Activity 1.2.3 for Catalytic Finance:   </t>
  </si>
  <si>
    <t>Activity 1.2.4: Support the Parley Sri Lanka Beruwala</t>
  </si>
  <si>
    <t>1.2.4.2</t>
  </si>
  <si>
    <t>Consultants</t>
  </si>
  <si>
    <t>180 days for local consultants at USD800/day</t>
  </si>
  <si>
    <t>Deliver the 7 activities planned under the AIR Beruwala project.</t>
  </si>
  <si>
    <t>1.2.4.3</t>
  </si>
  <si>
    <t>Education and awareness campaign</t>
  </si>
  <si>
    <t>Cost of developing and promoting material</t>
  </si>
  <si>
    <t>1.2.4.4</t>
  </si>
  <si>
    <t>Flights to Sri Lanka + 7 hotel nights + costs on site</t>
  </si>
  <si>
    <t xml:space="preserve">Sub-Total Activity 1.2.4 for Catalytic Finance:   </t>
  </si>
  <si>
    <t>Sub-Total Output 1.2 for Catalytic Finance:</t>
  </si>
  <si>
    <t xml:space="preserve">Output 1.3: Flexible funding for future TA needs										</t>
  </si>
  <si>
    <t>Activity 1.3.1: Allocated for future TA activities: Business #1</t>
  </si>
  <si>
    <t>1.3.1.2</t>
  </si>
  <si>
    <t>Consultants for future assessments</t>
  </si>
  <si>
    <t>Forecast based on average price of typical studies funded (ESAP, Landscape and/or Life-Cycle Assessment, M&amp;Ee plan, etc..)</t>
  </si>
  <si>
    <t xml:space="preserve">Sub-Total Activity 2.2.1 for Catalytic Finance:   </t>
  </si>
  <si>
    <t>Activity 1.3.2: Allocated for future TA activities: Business #2</t>
  </si>
  <si>
    <t>1.3.2.2</t>
  </si>
  <si>
    <t xml:space="preserve">Sub-Total Activity 2.2.2 for Catalytic Finance:   </t>
  </si>
  <si>
    <t>Sub-Total Output 2.2 for Catalytic Finance:</t>
  </si>
  <si>
    <t>Sub-Total OUTCOME 1 for Catalytic Finance:</t>
  </si>
  <si>
    <t>Outcome 2:  An established ecosystem of financial vehicles for a reef-positive ecosystem (Capital Acceleration)</t>
  </si>
  <si>
    <t xml:space="preserve">Output 2.1: Provide Capital Acceleration to financial vehicles										</t>
  </si>
  <si>
    <t>Activity 2.1.1: Conduct open calls for Eligible Projects</t>
  </si>
  <si>
    <t>2.1.1.1</t>
  </si>
  <si>
    <t>Prepare the call according to GFCR investment principles</t>
  </si>
  <si>
    <t>7 days Senior staff + 13 days junior staff</t>
  </si>
  <si>
    <t>Studies are conducted to ensure bancability and impact of the project</t>
  </si>
  <si>
    <t>2.1.1.2</t>
  </si>
  <si>
    <t>Communication budget to promote the call</t>
  </si>
  <si>
    <t>Cost of marketing platform (e.g Linkedin)</t>
  </si>
  <si>
    <t xml:space="preserve">Sub-Total Activity 3.1.1 for Catalytic Finance:   </t>
  </si>
  <si>
    <t>Activity 2.1.2: Screen initial financial vehicles and analysis</t>
  </si>
  <si>
    <t>2.1.2.1</t>
  </si>
  <si>
    <t>Internal team reviews proposal</t>
  </si>
  <si>
    <t xml:space="preserve">14 days senior staff + 30 days junior staff </t>
  </si>
  <si>
    <t xml:space="preserve">A strong pipeline of funds that meet the criteria is identified
</t>
  </si>
  <si>
    <t>2.1.2.2</t>
  </si>
  <si>
    <t>External experts</t>
  </si>
  <si>
    <t>GFCR Global Team</t>
  </si>
  <si>
    <t>Provided by GCFR no need to recruit capacity we have in house capacity across</t>
  </si>
  <si>
    <t>2.1.2.3</t>
  </si>
  <si>
    <t>KYC and DD expert</t>
  </si>
  <si>
    <t>21 days for expert(s)</t>
  </si>
  <si>
    <t xml:space="preserve">Sub-Total Activity 3.1.2 for Catalytic Finance:   </t>
  </si>
  <si>
    <t>Activity 2.1.3: Execute payment and manage investments</t>
  </si>
  <si>
    <t>2.1.3.1</t>
  </si>
  <si>
    <t>Internal team manages the investee</t>
  </si>
  <si>
    <t>3 staff for 50 days</t>
  </si>
  <si>
    <t>2.1.3.2</t>
  </si>
  <si>
    <t>Execute payment</t>
  </si>
  <si>
    <t>Lump sum of catalytic capital that will be additional to the venture fund</t>
  </si>
  <si>
    <t xml:space="preserve">Sub-Total Activity 3.1.3 for Catalytic Finance:   </t>
  </si>
  <si>
    <t>Activity 2.1.4: Exit Investment</t>
  </si>
  <si>
    <t>2.1.4.1</t>
  </si>
  <si>
    <t>Identify appropriate exit opportunities</t>
  </si>
  <si>
    <t>Not during the first 18 month of activites</t>
  </si>
  <si>
    <t xml:space="preserve">Sub-Total Activity 3.1.4 for Catalytic Finance:   </t>
  </si>
  <si>
    <t>Sub-Total Output 3.1 for Catalytic Finance:</t>
  </si>
  <si>
    <t>Sub-Total OUTCOME 2 for Catalytic Finance:</t>
  </si>
  <si>
    <t xml:space="preserve">Outcome 3: The Global Fund for Coral Reefs’ long-term contribution to a transformational global shift in sustainable ocean finance and policy is initiated. </t>
  </si>
  <si>
    <t>Output 3.1: The political and strategic groundwork needed to secure buy-in of public-private stakeholders is established.</t>
  </si>
  <si>
    <t>Activity 3.1.1: Conduct 1 initial mapping and prioritization of key stakeholders to understand their interests, priorities, and influence levels</t>
  </si>
  <si>
    <t>3.1.1.1</t>
  </si>
  <si>
    <t>Mapping &amp; prioritization of states, NGOs, and other relevant parties</t>
  </si>
  <si>
    <t>IUCN</t>
  </si>
  <si>
    <t xml:space="preserve"> Staff support  x 20 days</t>
  </si>
  <si>
    <t>Compile a dedicated repository of states, NGOs, and other relevant parties, mapped and prioritized against key compatibility criteria, as part of the overarching stakeholder tracker</t>
  </si>
  <si>
    <t>3.1.1.2</t>
  </si>
  <si>
    <t>Mapping &amp; prioritization industry focal points</t>
  </si>
  <si>
    <t>3 experts x 5 days each</t>
  </si>
  <si>
    <t>Contract experts and compile a dedicated repository of submarine cable and shipping industry stakeholders to identify and map focal points for inclusion in stakeholder repository</t>
  </si>
  <si>
    <t xml:space="preserve">Sub-Total Activity 3.1.2 for IUCN:   </t>
  </si>
  <si>
    <t>Activity 3.1.2: Develop 1 stakeholder engagement strategy to guide early coalition building and secure champions who can advocate on behalf of the project in key political forums</t>
  </si>
  <si>
    <t>3.1.2.1</t>
  </si>
  <si>
    <t>Organize meetings with member states</t>
  </si>
  <si>
    <t>Senior Staff x 20 days</t>
  </si>
  <si>
    <t xml:space="preserve">Organize meetings with willing states, active in negotiation relevant for OOF, including preparing agendas, decks, meeting minutes, briefs, and follow-up correspondence etc.   </t>
  </si>
  <si>
    <t>3.1.2.2</t>
  </si>
  <si>
    <t>Organize meetings with International Organizations and negotiators</t>
  </si>
  <si>
    <t>Staff support  x 20 days</t>
  </si>
  <si>
    <t xml:space="preserve">Organize meetings with NGOs, civil society, and relevant scientific advisory groups or panels, including preparing agendas, decks, meeting minutes, briefs, etc.   </t>
  </si>
  <si>
    <t>3.1.2.3</t>
  </si>
  <si>
    <t>Organize preparatory briefing and meetings with industries</t>
  </si>
  <si>
    <t>3 expert x 10 days</t>
  </si>
  <si>
    <t xml:space="preserve">Organize meetings with 3 Shipping industries and 3 submarine cable operators, including preparing agendas, decks, meeting minutes, briefs, and follow-up correspondenc etc.   </t>
  </si>
  <si>
    <t>3.1.2.4</t>
  </si>
  <si>
    <t>Organize meetings with financial stakeholders</t>
  </si>
  <si>
    <t>2 expert x 15 days</t>
  </si>
  <si>
    <t xml:space="preserve">Organize meetings meetings with financial stakeholders, across a range of impact investors, private financial institutions, investment banks, etc., including preparing agendas, decks, meeting minutes, briefs, and follow-up correspondenc etc. </t>
  </si>
  <si>
    <t xml:space="preserve">Sub-Total Activity 3.1.3 for IUCN:   </t>
  </si>
  <si>
    <t>Activity 3.1.3: Organize a 5-day series of high-level dialogues in Paris, in collaboration with France, Palau, and Monaco, with prioritized stakeholder groups, including industries, states, financial institutions, international organizations and the UN</t>
  </si>
  <si>
    <t>3.1.3.1</t>
  </si>
  <si>
    <t>Arrange travel and logistics to Paris for high-level dialogues</t>
  </si>
  <si>
    <t>Flights + accomodation in Paris for developing country attendees x 2 nights and catalytic finance personnel x 5 nights</t>
  </si>
  <si>
    <t>Organize travel and logistics for the high-level dialogues in Paris inclusive of transportation and accomodation, issuance of support letters for attendees and additional guidance notes as needed</t>
  </si>
  <si>
    <t>3.1.3.2</t>
  </si>
  <si>
    <t>Procure event vendors and necessary equipment</t>
  </si>
  <si>
    <t xml:space="preserve">Catering (3 meals x 5 days x 75 guests), printing of promotional and informational assets  </t>
  </si>
  <si>
    <t>Secure and coordinate event vendors, including venue, seating, AV, equipment, streaming, catering, promotional and informational assets, etc.</t>
  </si>
  <si>
    <t>3.1.3.3</t>
  </si>
  <si>
    <t>Facilitation of high-level dialogues</t>
  </si>
  <si>
    <t xml:space="preserve">1 staff x 15 days </t>
  </si>
  <si>
    <t>Preparation and facilitation of key sessions and session reports</t>
  </si>
  <si>
    <t>3.1.3.4</t>
  </si>
  <si>
    <t>Preparation of high-level dialogues</t>
  </si>
  <si>
    <t>1 events and logistics CF consultant x 45 days</t>
  </si>
  <si>
    <t>Prepare arrangements in consultation with the working group for the high-level dialogues, including agendas, logistical guidance, library of background documents, drafting and finalization of invitations with recipient emails and online tracker for RSVPs, minutes, comprehensive attendee and speaker briefs, outcomes report etc.</t>
  </si>
  <si>
    <t>Activity 3.1.4: Convene willing stakeholders, for closed-door Special Events in Busan and BEFF</t>
  </si>
  <si>
    <t>3.1.4.1</t>
  </si>
  <si>
    <t>Arrange travel and logistics to UNOC3/BEFF, Busan for workshop as needed</t>
  </si>
  <si>
    <t>Flights and accomodation as needed for developing country attendees for 2 nights in Busan + flights and accomodation for 2 catalytic finance personnel x 2 nights in Busan</t>
  </si>
  <si>
    <t>Organize travel and logistics for the workshop in South Korea</t>
  </si>
  <si>
    <t>3.1.4.2</t>
  </si>
  <si>
    <t>Procure event vendors and necessary equipment for workshop and cocktail reception</t>
  </si>
  <si>
    <t xml:space="preserve">Catering (2 meals x 1 day x 30 guests), 1 cocktail reception (hors d'oeuvres and drinks x 30 guests), printing of promotional and informational assets  </t>
  </si>
  <si>
    <t>3.1.4.3</t>
  </si>
  <si>
    <t xml:space="preserve">Facilitation and Preparation </t>
  </si>
  <si>
    <t>1 support staff x 15 days</t>
  </si>
  <si>
    <t>Staff support and organization of specific sessions, including, agenda, logistical guidance, background documents, invitations, minutes etc.</t>
  </si>
  <si>
    <t>3.1.4.4</t>
  </si>
  <si>
    <t>Preparation of workshop and reception</t>
  </si>
  <si>
    <t>Prepare arrangements in consultation with the working group for the workshop and reception, including, agenda, logistical guidance, library of background documents, invitations, etc.</t>
  </si>
  <si>
    <t xml:space="preserve">Sub-Total Activity 5.1.5 for Catalytic Finance:   </t>
  </si>
  <si>
    <t>3.1.5 Participate in several events, workshops, and dialogues to facilitate meaningful and productive engagement with prioritized decision-makers and stakeholders (e.g. WEF Davos, Economist Ocean Summit in Japan, etc.</t>
  </si>
  <si>
    <t>3.1.5.1</t>
  </si>
  <si>
    <t>Co-host 2 events at key global forums</t>
  </si>
  <si>
    <t xml:space="preserve">Venue, catering, preparation </t>
  </si>
  <si>
    <t>Sub-contract consultant to co-host 2 events at key global forums, including helping to secure venue, attendees, speakers, and managing schedule of reef hub as needed in collaboration with ICRI</t>
  </si>
  <si>
    <t>3.1.5.2</t>
  </si>
  <si>
    <t>Flights + accomodation for 1 expert</t>
  </si>
  <si>
    <t xml:space="preserve">Travel and participate in high-level dialogues, events, workshops, consultations, etc. </t>
  </si>
  <si>
    <t xml:space="preserve">Sub-Total Activity 3.1.6 for Catalytic Finance:   </t>
  </si>
  <si>
    <t xml:space="preserve">Sub-Total Activity 3.1.6 for IUCN:   </t>
  </si>
  <si>
    <t>Sub-Total Output 3.1 for IUCN:</t>
  </si>
  <si>
    <t xml:space="preserve">Output 3.2: The foundational technical documentation required to steer the development of the ocean finance platform is developed.  </t>
  </si>
  <si>
    <t xml:space="preserve">Activity 3.2.1: Develop 2 targeted industry engagement strategies aimed at identifying strategic entry points and alignment with industry interests, approaches, and models; </t>
  </si>
  <si>
    <t>3.2.1.1</t>
  </si>
  <si>
    <t>Develop 2 industry engagement strategy for the submarine cable industry and shipping industry</t>
  </si>
  <si>
    <t>3 experts x 15 days</t>
  </si>
  <si>
    <t>Develop 2 industry engagement strategy for the submarine cable and shipping industry, including a thorough market analysis to identify key entry points, and outline specific actions to align with industry priorities, approaches, and business models; should include tailored engagement tactics, and clear recommendations for fostering partnerships.</t>
  </si>
  <si>
    <t>3.2.1.2</t>
  </si>
  <si>
    <t>Develop 1 deck on submarine cable industry and 1 deck on shipping industry</t>
  </si>
  <si>
    <t>3 experts x 10 days</t>
  </si>
  <si>
    <t>Develop 2 decks targeted for usage with submarine cable industry and shipping industry, including data-driven insights, case studies, and actionable recommendations to effectively engage stakeholders and promote OOF.</t>
  </si>
  <si>
    <t xml:space="preserve">Sub-Total Activity 3.2.1 for Catalytic Finance:   </t>
  </si>
  <si>
    <t>Activity 3.2.2: Develop 1 financial pathway document, outlining the proposed mechanism to take the model to scale and the de-risking tools required to deliver impact across the financial ecosystem;</t>
  </si>
  <si>
    <t>3.2.2.1</t>
  </si>
  <si>
    <t>Develop 1 financial pathway document</t>
  </si>
  <si>
    <t>1 financial consultant x 36 days</t>
  </si>
  <si>
    <t>Develop 1 financial pathway document outlining the financial mechanism for scaling the model and coordinate with UNCDF focal points to incorporate de-risking tools; the template for the document should be approved by the working group with refinement of the draft following the high-level dialogues.</t>
  </si>
  <si>
    <t>3.2.2.2</t>
  </si>
  <si>
    <t>Develop 1 deck on financial model and structure</t>
  </si>
  <si>
    <t>1 financial consultant x 15 days</t>
  </si>
  <si>
    <t xml:space="preserve">Develop 1 deck detailing the financial model and structure, with slides tailored to particular stakeholder audiences </t>
  </si>
  <si>
    <t xml:space="preserve">Sub-Total Activity 3.2.2 for IUCN:   </t>
  </si>
  <si>
    <t>Activity 3.2.3: Prepare a comprehensive legal review paper that analyzes the proposed model, outlining its structure, regulatory requirements, and the necessary hosting arrangements;</t>
  </si>
  <si>
    <t>3.2.3.2</t>
  </si>
  <si>
    <t xml:space="preserve">Conduct legal modelling &amp; develop 1 legal review paper </t>
  </si>
  <si>
    <t>1 legal expert x  75 days</t>
  </si>
  <si>
    <t xml:space="preserve">Conduct a legal modelling and prepare a comprehensive legal review paper that analyzes the proposed model, outlining its structure, regulatory requirements, and the necessary hosting arrangements in close consultation with financial consultant </t>
  </si>
  <si>
    <t xml:space="preserve">Sub-Total Activity 3.2.5 for Catalytic Finance:   </t>
  </si>
  <si>
    <t>Sub-Total Output 3.2 for Catalytic Finance:</t>
  </si>
  <si>
    <t>Sub-Total Output 3.2 for IUCN:</t>
  </si>
  <si>
    <t xml:space="preserve">Output 3.3: A high-level political recommendation to the UN Ocean Conference (UNOC3) through the Blue Economy and Finance Forum (BEFF) is issued. </t>
  </si>
  <si>
    <t>Activity 3.3.1: Develop 1 communications guide and corresponding strategic and political communications products to align engagement and advocacy efforts with national and international priorities, ensuring that messaging resonates with key stakeholders and supports broader policy agendas</t>
  </si>
  <si>
    <t>3.3.1.1</t>
  </si>
  <si>
    <t xml:space="preserve">Develop communications products </t>
  </si>
  <si>
    <t>1 communications consultant x 48 days</t>
  </si>
  <si>
    <t>Develop communications products, including at least 1 factsheet  detailing the alignment of OOF with key policy frameworks, including BBNJ,GBF, SDGs, 30x30, Post-2030, as well as newsletters, visuals, social media assets, promotional materials, etc.</t>
  </si>
  <si>
    <t>3.3.1.2</t>
  </si>
  <si>
    <t>Deliver 1 coral pledging event at UNOC3</t>
  </si>
  <si>
    <t>Sub-contract consultant to deliver 1 high-level pledging event for the Global Fund for Coral Reefs, as the demonstration vehicle, at UNCO3 including helping to secure venue, attendees, speakers, catering, and tech as needed in collaboration with ICRI</t>
  </si>
  <si>
    <t>Sub-Total Output 3.3 for Catalytic Finance:</t>
  </si>
  <si>
    <t>Sub-Total Output 3.3 for IUCN:</t>
  </si>
  <si>
    <t>Sub-Total OUTCOME 3 for Catalytic Finance:</t>
  </si>
  <si>
    <t>Sub-Total OUTCOME 3 for IUCN:</t>
  </si>
  <si>
    <t xml:space="preserve">PROJECT MANAGEMENT COSTS </t>
  </si>
  <si>
    <t xml:space="preserve">Management and Operations </t>
  </si>
  <si>
    <t>all</t>
  </si>
  <si>
    <t>Program coordination</t>
  </si>
  <si>
    <t>25 days Senior staff + 163 days junior staff</t>
  </si>
  <si>
    <t>Contracts and procurements Management</t>
  </si>
  <si>
    <t>There are 15 procurements to do for outuput 1. On average, it takes 5 days to draft the TORs and execute the procurement.</t>
  </si>
  <si>
    <t xml:space="preserve">
</t>
  </si>
  <si>
    <t>Audit</t>
  </si>
  <si>
    <t>Lumpsum for an external auditor</t>
  </si>
  <si>
    <t>IUCN internal costs</t>
  </si>
  <si>
    <t>Internal costs</t>
  </si>
  <si>
    <t>Sub-Total Management and Operations for Catalytic Finance</t>
  </si>
  <si>
    <t>Communications</t>
  </si>
  <si>
    <t>44 days junior staff</t>
  </si>
  <si>
    <t>Monitoring and Reporting</t>
  </si>
  <si>
    <t>Reporting, monitoring and evaluation</t>
  </si>
  <si>
    <t>12 days Senior + 82 days junior staff</t>
  </si>
  <si>
    <t>M&amp;E Software</t>
  </si>
  <si>
    <t>Cost of developing dedicated M&amp;E module on salesforce</t>
  </si>
  <si>
    <t>Sub-Total PROJECT MANAGEMENT</t>
  </si>
  <si>
    <t>Total Direct TA Project Costs - Catalytic Finance</t>
  </si>
  <si>
    <t>Indirect TA PROJECT Support Costs  (7%) - Catalytic Finance</t>
  </si>
  <si>
    <t>TOTAL COSTS CATALYTIC FINANCE</t>
  </si>
  <si>
    <t>Total Direct TA Project Costs - IUCN</t>
  </si>
  <si>
    <t>Indirect TA PROJECT Support Costs  (7%) - IUCN</t>
  </si>
  <si>
    <t>TOTAL COSTS IUCN</t>
  </si>
  <si>
    <t>TOTAL PROJECT COSTS</t>
  </si>
  <si>
    <t xml:space="preserve">Activities </t>
  </si>
  <si>
    <t>Reef Positive Businesses</t>
  </si>
  <si>
    <t>Monthly Targets</t>
  </si>
  <si>
    <t>List of activities</t>
  </si>
  <si>
    <t>Time Frame (Monthly)</t>
  </si>
  <si>
    <t>Year 1</t>
  </si>
  <si>
    <t>Year 2</t>
  </si>
  <si>
    <t>Year 3</t>
  </si>
  <si>
    <t>Year 4</t>
  </si>
  <si>
    <t>Year 5</t>
  </si>
  <si>
    <t>Year 6</t>
  </si>
  <si>
    <t>Year 7</t>
  </si>
  <si>
    <t>Year 8</t>
  </si>
  <si>
    <t>M1</t>
  </si>
  <si>
    <t>M2</t>
  </si>
  <si>
    <t>M3</t>
  </si>
  <si>
    <t>M4</t>
  </si>
  <si>
    <t>M5</t>
  </si>
  <si>
    <t>M6</t>
  </si>
  <si>
    <t>M7</t>
  </si>
  <si>
    <t>M8</t>
  </si>
  <si>
    <t>M9</t>
  </si>
  <si>
    <t>M10</t>
  </si>
  <si>
    <t>M11</t>
  </si>
  <si>
    <t>M12</t>
  </si>
  <si>
    <t>M13</t>
  </si>
  <si>
    <t>M14</t>
  </si>
  <si>
    <t>M15</t>
  </si>
  <si>
    <t>M16</t>
  </si>
  <si>
    <t>M17</t>
  </si>
  <si>
    <t>M18</t>
  </si>
  <si>
    <t xml:space="preserve">Milestones within project period </t>
  </si>
  <si>
    <t>Total Budget CF</t>
  </si>
  <si>
    <t>Total Budget IUCN</t>
  </si>
  <si>
    <t>All studies are to be completed within the first year of the program</t>
  </si>
  <si>
    <t>Study completed within 12 months</t>
  </si>
  <si>
    <t>ESAP implemented within 12 months</t>
  </si>
  <si>
    <t xml:space="preserve">Consultants are recruited within 3 months of the start of the program. </t>
  </si>
  <si>
    <t>New businesses are identified within 6 months, consultants are hired to conduct activities identified.</t>
  </si>
  <si>
    <t>Develop the criteria for a regional fund/financial vehicle in collaboration with the GFCR/ Conduct an Open Call to identify a regional fund for the Pacific and select an entity/ Investment deployment</t>
  </si>
  <si>
    <t xml:space="preserve">Output 3.1: The political and strategic groundwork needed to secure buy-in of public-private stakeholders is established.															</t>
  </si>
  <si>
    <t xml:space="preserve">Activity 3.2.2: Develop 1 financial pathway document, outlining the proposed mechanism to take the model to scale and the de-risking tools required to deliver impact across the financial ecosystem;															</t>
  </si>
  <si>
    <t>Activity 3.3.1 Develop 1 communications guide and corresponding strategic and political communications products to align engagement and advocacy efforts with national and international priorities, ensuring that messaging resonates with key stakeholders and supports broader policy agendas</t>
  </si>
  <si>
    <t>Budget by United Nations Sustainable Development Group (UNDG) Categories</t>
  </si>
  <si>
    <t>All in USD</t>
  </si>
  <si>
    <t>Budget by UNDG Budget Categories (USD)</t>
  </si>
  <si>
    <t xml:space="preserve">Tranche 1 </t>
  </si>
  <si>
    <t>Total by Recipient</t>
  </si>
  <si>
    <t>Total</t>
  </si>
  <si>
    <t>Catalytic</t>
  </si>
  <si>
    <t xml:space="preserve">1. Staff and other personnel </t>
  </si>
  <si>
    <t xml:space="preserve">2. Supplies, Commodities, Materials </t>
  </si>
  <si>
    <t xml:space="preserve">3. Equipment, Vehicles, and Furniture (including Depreciation) </t>
  </si>
  <si>
    <t>4. Contractual services</t>
  </si>
  <si>
    <t xml:space="preserve">5. Travel </t>
  </si>
  <si>
    <t xml:space="preserve">6. Transfers and Grants to Counterparts </t>
  </si>
  <si>
    <t xml:space="preserve">7. General Operating and other Direct Costs </t>
  </si>
  <si>
    <t>Total Direct Costs</t>
  </si>
  <si>
    <t xml:space="preserve">8. Indirect Support Costs (Max. 7%)  </t>
  </si>
  <si>
    <t>Staffing Notes</t>
  </si>
  <si>
    <r>
      <t>LOE (Days)</t>
    </r>
    <r>
      <rPr>
        <b/>
        <vertAlign val="superscript"/>
        <sz val="10"/>
        <color rgb="FF000000"/>
        <rFont val="Arial"/>
        <family val="2"/>
      </rPr>
      <t>1</t>
    </r>
  </si>
  <si>
    <t>CCenter</t>
  </si>
  <si>
    <t>GFCR</t>
  </si>
  <si>
    <t>Other</t>
  </si>
  <si>
    <t>Comments</t>
  </si>
  <si>
    <t>Project Oversight</t>
  </si>
  <si>
    <t>Laure</t>
  </si>
  <si>
    <t>Meizani</t>
  </si>
  <si>
    <t>APFD Regional</t>
  </si>
  <si>
    <t>Indonesia</t>
  </si>
  <si>
    <t>Technical Advisory</t>
  </si>
  <si>
    <t>Rob Baigrie</t>
  </si>
  <si>
    <t>Jan Yoshioka</t>
  </si>
  <si>
    <t>Incl. (i) external consultancy management, oversight and deliverables review; (ii) relevant section proposal writing. Assumes Meizani/Rob to lead partner outreach and network development.</t>
  </si>
  <si>
    <t>Gracie White</t>
  </si>
  <si>
    <t>Incl. (i) supplemental research on relevant accelerators, incubators; (ii) targeted supplemental desktop review</t>
  </si>
  <si>
    <t xml:space="preserve">Notes: </t>
  </si>
  <si>
    <t>1. LOE assuming March 1 - Apr 2 start and end</t>
  </si>
  <si>
    <t>•	Compile a dedicated repository of states, NGOs, and other relevant parties, mapped and prioritized against key compatibility criteria, as part of the overarching stakeholder tracker
•	Contract experts and compile a dedicated repository of submarine cable and shipping industry stakeholders to identify and map focal points for inclusion in stakeholder repository
•	Organize meetings with 3 Shipping industries and 3 submarine cable operators, including preparing agendas, decks, meeting minutes, briefs, and follow-up correspondence etc.   Meetings with willing states (active in negotiations relevant to OOF). 
•	Organize travel and logistics for the high-level dialogues in Paris inclusive of transportation and accommodation, issuance of support letters for attendees and additional guidance notes as needed</t>
  </si>
  <si>
    <t>• 2 industry engagement strategy for the submarine cable and shipping industry, including a thorough market analysis to identify key entry points, and outline specific actions to align with industry priorities, approaches, and business models; should include tailored engagement tactics, and clear recommendations for fostering partnerships.
• Develop 1 financial pathway document outlining the financial mechanism for scaling the model and coordinate with UNCDF focal points to incorporate de-risking tools; the template for the document should be approved by the working group with refinement of the draft following the high-level dialogues.
• a legal modelling and a comprehensive legal review paper that analyzes the proposed model, outlining its structure, regulatory requirements, and the necessary hosting arrangements in close consultation with financial consultant</t>
  </si>
  <si>
    <t>• Develop communications products, including at least 1 factsheet  detailing the alignment of OOF with key policy frameworks, including BBNJ,GBF, SDGs, 30x30, Post-2030, as well as newsletters, visuals, social media assets, promotional materials, etc.
• Sub-contract consultant to deliver 1 high-level pledging event for the Global Fund for Coral Reefs, as the demonstration vehicle, at UNCO3 including helping to secure venue, attendees, speakers, catering, and tech as needed in collaboration with ICRI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</si>
</sst>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0_);\(&quot;$&quot;#,##0\)"/>
    <numFmt numFmtId="165" formatCode="_(&quot;$&quot;* #,##0.00_);_(&quot;$&quot;* \(#,##0.00\);_(&quot;$&quot;* &quot;-&quot;??_);_(@_)"/>
    <numFmt numFmtId="166" formatCode="_(* #,##0.00_);_(* \(#,##0.00\);_(* &quot;-&quot;??_);_(@_)"/>
    <numFmt numFmtId="167" formatCode="&quot;$&quot;#,##0.00"/>
    <numFmt numFmtId="168" formatCode="_(* #,##0_);_(* \(#,##0\);_(* &quot;-&quot;??_);_(@_)"/>
    <numFmt numFmtId="169" formatCode="&quot;$&quot;#,##0"/>
    <numFmt numFmtId="170" formatCode="_(* #,##0.0_);_(* \(#,##0.0\);_(* &quot;-&quot;??_);_(@_)"/>
    <numFmt numFmtId="171" formatCode="0.0"/>
    <numFmt numFmtId="172" formatCode="[$$-409]#,##0"/>
  </numFmts>
  <fonts count="60" x14ac:knownFonts="1">
    <font>
      <sz val="10"/>
      <color rgb="FF000000"/>
      <name val="Arial"/>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Calibri"/>
      <family val="2"/>
      <scheme val="minor"/>
    </font>
    <font>
      <b/>
      <sz val="11"/>
      <color rgb="FF000000"/>
      <name val="Calibri"/>
      <family val="2"/>
      <scheme val="minor"/>
    </font>
    <font>
      <sz val="11"/>
      <color rgb="FF000000"/>
      <name val="Calibri"/>
      <family val="2"/>
      <scheme val="minor"/>
    </font>
    <font>
      <b/>
      <sz val="10"/>
      <color rgb="FF000000"/>
      <name val="Calibri"/>
      <family val="2"/>
      <scheme val="minor"/>
    </font>
    <font>
      <sz val="10"/>
      <name val="Calibri"/>
      <family val="2"/>
      <scheme val="minor"/>
    </font>
    <font>
      <b/>
      <sz val="10"/>
      <name val="Calibri"/>
      <family val="2"/>
      <scheme val="minor"/>
    </font>
    <font>
      <b/>
      <i/>
      <sz val="10"/>
      <name val="Calibri"/>
      <family val="2"/>
      <scheme val="minor"/>
    </font>
    <font>
      <b/>
      <u/>
      <sz val="16"/>
      <color rgb="FF000000"/>
      <name val="Calibri"/>
      <family val="2"/>
      <scheme val="minor"/>
    </font>
    <font>
      <b/>
      <sz val="12"/>
      <color theme="0"/>
      <name val="Calibri"/>
      <family val="2"/>
      <scheme val="minor"/>
    </font>
    <font>
      <sz val="10"/>
      <color rgb="FF000000"/>
      <name val="Arial"/>
      <family val="2"/>
    </font>
    <font>
      <sz val="10"/>
      <color rgb="FF000000"/>
      <name val="Calibri"/>
      <family val="2"/>
    </font>
    <font>
      <b/>
      <sz val="10"/>
      <color theme="0"/>
      <name val="Calibri"/>
      <family val="2"/>
      <scheme val="minor"/>
    </font>
    <font>
      <b/>
      <sz val="10"/>
      <color rgb="FF000000"/>
      <name val="Arial"/>
      <family val="2"/>
    </font>
    <font>
      <sz val="10"/>
      <color rgb="FF000000"/>
      <name val="Arial"/>
      <family val="2"/>
    </font>
    <font>
      <b/>
      <i/>
      <sz val="11"/>
      <name val="Calibri"/>
      <family val="2"/>
      <scheme val="minor"/>
    </font>
    <font>
      <b/>
      <sz val="11"/>
      <color theme="0"/>
      <name val="Calibri"/>
      <family val="2"/>
      <scheme val="minor"/>
    </font>
    <font>
      <b/>
      <sz val="10"/>
      <color theme="0"/>
      <name val="Calibri"/>
      <family val="2"/>
    </font>
    <font>
      <b/>
      <sz val="12"/>
      <name val="Calibri"/>
      <family val="2"/>
    </font>
    <font>
      <b/>
      <sz val="11"/>
      <color theme="0"/>
      <name val="Calibri"/>
      <family val="2"/>
    </font>
    <font>
      <b/>
      <sz val="12"/>
      <color rgb="FF000000"/>
      <name val="Calibri"/>
      <family val="2"/>
    </font>
    <font>
      <b/>
      <sz val="11"/>
      <color rgb="FF000000"/>
      <name val="Calibri"/>
      <family val="2"/>
    </font>
    <font>
      <sz val="12"/>
      <color rgb="FF000000"/>
      <name val="Calibri"/>
      <family val="2"/>
    </font>
    <font>
      <b/>
      <sz val="14"/>
      <color rgb="FF000000"/>
      <name val="Calibri"/>
      <family val="2"/>
    </font>
    <font>
      <b/>
      <sz val="10"/>
      <color rgb="FF000000"/>
      <name val="Calibri"/>
      <family val="2"/>
    </font>
    <font>
      <b/>
      <sz val="11"/>
      <color theme="1"/>
      <name val="Calibri"/>
      <family val="2"/>
    </font>
    <font>
      <sz val="10"/>
      <color rgb="FF000000"/>
      <name val="Arial"/>
      <family val="2"/>
    </font>
    <font>
      <sz val="11"/>
      <color theme="0"/>
      <name val="Calibri"/>
      <family val="2"/>
      <scheme val="minor"/>
    </font>
    <font>
      <i/>
      <sz val="10"/>
      <color rgb="FF000000"/>
      <name val="Arial"/>
      <family val="2"/>
    </font>
    <font>
      <sz val="10"/>
      <color rgb="FF000000"/>
      <name val="Arial"/>
      <family val="2"/>
    </font>
    <font>
      <sz val="12"/>
      <color theme="1"/>
      <name val="Calibri"/>
      <family val="2"/>
      <scheme val="minor"/>
    </font>
    <font>
      <sz val="8"/>
      <name val="Arial"/>
      <family val="2"/>
    </font>
    <font>
      <i/>
      <sz val="10"/>
      <color rgb="FF000000"/>
      <name val="Calibri"/>
      <family val="2"/>
      <scheme val="minor"/>
    </font>
    <font>
      <b/>
      <sz val="10"/>
      <color theme="0"/>
      <name val="Verdana"/>
      <family val="2"/>
    </font>
    <font>
      <b/>
      <sz val="9"/>
      <color theme="0"/>
      <name val="Verdana"/>
      <family val="2"/>
    </font>
    <font>
      <sz val="9"/>
      <color theme="1"/>
      <name val="Verdana"/>
      <family val="2"/>
    </font>
    <font>
      <b/>
      <sz val="12"/>
      <color theme="0"/>
      <name val="Verdana"/>
      <family val="2"/>
    </font>
    <font>
      <b/>
      <sz val="11"/>
      <color theme="0"/>
      <name val="Verdana"/>
      <family val="2"/>
    </font>
    <font>
      <b/>
      <sz val="11"/>
      <color theme="1"/>
      <name val="Verdana"/>
      <family val="2"/>
    </font>
    <font>
      <b/>
      <sz val="14"/>
      <color rgb="FF000000"/>
      <name val="Arial"/>
      <family val="2"/>
    </font>
    <font>
      <b/>
      <vertAlign val="superscript"/>
      <sz val="10"/>
      <color rgb="FF000000"/>
      <name val="Arial"/>
      <family val="2"/>
    </font>
    <font>
      <b/>
      <sz val="16"/>
      <color rgb="FF000000"/>
      <name val="Calibri"/>
      <family val="2"/>
      <scheme val="minor"/>
    </font>
    <font>
      <b/>
      <sz val="11"/>
      <name val="Calibri"/>
      <family val="2"/>
      <scheme val="minor"/>
    </font>
    <font>
      <u/>
      <sz val="10"/>
      <color theme="10"/>
      <name val="Arial"/>
      <family val="2"/>
    </font>
    <font>
      <sz val="16"/>
      <color rgb="FF000000"/>
      <name val="Calibri"/>
      <family val="2"/>
      <scheme val="minor"/>
    </font>
    <font>
      <sz val="10"/>
      <name val="Calibri"/>
      <family val="2"/>
    </font>
    <font>
      <b/>
      <sz val="10"/>
      <name val="Calibri"/>
      <family val="2"/>
    </font>
    <font>
      <sz val="11"/>
      <color rgb="FF000000"/>
      <name val="Calibri"/>
      <family val="2"/>
    </font>
    <font>
      <b/>
      <sz val="14"/>
      <color theme="0"/>
      <name val="Calibri"/>
      <family val="2"/>
      <scheme val="minor"/>
    </font>
    <font>
      <b/>
      <sz val="12"/>
      <name val="Calibri"/>
      <family val="2"/>
      <scheme val="minor"/>
    </font>
    <font>
      <sz val="10"/>
      <color theme="1"/>
      <name val="Calibri"/>
      <family val="2"/>
    </font>
    <font>
      <sz val="10"/>
      <color rgb="FF000000"/>
      <name val="Calibri (Body)"/>
    </font>
    <font>
      <sz val="10"/>
      <name val="Calibri (Body)"/>
    </font>
    <font>
      <sz val="10"/>
      <color theme="0"/>
      <name val="Calibri"/>
      <family val="2"/>
    </font>
    <font>
      <sz val="11"/>
      <color rgb="FF000000"/>
      <name val="Calibri"/>
      <family val="2"/>
      <charset val="1"/>
    </font>
  </fonts>
  <fills count="33">
    <fill>
      <patternFill patternType="none"/>
    </fill>
    <fill>
      <patternFill patternType="gray125"/>
    </fill>
    <fill>
      <patternFill patternType="solid">
        <fgColor rgb="FFFFFFFF"/>
        <bgColor rgb="FFFFFFFF"/>
      </patternFill>
    </fill>
    <fill>
      <patternFill patternType="solid">
        <fgColor theme="4" tint="0.79998168889431442"/>
        <bgColor indexed="64"/>
      </patternFill>
    </fill>
    <fill>
      <patternFill patternType="solid">
        <fgColor theme="4" tint="0.79998168889431442"/>
        <bgColor rgb="FFA1BDD7"/>
      </patternFill>
    </fill>
    <fill>
      <patternFill patternType="solid">
        <fgColor rgb="FF336699"/>
        <bgColor indexed="64"/>
      </patternFill>
    </fill>
    <fill>
      <patternFill patternType="solid">
        <fgColor theme="4" tint="0.39997558519241921"/>
        <bgColor indexed="64"/>
      </patternFill>
    </fill>
    <fill>
      <patternFill patternType="solid">
        <fgColor rgb="FF336699"/>
        <bgColor rgb="FFA1BDD7"/>
      </patternFill>
    </fill>
    <fill>
      <patternFill patternType="solid">
        <fgColor theme="8" tint="-0.249977111117893"/>
        <bgColor indexed="64"/>
      </patternFill>
    </fill>
    <fill>
      <patternFill patternType="solid">
        <fgColor theme="8" tint="-0.249977111117893"/>
        <bgColor rgb="FFA1BDD7"/>
      </patternFill>
    </fill>
    <fill>
      <patternFill patternType="solid">
        <fgColor theme="4" tint="0.59999389629810485"/>
        <bgColor indexed="64"/>
      </patternFill>
    </fill>
    <fill>
      <patternFill patternType="solid">
        <fgColor rgb="FFFFC0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5"/>
      </patternFill>
    </fill>
    <fill>
      <patternFill patternType="solid">
        <fgColor theme="8" tint="0.39997558519241921"/>
        <bgColor rgb="FFA1BDD7"/>
      </patternFill>
    </fill>
    <fill>
      <patternFill patternType="solid">
        <fgColor theme="8" tint="0.39997558519241921"/>
        <bgColor rgb="FFFFFFFF"/>
      </patternFill>
    </fill>
    <fill>
      <patternFill patternType="solid">
        <fgColor theme="9" tint="0.39997558519241921"/>
        <bgColor rgb="FFA1BDD7"/>
      </patternFill>
    </fill>
    <fill>
      <patternFill patternType="solid">
        <fgColor theme="9" tint="0.39997558519241921"/>
        <bgColor rgb="FFFFFFFF"/>
      </patternFill>
    </fill>
    <fill>
      <patternFill patternType="solid">
        <fgColor rgb="FF0070C0"/>
        <bgColor indexed="64"/>
      </patternFill>
    </fill>
    <fill>
      <patternFill patternType="solid">
        <fgColor theme="0"/>
        <bgColor indexed="64"/>
      </patternFill>
    </fill>
    <fill>
      <patternFill patternType="solid">
        <fgColor theme="4" tint="-0.499984740745262"/>
        <bgColor rgb="FFA1BDD7"/>
      </patternFill>
    </fill>
    <fill>
      <patternFill patternType="solid">
        <fgColor rgb="FF9BC2E6"/>
        <bgColor rgb="FFA1BDD7"/>
      </patternFill>
    </fill>
    <fill>
      <patternFill patternType="solid">
        <fgColor rgb="FF2F75B5"/>
        <bgColor rgb="FFA1BDD7"/>
      </patternFill>
    </fill>
    <fill>
      <patternFill patternType="solid">
        <fgColor rgb="FF2F75B5"/>
        <bgColor rgb="FFFFFFFF"/>
      </patternFill>
    </fill>
    <fill>
      <patternFill patternType="solid">
        <fgColor rgb="FF00B050"/>
        <bgColor indexed="64"/>
      </patternFill>
    </fill>
    <fill>
      <patternFill patternType="solid">
        <fgColor rgb="FF9BC2E7"/>
        <bgColor indexed="64"/>
      </patternFill>
    </fill>
    <fill>
      <patternFill patternType="solid">
        <fgColor rgb="FF9BC2E7"/>
        <bgColor rgb="FFA1BDD7"/>
      </patternFill>
    </fill>
    <fill>
      <patternFill patternType="solid">
        <fgColor theme="7" tint="0.59999389629810485"/>
        <bgColor rgb="FFA1BDD7"/>
      </patternFill>
    </fill>
    <fill>
      <patternFill patternType="solid">
        <fgColor theme="7" tint="0.59999389629810485"/>
        <bgColor rgb="FFFFFFFF"/>
      </patternFill>
    </fill>
    <fill>
      <patternFill patternType="solid">
        <fgColor theme="5" tint="0.59999389629810485"/>
        <bgColor rgb="FFA1BDD7"/>
      </patternFill>
    </fill>
    <fill>
      <patternFill patternType="solid">
        <fgColor theme="5" tint="0.59999389629810485"/>
        <bgColor rgb="FFFFFFFF"/>
      </patternFill>
    </fill>
    <fill>
      <patternFill patternType="solid">
        <fgColor rgb="FF8EA9DB"/>
        <bgColor indexed="64"/>
      </patternFill>
    </fill>
  </fills>
  <borders count="164">
    <border>
      <left/>
      <right/>
      <top/>
      <bottom/>
      <diagonal/>
    </border>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rgb="FF000000"/>
      </bottom>
      <diagonal/>
    </border>
    <border>
      <left style="thin">
        <color indexed="64"/>
      </left>
      <right style="thin">
        <color indexed="64"/>
      </right>
      <top style="medium">
        <color indexed="64"/>
      </top>
      <bottom/>
      <diagonal/>
    </border>
    <border>
      <left style="thin">
        <color auto="1"/>
      </left>
      <right style="medium">
        <color auto="1"/>
      </right>
      <top style="medium">
        <color auto="1"/>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auto="1"/>
      </left>
      <right style="medium">
        <color rgb="FF61504D"/>
      </right>
      <top style="thin">
        <color indexed="64"/>
      </top>
      <bottom/>
      <diagonal/>
    </border>
    <border>
      <left/>
      <right style="medium">
        <color rgb="FF61504D"/>
      </right>
      <top style="thin">
        <color indexed="64"/>
      </top>
      <bottom/>
      <diagonal/>
    </border>
    <border>
      <left/>
      <right style="medium">
        <color indexed="64"/>
      </right>
      <top style="thin">
        <color indexed="64"/>
      </top>
      <bottom/>
      <diagonal/>
    </border>
    <border>
      <left/>
      <right style="medium">
        <color rgb="FF61504D"/>
      </right>
      <top style="thin">
        <color indexed="64"/>
      </top>
      <bottom style="thin">
        <color indexed="64"/>
      </bottom>
      <diagonal/>
    </border>
    <border>
      <left style="medium">
        <color rgb="FF61504D"/>
      </left>
      <right style="medium">
        <color rgb="FF61504D"/>
      </right>
      <top style="medium">
        <color rgb="FF61504D"/>
      </top>
      <bottom style="medium">
        <color auto="1"/>
      </bottom>
      <diagonal/>
    </border>
    <border>
      <left/>
      <right style="medium">
        <color rgb="FF61504D"/>
      </right>
      <top/>
      <bottom style="medium">
        <color rgb="FF61504D"/>
      </bottom>
      <diagonal/>
    </border>
    <border>
      <left/>
      <right style="medium">
        <color rgb="FF61504D"/>
      </right>
      <top/>
      <bottom/>
      <diagonal/>
    </border>
    <border>
      <left/>
      <right style="medium">
        <color auto="1"/>
      </right>
      <top/>
      <bottom style="medium">
        <color rgb="FF61504D"/>
      </bottom>
      <diagonal/>
    </border>
    <border>
      <left style="medium">
        <color indexed="64"/>
      </left>
      <right style="medium">
        <color rgb="FF61504D"/>
      </right>
      <top style="thin">
        <color indexed="64"/>
      </top>
      <bottom style="medium">
        <color indexed="64"/>
      </bottom>
      <diagonal/>
    </border>
    <border>
      <left/>
      <right style="medium">
        <color rgb="FF61504D"/>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top style="medium">
        <color theme="5"/>
      </top>
      <bottom style="medium">
        <color theme="5"/>
      </bottom>
      <diagonal/>
    </border>
    <border>
      <left/>
      <right/>
      <top/>
      <bottom style="medium">
        <color theme="1"/>
      </bottom>
      <diagonal/>
    </border>
    <border>
      <left style="thin">
        <color indexed="64"/>
      </left>
      <right style="thin">
        <color indexed="64"/>
      </right>
      <top style="thin">
        <color indexed="64"/>
      </top>
      <bottom style="double">
        <color theme="1"/>
      </bottom>
      <diagonal/>
    </border>
    <border>
      <left/>
      <right/>
      <top style="double">
        <color theme="1"/>
      </top>
      <bottom style="thin">
        <color indexed="64"/>
      </bottom>
      <diagonal/>
    </border>
    <border>
      <left style="thin">
        <color theme="1"/>
      </left>
      <right style="thin">
        <color theme="1"/>
      </right>
      <top style="thin">
        <color theme="1"/>
      </top>
      <bottom style="thin">
        <color theme="1"/>
      </bottom>
      <diagonal/>
    </border>
    <border>
      <left style="medium">
        <color theme="1"/>
      </left>
      <right style="thin">
        <color indexed="64"/>
      </right>
      <top style="thin">
        <color indexed="64"/>
      </top>
      <bottom style="thin">
        <color indexed="64"/>
      </bottom>
      <diagonal/>
    </border>
    <border>
      <left/>
      <right/>
      <top style="medium">
        <color theme="5"/>
      </top>
      <bottom style="thin">
        <color indexed="64"/>
      </bottom>
      <diagonal/>
    </border>
    <border>
      <left/>
      <right style="thin">
        <color indexed="64"/>
      </right>
      <top style="medium">
        <color theme="5"/>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medium">
        <color indexed="64"/>
      </right>
      <top/>
      <bottom/>
      <diagonal/>
    </border>
    <border>
      <left style="medium">
        <color rgb="FFBFBFBF"/>
      </left>
      <right style="thin">
        <color indexed="64"/>
      </right>
      <top style="medium">
        <color rgb="FFBFBFBF"/>
      </top>
      <bottom/>
      <diagonal/>
    </border>
    <border>
      <left style="thin">
        <color indexed="64"/>
      </left>
      <right style="thin">
        <color indexed="64"/>
      </right>
      <top style="medium">
        <color rgb="FFBFBFBF"/>
      </top>
      <bottom/>
      <diagonal/>
    </border>
    <border>
      <left style="thin">
        <color indexed="64"/>
      </left>
      <right/>
      <top style="medium">
        <color rgb="FFBFBFBF"/>
      </top>
      <bottom/>
      <diagonal/>
    </border>
    <border>
      <left/>
      <right/>
      <top style="medium">
        <color rgb="FFBFBFBF"/>
      </top>
      <bottom/>
      <diagonal/>
    </border>
    <border>
      <left style="thin">
        <color auto="1"/>
      </left>
      <right style="medium">
        <color rgb="FFBFBFBF"/>
      </right>
      <top style="medium">
        <color rgb="FFBFBFBF"/>
      </top>
      <bottom/>
      <diagonal/>
    </border>
    <border>
      <left style="medium">
        <color rgb="FFBFBFBF"/>
      </left>
      <right style="thin">
        <color indexed="64"/>
      </right>
      <top style="medium">
        <color indexed="64"/>
      </top>
      <bottom/>
      <diagonal/>
    </border>
    <border>
      <left style="thin">
        <color auto="1"/>
      </left>
      <right style="medium">
        <color rgb="FFBFBFBF"/>
      </right>
      <top style="medium">
        <color auto="1"/>
      </top>
      <bottom/>
      <diagonal/>
    </border>
    <border>
      <left style="medium">
        <color rgb="FFBFBFBF"/>
      </left>
      <right style="thin">
        <color indexed="64"/>
      </right>
      <top/>
      <bottom style="thin">
        <color indexed="64"/>
      </bottom>
      <diagonal/>
    </border>
    <border>
      <left/>
      <right style="medium">
        <color rgb="FFBFBFBF"/>
      </right>
      <top/>
      <bottom style="thin">
        <color indexed="64"/>
      </bottom>
      <diagonal/>
    </border>
    <border>
      <left style="medium">
        <color rgb="FFBFBFBF"/>
      </left>
      <right/>
      <top style="thin">
        <color indexed="64"/>
      </top>
      <bottom style="thin">
        <color indexed="64"/>
      </bottom>
      <diagonal/>
    </border>
    <border>
      <left/>
      <right style="medium">
        <color rgb="FFBFBFBF"/>
      </right>
      <top style="thin">
        <color indexed="64"/>
      </top>
      <bottom style="thin">
        <color indexed="64"/>
      </bottom>
      <diagonal/>
    </border>
    <border>
      <left style="medium">
        <color rgb="FFBFBFBF"/>
      </left>
      <right style="thin">
        <color indexed="64"/>
      </right>
      <top style="thin">
        <color indexed="64"/>
      </top>
      <bottom style="thin">
        <color indexed="64"/>
      </bottom>
      <diagonal/>
    </border>
    <border>
      <left style="thin">
        <color indexed="64"/>
      </left>
      <right style="medium">
        <color rgb="FFBFBFBF"/>
      </right>
      <top style="thin">
        <color indexed="64"/>
      </top>
      <bottom/>
      <diagonal/>
    </border>
    <border>
      <left style="thin">
        <color indexed="64"/>
      </left>
      <right style="medium">
        <color rgb="FFBFBFBF"/>
      </right>
      <top/>
      <bottom/>
      <diagonal/>
    </border>
    <border>
      <left style="thin">
        <color indexed="64"/>
      </left>
      <right style="medium">
        <color rgb="FFBFBFBF"/>
      </right>
      <top style="thin">
        <color indexed="64"/>
      </top>
      <bottom style="thin">
        <color indexed="64"/>
      </bottom>
      <diagonal/>
    </border>
    <border>
      <left/>
      <right style="medium">
        <color rgb="FFBFBFBF"/>
      </right>
      <top/>
      <bottom/>
      <diagonal/>
    </border>
    <border>
      <left style="thin">
        <color indexed="64"/>
      </left>
      <right style="medium">
        <color rgb="FFBFBFBF"/>
      </right>
      <top/>
      <bottom style="thin">
        <color rgb="FF000000"/>
      </bottom>
      <diagonal/>
    </border>
    <border>
      <left/>
      <right style="medium">
        <color rgb="FFBFBFBF"/>
      </right>
      <top style="thin">
        <color indexed="64"/>
      </top>
      <bottom/>
      <diagonal/>
    </border>
    <border>
      <left/>
      <right style="medium">
        <color rgb="FFBFBFBF"/>
      </right>
      <top/>
      <bottom style="thin">
        <color rgb="FF000000"/>
      </bottom>
      <diagonal/>
    </border>
    <border>
      <left style="medium">
        <color rgb="FFBFBFBF"/>
      </left>
      <right style="thin">
        <color indexed="64"/>
      </right>
      <top style="thin">
        <color indexed="64"/>
      </top>
      <bottom/>
      <diagonal/>
    </border>
    <border>
      <left style="medium">
        <color rgb="FFBFBFBF"/>
      </left>
      <right/>
      <top style="medium">
        <color theme="5"/>
      </top>
      <bottom style="medium">
        <color theme="5"/>
      </bottom>
      <diagonal/>
    </border>
    <border>
      <left/>
      <right style="medium">
        <color rgb="FFBFBFBF"/>
      </right>
      <top style="medium">
        <color theme="5"/>
      </top>
      <bottom style="medium">
        <color theme="5"/>
      </bottom>
      <diagonal/>
    </border>
    <border>
      <left style="medium">
        <color rgb="FFBFBFBF"/>
      </left>
      <right/>
      <top style="medium">
        <color theme="5"/>
      </top>
      <bottom style="thin">
        <color indexed="64"/>
      </bottom>
      <diagonal/>
    </border>
    <border>
      <left style="thin">
        <color indexed="64"/>
      </left>
      <right style="medium">
        <color rgb="FFBFBFBF"/>
      </right>
      <top/>
      <bottom style="thin">
        <color indexed="64"/>
      </bottom>
      <diagonal/>
    </border>
    <border>
      <left style="medium">
        <color rgb="FFBFBFBF"/>
      </left>
      <right style="thin">
        <color indexed="64"/>
      </right>
      <top/>
      <bottom/>
      <diagonal/>
    </border>
    <border>
      <left style="medium">
        <color rgb="FFBFBFBF"/>
      </left>
      <right/>
      <top/>
      <bottom style="thin">
        <color indexed="64"/>
      </bottom>
      <diagonal/>
    </border>
    <border>
      <left style="medium">
        <color rgb="FFBFBFBF"/>
      </left>
      <right style="thin">
        <color indexed="64"/>
      </right>
      <top style="thin">
        <color indexed="64"/>
      </top>
      <bottom style="double">
        <color theme="1"/>
      </bottom>
      <diagonal/>
    </border>
    <border>
      <left style="thin">
        <color indexed="64"/>
      </left>
      <right style="medium">
        <color rgb="FFBFBFBF"/>
      </right>
      <top style="thin">
        <color indexed="64"/>
      </top>
      <bottom style="double">
        <color theme="1"/>
      </bottom>
      <diagonal/>
    </border>
    <border>
      <left style="medium">
        <color rgb="FFBFBFBF"/>
      </left>
      <right/>
      <top style="double">
        <color theme="1"/>
      </top>
      <bottom style="thin">
        <color indexed="64"/>
      </bottom>
      <diagonal/>
    </border>
    <border>
      <left/>
      <right style="medium">
        <color rgb="FFBFBFBF"/>
      </right>
      <top style="double">
        <color theme="1"/>
      </top>
      <bottom style="thin">
        <color indexed="64"/>
      </bottom>
      <diagonal/>
    </border>
    <border>
      <left style="medium">
        <color rgb="FFBFBFBF"/>
      </left>
      <right style="thin">
        <color indexed="64"/>
      </right>
      <top style="thin">
        <color indexed="64"/>
      </top>
      <bottom style="double">
        <color indexed="64"/>
      </bottom>
      <diagonal/>
    </border>
    <border>
      <left style="thin">
        <color indexed="64"/>
      </left>
      <right style="medium">
        <color rgb="FFBFBFBF"/>
      </right>
      <top style="thin">
        <color indexed="64"/>
      </top>
      <bottom style="double">
        <color indexed="64"/>
      </bottom>
      <diagonal/>
    </border>
    <border>
      <left style="medium">
        <color rgb="FFBFBFBF"/>
      </left>
      <right/>
      <top style="double">
        <color indexed="64"/>
      </top>
      <bottom style="thin">
        <color indexed="64"/>
      </bottom>
      <diagonal/>
    </border>
    <border>
      <left style="medium">
        <color rgb="FFBFBFBF"/>
      </left>
      <right/>
      <top/>
      <bottom style="medium">
        <color theme="1"/>
      </bottom>
      <diagonal/>
    </border>
    <border>
      <left/>
      <right style="medium">
        <color rgb="FFBFBFBF"/>
      </right>
      <top/>
      <bottom style="medium">
        <color theme="1"/>
      </bottom>
      <diagonal/>
    </border>
    <border>
      <left style="medium">
        <color rgb="FFBFBFBF"/>
      </left>
      <right/>
      <top/>
      <bottom style="medium">
        <color rgb="FFBFBFBF"/>
      </bottom>
      <diagonal/>
    </border>
    <border>
      <left/>
      <right/>
      <top/>
      <bottom style="medium">
        <color rgb="FFBFBFBF"/>
      </bottom>
      <diagonal/>
    </border>
    <border>
      <left/>
      <right style="medium">
        <color rgb="FFBFBFBF"/>
      </right>
      <top/>
      <bottom style="medium">
        <color rgb="FFBFBFBF"/>
      </bottom>
      <diagonal/>
    </border>
    <border>
      <left style="medium">
        <color rgb="FFBFBFBF"/>
      </left>
      <right/>
      <top style="thin">
        <color rgb="FFBFBFBF"/>
      </top>
      <bottom style="double">
        <color rgb="FFBFBFBF"/>
      </bottom>
      <diagonal/>
    </border>
    <border>
      <left/>
      <right/>
      <top style="thin">
        <color rgb="FFBFBFBF"/>
      </top>
      <bottom style="double">
        <color rgb="FFBFBFBF"/>
      </bottom>
      <diagonal/>
    </border>
    <border>
      <left/>
      <right style="medium">
        <color rgb="FFBFBFBF"/>
      </right>
      <top style="thin">
        <color rgb="FFBFBFBF"/>
      </top>
      <bottom style="double">
        <color rgb="FFBFBFBF"/>
      </bottom>
      <diagonal/>
    </border>
    <border>
      <left style="medium">
        <color theme="1"/>
      </left>
      <right/>
      <top style="medium">
        <color theme="1"/>
      </top>
      <bottom style="medium">
        <color indexed="64"/>
      </bottom>
      <diagonal/>
    </border>
    <border>
      <left/>
      <right/>
      <top style="medium">
        <color theme="1"/>
      </top>
      <bottom style="medium">
        <color indexed="64"/>
      </bottom>
      <diagonal/>
    </border>
    <border>
      <left/>
      <right/>
      <top style="medium">
        <color theme="1"/>
      </top>
      <bottom/>
      <diagonal/>
    </border>
    <border>
      <left/>
      <right style="medium">
        <color theme="1"/>
      </right>
      <top style="medium">
        <color theme="1"/>
      </top>
      <bottom/>
      <diagonal/>
    </border>
    <border>
      <left style="medium">
        <color theme="1"/>
      </left>
      <right/>
      <top style="medium">
        <color indexed="64"/>
      </top>
      <bottom/>
      <diagonal/>
    </border>
    <border>
      <left style="thin">
        <color indexed="64"/>
      </left>
      <right style="medium">
        <color theme="1"/>
      </right>
      <top style="medium">
        <color indexed="64"/>
      </top>
      <bottom style="thin">
        <color indexed="64"/>
      </bottom>
      <diagonal/>
    </border>
    <border>
      <left style="medium">
        <color theme="1"/>
      </left>
      <right/>
      <top/>
      <bottom/>
      <diagonal/>
    </border>
    <border>
      <left style="thin">
        <color indexed="64"/>
      </left>
      <right style="medium">
        <color theme="1"/>
      </right>
      <top style="thin">
        <color indexed="64"/>
      </top>
      <bottom/>
      <diagonal/>
    </border>
    <border>
      <left style="medium">
        <color theme="1"/>
      </left>
      <right/>
      <top/>
      <bottom style="medium">
        <color indexed="64"/>
      </bottom>
      <diagonal/>
    </border>
    <border>
      <left style="thin">
        <color indexed="64"/>
      </left>
      <right style="medium">
        <color theme="1"/>
      </right>
      <top style="thin">
        <color indexed="64"/>
      </top>
      <bottom style="thin">
        <color indexed="64"/>
      </bottom>
      <diagonal/>
    </border>
    <border>
      <left/>
      <right style="medium">
        <color theme="1"/>
      </right>
      <top/>
      <bottom/>
      <diagonal/>
    </border>
    <border>
      <left style="medium">
        <color theme="1"/>
      </left>
      <right style="thin">
        <color indexed="64"/>
      </right>
      <top style="medium">
        <color indexed="64"/>
      </top>
      <bottom/>
      <diagonal/>
    </border>
    <border>
      <left style="medium">
        <color theme="1"/>
      </left>
      <right style="thin">
        <color indexed="64"/>
      </right>
      <top/>
      <bottom/>
      <diagonal/>
    </border>
    <border>
      <left style="medium">
        <color theme="1"/>
      </left>
      <right style="thin">
        <color indexed="64"/>
      </right>
      <top/>
      <bottom style="medium">
        <color indexed="64"/>
      </bottom>
      <diagonal/>
    </border>
    <border>
      <left style="thin">
        <color indexed="64"/>
      </left>
      <right style="medium">
        <color theme="1"/>
      </right>
      <top/>
      <bottom/>
      <diagonal/>
    </border>
    <border>
      <left style="thin">
        <color indexed="64"/>
      </left>
      <right style="medium">
        <color theme="1"/>
      </right>
      <top/>
      <bottom style="medium">
        <color indexed="64"/>
      </bottom>
      <diagonal/>
    </border>
    <border>
      <left style="thin">
        <color indexed="64"/>
      </left>
      <right style="medium">
        <color theme="1"/>
      </right>
      <top style="medium">
        <color indexed="64"/>
      </top>
      <bottom/>
      <diagonal/>
    </border>
    <border>
      <left style="medium">
        <color theme="1"/>
      </left>
      <right/>
      <top style="medium">
        <color indexed="64"/>
      </top>
      <bottom style="medium">
        <color indexed="64"/>
      </bottom>
      <diagonal/>
    </border>
    <border>
      <left/>
      <right style="medium">
        <color theme="1"/>
      </right>
      <top style="medium">
        <color indexed="64"/>
      </top>
      <bottom style="medium">
        <color indexed="64"/>
      </bottom>
      <diagonal/>
    </border>
    <border>
      <left/>
      <right style="medium">
        <color theme="1"/>
      </right>
      <top style="medium">
        <color indexed="64"/>
      </top>
      <bottom/>
      <diagonal/>
    </border>
    <border>
      <left style="thin">
        <color theme="0" tint="-0.499984740745262"/>
      </left>
      <right style="medium">
        <color theme="1"/>
      </right>
      <top style="thin">
        <color theme="0" tint="-0.499984740745262"/>
      </top>
      <bottom style="thin">
        <color theme="0" tint="-0.499984740745262"/>
      </bottom>
      <diagonal/>
    </border>
    <border>
      <left style="thin">
        <color indexed="64"/>
      </left>
      <right style="medium">
        <color theme="1"/>
      </right>
      <top/>
      <bottom style="thin">
        <color indexed="64"/>
      </bottom>
      <diagonal/>
    </border>
    <border>
      <left style="medium">
        <color theme="1"/>
      </left>
      <right/>
      <top/>
      <bottom style="medium">
        <color theme="1"/>
      </bottom>
      <diagonal/>
    </border>
    <border>
      <left/>
      <right style="medium">
        <color indexed="64"/>
      </right>
      <top/>
      <bottom style="medium">
        <color theme="1"/>
      </bottom>
      <diagonal/>
    </border>
    <border>
      <left style="medium">
        <color indexed="64"/>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indexed="64"/>
      </right>
      <top style="thin">
        <color indexed="64"/>
      </top>
      <bottom style="medium">
        <color theme="1"/>
      </bottom>
      <diagonal/>
    </border>
    <border>
      <left style="thin">
        <color indexed="64"/>
      </left>
      <right style="thin">
        <color indexed="64"/>
      </right>
      <top/>
      <bottom style="medium">
        <color theme="1"/>
      </bottom>
      <diagonal/>
    </border>
    <border>
      <left style="thin">
        <color indexed="64"/>
      </left>
      <right style="medium">
        <color theme="1"/>
      </right>
      <top/>
      <bottom style="medium">
        <color theme="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theme="1"/>
      </bottom>
      <diagonal/>
    </border>
    <border>
      <left style="medium">
        <color indexed="64"/>
      </left>
      <right style="thin">
        <color theme="0" tint="-0.499984740745262"/>
      </right>
      <top style="medium">
        <color indexed="64"/>
      </top>
      <bottom/>
      <diagonal/>
    </border>
    <border>
      <left style="medium">
        <color indexed="64"/>
      </left>
      <right style="thin">
        <color theme="0" tint="-0.499984740745262"/>
      </right>
      <top/>
      <bottom/>
      <diagonal/>
    </border>
    <border>
      <left style="medium">
        <color indexed="64"/>
      </left>
      <right style="thin">
        <color theme="0" tint="-0.499984740745262"/>
      </right>
      <top/>
      <bottom style="medium">
        <color indexed="64"/>
      </bottom>
      <diagonal/>
    </border>
  </borders>
  <cellStyleXfs count="36">
    <xf numFmtId="0" fontId="0" fillId="0" borderId="0"/>
    <xf numFmtId="166" fontId="15" fillId="0" borderId="1" applyFont="0" applyFill="0" applyBorder="0" applyAlignment="0" applyProtection="0"/>
    <xf numFmtId="0" fontId="15" fillId="0" borderId="1"/>
    <xf numFmtId="0" fontId="15" fillId="0" borderId="1"/>
    <xf numFmtId="165" fontId="15" fillId="0" borderId="1" applyFont="0" applyFill="0" applyBorder="0" applyAlignment="0" applyProtection="0"/>
    <xf numFmtId="166" fontId="19" fillId="0" borderId="0" applyFont="0" applyFill="0" applyBorder="0" applyAlignment="0" applyProtection="0"/>
    <xf numFmtId="0" fontId="15" fillId="0" borderId="1"/>
    <xf numFmtId="0" fontId="15" fillId="0" borderId="1"/>
    <xf numFmtId="166" fontId="5" fillId="0" borderId="1" applyFont="0" applyFill="0" applyBorder="0" applyAlignment="0" applyProtection="0"/>
    <xf numFmtId="0" fontId="5" fillId="0" borderId="1"/>
    <xf numFmtId="9" fontId="31" fillId="0" borderId="0" applyFont="0" applyFill="0" applyBorder="0" applyAlignment="0" applyProtection="0"/>
    <xf numFmtId="0" fontId="4" fillId="0" borderId="1"/>
    <xf numFmtId="166" fontId="4" fillId="0" borderId="1" applyFont="0" applyFill="0" applyBorder="0" applyAlignment="0" applyProtection="0"/>
    <xf numFmtId="0" fontId="15" fillId="0" borderId="1"/>
    <xf numFmtId="0" fontId="15" fillId="0" borderId="1"/>
    <xf numFmtId="0" fontId="15" fillId="0" borderId="1"/>
    <xf numFmtId="0" fontId="34" fillId="0" borderId="1"/>
    <xf numFmtId="166" fontId="3" fillId="0" borderId="1" applyFont="0" applyFill="0" applyBorder="0" applyAlignment="0" applyProtection="0"/>
    <xf numFmtId="0" fontId="3" fillId="0" borderId="1"/>
    <xf numFmtId="9" fontId="15" fillId="0" borderId="1" applyFont="0" applyFill="0" applyBorder="0" applyAlignment="0" applyProtection="0"/>
    <xf numFmtId="0" fontId="32" fillId="14" borderId="1" applyNumberFormat="0" applyBorder="0" applyAlignment="0" applyProtection="0"/>
    <xf numFmtId="0" fontId="3" fillId="0" borderId="1"/>
    <xf numFmtId="166" fontId="3" fillId="0" borderId="1" applyFont="0" applyFill="0" applyBorder="0" applyAlignment="0" applyProtection="0"/>
    <xf numFmtId="0" fontId="35" fillId="0" borderId="1"/>
    <xf numFmtId="166" fontId="2" fillId="0" borderId="1" applyFont="0" applyFill="0" applyBorder="0" applyAlignment="0" applyProtection="0"/>
    <xf numFmtId="0" fontId="2" fillId="0" borderId="1"/>
    <xf numFmtId="0" fontId="2" fillId="0" borderId="1"/>
    <xf numFmtId="166" fontId="2" fillId="0" borderId="1" applyFont="0" applyFill="0" applyBorder="0" applyAlignment="0" applyProtection="0"/>
    <xf numFmtId="0" fontId="15" fillId="0" borderId="1"/>
    <xf numFmtId="166" fontId="2" fillId="0" borderId="1" applyFont="0" applyFill="0" applyBorder="0" applyAlignment="0" applyProtection="0"/>
    <xf numFmtId="0" fontId="2" fillId="0" borderId="1"/>
    <xf numFmtId="0" fontId="2" fillId="0" borderId="1"/>
    <xf numFmtId="166" fontId="2" fillId="0" borderId="1" applyFont="0" applyFill="0" applyBorder="0" applyAlignment="0" applyProtection="0"/>
    <xf numFmtId="0" fontId="2" fillId="0" borderId="1"/>
    <xf numFmtId="0" fontId="48" fillId="0" borderId="0" applyNumberFormat="0" applyFill="0" applyBorder="0" applyAlignment="0" applyProtection="0"/>
    <xf numFmtId="0" fontId="1" fillId="0" borderId="1"/>
  </cellStyleXfs>
  <cellXfs count="757">
    <xf numFmtId="0" fontId="0" fillId="0" borderId="0" xfId="0"/>
    <xf numFmtId="0" fontId="6" fillId="0" borderId="0" xfId="0" applyFont="1"/>
    <xf numFmtId="0" fontId="9" fillId="0" borderId="0" xfId="0" applyFont="1"/>
    <xf numFmtId="0" fontId="13" fillId="0" borderId="0" xfId="0" applyFont="1"/>
    <xf numFmtId="0" fontId="13" fillId="0" borderId="1" xfId="7" applyFont="1"/>
    <xf numFmtId="0" fontId="15" fillId="0" borderId="1" xfId="7"/>
    <xf numFmtId="168" fontId="15" fillId="0" borderId="1" xfId="8" applyNumberFormat="1" applyFont="1" applyBorder="1" applyAlignment="1"/>
    <xf numFmtId="168" fontId="18" fillId="0" borderId="1" xfId="8" applyNumberFormat="1" applyFont="1" applyBorder="1" applyAlignment="1"/>
    <xf numFmtId="0" fontId="15" fillId="0" borderId="1" xfId="7" applyAlignment="1">
      <alignment horizontal="center"/>
    </xf>
    <xf numFmtId="168" fontId="22" fillId="5" borderId="23" xfId="8" applyNumberFormat="1" applyFont="1" applyFill="1" applyBorder="1" applyAlignment="1">
      <alignment horizontal="center" vertical="center" wrapText="1"/>
    </xf>
    <xf numFmtId="168" fontId="22" fillId="5" borderId="25" xfId="8" applyNumberFormat="1" applyFont="1" applyFill="1" applyBorder="1" applyAlignment="1">
      <alignment horizontal="center" vertical="center" wrapText="1"/>
    </xf>
    <xf numFmtId="168" fontId="23" fillId="6" borderId="14" xfId="8" applyNumberFormat="1" applyFont="1" applyFill="1" applyBorder="1" applyAlignment="1">
      <alignment horizontal="center" vertical="center" wrapText="1"/>
    </xf>
    <xf numFmtId="0" fontId="24" fillId="8" borderId="2" xfId="7" applyFont="1" applyFill="1" applyBorder="1" applyAlignment="1">
      <alignment horizontal="left" vertical="top"/>
    </xf>
    <xf numFmtId="0" fontId="24" fillId="8" borderId="3" xfId="7" applyFont="1" applyFill="1" applyBorder="1" applyAlignment="1">
      <alignment vertical="center" wrapText="1"/>
    </xf>
    <xf numFmtId="0" fontId="22" fillId="8" borderId="3" xfId="7" applyFont="1" applyFill="1" applyBorder="1" applyAlignment="1">
      <alignment vertical="center" wrapText="1"/>
    </xf>
    <xf numFmtId="168" fontId="24" fillId="8" borderId="3" xfId="8" applyNumberFormat="1" applyFont="1" applyFill="1" applyBorder="1" applyAlignment="1">
      <alignment vertical="center" wrapText="1"/>
    </xf>
    <xf numFmtId="0" fontId="24" fillId="8" borderId="3" xfId="7" applyFont="1" applyFill="1" applyBorder="1" applyAlignment="1">
      <alignment horizontal="center" vertical="center" wrapText="1"/>
    </xf>
    <xf numFmtId="0" fontId="24" fillId="8" borderId="4" xfId="7" applyFont="1" applyFill="1" applyBorder="1" applyAlignment="1">
      <alignment vertical="center" wrapText="1"/>
    </xf>
    <xf numFmtId="0" fontId="16" fillId="3" borderId="28" xfId="7" applyFont="1" applyFill="1" applyBorder="1" applyAlignment="1">
      <alignment vertical="top" wrapText="1"/>
    </xf>
    <xf numFmtId="0" fontId="27" fillId="0" borderId="28" xfId="7" applyFont="1" applyBorder="1" applyAlignment="1" applyProtection="1">
      <alignment horizontal="center" vertical="top" wrapText="1"/>
      <protection locked="0"/>
    </xf>
    <xf numFmtId="168" fontId="27" fillId="3" borderId="28" xfId="8" applyNumberFormat="1" applyFont="1" applyFill="1" applyBorder="1" applyAlignment="1">
      <alignment vertical="top" wrapText="1"/>
    </xf>
    <xf numFmtId="168" fontId="25" fillId="6" borderId="28" xfId="8" applyNumberFormat="1" applyFont="1" applyFill="1" applyBorder="1" applyAlignment="1">
      <alignment vertical="top" wrapText="1"/>
    </xf>
    <xf numFmtId="168" fontId="25" fillId="6" borderId="30" xfId="8" applyNumberFormat="1" applyFont="1" applyFill="1" applyBorder="1" applyAlignment="1">
      <alignment vertical="top" wrapText="1"/>
    </xf>
    <xf numFmtId="0" fontId="25" fillId="11" borderId="2" xfId="7" applyFont="1" applyFill="1" applyBorder="1" applyAlignment="1">
      <alignment horizontal="left" vertical="top"/>
    </xf>
    <xf numFmtId="0" fontId="25" fillId="11" borderId="3" xfId="7" applyFont="1" applyFill="1" applyBorder="1" applyAlignment="1">
      <alignment vertical="center" wrapText="1"/>
    </xf>
    <xf numFmtId="0" fontId="29" fillId="11" borderId="3" xfId="7" applyFont="1" applyFill="1" applyBorder="1" applyAlignment="1">
      <alignment vertical="center" wrapText="1"/>
    </xf>
    <xf numFmtId="168" fontId="25" fillId="11" borderId="31" xfId="8" applyNumberFormat="1" applyFont="1" applyFill="1" applyBorder="1" applyAlignment="1">
      <alignment vertical="center" wrapText="1"/>
    </xf>
    <xf numFmtId="0" fontId="25" fillId="11" borderId="3" xfId="7" applyFont="1" applyFill="1" applyBorder="1" applyAlignment="1">
      <alignment horizontal="center" vertical="center" wrapText="1"/>
    </xf>
    <xf numFmtId="0" fontId="25" fillId="11" borderId="4" xfId="7" applyFont="1" applyFill="1" applyBorder="1" applyAlignment="1">
      <alignment vertical="center" wrapText="1"/>
    </xf>
    <xf numFmtId="168" fontId="25" fillId="6" borderId="33" xfId="8" applyNumberFormat="1" applyFont="1" applyFill="1" applyBorder="1" applyAlignment="1">
      <alignment vertical="top" wrapText="1"/>
    </xf>
    <xf numFmtId="0" fontId="25" fillId="11" borderId="2" xfId="7" applyFont="1" applyFill="1" applyBorder="1" applyAlignment="1">
      <alignment horizontal="left" vertical="center"/>
    </xf>
    <xf numFmtId="168" fontId="23" fillId="11" borderId="31" xfId="8" applyNumberFormat="1" applyFont="1" applyFill="1" applyBorder="1" applyAlignment="1">
      <alignment vertical="center" wrapText="1"/>
    </xf>
    <xf numFmtId="0" fontId="25" fillId="12" borderId="2" xfId="7" applyFont="1" applyFill="1" applyBorder="1" applyAlignment="1">
      <alignment horizontal="left" vertical="center"/>
    </xf>
    <xf numFmtId="0" fontId="25" fillId="12" borderId="3" xfId="7" applyFont="1" applyFill="1" applyBorder="1" applyAlignment="1">
      <alignment vertical="center" wrapText="1"/>
    </xf>
    <xf numFmtId="0" fontId="29" fillId="12" borderId="3" xfId="7" applyFont="1" applyFill="1" applyBorder="1" applyAlignment="1">
      <alignment vertical="center" wrapText="1"/>
    </xf>
    <xf numFmtId="168" fontId="25" fillId="12" borderId="31" xfId="8" applyNumberFormat="1" applyFont="1" applyFill="1" applyBorder="1" applyAlignment="1">
      <alignment vertical="center" wrapText="1"/>
    </xf>
    <xf numFmtId="0" fontId="25" fillId="12" borderId="3" xfId="7" applyFont="1" applyFill="1" applyBorder="1" applyAlignment="1">
      <alignment horizontal="center" vertical="center" wrapText="1"/>
    </xf>
    <xf numFmtId="0" fontId="25" fillId="12" borderId="4" xfId="7" applyFont="1" applyFill="1" applyBorder="1" applyAlignment="1">
      <alignment vertical="center" wrapText="1"/>
    </xf>
    <xf numFmtId="0" fontId="24" fillId="8" borderId="2" xfId="7" applyFont="1" applyFill="1" applyBorder="1" applyAlignment="1">
      <alignment horizontal="left" vertical="center"/>
    </xf>
    <xf numFmtId="0" fontId="30" fillId="10" borderId="5" xfId="7" applyFont="1" applyFill="1" applyBorder="1" applyAlignment="1">
      <alignment horizontal="left" vertical="center"/>
    </xf>
    <xf numFmtId="0" fontId="24" fillId="10" borderId="6" xfId="7" applyFont="1" applyFill="1" applyBorder="1" applyAlignment="1">
      <alignment vertical="center" wrapText="1"/>
    </xf>
    <xf numFmtId="0" fontId="22" fillId="10" borderId="6" xfId="7" applyFont="1" applyFill="1" applyBorder="1" applyAlignment="1">
      <alignment vertical="center" wrapText="1"/>
    </xf>
    <xf numFmtId="168" fontId="24" fillId="10" borderId="6" xfId="8" applyNumberFormat="1" applyFont="1" applyFill="1" applyBorder="1" applyAlignment="1">
      <alignment vertical="center" wrapText="1"/>
    </xf>
    <xf numFmtId="0" fontId="24" fillId="10" borderId="6" xfId="7" applyFont="1" applyFill="1" applyBorder="1" applyAlignment="1">
      <alignment horizontal="center" vertical="center" wrapText="1"/>
    </xf>
    <xf numFmtId="0" fontId="24" fillId="10" borderId="7" xfId="7" applyFont="1" applyFill="1" applyBorder="1" applyAlignment="1">
      <alignment vertical="center" wrapText="1"/>
    </xf>
    <xf numFmtId="0" fontId="16" fillId="0" borderId="35" xfId="7" applyFont="1" applyBorder="1" applyAlignment="1">
      <alignment horizontal="center" vertical="center" wrapText="1"/>
    </xf>
    <xf numFmtId="0" fontId="16" fillId="0" borderId="36" xfId="7" applyFont="1" applyBorder="1" applyAlignment="1">
      <alignment vertical="center" wrapText="1"/>
    </xf>
    <xf numFmtId="0" fontId="16" fillId="0" borderId="36" xfId="7" applyFont="1" applyBorder="1" applyAlignment="1">
      <alignment vertical="top" wrapText="1"/>
    </xf>
    <xf numFmtId="0" fontId="27" fillId="0" borderId="36" xfId="7" applyFont="1" applyBorder="1" applyAlignment="1" applyProtection="1">
      <alignment vertical="top" wrapText="1"/>
      <protection locked="0"/>
    </xf>
    <xf numFmtId="168" fontId="27" fillId="0" borderId="36" xfId="8" applyNumberFormat="1" applyFont="1" applyBorder="1" applyAlignment="1">
      <alignment vertical="top" wrapText="1"/>
    </xf>
    <xf numFmtId="168" fontId="25" fillId="6" borderId="36" xfId="8" applyNumberFormat="1" applyFont="1" applyFill="1" applyBorder="1" applyAlignment="1">
      <alignment vertical="top" wrapText="1"/>
    </xf>
    <xf numFmtId="0" fontId="27" fillId="0" borderId="36" xfId="7" applyFont="1" applyBorder="1" applyAlignment="1" applyProtection="1">
      <alignment horizontal="center" vertical="top" wrapText="1"/>
      <protection locked="0"/>
    </xf>
    <xf numFmtId="0" fontId="27" fillId="0" borderId="14" xfId="7" applyFont="1" applyBorder="1" applyAlignment="1" applyProtection="1">
      <alignment vertical="top" wrapText="1"/>
      <protection locked="0"/>
    </xf>
    <xf numFmtId="0" fontId="24" fillId="10" borderId="6" xfId="7" applyFont="1" applyFill="1" applyBorder="1" applyAlignment="1" applyProtection="1">
      <alignment vertical="center" wrapText="1"/>
      <protection locked="0"/>
    </xf>
    <xf numFmtId="0" fontId="24" fillId="10" borderId="6" xfId="7" applyFont="1" applyFill="1" applyBorder="1" applyAlignment="1" applyProtection="1">
      <alignment horizontal="center" vertical="center" wrapText="1"/>
      <protection locked="0"/>
    </xf>
    <xf numFmtId="0" fontId="24" fillId="10" borderId="7" xfId="7" applyFont="1" applyFill="1" applyBorder="1" applyAlignment="1" applyProtection="1">
      <alignment vertical="center" wrapText="1"/>
      <protection locked="0"/>
    </xf>
    <xf numFmtId="0" fontId="25" fillId="3" borderId="2" xfId="7" applyFont="1" applyFill="1" applyBorder="1" applyAlignment="1">
      <alignment horizontal="left" vertical="center"/>
    </xf>
    <xf numFmtId="0" fontId="25" fillId="3" borderId="3" xfId="7" applyFont="1" applyFill="1" applyBorder="1" applyAlignment="1">
      <alignment vertical="center" wrapText="1"/>
    </xf>
    <xf numFmtId="0" fontId="29" fillId="3" borderId="3" xfId="7" applyFont="1" applyFill="1" applyBorder="1" applyAlignment="1">
      <alignment vertical="center" wrapText="1"/>
    </xf>
    <xf numFmtId="168" fontId="26" fillId="3" borderId="31" xfId="8" applyNumberFormat="1" applyFont="1" applyFill="1" applyBorder="1" applyAlignment="1">
      <alignment vertical="center" wrapText="1"/>
    </xf>
    <xf numFmtId="0" fontId="25" fillId="3" borderId="3" xfId="7" applyFont="1" applyFill="1" applyBorder="1" applyAlignment="1">
      <alignment horizontal="center" vertical="center" wrapText="1"/>
    </xf>
    <xf numFmtId="0" fontId="25" fillId="3" borderId="4" xfId="7" applyFont="1" applyFill="1" applyBorder="1" applyAlignment="1">
      <alignment vertical="center" wrapText="1"/>
    </xf>
    <xf numFmtId="0" fontId="28" fillId="13" borderId="8" xfId="7" applyFont="1" applyFill="1" applyBorder="1" applyAlignment="1">
      <alignment horizontal="left" vertical="center"/>
    </xf>
    <xf numFmtId="0" fontId="28" fillId="13" borderId="9" xfId="7" applyFont="1" applyFill="1" applyBorder="1" applyAlignment="1">
      <alignment vertical="center" wrapText="1"/>
    </xf>
    <xf numFmtId="0" fontId="29" fillId="13" borderId="9" xfId="7" applyFont="1" applyFill="1" applyBorder="1" applyAlignment="1">
      <alignment vertical="center" wrapText="1"/>
    </xf>
    <xf numFmtId="168" fontId="28" fillId="13" borderId="31" xfId="8" applyNumberFormat="1" applyFont="1" applyFill="1" applyBorder="1" applyAlignment="1">
      <alignment vertical="center" wrapText="1"/>
    </xf>
    <xf numFmtId="0" fontId="28" fillId="13" borderId="9" xfId="7" applyFont="1" applyFill="1" applyBorder="1" applyAlignment="1">
      <alignment horizontal="center" vertical="center" wrapText="1"/>
    </xf>
    <xf numFmtId="0" fontId="28" fillId="13" borderId="37" xfId="7" applyFont="1" applyFill="1" applyBorder="1" applyAlignment="1">
      <alignment vertical="center" wrapText="1"/>
    </xf>
    <xf numFmtId="0" fontId="18" fillId="0" borderId="1" xfId="7" applyFont="1" applyAlignment="1">
      <alignment horizontal="center"/>
    </xf>
    <xf numFmtId="0" fontId="27" fillId="0" borderId="29" xfId="7" applyFont="1" applyBorder="1" applyAlignment="1" applyProtection="1">
      <alignment vertical="top" wrapText="1"/>
      <protection locked="0"/>
    </xf>
    <xf numFmtId="0" fontId="27" fillId="0" borderId="30" xfId="7" applyFont="1" applyBorder="1" applyAlignment="1" applyProtection="1">
      <alignment horizontal="center" vertical="top" wrapText="1"/>
      <protection locked="0"/>
    </xf>
    <xf numFmtId="0" fontId="27" fillId="0" borderId="13" xfId="7" applyFont="1" applyBorder="1" applyAlignment="1" applyProtection="1">
      <alignment vertical="top" wrapText="1"/>
      <protection locked="0"/>
    </xf>
    <xf numFmtId="0" fontId="27" fillId="0" borderId="32" xfId="7" applyFont="1" applyBorder="1" applyAlignment="1" applyProtection="1">
      <alignment horizontal="center" vertical="top" wrapText="1"/>
      <protection locked="0"/>
    </xf>
    <xf numFmtId="0" fontId="27" fillId="0" borderId="34" xfId="7" applyFont="1" applyBorder="1" applyAlignment="1" applyProtection="1">
      <alignment vertical="top" wrapText="1"/>
      <protection locked="0"/>
    </xf>
    <xf numFmtId="9" fontId="15" fillId="0" borderId="1" xfId="10" applyFont="1" applyBorder="1" applyAlignment="1"/>
    <xf numFmtId="0" fontId="33" fillId="0" borderId="1" xfId="13" applyFont="1"/>
    <xf numFmtId="0" fontId="12" fillId="15" borderId="10" xfId="0" applyFont="1" applyFill="1" applyBorder="1" applyAlignment="1">
      <alignment horizontal="right" vertical="top" wrapText="1"/>
    </xf>
    <xf numFmtId="49" fontId="10" fillId="15" borderId="10" xfId="0" applyNumberFormat="1" applyFont="1" applyFill="1" applyBorder="1" applyAlignment="1">
      <alignment horizontal="left" vertical="top" wrapText="1"/>
    </xf>
    <xf numFmtId="0" fontId="6" fillId="0" borderId="0" xfId="0" applyFont="1" applyProtection="1">
      <protection locked="0"/>
    </xf>
    <xf numFmtId="0" fontId="7" fillId="0" borderId="1" xfId="7" applyFont="1" applyAlignment="1" applyProtection="1">
      <alignment horizontal="left" vertical="center"/>
      <protection locked="0"/>
    </xf>
    <xf numFmtId="0" fontId="15" fillId="0" borderId="1" xfId="7" applyProtection="1">
      <protection locked="0"/>
    </xf>
    <xf numFmtId="0" fontId="6" fillId="0" borderId="0" xfId="0" applyFont="1" applyAlignment="1">
      <alignment wrapText="1"/>
    </xf>
    <xf numFmtId="168" fontId="29" fillId="0" borderId="0" xfId="0" applyNumberFormat="1" applyFont="1"/>
    <xf numFmtId="0" fontId="27" fillId="3" borderId="27" xfId="7" applyFont="1" applyFill="1" applyBorder="1" applyAlignment="1">
      <alignment horizontal="center" vertical="top" wrapText="1"/>
    </xf>
    <xf numFmtId="0" fontId="22" fillId="5" borderId="23" xfId="7" applyFont="1" applyFill="1" applyBorder="1" applyAlignment="1">
      <alignment horizontal="center" vertical="center" wrapText="1"/>
    </xf>
    <xf numFmtId="0" fontId="22" fillId="5" borderId="24" xfId="7" applyFont="1" applyFill="1" applyBorder="1" applyAlignment="1">
      <alignment horizontal="center" vertical="center" wrapText="1"/>
    </xf>
    <xf numFmtId="0" fontId="10" fillId="0" borderId="10" xfId="0" applyFont="1" applyBorder="1" applyAlignment="1">
      <alignment horizontal="left" vertical="top" wrapText="1"/>
    </xf>
    <xf numFmtId="49" fontId="10" fillId="0" borderId="10" xfId="0" applyNumberFormat="1" applyFont="1" applyBorder="1" applyAlignment="1">
      <alignment horizontal="left" vertical="top" wrapText="1"/>
    </xf>
    <xf numFmtId="0" fontId="8" fillId="0" borderId="41" xfId="0" applyFont="1" applyBorder="1" applyAlignment="1">
      <alignment vertical="center" wrapText="1"/>
    </xf>
    <xf numFmtId="0" fontId="8" fillId="0" borderId="42" xfId="0" applyFont="1" applyBorder="1" applyAlignment="1">
      <alignment vertical="center" wrapText="1"/>
    </xf>
    <xf numFmtId="0" fontId="7" fillId="3" borderId="16" xfId="0" applyFont="1" applyFill="1" applyBorder="1" applyAlignment="1">
      <alignment vertical="center" wrapText="1"/>
    </xf>
    <xf numFmtId="0" fontId="8" fillId="0" borderId="16" xfId="0" applyFont="1" applyBorder="1" applyAlignment="1">
      <alignment vertical="center" wrapText="1"/>
    </xf>
    <xf numFmtId="0" fontId="25" fillId="6" borderId="28" xfId="7" applyFont="1" applyFill="1" applyBorder="1" applyAlignment="1" applyProtection="1">
      <alignment horizontal="center" vertical="top" wrapText="1"/>
      <protection locked="0"/>
    </xf>
    <xf numFmtId="0" fontId="2" fillId="0" borderId="1" xfId="30"/>
    <xf numFmtId="0" fontId="21" fillId="5" borderId="46" xfId="0" applyFont="1" applyFill="1" applyBorder="1" applyAlignment="1">
      <alignment horizontal="center" vertical="center" wrapText="1"/>
    </xf>
    <xf numFmtId="0" fontId="7" fillId="3" borderId="47" xfId="0" applyFont="1" applyFill="1" applyBorder="1" applyAlignment="1">
      <alignment vertical="center" wrapText="1"/>
    </xf>
    <xf numFmtId="0" fontId="15" fillId="0" borderId="0" xfId="0" applyFont="1"/>
    <xf numFmtId="0" fontId="18" fillId="0" borderId="0" xfId="0" applyFont="1"/>
    <xf numFmtId="171" fontId="18" fillId="0" borderId="0" xfId="0" applyNumberFormat="1" applyFont="1"/>
    <xf numFmtId="171" fontId="0" fillId="0" borderId="0" xfId="0" applyNumberFormat="1"/>
    <xf numFmtId="171" fontId="44" fillId="0" borderId="0" xfId="0" applyNumberFormat="1" applyFont="1"/>
    <xf numFmtId="171" fontId="15" fillId="0" borderId="0" xfId="0" applyNumberFormat="1" applyFont="1"/>
    <xf numFmtId="166" fontId="0" fillId="0" borderId="0" xfId="0" applyNumberFormat="1"/>
    <xf numFmtId="171" fontId="18" fillId="0" borderId="9" xfId="0" applyNumberFormat="1" applyFont="1" applyBorder="1"/>
    <xf numFmtId="0" fontId="0" fillId="0" borderId="9" xfId="0" applyBorder="1"/>
    <xf numFmtId="0" fontId="18" fillId="0" borderId="9" xfId="0" applyFont="1" applyBorder="1" applyAlignment="1">
      <alignment horizontal="center"/>
    </xf>
    <xf numFmtId="0" fontId="18" fillId="0" borderId="9" xfId="0" applyFont="1" applyBorder="1"/>
    <xf numFmtId="0" fontId="18" fillId="0" borderId="48" xfId="0" applyFont="1" applyBorder="1" applyAlignment="1">
      <alignment horizontal="centerContinuous"/>
    </xf>
    <xf numFmtId="0" fontId="0" fillId="0" borderId="48" xfId="0" applyBorder="1" applyAlignment="1">
      <alignment horizontal="centerContinuous"/>
    </xf>
    <xf numFmtId="171" fontId="15" fillId="0" borderId="49" xfId="0" applyNumberFormat="1" applyFont="1" applyBorder="1"/>
    <xf numFmtId="0" fontId="0" fillId="0" borderId="49" xfId="0" applyBorder="1"/>
    <xf numFmtId="0" fontId="15" fillId="0" borderId="49" xfId="0" applyFont="1" applyBorder="1"/>
    <xf numFmtId="0" fontId="40" fillId="20" borderId="10" xfId="7" applyFont="1" applyFill="1" applyBorder="1" applyAlignment="1">
      <alignment horizontal="left" vertical="center" wrapText="1"/>
    </xf>
    <xf numFmtId="0" fontId="40" fillId="20" borderId="45" xfId="7" applyFont="1" applyFill="1" applyBorder="1" applyAlignment="1">
      <alignment horizontal="left" vertical="center" wrapText="1"/>
    </xf>
    <xf numFmtId="0" fontId="14" fillId="5" borderId="11" xfId="0" applyFont="1" applyFill="1" applyBorder="1" applyAlignment="1">
      <alignment horizontal="center" vertical="center" wrapText="1"/>
    </xf>
    <xf numFmtId="168" fontId="38" fillId="19" borderId="10" xfId="24" applyNumberFormat="1" applyFont="1" applyFill="1" applyBorder="1" applyAlignment="1">
      <alignment horizontal="center" vertical="center" wrapText="1"/>
    </xf>
    <xf numFmtId="0" fontId="14" fillId="9" borderId="38" xfId="0" applyFont="1" applyFill="1" applyBorder="1" applyAlignment="1">
      <alignment horizontal="left" vertical="center" wrapText="1"/>
    </xf>
    <xf numFmtId="0" fontId="14" fillId="9" borderId="48" xfId="0" applyFont="1" applyFill="1" applyBorder="1" applyAlignment="1">
      <alignment vertical="center" wrapText="1"/>
    </xf>
    <xf numFmtId="169" fontId="8" fillId="0" borderId="41" xfId="0" applyNumberFormat="1" applyFont="1" applyBorder="1" applyAlignment="1">
      <alignment vertical="center" wrapText="1"/>
    </xf>
    <xf numFmtId="169" fontId="7" fillId="3" borderId="16" xfId="5" applyNumberFormat="1" applyFont="1" applyFill="1" applyBorder="1" applyAlignment="1">
      <alignment vertical="center" wrapText="1"/>
    </xf>
    <xf numFmtId="169" fontId="8" fillId="0" borderId="16" xfId="0" applyNumberFormat="1" applyFont="1" applyBorder="1" applyAlignment="1">
      <alignment vertical="center" wrapText="1"/>
    </xf>
    <xf numFmtId="169" fontId="7" fillId="3" borderId="47" xfId="5" applyNumberFormat="1" applyFont="1" applyFill="1" applyBorder="1" applyAlignment="1">
      <alignment vertical="center" wrapText="1"/>
    </xf>
    <xf numFmtId="0" fontId="48" fillId="0" borderId="0" xfId="34" applyAlignment="1">
      <alignment vertical="top"/>
    </xf>
    <xf numFmtId="0" fontId="17" fillId="7" borderId="65" xfId="0" applyFont="1" applyFill="1" applyBorder="1" applyAlignment="1">
      <alignment horizontal="left" vertical="top" wrapText="1"/>
    </xf>
    <xf numFmtId="0" fontId="40" fillId="0" borderId="10" xfId="7" applyFont="1" applyBorder="1" applyAlignment="1">
      <alignment vertical="center" wrapText="1"/>
    </xf>
    <xf numFmtId="0" fontId="40" fillId="20" borderId="43" xfId="7" applyFont="1" applyFill="1" applyBorder="1" applyAlignment="1">
      <alignment horizontal="left" vertical="center" wrapText="1"/>
    </xf>
    <xf numFmtId="0" fontId="40" fillId="0" borderId="59" xfId="7" applyFont="1" applyBorder="1" applyAlignment="1">
      <alignment vertical="center" wrapText="1"/>
    </xf>
    <xf numFmtId="0" fontId="40" fillId="0" borderId="45" xfId="7" applyFont="1" applyBorder="1" applyAlignment="1">
      <alignment vertical="center" wrapText="1"/>
    </xf>
    <xf numFmtId="0" fontId="40" fillId="0" borderId="60" xfId="7" applyFont="1" applyBorder="1" applyAlignment="1">
      <alignment vertical="center" wrapText="1"/>
    </xf>
    <xf numFmtId="0" fontId="40" fillId="0" borderId="61" xfId="7" applyFont="1" applyBorder="1" applyAlignment="1">
      <alignment vertical="center" wrapText="1"/>
    </xf>
    <xf numFmtId="0" fontId="40" fillId="0" borderId="62" xfId="7" applyFont="1" applyBorder="1" applyAlignment="1">
      <alignment vertical="center" wrapText="1"/>
    </xf>
    <xf numFmtId="0" fontId="40" fillId="0" borderId="23" xfId="7" applyFont="1" applyBorder="1" applyAlignment="1">
      <alignment vertical="center" wrapText="1"/>
    </xf>
    <xf numFmtId="0" fontId="40" fillId="0" borderId="24" xfId="7" applyFont="1" applyBorder="1" applyAlignment="1">
      <alignment vertical="center" wrapText="1"/>
    </xf>
    <xf numFmtId="0" fontId="40" fillId="0" borderId="25" xfId="7" applyFont="1" applyBorder="1" applyAlignment="1">
      <alignment vertical="center" wrapText="1"/>
    </xf>
    <xf numFmtId="0" fontId="17" fillId="21" borderId="65" xfId="0" applyFont="1" applyFill="1" applyBorder="1" applyAlignment="1">
      <alignment vertical="top" wrapText="1"/>
    </xf>
    <xf numFmtId="0" fontId="17" fillId="21" borderId="49" xfId="0" applyFont="1" applyFill="1" applyBorder="1" applyAlignment="1">
      <alignment vertical="top" wrapText="1"/>
    </xf>
    <xf numFmtId="0" fontId="17" fillId="21" borderId="29" xfId="0" applyFont="1" applyFill="1" applyBorder="1" applyAlignment="1">
      <alignment vertical="top" wrapText="1"/>
    </xf>
    <xf numFmtId="0" fontId="17" fillId="7" borderId="61" xfId="0" applyFont="1" applyFill="1" applyBorder="1" applyAlignment="1">
      <alignment vertical="top" wrapText="1"/>
    </xf>
    <xf numFmtId="0" fontId="17" fillId="7" borderId="59" xfId="0" applyFont="1" applyFill="1" applyBorder="1" applyAlignment="1">
      <alignment vertical="top" wrapText="1"/>
    </xf>
    <xf numFmtId="0" fontId="17" fillId="7" borderId="61" xfId="0" applyFont="1" applyFill="1" applyBorder="1" applyAlignment="1">
      <alignment horizontal="left" vertical="top" wrapText="1"/>
    </xf>
    <xf numFmtId="168" fontId="38" fillId="19" borderId="40" xfId="24" applyNumberFormat="1" applyFont="1" applyFill="1" applyBorder="1" applyAlignment="1">
      <alignment horizontal="center" vertical="center" wrapText="1"/>
    </xf>
    <xf numFmtId="0" fontId="50" fillId="0" borderId="10" xfId="0" applyFont="1" applyBorder="1" applyAlignment="1">
      <alignment wrapText="1"/>
    </xf>
    <xf numFmtId="0" fontId="6" fillId="0" borderId="1" xfId="0" applyFont="1" applyBorder="1" applyAlignment="1">
      <alignment wrapText="1"/>
    </xf>
    <xf numFmtId="0" fontId="6" fillId="0" borderId="1" xfId="0" applyFont="1" applyBorder="1"/>
    <xf numFmtId="0" fontId="14" fillId="9" borderId="48" xfId="0" applyFont="1" applyFill="1" applyBorder="1" applyAlignment="1">
      <alignment horizontal="center" vertical="center" wrapText="1"/>
    </xf>
    <xf numFmtId="0" fontId="13" fillId="0" borderId="0" xfId="0" applyFont="1" applyAlignment="1">
      <alignment horizontal="center" vertical="center"/>
    </xf>
    <xf numFmtId="0" fontId="11" fillId="15" borderId="10" xfId="0" applyFont="1" applyFill="1" applyBorder="1" applyAlignment="1">
      <alignment horizontal="center" vertical="center" wrapText="1"/>
    </xf>
    <xf numFmtId="0" fontId="6" fillId="0" borderId="0" xfId="0" applyFont="1" applyAlignment="1">
      <alignment horizontal="center" vertical="center"/>
    </xf>
    <xf numFmtId="0" fontId="13" fillId="0" borderId="0" xfId="0" applyFont="1" applyAlignment="1" applyProtection="1">
      <alignment horizontal="center" vertical="center"/>
      <protection locked="0"/>
    </xf>
    <xf numFmtId="169" fontId="10" fillId="0" borderId="10" xfId="0" applyNumberFormat="1" applyFont="1" applyBorder="1" applyAlignment="1" applyProtection="1">
      <alignment horizontal="center" vertical="center" wrapText="1"/>
      <protection locked="0"/>
    </xf>
    <xf numFmtId="0" fontId="37" fillId="0" borderId="0" xfId="0" applyFont="1" applyAlignment="1">
      <alignment horizontal="center" vertical="center"/>
    </xf>
    <xf numFmtId="167" fontId="10" fillId="0" borderId="10" xfId="0" applyNumberFormat="1" applyFont="1" applyBorder="1" applyAlignment="1" applyProtection="1">
      <alignment horizontal="center" vertical="center" wrapText="1"/>
      <protection locked="0"/>
    </xf>
    <xf numFmtId="0" fontId="12" fillId="15" borderId="40" xfId="0" applyFont="1" applyFill="1" applyBorder="1" applyAlignment="1">
      <alignment horizontal="right" vertical="top" wrapText="1"/>
    </xf>
    <xf numFmtId="49" fontId="10" fillId="15" borderId="40" xfId="0" applyNumberFormat="1" applyFont="1" applyFill="1" applyBorder="1" applyAlignment="1">
      <alignment horizontal="left" vertical="top" wrapText="1"/>
    </xf>
    <xf numFmtId="0" fontId="11" fillId="15" borderId="40" xfId="0" applyFont="1" applyFill="1" applyBorder="1" applyAlignment="1">
      <alignment horizontal="center" vertical="center" wrapText="1"/>
    </xf>
    <xf numFmtId="0" fontId="14" fillId="9" borderId="48" xfId="0" applyFont="1" applyFill="1" applyBorder="1" applyAlignment="1">
      <alignment horizontal="left" vertical="center" wrapText="1"/>
    </xf>
    <xf numFmtId="0" fontId="50" fillId="0" borderId="10" xfId="0" applyFont="1" applyBorder="1" applyAlignment="1">
      <alignment horizontal="left" vertical="top" wrapText="1"/>
    </xf>
    <xf numFmtId="9" fontId="10" fillId="0" borderId="10" xfId="0" applyNumberFormat="1" applyFont="1" applyBorder="1" applyAlignment="1">
      <alignment horizontal="left" vertical="center" wrapText="1"/>
    </xf>
    <xf numFmtId="170" fontId="10" fillId="0" borderId="10" xfId="5" applyNumberFormat="1" applyFont="1" applyBorder="1" applyAlignment="1" applyProtection="1">
      <alignment horizontal="center" vertical="center" wrapText="1"/>
      <protection locked="0"/>
    </xf>
    <xf numFmtId="170" fontId="6" fillId="0" borderId="10" xfId="1" applyNumberFormat="1" applyFont="1" applyFill="1" applyBorder="1" applyAlignment="1" applyProtection="1">
      <alignment horizontal="center" vertical="center"/>
    </xf>
    <xf numFmtId="0" fontId="6" fillId="0" borderId="0" xfId="0" applyFont="1" applyAlignment="1">
      <alignment vertical="center"/>
    </xf>
    <xf numFmtId="0" fontId="20" fillId="17" borderId="39" xfId="0" applyFont="1" applyFill="1" applyBorder="1" applyAlignment="1">
      <alignment horizontal="center" vertical="center" wrapText="1"/>
    </xf>
    <xf numFmtId="0" fontId="6"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6" fillId="0" borderId="10" xfId="0" applyFont="1" applyBorder="1" applyAlignment="1">
      <alignment horizontal="center" vertical="center"/>
    </xf>
    <xf numFmtId="0" fontId="6" fillId="26" borderId="10" xfId="0" applyFont="1" applyFill="1" applyBorder="1"/>
    <xf numFmtId="0" fontId="6" fillId="26" borderId="10" xfId="0" applyFont="1" applyFill="1" applyBorder="1" applyAlignment="1">
      <alignment horizontal="center" vertical="center"/>
    </xf>
    <xf numFmtId="0" fontId="20" fillId="28" borderId="10" xfId="0" applyFont="1" applyFill="1" applyBorder="1" applyAlignment="1">
      <alignment vertical="top"/>
    </xf>
    <xf numFmtId="0" fontId="20" fillId="28" borderId="10" xfId="0" applyFont="1" applyFill="1" applyBorder="1" applyAlignment="1">
      <alignment horizontal="center" vertical="center" wrapText="1"/>
    </xf>
    <xf numFmtId="0" fontId="20" fillId="28" borderId="38" xfId="0" applyFont="1" applyFill="1" applyBorder="1" applyAlignment="1">
      <alignment horizontal="center" vertical="center" wrapText="1"/>
    </xf>
    <xf numFmtId="0" fontId="20" fillId="17" borderId="69" xfId="0" applyFont="1" applyFill="1" applyBorder="1" applyAlignment="1">
      <alignment vertical="top"/>
    </xf>
    <xf numFmtId="0" fontId="20" fillId="17" borderId="69" xfId="0" applyFont="1" applyFill="1" applyBorder="1" applyAlignment="1">
      <alignment horizontal="center" vertical="center" wrapText="1"/>
    </xf>
    <xf numFmtId="0" fontId="14" fillId="9" borderId="58" xfId="0" applyFont="1" applyFill="1" applyBorder="1" applyAlignment="1">
      <alignment horizontal="left" vertical="center" wrapText="1"/>
    </xf>
    <xf numFmtId="0" fontId="6" fillId="0" borderId="10" xfId="0" applyFont="1" applyBorder="1" applyAlignment="1">
      <alignment horizontal="left" vertical="center" wrapText="1"/>
    </xf>
    <xf numFmtId="0" fontId="12" fillId="15" borderId="19" xfId="0" applyFont="1" applyFill="1" applyBorder="1" applyAlignment="1">
      <alignment horizontal="right" vertical="top" wrapText="1"/>
    </xf>
    <xf numFmtId="49" fontId="10" fillId="15" borderId="19" xfId="0" applyNumberFormat="1" applyFont="1" applyFill="1" applyBorder="1" applyAlignment="1">
      <alignment horizontal="left" vertical="top" wrapText="1"/>
    </xf>
    <xf numFmtId="0" fontId="11" fillId="15" borderId="19" xfId="0" applyFont="1" applyFill="1" applyBorder="1" applyAlignment="1">
      <alignment horizontal="center" vertical="center" wrapText="1"/>
    </xf>
    <xf numFmtId="0" fontId="10" fillId="0" borderId="10" xfId="0" applyFont="1" applyBorder="1" applyAlignment="1">
      <alignment horizontal="center" vertical="center" wrapText="1"/>
    </xf>
    <xf numFmtId="9" fontId="17" fillId="7" borderId="55" xfId="0" applyNumberFormat="1" applyFont="1" applyFill="1" applyBorder="1" applyAlignment="1">
      <alignment horizontal="center" vertical="center" wrapText="1"/>
    </xf>
    <xf numFmtId="170" fontId="13" fillId="0" borderId="0" xfId="5" applyNumberFormat="1" applyFont="1" applyAlignment="1" applyProtection="1">
      <alignment horizontal="center" vertical="center"/>
    </xf>
    <xf numFmtId="170" fontId="13" fillId="0" borderId="0" xfId="5" applyNumberFormat="1" applyFont="1" applyAlignment="1" applyProtection="1">
      <alignment horizontal="center" vertical="center"/>
      <protection locked="0"/>
    </xf>
    <xf numFmtId="170" fontId="11" fillId="15" borderId="10" xfId="1" applyNumberFormat="1" applyFont="1" applyFill="1" applyBorder="1" applyAlignment="1">
      <alignment horizontal="center" vertical="center" wrapText="1"/>
    </xf>
    <xf numFmtId="170" fontId="11" fillId="0" borderId="10" xfId="1" applyNumberFormat="1" applyFont="1" applyFill="1" applyBorder="1" applyAlignment="1">
      <alignment horizontal="center" vertical="center" wrapText="1"/>
    </xf>
    <xf numFmtId="170" fontId="11" fillId="15" borderId="1" xfId="1" applyNumberFormat="1" applyFont="1" applyFill="1" applyBorder="1" applyAlignment="1">
      <alignment horizontal="center" vertical="center" wrapText="1"/>
    </xf>
    <xf numFmtId="170" fontId="10" fillId="0" borderId="10" xfId="1" applyNumberFormat="1" applyFont="1" applyBorder="1" applyAlignment="1" applyProtection="1">
      <alignment horizontal="center" vertical="center" wrapText="1"/>
      <protection locked="0"/>
    </xf>
    <xf numFmtId="170" fontId="11" fillId="15" borderId="40" xfId="1" applyNumberFormat="1" applyFont="1" applyFill="1" applyBorder="1" applyAlignment="1">
      <alignment horizontal="center" vertical="center" wrapText="1"/>
    </xf>
    <xf numFmtId="170" fontId="10" fillId="0" borderId="10" xfId="5" applyNumberFormat="1" applyFont="1" applyFill="1" applyBorder="1" applyAlignment="1" applyProtection="1">
      <alignment horizontal="center" vertical="center" wrapText="1"/>
      <protection locked="0"/>
    </xf>
    <xf numFmtId="170" fontId="6" fillId="0" borderId="10" xfId="5" applyNumberFormat="1" applyFont="1" applyBorder="1" applyAlignment="1">
      <alignment horizontal="center" vertical="center"/>
    </xf>
    <xf numFmtId="170" fontId="6" fillId="26" borderId="10" xfId="5" applyNumberFormat="1" applyFont="1" applyFill="1" applyBorder="1" applyAlignment="1">
      <alignment horizontal="center" vertical="center"/>
    </xf>
    <xf numFmtId="170" fontId="20" fillId="17" borderId="69" xfId="5" applyNumberFormat="1" applyFont="1" applyFill="1" applyBorder="1" applyAlignment="1" applyProtection="1">
      <alignment horizontal="center" vertical="center" wrapText="1"/>
    </xf>
    <xf numFmtId="170" fontId="20" fillId="28" borderId="38" xfId="5" applyNumberFormat="1" applyFont="1" applyFill="1" applyBorder="1" applyAlignment="1" applyProtection="1">
      <alignment horizontal="center" vertical="center" wrapText="1"/>
    </xf>
    <xf numFmtId="170" fontId="20" fillId="28" borderId="10" xfId="5" applyNumberFormat="1" applyFont="1" applyFill="1" applyBorder="1" applyAlignment="1" applyProtection="1">
      <alignment horizontal="center" vertical="center" wrapText="1"/>
    </xf>
    <xf numFmtId="170" fontId="6" fillId="0" borderId="0" xfId="5" applyNumberFormat="1" applyFont="1" applyAlignment="1">
      <alignment horizontal="center" vertical="center"/>
    </xf>
    <xf numFmtId="0" fontId="16" fillId="0" borderId="10" xfId="0" applyFont="1" applyBorder="1" applyAlignment="1">
      <alignment vertical="center"/>
    </xf>
    <xf numFmtId="0" fontId="50" fillId="0" borderId="50" xfId="0" applyFont="1" applyBorder="1" applyAlignment="1">
      <alignment horizontal="left" vertical="top" wrapText="1"/>
    </xf>
    <xf numFmtId="167" fontId="50" fillId="0" borderId="50" xfId="0" applyNumberFormat="1" applyFont="1" applyBorder="1" applyAlignment="1" applyProtection="1">
      <alignment horizontal="center" vertical="center" wrapText="1"/>
      <protection locked="0"/>
    </xf>
    <xf numFmtId="0" fontId="16" fillId="0" borderId="1" xfId="0" applyFont="1" applyBorder="1"/>
    <xf numFmtId="170" fontId="6" fillId="0" borderId="10" xfId="1" applyNumberFormat="1" applyFont="1" applyBorder="1" applyAlignment="1">
      <alignment horizontal="center" vertical="center"/>
    </xf>
    <xf numFmtId="0" fontId="11" fillId="15" borderId="56" xfId="0" applyFont="1" applyFill="1" applyBorder="1" applyAlignment="1">
      <alignment horizontal="center" vertical="center" wrapText="1"/>
    </xf>
    <xf numFmtId="170" fontId="6" fillId="0" borderId="10" xfId="5" applyNumberFormat="1" applyFont="1" applyFill="1" applyBorder="1" applyAlignment="1" applyProtection="1">
      <alignment horizontal="center" vertical="center"/>
    </xf>
    <xf numFmtId="170" fontId="16" fillId="0" borderId="50" xfId="0" applyNumberFormat="1" applyFont="1" applyBorder="1" applyAlignment="1">
      <alignment horizontal="center" vertical="center"/>
    </xf>
    <xf numFmtId="0" fontId="13" fillId="0" borderId="0" xfId="0" applyFont="1" applyAlignment="1">
      <alignment vertical="center"/>
    </xf>
    <xf numFmtId="0" fontId="6" fillId="0" borderId="0" xfId="0" applyFont="1" applyAlignment="1">
      <alignment horizontal="left" vertical="center"/>
    </xf>
    <xf numFmtId="0" fontId="46" fillId="0" borderId="0" xfId="0" applyFont="1" applyAlignment="1">
      <alignment horizontal="left" vertical="center"/>
    </xf>
    <xf numFmtId="0" fontId="13" fillId="0" borderId="0" xfId="0" applyFont="1" applyAlignment="1" applyProtection="1">
      <alignment vertical="center"/>
      <protection locked="0"/>
    </xf>
    <xf numFmtId="0" fontId="37" fillId="0" borderId="0" xfId="0" applyFont="1" applyAlignment="1">
      <alignment horizontal="left" vertical="center"/>
    </xf>
    <xf numFmtId="0" fontId="17" fillId="23" borderId="39" xfId="0" applyFont="1" applyFill="1" applyBorder="1" applyAlignment="1">
      <alignment horizontal="left" vertical="center" wrapText="1"/>
    </xf>
    <xf numFmtId="0" fontId="11" fillId="15" borderId="10" xfId="0" applyFont="1" applyFill="1" applyBorder="1" applyAlignment="1">
      <alignment horizontal="left" vertical="center" wrapText="1"/>
    </xf>
    <xf numFmtId="0" fontId="11" fillId="15" borderId="10" xfId="0" applyFont="1" applyFill="1" applyBorder="1" applyAlignment="1">
      <alignment vertical="center" wrapText="1"/>
    </xf>
    <xf numFmtId="0" fontId="11" fillId="0" borderId="10" xfId="0" applyFont="1" applyBorder="1" applyAlignment="1">
      <alignment vertical="center" wrapText="1"/>
    </xf>
    <xf numFmtId="0" fontId="51" fillId="22" borderId="10" xfId="0" applyFont="1" applyFill="1" applyBorder="1" applyAlignment="1">
      <alignment horizontal="left" vertical="center" wrapText="1"/>
    </xf>
    <xf numFmtId="0" fontId="17" fillId="23" borderId="38" xfId="0" applyFont="1" applyFill="1" applyBorder="1" applyAlignment="1">
      <alignment horizontal="left" vertical="center" wrapText="1"/>
    </xf>
    <xf numFmtId="0" fontId="52" fillId="0" borderId="10" xfId="0" applyFont="1" applyBorder="1" applyAlignment="1">
      <alignment horizontal="left" vertical="center"/>
    </xf>
    <xf numFmtId="9" fontId="50" fillId="0" borderId="10" xfId="0" applyNumberFormat="1" applyFont="1" applyBorder="1" applyAlignment="1">
      <alignment horizontal="left" vertical="center" wrapText="1"/>
    </xf>
    <xf numFmtId="0" fontId="51" fillId="22" borderId="19" xfId="0" applyFont="1" applyFill="1" applyBorder="1" applyAlignment="1">
      <alignment horizontal="left" vertical="center" wrapText="1"/>
    </xf>
    <xf numFmtId="0" fontId="11" fillId="15" borderId="19" xfId="0" applyFont="1" applyFill="1" applyBorder="1" applyAlignment="1">
      <alignment vertical="center" wrapText="1"/>
    </xf>
    <xf numFmtId="0" fontId="11" fillId="15" borderId="56" xfId="0" applyFont="1" applyFill="1" applyBorder="1" applyAlignment="1">
      <alignment vertical="center" wrapText="1"/>
    </xf>
    <xf numFmtId="0" fontId="11" fillId="15" borderId="19" xfId="0" applyFont="1" applyFill="1" applyBorder="1" applyAlignment="1">
      <alignment horizontal="left" vertical="center" wrapText="1"/>
    </xf>
    <xf numFmtId="0" fontId="17" fillId="23" borderId="48" xfId="0" applyFont="1" applyFill="1" applyBorder="1" applyAlignment="1">
      <alignment horizontal="left" vertical="center" wrapText="1"/>
    </xf>
    <xf numFmtId="9" fontId="10" fillId="0" borderId="12" xfId="0" applyNumberFormat="1" applyFont="1" applyBorder="1" applyAlignment="1">
      <alignment horizontal="left" vertical="center" wrapText="1"/>
    </xf>
    <xf numFmtId="0" fontId="16" fillId="0" borderId="1" xfId="0" applyFont="1" applyBorder="1" applyAlignment="1">
      <alignment horizontal="left" vertical="center" wrapText="1"/>
    </xf>
    <xf numFmtId="0" fontId="11" fillId="15" borderId="40" xfId="0" applyFont="1" applyFill="1" applyBorder="1" applyAlignment="1">
      <alignment horizontal="left" vertical="center" wrapText="1"/>
    </xf>
    <xf numFmtId="0" fontId="11" fillId="15" borderId="40" xfId="0" applyFont="1" applyFill="1" applyBorder="1" applyAlignment="1">
      <alignment vertical="center" wrapText="1"/>
    </xf>
    <xf numFmtId="0" fontId="6" fillId="0" borderId="1" xfId="0" applyFont="1" applyBorder="1" applyAlignment="1">
      <alignment horizontal="left" vertical="center" wrapText="1"/>
    </xf>
    <xf numFmtId="0" fontId="10" fillId="0" borderId="10" xfId="0" applyFont="1" applyBorder="1" applyAlignment="1">
      <alignment horizontal="left" vertical="center" wrapText="1"/>
    </xf>
    <xf numFmtId="0" fontId="16" fillId="0" borderId="50" xfId="0" applyFont="1" applyBorder="1" applyAlignment="1">
      <alignment horizontal="left" vertical="center" wrapText="1"/>
    </xf>
    <xf numFmtId="0" fontId="6" fillId="0" borderId="10" xfId="0" applyFont="1" applyBorder="1" applyAlignment="1">
      <alignment vertical="center"/>
    </xf>
    <xf numFmtId="0" fontId="11" fillId="27" borderId="10" xfId="0" applyFont="1" applyFill="1" applyBorder="1" applyAlignment="1">
      <alignment horizontal="left" vertical="center" wrapText="1"/>
    </xf>
    <xf numFmtId="0" fontId="11" fillId="27" borderId="10" xfId="0" applyFont="1" applyFill="1" applyBorder="1" applyAlignment="1">
      <alignment vertical="center" wrapText="1"/>
    </xf>
    <xf numFmtId="0" fontId="6" fillId="26" borderId="10" xfId="0" applyFont="1" applyFill="1" applyBorder="1" applyAlignment="1">
      <alignment vertical="center"/>
    </xf>
    <xf numFmtId="0" fontId="20" fillId="17" borderId="69" xfId="0" applyFont="1" applyFill="1" applyBorder="1" applyAlignment="1">
      <alignment horizontal="left" vertical="center"/>
    </xf>
    <xf numFmtId="0" fontId="20" fillId="17" borderId="69" xfId="0" applyFont="1" applyFill="1" applyBorder="1" applyAlignment="1">
      <alignment vertical="center" wrapText="1"/>
    </xf>
    <xf numFmtId="0" fontId="20" fillId="17" borderId="69" xfId="0" applyFont="1" applyFill="1" applyBorder="1" applyAlignment="1">
      <alignment horizontal="left" vertical="center" wrapText="1"/>
    </xf>
    <xf numFmtId="0" fontId="20" fillId="28" borderId="38" xfId="0" applyFont="1" applyFill="1" applyBorder="1" applyAlignment="1">
      <alignment vertical="center" wrapText="1"/>
    </xf>
    <xf numFmtId="0" fontId="20" fillId="28" borderId="38" xfId="0" applyFont="1" applyFill="1" applyBorder="1" applyAlignment="1">
      <alignment horizontal="left" vertical="center" wrapText="1"/>
    </xf>
    <xf numFmtId="0" fontId="20" fillId="28" borderId="10" xfId="0" applyFont="1" applyFill="1" applyBorder="1" applyAlignment="1">
      <alignment horizontal="left" vertical="center"/>
    </xf>
    <xf numFmtId="0" fontId="20" fillId="28" borderId="10" xfId="0" applyFont="1" applyFill="1" applyBorder="1" applyAlignment="1">
      <alignment vertical="center" wrapText="1"/>
    </xf>
    <xf numFmtId="0" fontId="20" fillId="28" borderId="10" xfId="0" applyFont="1" applyFill="1" applyBorder="1" applyAlignment="1">
      <alignment horizontal="left" vertical="center" wrapText="1"/>
    </xf>
    <xf numFmtId="0" fontId="12" fillId="28" borderId="10" xfId="0" applyFont="1" applyFill="1" applyBorder="1" applyAlignment="1">
      <alignment horizontal="right" vertical="top" wrapText="1"/>
    </xf>
    <xf numFmtId="49" fontId="10" fillId="28" borderId="10" xfId="0" applyNumberFormat="1" applyFont="1" applyFill="1" applyBorder="1" applyAlignment="1">
      <alignment horizontal="left" vertical="top" wrapText="1"/>
    </xf>
    <xf numFmtId="0" fontId="11" fillId="28" borderId="10" xfId="0" applyFont="1" applyFill="1" applyBorder="1" applyAlignment="1">
      <alignment horizontal="left" vertical="center" wrapText="1"/>
    </xf>
    <xf numFmtId="0" fontId="11" fillId="28" borderId="10" xfId="0" applyFont="1" applyFill="1" applyBorder="1" applyAlignment="1">
      <alignment vertical="center" wrapText="1"/>
    </xf>
    <xf numFmtId="0" fontId="11" fillId="28" borderId="10" xfId="0" applyFont="1" applyFill="1" applyBorder="1" applyAlignment="1">
      <alignment horizontal="center" vertical="center" wrapText="1"/>
    </xf>
    <xf numFmtId="0" fontId="12" fillId="30" borderId="10" xfId="0" applyFont="1" applyFill="1" applyBorder="1" applyAlignment="1">
      <alignment horizontal="right" vertical="top" wrapText="1"/>
    </xf>
    <xf numFmtId="49" fontId="10" fillId="30" borderId="10" xfId="0" applyNumberFormat="1" applyFont="1" applyFill="1" applyBorder="1" applyAlignment="1">
      <alignment horizontal="left" vertical="top" wrapText="1"/>
    </xf>
    <xf numFmtId="0" fontId="11" fillId="30" borderId="10" xfId="0" applyFont="1" applyFill="1" applyBorder="1" applyAlignment="1">
      <alignment horizontal="left" vertical="center" wrapText="1"/>
    </xf>
    <xf numFmtId="0" fontId="11" fillId="30" borderId="10" xfId="0" applyFont="1" applyFill="1" applyBorder="1" applyAlignment="1">
      <alignment vertical="center" wrapText="1"/>
    </xf>
    <xf numFmtId="0" fontId="11" fillId="30" borderId="10" xfId="0" applyFont="1" applyFill="1" applyBorder="1" applyAlignment="1">
      <alignment horizontal="center" vertical="center" wrapText="1"/>
    </xf>
    <xf numFmtId="170" fontId="11" fillId="30" borderId="10" xfId="5" applyNumberFormat="1" applyFont="1" applyFill="1" applyBorder="1" applyAlignment="1">
      <alignment horizontal="center" vertical="center" wrapText="1"/>
    </xf>
    <xf numFmtId="170" fontId="11" fillId="28" borderId="10" xfId="5" applyNumberFormat="1" applyFont="1" applyFill="1" applyBorder="1" applyAlignment="1">
      <alignment horizontal="center" vertical="center" wrapText="1"/>
    </xf>
    <xf numFmtId="0" fontId="20" fillId="17" borderId="72" xfId="0" applyFont="1" applyFill="1" applyBorder="1" applyAlignment="1">
      <alignment vertical="top"/>
    </xf>
    <xf numFmtId="0" fontId="20" fillId="17" borderId="72" xfId="0" applyFont="1" applyFill="1" applyBorder="1" applyAlignment="1">
      <alignment horizontal="left" vertical="center"/>
    </xf>
    <xf numFmtId="0" fontId="20" fillId="17" borderId="72" xfId="0" applyFont="1" applyFill="1" applyBorder="1" applyAlignment="1">
      <alignment vertical="center" wrapText="1"/>
    </xf>
    <xf numFmtId="0" fontId="20" fillId="17" borderId="72" xfId="0" applyFont="1" applyFill="1" applyBorder="1" applyAlignment="1">
      <alignment horizontal="center" vertical="center" wrapText="1"/>
    </xf>
    <xf numFmtId="0" fontId="20" fillId="17" borderId="72" xfId="0" applyFont="1" applyFill="1" applyBorder="1" applyAlignment="1">
      <alignment horizontal="left" vertical="center" wrapText="1"/>
    </xf>
    <xf numFmtId="170" fontId="20" fillId="17" borderId="72" xfId="5" applyNumberFormat="1" applyFont="1" applyFill="1" applyBorder="1" applyAlignment="1">
      <alignment horizontal="center" vertical="center" wrapText="1"/>
    </xf>
    <xf numFmtId="0" fontId="12" fillId="30" borderId="40" xfId="0" applyFont="1" applyFill="1" applyBorder="1" applyAlignment="1">
      <alignment horizontal="right" vertical="top" wrapText="1"/>
    </xf>
    <xf numFmtId="49" fontId="10" fillId="30" borderId="40" xfId="0" applyNumberFormat="1" applyFont="1" applyFill="1" applyBorder="1" applyAlignment="1">
      <alignment horizontal="left" vertical="top" wrapText="1"/>
    </xf>
    <xf numFmtId="0" fontId="11" fillId="30" borderId="40" xfId="0" applyFont="1" applyFill="1" applyBorder="1" applyAlignment="1">
      <alignment horizontal="left" vertical="center" wrapText="1"/>
    </xf>
    <xf numFmtId="0" fontId="11" fillId="30" borderId="40" xfId="0" applyFont="1" applyFill="1" applyBorder="1" applyAlignment="1">
      <alignment vertical="center" wrapText="1"/>
    </xf>
    <xf numFmtId="0" fontId="11" fillId="30" borderId="40" xfId="0" applyFont="1" applyFill="1" applyBorder="1" applyAlignment="1">
      <alignment horizontal="center" vertical="center" wrapText="1"/>
    </xf>
    <xf numFmtId="170" fontId="11" fillId="30" borderId="40" xfId="5" applyNumberFormat="1" applyFont="1" applyFill="1" applyBorder="1" applyAlignment="1">
      <alignment horizontal="center" vertical="center" wrapText="1"/>
    </xf>
    <xf numFmtId="0" fontId="20" fillId="17" borderId="39" xfId="0" applyFont="1" applyFill="1" applyBorder="1" applyAlignment="1">
      <alignment vertical="center" wrapText="1"/>
    </xf>
    <xf numFmtId="170" fontId="20" fillId="17" borderId="39" xfId="5" applyNumberFormat="1" applyFont="1" applyFill="1" applyBorder="1" applyAlignment="1" applyProtection="1">
      <alignment horizontal="center" vertical="center" wrapText="1"/>
    </xf>
    <xf numFmtId="0" fontId="20" fillId="17" borderId="39" xfId="0" applyFont="1" applyFill="1" applyBorder="1" applyAlignment="1">
      <alignment horizontal="left" vertical="center" wrapText="1"/>
    </xf>
    <xf numFmtId="0" fontId="12" fillId="28" borderId="74" xfId="0" applyFont="1" applyFill="1" applyBorder="1" applyAlignment="1">
      <alignment horizontal="right" vertical="top" wrapText="1"/>
    </xf>
    <xf numFmtId="49" fontId="10" fillId="28" borderId="74" xfId="0" applyNumberFormat="1" applyFont="1" applyFill="1" applyBorder="1" applyAlignment="1">
      <alignment horizontal="left" vertical="top" wrapText="1"/>
    </xf>
    <xf numFmtId="0" fontId="11" fillId="28" borderId="74" xfId="0" applyFont="1" applyFill="1" applyBorder="1" applyAlignment="1">
      <alignment horizontal="left" vertical="center" wrapText="1"/>
    </xf>
    <xf numFmtId="0" fontId="11" fillId="28" borderId="74" xfId="0" applyFont="1" applyFill="1" applyBorder="1" applyAlignment="1">
      <alignment vertical="center" wrapText="1"/>
    </xf>
    <xf numFmtId="0" fontId="11" fillId="28" borderId="74" xfId="0" applyFont="1" applyFill="1" applyBorder="1" applyAlignment="1">
      <alignment horizontal="center" vertical="center" wrapText="1"/>
    </xf>
    <xf numFmtId="170" fontId="11" fillId="28" borderId="74" xfId="5" applyNumberFormat="1" applyFont="1" applyFill="1" applyBorder="1" applyAlignment="1">
      <alignment horizontal="center" vertical="center" wrapText="1"/>
    </xf>
    <xf numFmtId="0" fontId="20" fillId="17" borderId="75" xfId="0" applyFont="1" applyFill="1" applyBorder="1" applyAlignment="1">
      <alignment vertical="top"/>
    </xf>
    <xf numFmtId="0" fontId="20" fillId="17" borderId="75" xfId="0" applyFont="1" applyFill="1" applyBorder="1" applyAlignment="1">
      <alignment horizontal="left" vertical="center"/>
    </xf>
    <xf numFmtId="0" fontId="20" fillId="17" borderId="75" xfId="0" applyFont="1" applyFill="1" applyBorder="1" applyAlignment="1">
      <alignment vertical="center" wrapText="1"/>
    </xf>
    <xf numFmtId="0" fontId="20" fillId="17" borderId="75" xfId="0" applyFont="1" applyFill="1" applyBorder="1" applyAlignment="1">
      <alignment horizontal="center" vertical="center" wrapText="1"/>
    </xf>
    <xf numFmtId="170" fontId="20" fillId="17" borderId="75" xfId="5" applyNumberFormat="1" applyFont="1" applyFill="1" applyBorder="1" applyAlignment="1" applyProtection="1">
      <alignment horizontal="center" vertical="center" wrapText="1"/>
    </xf>
    <xf numFmtId="0" fontId="20" fillId="17" borderId="75" xfId="0" applyFont="1" applyFill="1" applyBorder="1" applyAlignment="1">
      <alignment horizontal="left" vertical="center" wrapText="1"/>
    </xf>
    <xf numFmtId="167" fontId="50" fillId="0" borderId="76" xfId="0" applyNumberFormat="1" applyFont="1" applyBorder="1" applyAlignment="1" applyProtection="1">
      <alignment horizontal="center" vertical="center" wrapText="1"/>
      <protection locked="0"/>
    </xf>
    <xf numFmtId="0" fontId="56" fillId="0" borderId="76" xfId="0" applyFont="1" applyBorder="1"/>
    <xf numFmtId="170" fontId="56" fillId="0" borderId="76" xfId="1" applyNumberFormat="1" applyFont="1" applyFill="1" applyBorder="1" applyAlignment="1" applyProtection="1">
      <alignment horizontal="center" vertical="center"/>
    </xf>
    <xf numFmtId="0" fontId="56" fillId="0" borderId="10" xfId="0" applyFont="1" applyBorder="1" applyAlignment="1">
      <alignment vertical="center"/>
    </xf>
    <xf numFmtId="170" fontId="56" fillId="0" borderId="10" xfId="5" applyNumberFormat="1" applyFont="1" applyBorder="1" applyAlignment="1">
      <alignment horizontal="center" vertical="center"/>
    </xf>
    <xf numFmtId="9" fontId="57" fillId="0" borderId="76" xfId="0" applyNumberFormat="1" applyFont="1" applyBorder="1" applyAlignment="1">
      <alignment horizontal="left" vertical="center" wrapText="1"/>
    </xf>
    <xf numFmtId="165" fontId="50" fillId="0" borderId="50" xfId="0" applyNumberFormat="1" applyFont="1" applyBorder="1" applyAlignment="1" applyProtection="1">
      <alignment horizontal="center" vertical="center" wrapText="1"/>
      <protection locked="0"/>
    </xf>
    <xf numFmtId="0" fontId="6" fillId="0" borderId="77" xfId="0" applyFont="1" applyBorder="1"/>
    <xf numFmtId="0" fontId="6" fillId="25" borderId="73" xfId="0" applyFont="1" applyFill="1" applyBorder="1"/>
    <xf numFmtId="0" fontId="6" fillId="25" borderId="73" xfId="0" applyFont="1" applyFill="1" applyBorder="1" applyAlignment="1">
      <alignment horizontal="left" vertical="center"/>
    </xf>
    <xf numFmtId="0" fontId="6" fillId="25" borderId="73" xfId="0" applyFont="1" applyFill="1" applyBorder="1" applyAlignment="1">
      <alignment vertical="center"/>
    </xf>
    <xf numFmtId="0" fontId="6" fillId="25" borderId="73" xfId="0" applyFont="1" applyFill="1" applyBorder="1" applyAlignment="1">
      <alignment horizontal="center" vertical="center"/>
    </xf>
    <xf numFmtId="170" fontId="6" fillId="25" borderId="73" xfId="5" applyNumberFormat="1" applyFont="1" applyFill="1" applyBorder="1" applyAlignment="1">
      <alignment horizontal="center" vertical="center"/>
    </xf>
    <xf numFmtId="165" fontId="11" fillId="15" borderId="10" xfId="0" applyNumberFormat="1" applyFont="1" applyFill="1" applyBorder="1" applyAlignment="1">
      <alignment horizontal="center" vertical="center" wrapText="1"/>
    </xf>
    <xf numFmtId="171" fontId="10" fillId="0" borderId="10" xfId="0" applyNumberFormat="1" applyFont="1" applyBorder="1" applyAlignment="1" applyProtection="1">
      <alignment horizontal="center" vertical="center" wrapText="1"/>
      <protection locked="0"/>
    </xf>
    <xf numFmtId="171" fontId="13" fillId="0" borderId="0" xfId="0" applyNumberFormat="1" applyFont="1" applyAlignment="1">
      <alignment horizontal="center" vertical="center"/>
    </xf>
    <xf numFmtId="171" fontId="14" fillId="9" borderId="48" xfId="0" applyNumberFormat="1" applyFont="1" applyFill="1" applyBorder="1" applyAlignment="1">
      <alignment horizontal="center" vertical="center" wrapText="1"/>
    </xf>
    <xf numFmtId="171" fontId="11" fillId="15" borderId="10" xfId="0" applyNumberFormat="1" applyFont="1" applyFill="1" applyBorder="1" applyAlignment="1">
      <alignment horizontal="center" vertical="center" wrapText="1"/>
    </xf>
    <xf numFmtId="171" fontId="11" fillId="0" borderId="10" xfId="0" applyNumberFormat="1" applyFont="1" applyBorder="1" applyAlignment="1">
      <alignment horizontal="center" vertical="center" wrapText="1"/>
    </xf>
    <xf numFmtId="171" fontId="11" fillId="30" borderId="10" xfId="0" applyNumberFormat="1" applyFont="1" applyFill="1" applyBorder="1" applyAlignment="1">
      <alignment horizontal="center" vertical="center" wrapText="1"/>
    </xf>
    <xf numFmtId="171" fontId="11" fillId="30" borderId="40" xfId="0" applyNumberFormat="1" applyFont="1" applyFill="1" applyBorder="1" applyAlignment="1">
      <alignment horizontal="center" vertical="center" wrapText="1"/>
    </xf>
    <xf numFmtId="171" fontId="20" fillId="17" borderId="72" xfId="0" applyNumberFormat="1" applyFont="1" applyFill="1" applyBorder="1" applyAlignment="1">
      <alignment horizontal="center" vertical="center" wrapText="1"/>
    </xf>
    <xf numFmtId="171" fontId="11" fillId="15" borderId="19" xfId="0" applyNumberFormat="1" applyFont="1" applyFill="1" applyBorder="1" applyAlignment="1">
      <alignment horizontal="center" vertical="center" wrapText="1"/>
    </xf>
    <xf numFmtId="171" fontId="11" fillId="15" borderId="40" xfId="0" applyNumberFormat="1" applyFont="1" applyFill="1" applyBorder="1" applyAlignment="1">
      <alignment horizontal="center" vertical="center" wrapText="1"/>
    </xf>
    <xf numFmtId="171" fontId="50" fillId="0" borderId="50" xfId="0" applyNumberFormat="1" applyFont="1" applyBorder="1" applyAlignment="1" applyProtection="1">
      <alignment horizontal="center" vertical="center" wrapText="1"/>
      <protection locked="0"/>
    </xf>
    <xf numFmtId="171" fontId="11" fillId="28" borderId="10" xfId="0" applyNumberFormat="1" applyFont="1" applyFill="1" applyBorder="1" applyAlignment="1">
      <alignment horizontal="center" vertical="center" wrapText="1"/>
    </xf>
    <xf numFmtId="171" fontId="11" fillId="28" borderId="74" xfId="0" applyNumberFormat="1" applyFont="1" applyFill="1" applyBorder="1" applyAlignment="1">
      <alignment horizontal="center" vertical="center" wrapText="1"/>
    </xf>
    <xf numFmtId="171" fontId="56" fillId="0" borderId="76" xfId="0" applyNumberFormat="1" applyFont="1" applyBorder="1" applyAlignment="1">
      <alignment horizontal="center" vertical="center"/>
    </xf>
    <xf numFmtId="171" fontId="20" fillId="17" borderId="75" xfId="0" applyNumberFormat="1" applyFont="1" applyFill="1" applyBorder="1" applyAlignment="1">
      <alignment horizontal="center" vertical="center" wrapText="1"/>
    </xf>
    <xf numFmtId="171" fontId="20" fillId="17" borderId="39" xfId="0" applyNumberFormat="1" applyFont="1" applyFill="1" applyBorder="1" applyAlignment="1">
      <alignment horizontal="center" vertical="center" wrapText="1"/>
    </xf>
    <xf numFmtId="171" fontId="6" fillId="0" borderId="10" xfId="0" applyNumberFormat="1" applyFont="1" applyBorder="1" applyAlignment="1">
      <alignment horizontal="center" vertical="center"/>
    </xf>
    <xf numFmtId="171" fontId="6" fillId="26" borderId="10" xfId="0" applyNumberFormat="1" applyFont="1" applyFill="1" applyBorder="1" applyAlignment="1">
      <alignment horizontal="center" vertical="center"/>
    </xf>
    <xf numFmtId="171" fontId="20" fillId="17" borderId="69" xfId="0" applyNumberFormat="1" applyFont="1" applyFill="1" applyBorder="1" applyAlignment="1">
      <alignment horizontal="center" vertical="center" wrapText="1"/>
    </xf>
    <xf numFmtId="171" fontId="20" fillId="28" borderId="38" xfId="0" applyNumberFormat="1" applyFont="1" applyFill="1" applyBorder="1" applyAlignment="1">
      <alignment horizontal="center" vertical="center" wrapText="1"/>
    </xf>
    <xf numFmtId="171" fontId="20" fillId="28" borderId="10" xfId="0" applyNumberFormat="1" applyFont="1" applyFill="1" applyBorder="1" applyAlignment="1">
      <alignment horizontal="center" vertical="center" wrapText="1"/>
    </xf>
    <xf numFmtId="171" fontId="6" fillId="25" borderId="73" xfId="0" applyNumberFormat="1" applyFont="1" applyFill="1" applyBorder="1" applyAlignment="1">
      <alignment horizontal="center" vertical="center"/>
    </xf>
    <xf numFmtId="171" fontId="6" fillId="0" borderId="0" xfId="0" applyNumberFormat="1" applyFont="1" applyAlignment="1">
      <alignment horizontal="center" vertical="center"/>
    </xf>
    <xf numFmtId="171" fontId="10" fillId="0" borderId="10" xfId="0" applyNumberFormat="1" applyFont="1" applyBorder="1" applyAlignment="1">
      <alignment horizontal="center" vertical="center" wrapText="1"/>
    </xf>
    <xf numFmtId="170" fontId="10" fillId="0" borderId="10" xfId="1" applyNumberFormat="1" applyFont="1" applyFill="1" applyBorder="1" applyAlignment="1">
      <alignment horizontal="center" vertical="center" wrapText="1"/>
    </xf>
    <xf numFmtId="0" fontId="14" fillId="5" borderId="2" xfId="0" applyFont="1" applyFill="1" applyBorder="1" applyAlignment="1">
      <alignment horizontal="center" vertical="center" wrapText="1"/>
    </xf>
    <xf numFmtId="1" fontId="11" fillId="0" borderId="10" xfId="0" applyNumberFormat="1" applyFont="1" applyBorder="1" applyAlignment="1">
      <alignment horizontal="center" vertical="center" wrapText="1"/>
    </xf>
    <xf numFmtId="9" fontId="10" fillId="0" borderId="10" xfId="0" applyNumberFormat="1" applyFont="1" applyBorder="1" applyAlignment="1">
      <alignment horizontal="right" vertical="center" wrapText="1"/>
    </xf>
    <xf numFmtId="1" fontId="11" fillId="15" borderId="10" xfId="0" applyNumberFormat="1" applyFont="1" applyFill="1" applyBorder="1" applyAlignment="1">
      <alignment horizontal="center" vertical="center" wrapText="1"/>
    </xf>
    <xf numFmtId="168" fontId="10" fillId="0" borderId="10" xfId="0" applyNumberFormat="1" applyFont="1" applyBorder="1" applyAlignment="1" applyProtection="1">
      <alignment horizontal="center" vertical="center" wrapText="1"/>
      <protection locked="0"/>
    </xf>
    <xf numFmtId="168" fontId="11" fillId="15" borderId="10" xfId="0" applyNumberFormat="1" applyFont="1" applyFill="1" applyBorder="1" applyAlignment="1">
      <alignment vertical="center" wrapText="1"/>
    </xf>
    <xf numFmtId="168" fontId="11" fillId="30" borderId="10" xfId="0" applyNumberFormat="1" applyFont="1" applyFill="1" applyBorder="1" applyAlignment="1">
      <alignment vertical="center" wrapText="1"/>
    </xf>
    <xf numFmtId="168" fontId="11" fillId="30" borderId="40" xfId="0" applyNumberFormat="1" applyFont="1" applyFill="1" applyBorder="1" applyAlignment="1">
      <alignment vertical="center" wrapText="1"/>
    </xf>
    <xf numFmtId="168" fontId="11" fillId="15" borderId="10" xfId="0" applyNumberFormat="1" applyFont="1" applyFill="1" applyBorder="1" applyAlignment="1">
      <alignment horizontal="center" vertical="center" wrapText="1"/>
    </xf>
    <xf numFmtId="168" fontId="47" fillId="17" borderId="75" xfId="0" applyNumberFormat="1" applyFont="1" applyFill="1" applyBorder="1" applyAlignment="1">
      <alignment vertical="center" wrapText="1"/>
    </xf>
    <xf numFmtId="168" fontId="47" fillId="17" borderId="39" xfId="0" applyNumberFormat="1" applyFont="1" applyFill="1" applyBorder="1" applyAlignment="1">
      <alignment vertical="center" wrapText="1"/>
    </xf>
    <xf numFmtId="168" fontId="53" fillId="25" borderId="48" xfId="0" applyNumberFormat="1" applyFont="1" applyFill="1" applyBorder="1" applyAlignment="1">
      <alignment vertical="center" wrapText="1"/>
    </xf>
    <xf numFmtId="168" fontId="47" fillId="28" borderId="38" xfId="0" applyNumberFormat="1" applyFont="1" applyFill="1" applyBorder="1" applyAlignment="1">
      <alignment vertical="center" wrapText="1"/>
    </xf>
    <xf numFmtId="168" fontId="47" fillId="28" borderId="10" xfId="0" applyNumberFormat="1" applyFont="1" applyFill="1" applyBorder="1" applyAlignment="1">
      <alignment vertical="center" wrapText="1"/>
    </xf>
    <xf numFmtId="168" fontId="37" fillId="0" borderId="0" xfId="0" applyNumberFormat="1" applyFont="1" applyAlignment="1">
      <alignment horizontal="center" vertical="center"/>
    </xf>
    <xf numFmtId="168" fontId="49" fillId="20" borderId="0" xfId="0" applyNumberFormat="1" applyFont="1" applyFill="1" applyAlignment="1">
      <alignment horizontal="center" vertical="center"/>
    </xf>
    <xf numFmtId="168" fontId="13" fillId="0" borderId="0" xfId="0" applyNumberFormat="1" applyFont="1" applyAlignment="1">
      <alignment horizontal="center" vertical="center"/>
    </xf>
    <xf numFmtId="168" fontId="17" fillId="7" borderId="19" xfId="0" applyNumberFormat="1" applyFont="1" applyFill="1" applyBorder="1" applyAlignment="1">
      <alignment horizontal="center" vertical="center" wrapText="1"/>
    </xf>
    <xf numFmtId="168" fontId="14" fillId="9" borderId="48" xfId="0" applyNumberFormat="1" applyFont="1" applyFill="1" applyBorder="1" applyAlignment="1">
      <alignment horizontal="center" vertical="center" wrapText="1"/>
    </xf>
    <xf numFmtId="168" fontId="20" fillId="17" borderId="72" xfId="0" applyNumberFormat="1" applyFont="1" applyFill="1" applyBorder="1" applyAlignment="1">
      <alignment horizontal="center" vertical="center" wrapText="1"/>
    </xf>
    <xf numFmtId="168" fontId="11" fillId="15" borderId="19" xfId="0" applyNumberFormat="1" applyFont="1" applyFill="1" applyBorder="1" applyAlignment="1">
      <alignment horizontal="center" vertical="center" wrapText="1"/>
    </xf>
    <xf numFmtId="168" fontId="11" fillId="30" borderId="40" xfId="0" applyNumberFormat="1" applyFont="1" applyFill="1" applyBorder="1" applyAlignment="1">
      <alignment horizontal="center" vertical="center" wrapText="1"/>
    </xf>
    <xf numFmtId="168" fontId="11" fillId="15" borderId="40" xfId="0" applyNumberFormat="1" applyFont="1" applyFill="1" applyBorder="1" applyAlignment="1">
      <alignment horizontal="center" vertical="center" wrapText="1"/>
    </xf>
    <xf numFmtId="168" fontId="11" fillId="28" borderId="10" xfId="0" applyNumberFormat="1" applyFont="1" applyFill="1" applyBorder="1" applyAlignment="1">
      <alignment horizontal="center" vertical="center" wrapText="1"/>
    </xf>
    <xf numFmtId="168" fontId="11" fillId="30" borderId="10" xfId="0" applyNumberFormat="1" applyFont="1" applyFill="1" applyBorder="1" applyAlignment="1">
      <alignment horizontal="center" vertical="center" wrapText="1"/>
    </xf>
    <xf numFmtId="168" fontId="11" fillId="28" borderId="74" xfId="0" applyNumberFormat="1" applyFont="1" applyFill="1" applyBorder="1" applyAlignment="1">
      <alignment horizontal="center" vertical="center" wrapText="1"/>
    </xf>
    <xf numFmtId="168" fontId="6" fillId="26" borderId="10" xfId="0" applyNumberFormat="1" applyFont="1" applyFill="1" applyBorder="1" applyAlignment="1">
      <alignment horizontal="center" vertical="center"/>
    </xf>
    <xf numFmtId="168" fontId="20" fillId="17" borderId="69" xfId="0" applyNumberFormat="1" applyFont="1" applyFill="1" applyBorder="1" applyAlignment="1">
      <alignment horizontal="center" vertical="center" wrapText="1"/>
    </xf>
    <xf numFmtId="168" fontId="6" fillId="0" borderId="0" xfId="0" applyNumberFormat="1" applyFont="1" applyAlignment="1">
      <alignment horizontal="center" vertical="center"/>
    </xf>
    <xf numFmtId="168" fontId="6" fillId="0" borderId="10" xfId="1" applyNumberFormat="1" applyFont="1" applyBorder="1" applyAlignment="1">
      <alignment horizontal="center" vertical="center"/>
    </xf>
    <xf numFmtId="0" fontId="43" fillId="20" borderId="17" xfId="7" applyFont="1" applyFill="1" applyBorder="1" applyAlignment="1">
      <alignment horizontal="center" vertical="center" wrapText="1"/>
    </xf>
    <xf numFmtId="0" fontId="40" fillId="5" borderId="59" xfId="7" applyFont="1" applyFill="1" applyBorder="1" applyAlignment="1">
      <alignment vertical="center" wrapText="1"/>
    </xf>
    <xf numFmtId="0" fontId="40" fillId="5" borderId="45" xfId="7" applyFont="1" applyFill="1" applyBorder="1" applyAlignment="1">
      <alignment vertical="center" wrapText="1"/>
    </xf>
    <xf numFmtId="0" fontId="40" fillId="5" borderId="10" xfId="7" applyFont="1" applyFill="1" applyBorder="1" applyAlignment="1">
      <alignment vertical="center" wrapText="1"/>
    </xf>
    <xf numFmtId="0" fontId="40" fillId="0" borderId="64" xfId="7" applyFont="1" applyBorder="1" applyAlignment="1">
      <alignment vertical="center" wrapText="1"/>
    </xf>
    <xf numFmtId="0" fontId="40" fillId="0" borderId="40" xfId="7" applyFont="1" applyBorder="1" applyAlignment="1">
      <alignment vertical="center" wrapText="1"/>
    </xf>
    <xf numFmtId="0" fontId="40" fillId="5" borderId="40" xfId="7" applyFont="1" applyFill="1" applyBorder="1" applyAlignment="1">
      <alignment vertical="center" wrapText="1"/>
    </xf>
    <xf numFmtId="0" fontId="40" fillId="0" borderId="81" xfId="7" applyFont="1" applyBorder="1" applyAlignment="1">
      <alignment vertical="center" wrapText="1"/>
    </xf>
    <xf numFmtId="0" fontId="40" fillId="20" borderId="40" xfId="7" applyFont="1" applyFill="1" applyBorder="1" applyAlignment="1">
      <alignment vertical="center" wrapText="1"/>
    </xf>
    <xf numFmtId="0" fontId="40" fillId="20" borderId="24" xfId="7" applyFont="1" applyFill="1" applyBorder="1" applyAlignment="1">
      <alignment vertical="center" wrapText="1"/>
    </xf>
    <xf numFmtId="0" fontId="40" fillId="5" borderId="24" xfId="7" applyFont="1" applyFill="1" applyBorder="1" applyAlignment="1">
      <alignment vertical="center" wrapText="1"/>
    </xf>
    <xf numFmtId="0" fontId="40" fillId="6" borderId="59" xfId="7" applyFont="1" applyFill="1" applyBorder="1" applyAlignment="1">
      <alignment vertical="center" wrapText="1"/>
    </xf>
    <xf numFmtId="0" fontId="40" fillId="6" borderId="45" xfId="7" applyFont="1" applyFill="1" applyBorder="1" applyAlignment="1">
      <alignment vertical="center" wrapText="1"/>
    </xf>
    <xf numFmtId="0" fontId="40" fillId="6" borderId="61" xfId="7" applyFont="1" applyFill="1" applyBorder="1" applyAlignment="1">
      <alignment vertical="center" wrapText="1"/>
    </xf>
    <xf numFmtId="0" fontId="40" fillId="6" borderId="10" xfId="7" applyFont="1" applyFill="1" applyBorder="1" applyAlignment="1">
      <alignment vertical="center" wrapText="1"/>
    </xf>
    <xf numFmtId="0" fontId="40" fillId="20" borderId="61" xfId="7" applyFont="1" applyFill="1" applyBorder="1" applyAlignment="1">
      <alignment vertical="center" wrapText="1"/>
    </xf>
    <xf numFmtId="0" fontId="40" fillId="20" borderId="10" xfId="7" applyFont="1" applyFill="1" applyBorder="1" applyAlignment="1">
      <alignment vertical="center" wrapText="1"/>
    </xf>
    <xf numFmtId="0" fontId="40" fillId="6" borderId="62" xfId="7" applyFont="1" applyFill="1" applyBorder="1" applyAlignment="1">
      <alignment vertical="center" wrapText="1"/>
    </xf>
    <xf numFmtId="0" fontId="40" fillId="20" borderId="23" xfId="7" applyFont="1" applyFill="1" applyBorder="1" applyAlignment="1">
      <alignment vertical="center" wrapText="1"/>
    </xf>
    <xf numFmtId="0" fontId="40" fillId="6" borderId="24" xfId="7" applyFont="1" applyFill="1" applyBorder="1" applyAlignment="1">
      <alignment vertical="center" wrapText="1"/>
    </xf>
    <xf numFmtId="0" fontId="40" fillId="6" borderId="25" xfId="7" applyFont="1" applyFill="1" applyBorder="1" applyAlignment="1">
      <alignment vertical="center" wrapText="1"/>
    </xf>
    <xf numFmtId="0" fontId="40" fillId="0" borderId="52" xfId="7" applyFont="1" applyBorder="1" applyAlignment="1">
      <alignment vertical="center" wrapText="1"/>
    </xf>
    <xf numFmtId="0" fontId="40" fillId="0" borderId="19" xfId="7" applyFont="1" applyBorder="1" applyAlignment="1">
      <alignment vertical="center" wrapText="1"/>
    </xf>
    <xf numFmtId="0" fontId="40" fillId="6" borderId="19" xfId="7" applyFont="1" applyFill="1" applyBorder="1" applyAlignment="1">
      <alignment vertical="center" wrapText="1"/>
    </xf>
    <xf numFmtId="0" fontId="40" fillId="6" borderId="82" xfId="7" applyFont="1" applyFill="1" applyBorder="1" applyAlignment="1">
      <alignment vertical="center" wrapText="1"/>
    </xf>
    <xf numFmtId="0" fontId="40" fillId="0" borderId="82" xfId="7" applyFont="1" applyBorder="1" applyAlignment="1">
      <alignment vertical="center" wrapText="1"/>
    </xf>
    <xf numFmtId="0" fontId="40" fillId="6" borderId="60" xfId="7" applyFont="1" applyFill="1" applyBorder="1" applyAlignment="1">
      <alignment vertical="center" wrapText="1"/>
    </xf>
    <xf numFmtId="0" fontId="40" fillId="0" borderId="50" xfId="30" applyFont="1" applyBorder="1" applyAlignment="1">
      <alignment horizontal="left" vertical="top" wrapText="1"/>
    </xf>
    <xf numFmtId="0" fontId="40" fillId="20" borderId="5" xfId="7" applyFont="1" applyFill="1" applyBorder="1" applyAlignment="1">
      <alignment horizontal="left" vertical="top" wrapText="1"/>
    </xf>
    <xf numFmtId="165" fontId="2" fillId="0" borderId="39" xfId="0" applyNumberFormat="1" applyFont="1" applyBorder="1"/>
    <xf numFmtId="165" fontId="10" fillId="0" borderId="10" xfId="0" applyNumberFormat="1" applyFont="1" applyBorder="1" applyAlignment="1" applyProtection="1">
      <alignment horizontal="center" vertical="center" wrapText="1"/>
      <protection locked="0"/>
    </xf>
    <xf numFmtId="165" fontId="37" fillId="0" borderId="0" xfId="0" applyNumberFormat="1" applyFont="1" applyAlignment="1">
      <alignment horizontal="center" vertical="center"/>
    </xf>
    <xf numFmtId="165" fontId="49" fillId="20" borderId="0" xfId="0" applyNumberFormat="1" applyFont="1" applyFill="1" applyAlignment="1">
      <alignment horizontal="center" vertical="center"/>
    </xf>
    <xf numFmtId="165" fontId="13" fillId="0" borderId="0" xfId="0" applyNumberFormat="1" applyFont="1" applyAlignment="1">
      <alignment horizontal="center" vertical="center"/>
    </xf>
    <xf numFmtId="165" fontId="17" fillId="7" borderId="19" xfId="0" applyNumberFormat="1" applyFont="1" applyFill="1" applyBorder="1" applyAlignment="1">
      <alignment horizontal="center" vertical="center" wrapText="1"/>
    </xf>
    <xf numFmtId="165" fontId="14" fillId="9" borderId="48" xfId="0" applyNumberFormat="1" applyFont="1" applyFill="1" applyBorder="1" applyAlignment="1">
      <alignment horizontal="center" vertical="center" wrapText="1"/>
    </xf>
    <xf numFmtId="165" fontId="11" fillId="30" borderId="10" xfId="0" applyNumberFormat="1" applyFont="1" applyFill="1" applyBorder="1" applyAlignment="1">
      <alignment vertical="center" wrapText="1"/>
    </xf>
    <xf numFmtId="165" fontId="11" fillId="30" borderId="40" xfId="0" applyNumberFormat="1" applyFont="1" applyFill="1" applyBorder="1" applyAlignment="1">
      <alignment vertical="center" wrapText="1"/>
    </xf>
    <xf numFmtId="165" fontId="6" fillId="0" borderId="10" xfId="1" applyNumberFormat="1" applyFont="1" applyFill="1" applyBorder="1" applyAlignment="1" applyProtection="1">
      <alignment horizontal="center" vertical="center"/>
    </xf>
    <xf numFmtId="165" fontId="11" fillId="15" borderId="10" xfId="0" applyNumberFormat="1" applyFont="1" applyFill="1" applyBorder="1" applyAlignment="1">
      <alignment vertical="center" wrapText="1"/>
    </xf>
    <xf numFmtId="165" fontId="20" fillId="17" borderId="72" xfId="0" applyNumberFormat="1" applyFont="1" applyFill="1" applyBorder="1" applyAlignment="1">
      <alignment horizontal="center" vertical="center" wrapText="1"/>
    </xf>
    <xf numFmtId="165" fontId="11" fillId="15" borderId="19" xfId="0" applyNumberFormat="1" applyFont="1" applyFill="1" applyBorder="1" applyAlignment="1">
      <alignment horizontal="center" vertical="center" wrapText="1"/>
    </xf>
    <xf numFmtId="165" fontId="11" fillId="30" borderId="40" xfId="0" applyNumberFormat="1" applyFont="1" applyFill="1" applyBorder="1" applyAlignment="1">
      <alignment horizontal="center" vertical="center" wrapText="1"/>
    </xf>
    <xf numFmtId="165" fontId="11" fillId="15" borderId="40" xfId="0" applyNumberFormat="1" applyFont="1" applyFill="1" applyBorder="1" applyAlignment="1">
      <alignment horizontal="center" vertical="center" wrapText="1"/>
    </xf>
    <xf numFmtId="165" fontId="11" fillId="28" borderId="10" xfId="0" applyNumberFormat="1" applyFont="1" applyFill="1" applyBorder="1" applyAlignment="1">
      <alignment horizontal="center" vertical="center" wrapText="1"/>
    </xf>
    <xf numFmtId="165" fontId="11" fillId="30" borderId="10" xfId="0" applyNumberFormat="1" applyFont="1" applyFill="1" applyBorder="1" applyAlignment="1">
      <alignment horizontal="center" vertical="center" wrapText="1"/>
    </xf>
    <xf numFmtId="165" fontId="11" fillId="28" borderId="74" xfId="0" applyNumberFormat="1" applyFont="1" applyFill="1" applyBorder="1" applyAlignment="1">
      <alignment horizontal="center" vertical="center" wrapText="1"/>
    </xf>
    <xf numFmtId="165" fontId="47" fillId="17" borderId="75" xfId="0" applyNumberFormat="1" applyFont="1" applyFill="1" applyBorder="1" applyAlignment="1">
      <alignment vertical="center" wrapText="1"/>
    </xf>
    <xf numFmtId="165" fontId="47" fillId="17" borderId="39" xfId="0" applyNumberFormat="1" applyFont="1" applyFill="1" applyBorder="1" applyAlignment="1">
      <alignment vertical="center" wrapText="1"/>
    </xf>
    <xf numFmtId="165" fontId="6" fillId="26" borderId="10" xfId="0" applyNumberFormat="1" applyFont="1" applyFill="1" applyBorder="1" applyAlignment="1">
      <alignment horizontal="center" vertical="center"/>
    </xf>
    <xf numFmtId="165" fontId="20" fillId="17" borderId="69" xfId="0" applyNumberFormat="1" applyFont="1" applyFill="1" applyBorder="1" applyAlignment="1">
      <alignment horizontal="center" vertical="center" wrapText="1"/>
    </xf>
    <xf numFmtId="165" fontId="47" fillId="28" borderId="38" xfId="0" applyNumberFormat="1" applyFont="1" applyFill="1" applyBorder="1" applyAlignment="1">
      <alignment vertical="center" wrapText="1"/>
    </xf>
    <xf numFmtId="165" fontId="47" fillId="28" borderId="10" xfId="0" applyNumberFormat="1" applyFont="1" applyFill="1" applyBorder="1" applyAlignment="1">
      <alignment vertical="center" wrapText="1"/>
    </xf>
    <xf numFmtId="165" fontId="53" fillId="25" borderId="48" xfId="0" applyNumberFormat="1" applyFont="1" applyFill="1" applyBorder="1" applyAlignment="1">
      <alignment vertical="center" wrapText="1"/>
    </xf>
    <xf numFmtId="165" fontId="6" fillId="0" borderId="0" xfId="0" applyNumberFormat="1" applyFont="1" applyAlignment="1">
      <alignment horizontal="center" vertical="center"/>
    </xf>
    <xf numFmtId="165" fontId="13" fillId="0" borderId="0" xfId="0" applyNumberFormat="1" applyFont="1" applyAlignment="1" applyProtection="1">
      <alignment horizontal="center" vertical="center"/>
      <protection locked="0"/>
    </xf>
    <xf numFmtId="165" fontId="11" fillId="0" borderId="10" xfId="0" applyNumberFormat="1" applyFont="1" applyBorder="1" applyAlignment="1">
      <alignment horizontal="center" vertical="center" wrapText="1"/>
    </xf>
    <xf numFmtId="165" fontId="10" fillId="0" borderId="10" xfId="0" applyNumberFormat="1" applyFont="1" applyBorder="1" applyAlignment="1">
      <alignment horizontal="center" vertical="center" wrapText="1"/>
    </xf>
    <xf numFmtId="165" fontId="20" fillId="17" borderId="75" xfId="0" applyNumberFormat="1" applyFont="1" applyFill="1" applyBorder="1" applyAlignment="1">
      <alignment horizontal="center" vertical="center" wrapText="1"/>
    </xf>
    <xf numFmtId="165" fontId="20" fillId="17" borderId="39" xfId="0" applyNumberFormat="1" applyFont="1" applyFill="1" applyBorder="1" applyAlignment="1">
      <alignment horizontal="center" vertical="center" wrapText="1"/>
    </xf>
    <xf numFmtId="165" fontId="6" fillId="0" borderId="10" xfId="0" applyNumberFormat="1" applyFont="1" applyBorder="1" applyAlignment="1">
      <alignment horizontal="center" vertical="center"/>
    </xf>
    <xf numFmtId="165" fontId="56" fillId="0" borderId="12" xfId="0" applyNumberFormat="1" applyFont="1" applyBorder="1" applyAlignment="1">
      <alignment horizontal="center" vertical="center"/>
    </xf>
    <xf numFmtId="165" fontId="20" fillId="28" borderId="38" xfId="0" applyNumberFormat="1" applyFont="1" applyFill="1" applyBorder="1" applyAlignment="1">
      <alignment horizontal="center" vertical="center" wrapText="1"/>
    </xf>
    <xf numFmtId="165" fontId="20" fillId="28" borderId="10" xfId="0" applyNumberFormat="1" applyFont="1" applyFill="1" applyBorder="1" applyAlignment="1">
      <alignment horizontal="center" vertical="center" wrapText="1"/>
    </xf>
    <xf numFmtId="165" fontId="6" fillId="25" borderId="73" xfId="0" applyNumberFormat="1" applyFont="1" applyFill="1" applyBorder="1" applyAlignment="1">
      <alignment horizontal="center" vertical="center"/>
    </xf>
    <xf numFmtId="165" fontId="37" fillId="0" borderId="0" xfId="0" applyNumberFormat="1" applyFont="1" applyAlignment="1">
      <alignment vertical="center"/>
    </xf>
    <xf numFmtId="165" fontId="14" fillId="9" borderId="48" xfId="0" applyNumberFormat="1" applyFont="1" applyFill="1" applyBorder="1" applyAlignment="1">
      <alignment vertical="center" wrapText="1"/>
    </xf>
    <xf numFmtId="165" fontId="10" fillId="0" borderId="10" xfId="5" applyNumberFormat="1" applyFont="1" applyBorder="1" applyAlignment="1" applyProtection="1">
      <alignment vertical="center" wrapText="1"/>
      <protection locked="0"/>
    </xf>
    <xf numFmtId="165" fontId="11" fillId="15" borderId="10" xfId="5" applyNumberFormat="1" applyFont="1" applyFill="1" applyBorder="1" applyAlignment="1">
      <alignment vertical="center" wrapText="1"/>
    </xf>
    <xf numFmtId="165" fontId="6" fillId="0" borderId="10" xfId="1" applyNumberFormat="1" applyFont="1" applyBorder="1" applyAlignment="1">
      <alignment vertical="center"/>
    </xf>
    <xf numFmtId="165" fontId="6" fillId="0" borderId="10" xfId="1" applyNumberFormat="1" applyFont="1" applyFill="1" applyBorder="1" applyAlignment="1" applyProtection="1">
      <alignment vertical="center"/>
    </xf>
    <xf numFmtId="165" fontId="6" fillId="0" borderId="10" xfId="1" applyNumberFormat="1" applyFont="1" applyBorder="1" applyAlignment="1">
      <alignment horizontal="center" vertical="center"/>
    </xf>
    <xf numFmtId="165" fontId="10" fillId="0" borderId="10" xfId="0" applyNumberFormat="1" applyFont="1" applyBorder="1" applyAlignment="1">
      <alignment horizontal="right" vertical="center" wrapText="1"/>
    </xf>
    <xf numFmtId="165" fontId="11" fillId="15" borderId="19" xfId="0" applyNumberFormat="1" applyFont="1" applyFill="1" applyBorder="1" applyAlignment="1">
      <alignment vertical="center" wrapText="1"/>
    </xf>
    <xf numFmtId="165" fontId="47" fillId="17" borderId="72" xfId="0" applyNumberFormat="1" applyFont="1" applyFill="1" applyBorder="1" applyAlignment="1">
      <alignment vertical="center" wrapText="1"/>
    </xf>
    <xf numFmtId="165" fontId="10" fillId="0" borderId="10" xfId="0" applyNumberFormat="1" applyFont="1" applyBorder="1" applyAlignment="1">
      <alignment vertical="center" wrapText="1"/>
    </xf>
    <xf numFmtId="165" fontId="11" fillId="15" borderId="40" xfId="0" applyNumberFormat="1" applyFont="1" applyFill="1" applyBorder="1" applyAlignment="1">
      <alignment vertical="center" wrapText="1"/>
    </xf>
    <xf numFmtId="165" fontId="55" fillId="0" borderId="39" xfId="0" applyNumberFormat="1" applyFont="1" applyBorder="1"/>
    <xf numFmtId="165" fontId="11" fillId="28" borderId="10" xfId="0" applyNumberFormat="1" applyFont="1" applyFill="1" applyBorder="1" applyAlignment="1">
      <alignment vertical="center" wrapText="1"/>
    </xf>
    <xf numFmtId="165" fontId="56" fillId="0" borderId="76" xfId="0" applyNumberFormat="1" applyFont="1" applyBorder="1"/>
    <xf numFmtId="165" fontId="9" fillId="26" borderId="10" xfId="0" applyNumberFormat="1" applyFont="1" applyFill="1" applyBorder="1" applyAlignment="1">
      <alignment vertical="center" wrapText="1"/>
    </xf>
    <xf numFmtId="165" fontId="47" fillId="17" borderId="69" xfId="0" applyNumberFormat="1" applyFont="1" applyFill="1" applyBorder="1" applyAlignment="1">
      <alignment vertical="center" wrapText="1"/>
    </xf>
    <xf numFmtId="165" fontId="6" fillId="0" borderId="0" xfId="0" applyNumberFormat="1" applyFont="1" applyAlignment="1">
      <alignment vertical="center"/>
    </xf>
    <xf numFmtId="0" fontId="40" fillId="32" borderId="52" xfId="7" applyFont="1" applyFill="1" applyBorder="1" applyAlignment="1">
      <alignment vertical="center" wrapText="1"/>
    </xf>
    <xf numFmtId="0" fontId="40" fillId="32" borderId="19" xfId="7" applyFont="1" applyFill="1" applyBorder="1" applyAlignment="1">
      <alignment vertical="center" wrapText="1"/>
    </xf>
    <xf numFmtId="0" fontId="40" fillId="32" borderId="59" xfId="7" applyFont="1" applyFill="1" applyBorder="1" applyAlignment="1">
      <alignment vertical="center" wrapText="1"/>
    </xf>
    <xf numFmtId="0" fontId="40" fillId="32" borderId="45" xfId="7" applyFont="1" applyFill="1" applyBorder="1" applyAlignment="1">
      <alignment vertical="center" wrapText="1"/>
    </xf>
    <xf numFmtId="0" fontId="40" fillId="32" borderId="61" xfId="7" applyFont="1" applyFill="1" applyBorder="1" applyAlignment="1">
      <alignment vertical="center" wrapText="1"/>
    </xf>
    <xf numFmtId="0" fontId="40" fillId="32" borderId="10" xfId="7" applyFont="1" applyFill="1" applyBorder="1" applyAlignment="1">
      <alignment vertical="center" wrapText="1"/>
    </xf>
    <xf numFmtId="165" fontId="43" fillId="20" borderId="83" xfId="7" applyNumberFormat="1" applyFont="1" applyFill="1" applyBorder="1" applyAlignment="1">
      <alignment horizontal="left" vertical="center" wrapText="1"/>
    </xf>
    <xf numFmtId="170" fontId="6" fillId="0" borderId="10" xfId="1" applyNumberFormat="1" applyFont="1" applyFill="1" applyBorder="1" applyAlignment="1">
      <alignment horizontal="center" vertical="center"/>
    </xf>
    <xf numFmtId="0" fontId="43" fillId="20" borderId="19" xfId="7" applyFont="1" applyFill="1" applyBorder="1" applyAlignment="1">
      <alignment vertical="center" wrapText="1"/>
    </xf>
    <xf numFmtId="0" fontId="22" fillId="23" borderId="10" xfId="0" applyFont="1" applyFill="1" applyBorder="1" applyAlignment="1" applyProtection="1">
      <alignment horizontal="left" vertical="top"/>
      <protection locked="0"/>
    </xf>
    <xf numFmtId="0" fontId="40" fillId="20" borderId="11" xfId="7" applyFont="1" applyFill="1" applyBorder="1" applyAlignment="1">
      <alignment vertical="top" wrapText="1"/>
    </xf>
    <xf numFmtId="0" fontId="40" fillId="20" borderId="80" xfId="7" applyFont="1" applyFill="1" applyBorder="1" applyAlignment="1">
      <alignment vertical="top" wrapText="1"/>
    </xf>
    <xf numFmtId="165" fontId="17" fillId="7" borderId="90" xfId="0" applyNumberFormat="1" applyFont="1" applyFill="1" applyBorder="1" applyAlignment="1">
      <alignment horizontal="center" vertical="center" wrapText="1"/>
    </xf>
    <xf numFmtId="168" fontId="17" fillId="7" borderId="90" xfId="0" applyNumberFormat="1" applyFont="1" applyFill="1" applyBorder="1" applyAlignment="1">
      <alignment horizontal="center" vertical="center" wrapText="1"/>
    </xf>
    <xf numFmtId="9" fontId="17" fillId="7" borderId="91" xfId="0" applyNumberFormat="1" applyFont="1" applyFill="1" applyBorder="1" applyAlignment="1">
      <alignment horizontal="left" vertical="center" wrapText="1"/>
    </xf>
    <xf numFmtId="0" fontId="14" fillId="9" borderId="95" xfId="0" applyFont="1" applyFill="1" applyBorder="1" applyAlignment="1">
      <alignment horizontal="left" vertical="center"/>
    </xf>
    <xf numFmtId="0" fontId="14" fillId="9" borderId="96" xfId="0" applyFont="1" applyFill="1" applyBorder="1" applyAlignment="1">
      <alignment vertical="center" wrapText="1"/>
    </xf>
    <xf numFmtId="0" fontId="17" fillId="24" borderId="98" xfId="0" applyFont="1" applyFill="1" applyBorder="1" applyAlignment="1" applyProtection="1">
      <alignment horizontal="left" vertical="top" wrapText="1"/>
      <protection locked="0"/>
    </xf>
    <xf numFmtId="0" fontId="10" fillId="0" borderId="99" xfId="0" applyFont="1" applyBorder="1" applyAlignment="1">
      <alignment horizontal="left" vertical="top" wrapText="1"/>
    </xf>
    <xf numFmtId="0" fontId="12" fillId="15" borderId="99" xfId="0" applyFont="1" applyFill="1" applyBorder="1" applyAlignment="1">
      <alignment horizontal="right" vertical="top" wrapText="1"/>
    </xf>
    <xf numFmtId="0" fontId="9" fillId="16" borderId="102" xfId="0" applyFont="1" applyFill="1" applyBorder="1" applyAlignment="1" applyProtection="1">
      <alignment horizontal="left" vertical="top" wrapText="1"/>
      <protection locked="0"/>
    </xf>
    <xf numFmtId="0" fontId="22" fillId="23" borderId="99" xfId="0" applyFont="1" applyFill="1" applyBorder="1" applyAlignment="1" applyProtection="1">
      <alignment horizontal="left" vertical="top"/>
      <protection locked="0"/>
    </xf>
    <xf numFmtId="0" fontId="52" fillId="0" borderId="103" xfId="0" applyFont="1" applyBorder="1"/>
    <xf numFmtId="0" fontId="12" fillId="30" borderId="99" xfId="0" applyFont="1" applyFill="1" applyBorder="1" applyAlignment="1">
      <alignment horizontal="right" vertical="top" wrapText="1"/>
    </xf>
    <xf numFmtId="0" fontId="9" fillId="31" borderId="102" xfId="0" applyFont="1" applyFill="1" applyBorder="1" applyAlignment="1" applyProtection="1">
      <alignment horizontal="left" vertical="top" wrapText="1"/>
      <protection locked="0"/>
    </xf>
    <xf numFmtId="0" fontId="50" fillId="0" borderId="99" xfId="0" applyFont="1" applyBorder="1" applyAlignment="1">
      <alignment horizontal="left" vertical="top" wrapText="1"/>
    </xf>
    <xf numFmtId="9" fontId="10" fillId="0" borderId="102" xfId="0" applyNumberFormat="1" applyFont="1" applyBorder="1" applyAlignment="1">
      <alignment horizontal="left" vertical="top" wrapText="1"/>
    </xf>
    <xf numFmtId="0" fontId="6" fillId="0" borderId="102" xfId="0" applyFont="1" applyBorder="1" applyAlignment="1" applyProtection="1">
      <alignment horizontal="center" vertical="top" wrapText="1"/>
      <protection locked="0"/>
    </xf>
    <xf numFmtId="0" fontId="12" fillId="30" borderId="107" xfId="0" applyFont="1" applyFill="1" applyBorder="1" applyAlignment="1">
      <alignment horizontal="right" vertical="top" wrapText="1"/>
    </xf>
    <xf numFmtId="0" fontId="9" fillId="31" borderId="100" xfId="0" applyFont="1" applyFill="1" applyBorder="1" applyAlignment="1" applyProtection="1">
      <alignment horizontal="left" vertical="top" wrapText="1"/>
      <protection locked="0"/>
    </xf>
    <xf numFmtId="9" fontId="10" fillId="0" borderId="102" xfId="0" applyNumberFormat="1" applyFont="1" applyBorder="1" applyAlignment="1">
      <alignment horizontal="left" vertical="center" wrapText="1"/>
    </xf>
    <xf numFmtId="0" fontId="11" fillId="15" borderId="102" xfId="0" applyFont="1" applyFill="1" applyBorder="1" applyAlignment="1">
      <alignment horizontal="left" vertical="center" wrapText="1"/>
    </xf>
    <xf numFmtId="0" fontId="11" fillId="30" borderId="100" xfId="0" applyFont="1" applyFill="1" applyBorder="1" applyAlignment="1">
      <alignment horizontal="left" vertical="center" wrapText="1"/>
    </xf>
    <xf numFmtId="0" fontId="20" fillId="17" borderId="108" xfId="0" applyFont="1" applyFill="1" applyBorder="1" applyAlignment="1">
      <alignment vertical="top"/>
    </xf>
    <xf numFmtId="0" fontId="7" fillId="18" borderId="109" xfId="0" applyFont="1" applyFill="1" applyBorder="1" applyAlignment="1" applyProtection="1">
      <alignment horizontal="left" vertical="top" wrapText="1"/>
      <protection locked="0"/>
    </xf>
    <xf numFmtId="0" fontId="17" fillId="24" borderId="111" xfId="0" applyFont="1" applyFill="1" applyBorder="1" applyAlignment="1" applyProtection="1">
      <alignment horizontal="left" vertical="top" wrapText="1"/>
      <protection locked="0"/>
    </xf>
    <xf numFmtId="0" fontId="10" fillId="2" borderId="102" xfId="0" applyFont="1" applyFill="1" applyBorder="1" applyAlignment="1" applyProtection="1">
      <alignment horizontal="left" vertical="top" wrapText="1"/>
      <protection locked="0"/>
    </xf>
    <xf numFmtId="0" fontId="9" fillId="0" borderId="102" xfId="0" applyFont="1" applyBorder="1" applyAlignment="1" applyProtection="1">
      <alignment horizontal="left" vertical="top" wrapText="1"/>
      <protection locked="0"/>
    </xf>
    <xf numFmtId="165" fontId="11" fillId="15" borderId="102" xfId="0" applyNumberFormat="1" applyFont="1" applyFill="1" applyBorder="1" applyAlignment="1">
      <alignment horizontal="center" vertical="center" wrapText="1"/>
    </xf>
    <xf numFmtId="0" fontId="12" fillId="15" borderId="112" xfId="0" applyFont="1" applyFill="1" applyBorder="1" applyAlignment="1">
      <alignment horizontal="right" vertical="top" wrapText="1"/>
    </xf>
    <xf numFmtId="0" fontId="9" fillId="16" borderId="101" xfId="0" applyFont="1" applyFill="1" applyBorder="1" applyAlignment="1" applyProtection="1">
      <alignment horizontal="left" vertical="top" wrapText="1"/>
      <protection locked="0"/>
    </xf>
    <xf numFmtId="0" fontId="17" fillId="24" borderId="96" xfId="0" applyFont="1" applyFill="1" applyBorder="1" applyAlignment="1" applyProtection="1">
      <alignment horizontal="left" vertical="top" wrapText="1"/>
      <protection locked="0"/>
    </xf>
    <xf numFmtId="0" fontId="6" fillId="0" borderId="102" xfId="0" applyFont="1" applyBorder="1" applyAlignment="1">
      <alignment vertical="top" wrapText="1"/>
    </xf>
    <xf numFmtId="0" fontId="12" fillId="15" borderId="107" xfId="0" applyFont="1" applyFill="1" applyBorder="1" applyAlignment="1">
      <alignment horizontal="right" vertical="top" wrapText="1"/>
    </xf>
    <xf numFmtId="0" fontId="9" fillId="16" borderId="100" xfId="0" applyFont="1" applyFill="1" applyBorder="1" applyAlignment="1" applyProtection="1">
      <alignment horizontal="left" vertical="top" wrapText="1"/>
      <protection locked="0"/>
    </xf>
    <xf numFmtId="0" fontId="6" fillId="0" borderId="103" xfId="0" applyFont="1" applyBorder="1" applyAlignment="1">
      <alignment horizontal="left" vertical="top" wrapText="1"/>
    </xf>
    <xf numFmtId="0" fontId="12" fillId="28" borderId="99" xfId="0" applyFont="1" applyFill="1" applyBorder="1" applyAlignment="1">
      <alignment horizontal="right" vertical="top" wrapText="1"/>
    </xf>
    <xf numFmtId="0" fontId="9" fillId="29" borderId="102" xfId="0" applyFont="1" applyFill="1" applyBorder="1" applyAlignment="1" applyProtection="1">
      <alignment horizontal="left" vertical="top" wrapText="1"/>
      <protection locked="0"/>
    </xf>
    <xf numFmtId="0" fontId="16" fillId="0" borderId="102" xfId="0" applyFont="1" applyBorder="1" applyAlignment="1">
      <alignment wrapText="1"/>
    </xf>
    <xf numFmtId="0" fontId="16" fillId="0" borderId="102" xfId="0" applyFont="1" applyBorder="1" applyAlignment="1">
      <alignment horizontal="left" vertical="top" wrapText="1"/>
    </xf>
    <xf numFmtId="0" fontId="50" fillId="0" borderId="95" xfId="0" applyFont="1" applyBorder="1" applyAlignment="1">
      <alignment horizontal="left" vertical="top" wrapText="1"/>
    </xf>
    <xf numFmtId="0" fontId="16" fillId="0" borderId="111" xfId="0" applyFont="1" applyBorder="1" applyAlignment="1">
      <alignment vertical="top" wrapText="1"/>
    </xf>
    <xf numFmtId="0" fontId="12" fillId="28" borderId="114" xfId="0" applyFont="1" applyFill="1" applyBorder="1" applyAlignment="1">
      <alignment horizontal="right" vertical="top" wrapText="1"/>
    </xf>
    <xf numFmtId="0" fontId="9" fillId="29" borderId="115" xfId="0" applyFont="1" applyFill="1" applyBorder="1" applyAlignment="1" applyProtection="1">
      <alignment horizontal="left" vertical="top" wrapText="1"/>
      <protection locked="0"/>
    </xf>
    <xf numFmtId="0" fontId="20" fillId="17" borderId="116" xfId="0" applyFont="1" applyFill="1" applyBorder="1" applyAlignment="1">
      <alignment vertical="top"/>
    </xf>
    <xf numFmtId="0" fontId="7" fillId="18" borderId="117" xfId="0" applyFont="1" applyFill="1" applyBorder="1" applyAlignment="1" applyProtection="1">
      <alignment horizontal="left" vertical="top" wrapText="1"/>
      <protection locked="0"/>
    </xf>
    <xf numFmtId="0" fontId="7" fillId="18" borderId="98" xfId="0" applyFont="1" applyFill="1" applyBorder="1" applyAlignment="1" applyProtection="1">
      <alignment horizontal="left" vertical="top" wrapText="1"/>
      <protection locked="0"/>
    </xf>
    <xf numFmtId="0" fontId="6" fillId="0" borderId="99" xfId="0" applyFont="1" applyBorder="1"/>
    <xf numFmtId="0" fontId="6" fillId="0" borderId="102" xfId="0" applyFont="1" applyBorder="1" applyProtection="1">
      <protection locked="0"/>
    </xf>
    <xf numFmtId="0" fontId="6" fillId="0" borderId="102" xfId="0" applyFont="1" applyBorder="1" applyAlignment="1" applyProtection="1">
      <alignment wrapText="1"/>
      <protection locked="0"/>
    </xf>
    <xf numFmtId="0" fontId="6" fillId="0" borderId="98" xfId="0" applyFont="1" applyBorder="1" applyProtection="1">
      <protection locked="0"/>
    </xf>
    <xf numFmtId="0" fontId="6" fillId="26" borderId="99" xfId="0" applyFont="1" applyFill="1" applyBorder="1"/>
    <xf numFmtId="0" fontId="6" fillId="26" borderId="102" xfId="0" applyFont="1" applyFill="1" applyBorder="1" applyProtection="1">
      <protection locked="0"/>
    </xf>
    <xf numFmtId="0" fontId="20" fillId="17" borderId="118" xfId="0" applyFont="1" applyFill="1" applyBorder="1" applyAlignment="1">
      <alignment vertical="top"/>
    </xf>
    <xf numFmtId="0" fontId="7" fillId="18" borderId="119" xfId="0" applyFont="1" applyFill="1" applyBorder="1" applyAlignment="1" applyProtection="1">
      <alignment horizontal="left" vertical="top" wrapText="1"/>
      <protection locked="0"/>
    </xf>
    <xf numFmtId="0" fontId="7" fillId="29" borderId="111" xfId="0" applyFont="1" applyFill="1" applyBorder="1" applyAlignment="1" applyProtection="1">
      <alignment horizontal="left" vertical="top" wrapText="1"/>
      <protection locked="0"/>
    </xf>
    <xf numFmtId="0" fontId="20" fillId="28" borderId="99" xfId="0" applyFont="1" applyFill="1" applyBorder="1" applyAlignment="1">
      <alignment vertical="top"/>
    </xf>
    <xf numFmtId="0" fontId="7" fillId="29" borderId="102" xfId="0" applyFont="1" applyFill="1" applyBorder="1" applyAlignment="1" applyProtection="1">
      <alignment horizontal="left" vertical="top" wrapText="1"/>
      <protection locked="0"/>
    </xf>
    <xf numFmtId="0" fontId="14" fillId="25" borderId="121" xfId="0" applyFont="1" applyFill="1" applyBorder="1"/>
    <xf numFmtId="0" fontId="6" fillId="25" borderId="122" xfId="0" applyFont="1" applyFill="1" applyBorder="1" applyProtection="1">
      <protection locked="0"/>
    </xf>
    <xf numFmtId="0" fontId="14" fillId="25" borderId="123" xfId="0" applyFont="1" applyFill="1" applyBorder="1"/>
    <xf numFmtId="0" fontId="6" fillId="25" borderId="124" xfId="0" applyFont="1" applyFill="1" applyBorder="1"/>
    <xf numFmtId="0" fontId="6" fillId="25" borderId="124" xfId="0" applyFont="1" applyFill="1" applyBorder="1" applyAlignment="1">
      <alignment horizontal="left" vertical="center"/>
    </xf>
    <xf numFmtId="0" fontId="6" fillId="25" borderId="124" xfId="0" applyFont="1" applyFill="1" applyBorder="1" applyAlignment="1">
      <alignment vertical="center"/>
    </xf>
    <xf numFmtId="0" fontId="6" fillId="25" borderId="124" xfId="0" applyFont="1" applyFill="1" applyBorder="1" applyAlignment="1">
      <alignment horizontal="center" vertical="center"/>
    </xf>
    <xf numFmtId="170" fontId="6" fillId="25" borderId="124" xfId="5" applyNumberFormat="1" applyFont="1" applyFill="1" applyBorder="1" applyAlignment="1">
      <alignment horizontal="center" vertical="center"/>
    </xf>
    <xf numFmtId="165" fontId="6" fillId="25" borderId="124" xfId="0" applyNumberFormat="1" applyFont="1" applyFill="1" applyBorder="1" applyAlignment="1">
      <alignment horizontal="center" vertical="center"/>
    </xf>
    <xf numFmtId="171" fontId="6" fillId="25" borderId="124" xfId="0" applyNumberFormat="1" applyFont="1" applyFill="1" applyBorder="1" applyAlignment="1">
      <alignment horizontal="center" vertical="center"/>
    </xf>
    <xf numFmtId="168" fontId="53" fillId="25" borderId="124" xfId="0" applyNumberFormat="1" applyFont="1" applyFill="1" applyBorder="1" applyAlignment="1">
      <alignment vertical="center" wrapText="1"/>
    </xf>
    <xf numFmtId="165" fontId="53" fillId="25" borderId="124" xfId="0" applyNumberFormat="1" applyFont="1" applyFill="1" applyBorder="1" applyAlignment="1">
      <alignment vertical="center" wrapText="1"/>
    </xf>
    <xf numFmtId="0" fontId="6" fillId="25" borderId="125" xfId="0" applyFont="1" applyFill="1" applyBorder="1" applyProtection="1">
      <protection locked="0"/>
    </xf>
    <xf numFmtId="0" fontId="20" fillId="28" borderId="107" xfId="0" applyFont="1" applyFill="1" applyBorder="1" applyAlignment="1">
      <alignment vertical="top"/>
    </xf>
    <xf numFmtId="0" fontId="20" fillId="28" borderId="40" xfId="0" applyFont="1" applyFill="1" applyBorder="1" applyAlignment="1">
      <alignment vertical="top"/>
    </xf>
    <xf numFmtId="0" fontId="20" fillId="28" borderId="40" xfId="0" applyFont="1" applyFill="1" applyBorder="1" applyAlignment="1">
      <alignment horizontal="left" vertical="center"/>
    </xf>
    <xf numFmtId="0" fontId="20" fillId="28" borderId="40" xfId="0" applyFont="1" applyFill="1" applyBorder="1" applyAlignment="1">
      <alignment vertical="center" wrapText="1"/>
    </xf>
    <xf numFmtId="0" fontId="20" fillId="28" borderId="40" xfId="0" applyFont="1" applyFill="1" applyBorder="1" applyAlignment="1">
      <alignment horizontal="center" vertical="center" wrapText="1"/>
    </xf>
    <xf numFmtId="170" fontId="20" fillId="28" borderId="40" xfId="5" applyNumberFormat="1" applyFont="1" applyFill="1" applyBorder="1" applyAlignment="1" applyProtection="1">
      <alignment horizontal="center" vertical="center" wrapText="1"/>
    </xf>
    <xf numFmtId="165" fontId="20" fillId="28" borderId="40" xfId="0" applyNumberFormat="1" applyFont="1" applyFill="1" applyBorder="1" applyAlignment="1">
      <alignment horizontal="center" vertical="center" wrapText="1"/>
    </xf>
    <xf numFmtId="171" fontId="20" fillId="28" borderId="40" xfId="0" applyNumberFormat="1" applyFont="1" applyFill="1" applyBorder="1" applyAlignment="1">
      <alignment horizontal="center" vertical="center" wrapText="1"/>
    </xf>
    <xf numFmtId="165" fontId="47" fillId="28" borderId="40" xfId="0" applyNumberFormat="1" applyFont="1" applyFill="1" applyBorder="1" applyAlignment="1">
      <alignment vertical="center" wrapText="1"/>
    </xf>
    <xf numFmtId="168" fontId="47" fillId="28" borderId="40" xfId="0" applyNumberFormat="1" applyFont="1" applyFill="1" applyBorder="1" applyAlignment="1">
      <alignment vertical="center" wrapText="1"/>
    </xf>
    <xf numFmtId="0" fontId="20" fillId="28" borderId="40" xfId="0" applyFont="1" applyFill="1" applyBorder="1" applyAlignment="1">
      <alignment horizontal="left" vertical="center" wrapText="1"/>
    </xf>
    <xf numFmtId="0" fontId="7" fillId="29" borderId="100" xfId="0" applyFont="1" applyFill="1" applyBorder="1" applyAlignment="1" applyProtection="1">
      <alignment horizontal="left" vertical="top" wrapText="1"/>
      <protection locked="0"/>
    </xf>
    <xf numFmtId="0" fontId="14" fillId="25" borderId="126" xfId="0" applyFont="1" applyFill="1" applyBorder="1"/>
    <xf numFmtId="0" fontId="6" fillId="25" borderId="127" xfId="0" applyFont="1" applyFill="1" applyBorder="1"/>
    <xf numFmtId="0" fontId="6" fillId="25" borderId="127" xfId="0" applyFont="1" applyFill="1" applyBorder="1" applyAlignment="1">
      <alignment horizontal="left" vertical="center"/>
    </xf>
    <xf numFmtId="0" fontId="6" fillId="25" borderId="127" xfId="0" applyFont="1" applyFill="1" applyBorder="1" applyAlignment="1">
      <alignment vertical="center"/>
    </xf>
    <xf numFmtId="0" fontId="6" fillId="25" borderId="127" xfId="0" applyFont="1" applyFill="1" applyBorder="1" applyAlignment="1">
      <alignment horizontal="center" vertical="center"/>
    </xf>
    <xf numFmtId="170" fontId="6" fillId="25" borderId="127" xfId="5" applyNumberFormat="1" applyFont="1" applyFill="1" applyBorder="1" applyAlignment="1">
      <alignment horizontal="center" vertical="center"/>
    </xf>
    <xf numFmtId="165" fontId="6" fillId="25" borderId="127" xfId="0" applyNumberFormat="1" applyFont="1" applyFill="1" applyBorder="1" applyAlignment="1">
      <alignment horizontal="center" vertical="center"/>
    </xf>
    <xf numFmtId="171" fontId="6" fillId="25" borderId="127" xfId="0" applyNumberFormat="1" applyFont="1" applyFill="1" applyBorder="1" applyAlignment="1">
      <alignment horizontal="center" vertical="center"/>
    </xf>
    <xf numFmtId="168" fontId="53" fillId="25" borderId="127" xfId="0" applyNumberFormat="1" applyFont="1" applyFill="1" applyBorder="1" applyAlignment="1">
      <alignment vertical="center" wrapText="1"/>
    </xf>
    <xf numFmtId="165" fontId="53" fillId="25" borderId="127" xfId="0" applyNumberFormat="1" applyFont="1" applyFill="1" applyBorder="1" applyAlignment="1">
      <alignment vertical="center" wrapText="1"/>
    </xf>
    <xf numFmtId="0" fontId="6" fillId="25" borderId="128" xfId="0" applyFont="1" applyFill="1" applyBorder="1" applyProtection="1">
      <protection locked="0"/>
    </xf>
    <xf numFmtId="0" fontId="41" fillId="19" borderId="129" xfId="7" applyFont="1" applyFill="1" applyBorder="1" applyAlignment="1">
      <alignment vertical="center" wrapText="1"/>
    </xf>
    <xf numFmtId="0" fontId="41" fillId="19" borderId="130" xfId="7" applyFont="1" applyFill="1" applyBorder="1" applyAlignment="1">
      <alignment vertical="center" wrapText="1"/>
    </xf>
    <xf numFmtId="0" fontId="41" fillId="19" borderId="131" xfId="7" applyFont="1" applyFill="1" applyBorder="1" applyAlignment="1">
      <alignment vertical="center" wrapText="1"/>
    </xf>
    <xf numFmtId="0" fontId="41" fillId="19" borderId="132" xfId="7" applyFont="1" applyFill="1" applyBorder="1" applyAlignment="1">
      <alignment vertical="center" wrapText="1"/>
    </xf>
    <xf numFmtId="168" fontId="38" fillId="19" borderId="138" xfId="24" applyNumberFormat="1" applyFont="1" applyFill="1" applyBorder="1" applyAlignment="1">
      <alignment horizontal="center" vertical="center" wrapText="1"/>
    </xf>
    <xf numFmtId="0" fontId="43" fillId="20" borderId="140" xfId="7" applyFont="1" applyFill="1" applyBorder="1" applyAlignment="1">
      <alignment horizontal="left" vertical="center" wrapText="1"/>
    </xf>
    <xf numFmtId="165" fontId="43" fillId="20" borderId="149" xfId="1" applyNumberFormat="1" applyFont="1" applyFill="1" applyBorder="1" applyAlignment="1">
      <alignment horizontal="center" vertical="center" wrapText="1"/>
    </xf>
    <xf numFmtId="0" fontId="43" fillId="20" borderId="141" xfId="7" applyFont="1" applyFill="1" applyBorder="1" applyAlignment="1">
      <alignment vertical="center" wrapText="1"/>
    </xf>
    <xf numFmtId="0" fontId="40" fillId="0" borderId="153" xfId="7" applyFont="1" applyBorder="1" applyAlignment="1">
      <alignment vertical="center" wrapText="1"/>
    </xf>
    <xf numFmtId="0" fontId="40" fillId="0" borderId="154" xfId="7" applyFont="1" applyBorder="1" applyAlignment="1">
      <alignment vertical="center" wrapText="1"/>
    </xf>
    <xf numFmtId="0" fontId="40" fillId="0" borderId="155" xfId="7" applyFont="1" applyBorder="1" applyAlignment="1">
      <alignment vertical="center" wrapText="1"/>
    </xf>
    <xf numFmtId="0" fontId="40" fillId="0" borderId="158" xfId="7" applyFont="1" applyBorder="1" applyAlignment="1">
      <alignment vertical="center" wrapText="1"/>
    </xf>
    <xf numFmtId="0" fontId="40" fillId="0" borderId="38" xfId="7" applyFont="1" applyBorder="1" applyAlignment="1">
      <alignment vertical="center" wrapText="1"/>
    </xf>
    <xf numFmtId="0" fontId="40" fillId="0" borderId="159" xfId="7" applyFont="1" applyBorder="1" applyAlignment="1">
      <alignment vertical="center" wrapText="1"/>
    </xf>
    <xf numFmtId="0" fontId="40" fillId="0" borderId="53" xfId="7" applyFont="1" applyBorder="1" applyAlignment="1">
      <alignment vertical="center" wrapText="1"/>
    </xf>
    <xf numFmtId="0" fontId="40" fillId="0" borderId="51" xfId="7" applyFont="1" applyBorder="1" applyAlignment="1">
      <alignment vertical="center" wrapText="1"/>
    </xf>
    <xf numFmtId="0" fontId="40" fillId="0" borderId="15" xfId="7" applyFont="1" applyBorder="1" applyAlignment="1">
      <alignment vertical="center" wrapText="1"/>
    </xf>
    <xf numFmtId="0" fontId="40" fillId="32" borderId="64" xfId="7" applyFont="1" applyFill="1" applyBorder="1" applyAlignment="1">
      <alignment vertical="center" wrapText="1"/>
    </xf>
    <xf numFmtId="0" fontId="40" fillId="32" borderId="40" xfId="7" applyFont="1" applyFill="1" applyBorder="1" applyAlignment="1">
      <alignment vertical="center" wrapText="1"/>
    </xf>
    <xf numFmtId="0" fontId="40" fillId="32" borderId="160" xfId="7" applyFont="1" applyFill="1" applyBorder="1" applyAlignment="1">
      <alignment vertical="center" wrapText="1"/>
    </xf>
    <xf numFmtId="0" fontId="40" fillId="32" borderId="156" xfId="7" applyFont="1" applyFill="1" applyBorder="1" applyAlignment="1">
      <alignment vertical="center" wrapText="1"/>
    </xf>
    <xf numFmtId="169" fontId="6" fillId="0" borderId="0" xfId="0" applyNumberFormat="1" applyFont="1"/>
    <xf numFmtId="0" fontId="22" fillId="5" borderId="18" xfId="7" applyFont="1" applyFill="1" applyBorder="1" applyAlignment="1">
      <alignment horizontal="center" vertical="center" wrapText="1"/>
    </xf>
    <xf numFmtId="0" fontId="22" fillId="5" borderId="15" xfId="7" applyFont="1" applyFill="1" applyBorder="1" applyAlignment="1">
      <alignment horizontal="center" vertical="center" wrapText="1"/>
    </xf>
    <xf numFmtId="0" fontId="26" fillId="6" borderId="20" xfId="7" applyFont="1" applyFill="1" applyBorder="1" applyAlignment="1">
      <alignment horizontal="left" vertical="top" wrapText="1"/>
    </xf>
    <xf numFmtId="0" fontId="26" fillId="6" borderId="21" xfId="7" applyFont="1" applyFill="1" applyBorder="1" applyAlignment="1">
      <alignment horizontal="left" vertical="top" wrapText="1"/>
    </xf>
    <xf numFmtId="0" fontId="26" fillId="6" borderId="22" xfId="7" applyFont="1" applyFill="1" applyBorder="1" applyAlignment="1">
      <alignment horizontal="left" vertical="top" wrapText="1"/>
    </xf>
    <xf numFmtId="0" fontId="22" fillId="5" borderId="5" xfId="7" applyFont="1" applyFill="1" applyBorder="1" applyAlignment="1">
      <alignment horizontal="center" vertical="center" wrapText="1"/>
    </xf>
    <xf numFmtId="0" fontId="22" fillId="5" borderId="6" xfId="7" applyFont="1" applyFill="1" applyBorder="1" applyAlignment="1">
      <alignment horizontal="center" vertical="center" wrapText="1"/>
    </xf>
    <xf numFmtId="168" fontId="22" fillId="5" borderId="5" xfId="8" applyNumberFormat="1" applyFont="1" applyFill="1" applyBorder="1" applyAlignment="1">
      <alignment horizontal="center" vertical="center" wrapText="1"/>
    </xf>
    <xf numFmtId="168" fontId="22" fillId="5" borderId="6" xfId="8" applyNumberFormat="1" applyFont="1" applyFill="1" applyBorder="1" applyAlignment="1">
      <alignment horizontal="center" vertical="center" wrapText="1"/>
    </xf>
    <xf numFmtId="0" fontId="22" fillId="5" borderId="17" xfId="7" applyFont="1" applyFill="1" applyBorder="1" applyAlignment="1">
      <alignment horizontal="center" vertical="center" wrapText="1"/>
    </xf>
    <xf numFmtId="0" fontId="22" fillId="5" borderId="26" xfId="7" applyFont="1" applyFill="1" applyBorder="1" applyAlignment="1">
      <alignment horizontal="center" vertical="center" wrapText="1"/>
    </xf>
    <xf numFmtId="0" fontId="17" fillId="7" borderId="61" xfId="0" applyFont="1" applyFill="1" applyBorder="1" applyAlignment="1">
      <alignment horizontal="left" vertical="top" wrapText="1"/>
    </xf>
    <xf numFmtId="0" fontId="17" fillId="7" borderId="23" xfId="0" applyFont="1" applyFill="1" applyBorder="1" applyAlignment="1">
      <alignment horizontal="left" vertical="top" wrapText="1"/>
    </xf>
    <xf numFmtId="0" fontId="15" fillId="0" borderId="10" xfId="0" applyFont="1" applyBorder="1" applyAlignment="1">
      <alignment horizontal="left" vertical="top" wrapText="1"/>
    </xf>
    <xf numFmtId="0" fontId="0" fillId="0" borderId="10" xfId="0" applyBorder="1" applyAlignment="1">
      <alignment horizontal="left" vertical="top" wrapText="1"/>
    </xf>
    <xf numFmtId="0" fontId="0" fillId="0" borderId="6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5" fillId="0" borderId="66" xfId="0" applyFont="1" applyBorder="1" applyAlignment="1">
      <alignment horizontal="left" vertical="top"/>
    </xf>
    <xf numFmtId="0" fontId="15" fillId="0" borderId="49" xfId="0" applyFont="1" applyBorder="1" applyAlignment="1">
      <alignment horizontal="left" vertical="top"/>
    </xf>
    <xf numFmtId="0" fontId="15" fillId="0" borderId="29" xfId="0" applyFont="1" applyBorder="1" applyAlignment="1">
      <alignment horizontal="left" vertical="top"/>
    </xf>
    <xf numFmtId="0" fontId="15" fillId="0" borderId="12" xfId="0" applyFont="1" applyBorder="1" applyAlignment="1">
      <alignment horizontal="left" vertical="top" wrapText="1"/>
    </xf>
    <xf numFmtId="0" fontId="0" fillId="0" borderId="39" xfId="0" applyBorder="1" applyAlignment="1">
      <alignment horizontal="left" vertical="top" wrapText="1"/>
    </xf>
    <xf numFmtId="0" fontId="0" fillId="0" borderId="13" xfId="0" applyBorder="1" applyAlignment="1">
      <alignment horizontal="left" vertical="top" wrapText="1"/>
    </xf>
    <xf numFmtId="0" fontId="17" fillId="7" borderId="59" xfId="0" applyFont="1" applyFill="1" applyBorder="1" applyAlignment="1">
      <alignment horizontal="left" vertical="top" wrapText="1"/>
    </xf>
    <xf numFmtId="0" fontId="15" fillId="0" borderId="45" xfId="0" applyFont="1" applyBorder="1" applyAlignment="1">
      <alignment horizontal="left" vertical="top" wrapText="1"/>
    </xf>
    <xf numFmtId="0" fontId="0" fillId="0" borderId="45" xfId="0" applyBorder="1" applyAlignment="1">
      <alignment horizontal="left" vertical="top" wrapText="1"/>
    </xf>
    <xf numFmtId="0" fontId="0" fillId="0" borderId="60" xfId="0" applyBorder="1" applyAlignment="1">
      <alignment horizontal="left" vertical="top" wrapText="1"/>
    </xf>
    <xf numFmtId="0" fontId="18" fillId="0" borderId="12" xfId="0" applyFont="1" applyBorder="1" applyAlignment="1">
      <alignment horizontal="left" vertical="top" wrapText="1"/>
    </xf>
    <xf numFmtId="0" fontId="15" fillId="0" borderId="62" xfId="0" applyFont="1" applyBorder="1" applyAlignment="1">
      <alignment horizontal="left" vertical="top" wrapText="1"/>
    </xf>
    <xf numFmtId="0" fontId="46" fillId="0" borderId="1" xfId="0" applyFont="1" applyBorder="1" applyAlignment="1">
      <alignment horizontal="left"/>
    </xf>
    <xf numFmtId="0" fontId="15" fillId="0" borderId="60" xfId="0" applyFont="1" applyBorder="1" applyAlignment="1">
      <alignment horizontal="left" vertical="top" wrapText="1"/>
    </xf>
    <xf numFmtId="0" fontId="15" fillId="0" borderId="39" xfId="0" applyFont="1" applyBorder="1" applyAlignment="1">
      <alignment horizontal="left" vertical="top" wrapText="1"/>
    </xf>
    <xf numFmtId="0" fontId="0" fillId="0" borderId="0" xfId="0" applyAlignment="1">
      <alignment horizontal="center"/>
    </xf>
    <xf numFmtId="0" fontId="20" fillId="28" borderId="120" xfId="0" applyFont="1" applyFill="1" applyBorder="1" applyAlignment="1">
      <alignment horizontal="left" vertical="top"/>
    </xf>
    <xf numFmtId="0" fontId="20" fillId="28" borderId="71" xfId="0" applyFont="1" applyFill="1" applyBorder="1" applyAlignment="1">
      <alignment horizontal="left" vertical="top"/>
    </xf>
    <xf numFmtId="0" fontId="20" fillId="28" borderId="70" xfId="0" applyFont="1" applyFill="1" applyBorder="1" applyAlignment="1">
      <alignment horizontal="left" vertical="top"/>
    </xf>
    <xf numFmtId="0" fontId="54" fillId="4" borderId="99" xfId="0" applyFont="1" applyFill="1" applyBorder="1" applyAlignment="1">
      <alignment horizontal="left" vertical="top" wrapText="1"/>
    </xf>
    <xf numFmtId="0" fontId="54" fillId="4" borderId="10" xfId="0" applyFont="1" applyFill="1" applyBorder="1" applyAlignment="1">
      <alignment horizontal="left" vertical="top" wrapText="1"/>
    </xf>
    <xf numFmtId="0" fontId="54" fillId="4" borderId="102" xfId="0" applyFont="1" applyFill="1" applyBorder="1" applyAlignment="1">
      <alignment horizontal="left" vertical="top" wrapText="1"/>
    </xf>
    <xf numFmtId="0" fontId="20" fillId="17" borderId="97" xfId="0" applyFont="1" applyFill="1" applyBorder="1" applyAlignment="1">
      <alignment horizontal="left" vertical="top"/>
    </xf>
    <xf numFmtId="0" fontId="20" fillId="17" borderId="39" xfId="0" applyFont="1" applyFill="1" applyBorder="1" applyAlignment="1">
      <alignment horizontal="left" vertical="top"/>
    </xf>
    <xf numFmtId="0" fontId="22" fillId="23" borderId="99" xfId="0" applyFont="1" applyFill="1" applyBorder="1" applyAlignment="1" applyProtection="1">
      <alignment horizontal="left" vertical="top"/>
      <protection locked="0"/>
    </xf>
    <xf numFmtId="0" fontId="22" fillId="23" borderId="10" xfId="0" applyFont="1" applyFill="1" applyBorder="1" applyAlignment="1" applyProtection="1">
      <alignment horizontal="left" vertical="top"/>
      <protection locked="0"/>
    </xf>
    <xf numFmtId="0" fontId="22" fillId="23" borderId="102" xfId="0" applyFont="1" applyFill="1" applyBorder="1" applyAlignment="1" applyProtection="1">
      <alignment horizontal="left" vertical="top"/>
      <protection locked="0"/>
    </xf>
    <xf numFmtId="0" fontId="54" fillId="4" borderId="97" xfId="0" applyFont="1" applyFill="1" applyBorder="1" applyAlignment="1">
      <alignment horizontal="left" vertical="top" wrapText="1"/>
    </xf>
    <xf numFmtId="0" fontId="54" fillId="4" borderId="39" xfId="0" applyFont="1" applyFill="1" applyBorder="1" applyAlignment="1">
      <alignment horizontal="left" vertical="top" wrapText="1"/>
    </xf>
    <xf numFmtId="0" fontId="54" fillId="4" borderId="98" xfId="0" applyFont="1" applyFill="1" applyBorder="1" applyAlignment="1">
      <alignment horizontal="left" vertical="top" wrapText="1"/>
    </xf>
    <xf numFmtId="0" fontId="17" fillId="9" borderId="97" xfId="0" applyFont="1" applyFill="1" applyBorder="1" applyAlignment="1" applyProtection="1">
      <alignment horizontal="left" vertical="top" wrapText="1"/>
      <protection locked="0"/>
    </xf>
    <xf numFmtId="0" fontId="17" fillId="9" borderId="39" xfId="0" applyFont="1" applyFill="1" applyBorder="1" applyAlignment="1" applyProtection="1">
      <alignment horizontal="left" vertical="top" wrapText="1"/>
      <protection locked="0"/>
    </xf>
    <xf numFmtId="0" fontId="17" fillId="9" borderId="98" xfId="0" applyFont="1" applyFill="1" applyBorder="1" applyAlignment="1" applyProtection="1">
      <alignment horizontal="left" vertical="top" wrapText="1"/>
      <protection locked="0"/>
    </xf>
    <xf numFmtId="0" fontId="17" fillId="8" borderId="97" xfId="0" applyFont="1" applyFill="1" applyBorder="1" applyAlignment="1" applyProtection="1">
      <alignment horizontal="left" vertical="top" wrapText="1"/>
      <protection locked="0"/>
    </xf>
    <xf numFmtId="0" fontId="17" fillId="8" borderId="39" xfId="0" applyFont="1" applyFill="1" applyBorder="1" applyAlignment="1" applyProtection="1">
      <alignment horizontal="left" vertical="top" wrapText="1"/>
      <protection locked="0"/>
    </xf>
    <xf numFmtId="0" fontId="17" fillId="8" borderId="98" xfId="0" applyFont="1" applyFill="1" applyBorder="1" applyAlignment="1" applyProtection="1">
      <alignment horizontal="left" vertical="top" wrapText="1"/>
      <protection locked="0"/>
    </xf>
    <xf numFmtId="0" fontId="53" fillId="23" borderId="113" xfId="0" applyFont="1" applyFill="1" applyBorder="1" applyAlignment="1">
      <alignment horizontal="left" vertical="top" wrapText="1"/>
    </xf>
    <xf numFmtId="0" fontId="53" fillId="23" borderId="68" xfId="0" applyFont="1" applyFill="1" applyBorder="1" applyAlignment="1">
      <alignment horizontal="left" vertical="top" wrapText="1"/>
    </xf>
    <xf numFmtId="0" fontId="22" fillId="23" borderId="97" xfId="0" applyFont="1" applyFill="1" applyBorder="1" applyAlignment="1" applyProtection="1">
      <alignment horizontal="left" vertical="top"/>
      <protection locked="0"/>
    </xf>
    <xf numFmtId="0" fontId="22" fillId="23" borderId="39" xfId="0" applyFont="1" applyFill="1" applyBorder="1" applyAlignment="1" applyProtection="1">
      <alignment horizontal="left" vertical="top"/>
      <protection locked="0"/>
    </xf>
    <xf numFmtId="0" fontId="22" fillId="23" borderId="98" xfId="0" applyFont="1" applyFill="1" applyBorder="1" applyAlignment="1" applyProtection="1">
      <alignment horizontal="left" vertical="top"/>
      <protection locked="0"/>
    </xf>
    <xf numFmtId="0" fontId="10" fillId="2" borderId="102" xfId="0" applyFont="1" applyFill="1" applyBorder="1" applyAlignment="1" applyProtection="1">
      <alignment horizontal="left" vertical="top" wrapText="1"/>
      <protection locked="0"/>
    </xf>
    <xf numFmtId="0" fontId="53" fillId="23" borderId="110" xfId="0" applyFont="1" applyFill="1" applyBorder="1" applyAlignment="1">
      <alignment horizontal="left" vertical="top" wrapText="1"/>
    </xf>
    <xf numFmtId="0" fontId="53" fillId="23" borderId="78" xfId="0" applyFont="1" applyFill="1" applyBorder="1" applyAlignment="1">
      <alignment horizontal="left" vertical="top" wrapText="1"/>
    </xf>
    <xf numFmtId="0" fontId="53" fillId="23" borderId="79" xfId="0" applyFont="1" applyFill="1" applyBorder="1" applyAlignment="1">
      <alignment horizontal="left" vertical="top" wrapText="1"/>
    </xf>
    <xf numFmtId="0" fontId="52" fillId="0" borderId="105" xfId="0" applyFont="1" applyBorder="1" applyAlignment="1">
      <alignment vertical="top" wrapText="1"/>
    </xf>
    <xf numFmtId="0" fontId="52" fillId="0" borderId="103" xfId="0" applyFont="1" applyBorder="1" applyAlignment="1">
      <alignment vertical="top" wrapText="1"/>
    </xf>
    <xf numFmtId="0" fontId="52" fillId="0" borderId="106" xfId="0" applyFont="1" applyBorder="1" applyAlignment="1">
      <alignment vertical="top" wrapText="1"/>
    </xf>
    <xf numFmtId="0" fontId="50" fillId="2" borderId="100" xfId="0" applyFont="1" applyFill="1" applyBorder="1" applyAlignment="1">
      <alignment vertical="top" wrapText="1"/>
    </xf>
    <xf numFmtId="0" fontId="50" fillId="2" borderId="101" xfId="0" applyFont="1" applyFill="1" applyBorder="1" applyAlignment="1">
      <alignment vertical="top" wrapText="1"/>
    </xf>
    <xf numFmtId="0" fontId="50" fillId="2" borderId="104" xfId="0" applyFont="1" applyFill="1" applyBorder="1" applyAlignment="1">
      <alignment wrapText="1"/>
    </xf>
    <xf numFmtId="0" fontId="13" fillId="0" borderId="0" xfId="0" applyFont="1" applyAlignment="1">
      <alignment horizontal="center"/>
    </xf>
    <xf numFmtId="0" fontId="46" fillId="0" borderId="0" xfId="0" applyFont="1" applyAlignment="1">
      <alignment horizontal="left"/>
    </xf>
    <xf numFmtId="9" fontId="17" fillId="7" borderId="89" xfId="0" applyNumberFormat="1" applyFont="1" applyFill="1" applyBorder="1" applyAlignment="1">
      <alignment horizontal="center" vertical="center" wrapText="1"/>
    </xf>
    <xf numFmtId="9" fontId="17" fillId="7" borderId="17" xfId="0" applyNumberFormat="1" applyFont="1" applyFill="1" applyBorder="1" applyAlignment="1">
      <alignment horizontal="center" vertical="center" wrapText="1"/>
    </xf>
    <xf numFmtId="0" fontId="13" fillId="0" borderId="0" xfId="0" applyFont="1" applyAlignment="1">
      <alignment horizontal="left" vertical="center"/>
    </xf>
    <xf numFmtId="0" fontId="49" fillId="20" borderId="0" xfId="0" applyFont="1" applyFill="1" applyAlignment="1">
      <alignment horizontal="center" vertical="center"/>
    </xf>
    <xf numFmtId="0" fontId="17" fillId="7" borderId="88" xfId="0" applyFont="1" applyFill="1" applyBorder="1" applyAlignment="1">
      <alignment horizontal="left" vertical="center" wrapText="1"/>
    </xf>
    <xf numFmtId="0" fontId="17" fillId="7" borderId="93" xfId="0" applyFont="1" applyFill="1" applyBorder="1" applyAlignment="1">
      <alignment horizontal="left" vertical="center" wrapText="1"/>
    </xf>
    <xf numFmtId="168" fontId="17" fillId="7" borderId="92" xfId="1" applyNumberFormat="1" applyFont="1" applyFill="1" applyBorder="1" applyAlignment="1" applyProtection="1">
      <alignment horizontal="left" vertical="center" wrapText="1"/>
    </xf>
    <xf numFmtId="168" fontId="17" fillId="7" borderId="94" xfId="1" applyNumberFormat="1" applyFont="1" applyFill="1" applyBorder="1" applyAlignment="1" applyProtection="1">
      <alignment horizontal="left" vertical="center" wrapText="1"/>
    </xf>
    <xf numFmtId="0" fontId="17" fillId="7" borderId="89" xfId="0" applyFont="1" applyFill="1" applyBorder="1" applyAlignment="1">
      <alignment horizontal="center" vertical="center" wrapText="1"/>
    </xf>
    <xf numFmtId="0" fontId="17" fillId="7" borderId="17" xfId="0" applyFont="1" applyFill="1" applyBorder="1" applyAlignment="1">
      <alignment horizontal="center" vertical="center" wrapText="1"/>
    </xf>
    <xf numFmtId="0" fontId="17" fillId="7" borderId="89" xfId="0" applyFont="1" applyFill="1" applyBorder="1" applyAlignment="1">
      <alignment horizontal="left" vertical="center" wrapText="1"/>
    </xf>
    <xf numFmtId="0" fontId="17" fillId="7" borderId="17" xfId="0" applyFont="1" applyFill="1" applyBorder="1" applyAlignment="1">
      <alignment horizontal="left" vertical="center" wrapText="1"/>
    </xf>
    <xf numFmtId="165" fontId="17" fillId="7" borderId="90" xfId="0" applyNumberFormat="1" applyFont="1" applyFill="1" applyBorder="1" applyAlignment="1">
      <alignment horizontal="center" vertical="center" wrapText="1"/>
    </xf>
    <xf numFmtId="165" fontId="17" fillId="7" borderId="55" xfId="0" applyNumberFormat="1" applyFont="1" applyFill="1" applyBorder="1" applyAlignment="1">
      <alignment horizontal="center" vertical="center" wrapText="1"/>
    </xf>
    <xf numFmtId="0" fontId="53" fillId="23" borderId="97" xfId="0" applyFont="1" applyFill="1" applyBorder="1" applyAlignment="1">
      <alignment horizontal="left" vertical="top" wrapText="1"/>
    </xf>
    <xf numFmtId="0" fontId="53" fillId="23" borderId="63" xfId="0" applyFont="1" applyFill="1" applyBorder="1" applyAlignment="1">
      <alignment horizontal="left" vertical="top" wrapText="1"/>
    </xf>
    <xf numFmtId="0" fontId="17" fillId="9" borderId="99" xfId="0" applyFont="1" applyFill="1" applyBorder="1" applyAlignment="1" applyProtection="1">
      <alignment horizontal="left" vertical="top" wrapText="1"/>
      <protection locked="0"/>
    </xf>
    <xf numFmtId="0" fontId="17" fillId="9" borderId="10" xfId="0" applyFont="1" applyFill="1" applyBorder="1" applyAlignment="1" applyProtection="1">
      <alignment horizontal="left" vertical="top" wrapText="1"/>
      <protection locked="0"/>
    </xf>
    <xf numFmtId="0" fontId="17" fillId="9" borderId="102" xfId="0" applyFont="1" applyFill="1" applyBorder="1" applyAlignment="1" applyProtection="1">
      <alignment horizontal="left" vertical="top" wrapText="1"/>
      <protection locked="0"/>
    </xf>
    <xf numFmtId="9" fontId="17" fillId="7" borderId="89" xfId="0" applyNumberFormat="1" applyFont="1" applyFill="1" applyBorder="1" applyAlignment="1">
      <alignment horizontal="left" vertical="center" wrapText="1"/>
    </xf>
    <xf numFmtId="9" fontId="17" fillId="7" borderId="17" xfId="0" applyNumberFormat="1" applyFont="1" applyFill="1" applyBorder="1" applyAlignment="1">
      <alignment horizontal="left" vertical="center" wrapText="1"/>
    </xf>
    <xf numFmtId="171" fontId="17" fillId="7" borderId="89" xfId="0" applyNumberFormat="1" applyFont="1" applyFill="1" applyBorder="1" applyAlignment="1">
      <alignment horizontal="center" vertical="center" wrapText="1"/>
    </xf>
    <xf numFmtId="171" fontId="17" fillId="7" borderId="17" xfId="0" applyNumberFormat="1" applyFont="1" applyFill="1" applyBorder="1" applyAlignment="1">
      <alignment horizontal="center" vertical="center" wrapText="1"/>
    </xf>
    <xf numFmtId="165" fontId="17" fillId="7" borderId="89" xfId="0" applyNumberFormat="1" applyFont="1" applyFill="1" applyBorder="1" applyAlignment="1">
      <alignment horizontal="center" vertical="center" wrapText="1"/>
    </xf>
    <xf numFmtId="165" fontId="17" fillId="7" borderId="17" xfId="0" applyNumberFormat="1" applyFont="1" applyFill="1" applyBorder="1" applyAlignment="1">
      <alignment horizontal="center" vertical="center" wrapText="1"/>
    </xf>
    <xf numFmtId="0" fontId="52" fillId="0" borderId="100" xfId="0" applyFont="1" applyBorder="1" applyAlignment="1">
      <alignment wrapText="1"/>
    </xf>
    <xf numFmtId="0" fontId="52" fillId="0" borderId="101" xfId="0" applyFont="1" applyBorder="1" applyAlignment="1">
      <alignment wrapText="1"/>
    </xf>
    <xf numFmtId="0" fontId="26" fillId="0" borderId="100" xfId="0" applyFont="1" applyBorder="1"/>
    <xf numFmtId="0" fontId="26" fillId="0" borderId="104" xfId="0" applyFont="1" applyBorder="1"/>
    <xf numFmtId="0" fontId="52" fillId="0" borderId="103" xfId="0" applyFont="1" applyBorder="1" applyAlignment="1">
      <alignment horizontal="left" vertical="top"/>
    </xf>
    <xf numFmtId="0" fontId="52" fillId="0" borderId="102" xfId="0" applyFont="1" applyBorder="1" applyAlignment="1">
      <alignment horizontal="left" vertical="top" wrapText="1"/>
    </xf>
    <xf numFmtId="0" fontId="26" fillId="0" borderId="100" xfId="0" applyFont="1" applyBorder="1" applyAlignment="1">
      <alignment vertical="top" wrapText="1"/>
    </xf>
    <xf numFmtId="0" fontId="26" fillId="0" borderId="101" xfId="0" applyFont="1" applyBorder="1" applyAlignment="1">
      <alignment vertical="top" wrapText="1"/>
    </xf>
    <xf numFmtId="0" fontId="39" fillId="19" borderId="64" xfId="7" applyFont="1" applyFill="1" applyBorder="1" applyAlignment="1">
      <alignment horizontal="center" vertical="center" wrapText="1"/>
    </xf>
    <xf numFmtId="0" fontId="39" fillId="19" borderId="53" xfId="7" applyFont="1" applyFill="1" applyBorder="1" applyAlignment="1">
      <alignment horizontal="center" vertical="center" wrapText="1"/>
    </xf>
    <xf numFmtId="0" fontId="43" fillId="20" borderId="140" xfId="7" applyFont="1" applyFill="1" applyBorder="1" applyAlignment="1">
      <alignment horizontal="left" vertical="center" wrapText="1"/>
    </xf>
    <xf numFmtId="0" fontId="43" fillId="20" borderId="141" xfId="7" applyFont="1" applyFill="1" applyBorder="1" applyAlignment="1">
      <alignment horizontal="left" vertical="center" wrapText="1"/>
    </xf>
    <xf numFmtId="172" fontId="43" fillId="20" borderId="64" xfId="7" applyNumberFormat="1" applyFont="1" applyFill="1" applyBorder="1" applyAlignment="1">
      <alignment horizontal="center" vertical="center" wrapText="1"/>
    </xf>
    <xf numFmtId="172" fontId="43" fillId="20" borderId="52" xfId="7" applyNumberFormat="1" applyFont="1" applyFill="1" applyBorder="1" applyAlignment="1">
      <alignment horizontal="center" vertical="center" wrapText="1"/>
    </xf>
    <xf numFmtId="172" fontId="43" fillId="20" borderId="53" xfId="7" applyNumberFormat="1" applyFont="1" applyFill="1" applyBorder="1" applyAlignment="1">
      <alignment horizontal="center" vertical="center" wrapText="1"/>
    </xf>
    <xf numFmtId="172" fontId="43" fillId="20" borderId="54" xfId="7" applyNumberFormat="1" applyFont="1" applyFill="1" applyBorder="1" applyAlignment="1">
      <alignment horizontal="center" vertical="center" wrapText="1"/>
    </xf>
    <xf numFmtId="0" fontId="41" fillId="19" borderId="133" xfId="7" applyFont="1" applyFill="1" applyBorder="1" applyAlignment="1">
      <alignment horizontal="left" vertical="center" wrapText="1"/>
    </xf>
    <xf numFmtId="0" fontId="41" fillId="19" borderId="6" xfId="7" applyFont="1" applyFill="1" applyBorder="1" applyAlignment="1">
      <alignment horizontal="left" vertical="center" wrapText="1"/>
    </xf>
    <xf numFmtId="0" fontId="41" fillId="19" borderId="1" xfId="7" applyFont="1" applyFill="1" applyAlignment="1">
      <alignment horizontal="left" vertical="center" wrapText="1"/>
    </xf>
    <xf numFmtId="0" fontId="41" fillId="19" borderId="139" xfId="7" applyFont="1" applyFill="1" applyBorder="1" applyAlignment="1">
      <alignment horizontal="left" vertical="center" wrapText="1"/>
    </xf>
    <xf numFmtId="0" fontId="40" fillId="0" borderId="17" xfId="30" applyFont="1" applyBorder="1" applyAlignment="1">
      <alignment horizontal="left" vertical="top" wrapText="1"/>
    </xf>
    <xf numFmtId="0" fontId="40" fillId="0" borderId="38" xfId="30" applyFont="1" applyBorder="1" applyAlignment="1">
      <alignment horizontal="left" vertical="top" wrapText="1"/>
    </xf>
    <xf numFmtId="0" fontId="40" fillId="0" borderId="40" xfId="30" applyFont="1" applyBorder="1" applyAlignment="1">
      <alignment horizontal="left" vertical="top" wrapText="1"/>
    </xf>
    <xf numFmtId="0" fontId="40" fillId="0" borderId="19" xfId="30" applyFont="1" applyBorder="1" applyAlignment="1">
      <alignment horizontal="left" vertical="top" wrapText="1"/>
    </xf>
    <xf numFmtId="0" fontId="41" fillId="19" borderId="146" xfId="7" applyFont="1" applyFill="1" applyBorder="1" applyAlignment="1">
      <alignment horizontal="left" vertical="center" wrapText="1"/>
    </xf>
    <xf numFmtId="0" fontId="41" fillId="19" borderId="3" xfId="7" applyFont="1" applyFill="1" applyBorder="1" applyAlignment="1">
      <alignment horizontal="left" vertical="center" wrapText="1"/>
    </xf>
    <xf numFmtId="0" fontId="41" fillId="19" borderId="148" xfId="7" applyFont="1" applyFill="1" applyBorder="1" applyAlignment="1">
      <alignment horizontal="left" vertical="center" wrapText="1"/>
    </xf>
    <xf numFmtId="0" fontId="43" fillId="20" borderId="142" xfId="7" applyFont="1" applyFill="1" applyBorder="1" applyAlignment="1">
      <alignment horizontal="left" vertical="center" wrapText="1"/>
    </xf>
    <xf numFmtId="0" fontId="43" fillId="20" borderId="17" xfId="7" applyFont="1" applyFill="1" applyBorder="1" applyAlignment="1">
      <alignment horizontal="center" vertical="center" wrapText="1"/>
    </xf>
    <xf numFmtId="0" fontId="43" fillId="20" borderId="19" xfId="7" applyFont="1" applyFill="1" applyBorder="1" applyAlignment="1">
      <alignment horizontal="center" vertical="center" wrapText="1"/>
    </xf>
    <xf numFmtId="0" fontId="43" fillId="20" borderId="51" xfId="7" applyFont="1" applyFill="1" applyBorder="1" applyAlignment="1">
      <alignment horizontal="center" vertical="center" wrapText="1"/>
    </xf>
    <xf numFmtId="0" fontId="59" fillId="0" borderId="11" xfId="0" applyFont="1" applyBorder="1" applyAlignment="1">
      <alignment horizontal="center" vertical="top" wrapText="1" readingOrder="1"/>
    </xf>
    <xf numFmtId="0" fontId="59" fillId="0" borderId="80" xfId="0" applyFont="1" applyBorder="1" applyAlignment="1">
      <alignment horizontal="center" vertical="top" wrapText="1" readingOrder="1"/>
    </xf>
    <xf numFmtId="0" fontId="59" fillId="0" borderId="47" xfId="0" applyFont="1" applyBorder="1" applyAlignment="1">
      <alignment horizontal="center" vertical="top" wrapText="1" readingOrder="1"/>
    </xf>
    <xf numFmtId="164" fontId="43" fillId="20" borderId="143" xfId="1" applyNumberFormat="1" applyFont="1" applyFill="1" applyBorder="1" applyAlignment="1">
      <alignment horizontal="center" vertical="center" wrapText="1"/>
    </xf>
    <xf numFmtId="164" fontId="43" fillId="20" borderId="144" xfId="1" applyNumberFormat="1" applyFont="1" applyFill="1" applyBorder="1" applyAlignment="1">
      <alignment horizontal="center" vertical="center" wrapText="1"/>
    </xf>
    <xf numFmtId="165" fontId="43" fillId="20" borderId="149" xfId="1" applyNumberFormat="1" applyFont="1" applyFill="1" applyBorder="1" applyAlignment="1">
      <alignment horizontal="center" vertical="center" wrapText="1"/>
    </xf>
    <xf numFmtId="164" fontId="43" fillId="20" borderId="149" xfId="1" applyNumberFormat="1" applyFont="1" applyFill="1" applyBorder="1" applyAlignment="1">
      <alignment horizontal="center" vertical="center" wrapText="1"/>
    </xf>
    <xf numFmtId="0" fontId="40" fillId="20" borderId="5" xfId="7" applyFont="1" applyFill="1" applyBorder="1" applyAlignment="1">
      <alignment horizontal="left" vertical="top" wrapText="1"/>
    </xf>
    <xf numFmtId="0" fontId="40" fillId="20" borderId="57" xfId="7" applyFont="1" applyFill="1" applyBorder="1" applyAlignment="1">
      <alignment horizontal="left" vertical="top" wrapText="1"/>
    </xf>
    <xf numFmtId="0" fontId="41" fillId="19" borderId="147" xfId="7" applyFont="1" applyFill="1" applyBorder="1" applyAlignment="1">
      <alignment horizontal="left" vertical="center" wrapText="1"/>
    </xf>
    <xf numFmtId="165" fontId="43" fillId="20" borderId="83" xfId="7" applyNumberFormat="1" applyFont="1" applyFill="1" applyBorder="1" applyAlignment="1">
      <alignment vertical="center" wrapText="1"/>
    </xf>
    <xf numFmtId="0" fontId="43" fillId="20" borderId="83" xfId="7" applyFont="1" applyFill="1" applyBorder="1" applyAlignment="1">
      <alignment vertical="center" wrapText="1"/>
    </xf>
    <xf numFmtId="165" fontId="43" fillId="20" borderId="84" xfId="7" applyNumberFormat="1" applyFont="1" applyFill="1" applyBorder="1" applyAlignment="1">
      <alignment horizontal="center" vertical="center" wrapText="1"/>
    </xf>
    <xf numFmtId="0" fontId="43" fillId="20" borderId="85" xfId="7" applyFont="1" applyFill="1" applyBorder="1" applyAlignment="1">
      <alignment horizontal="center" vertical="center" wrapText="1"/>
    </xf>
    <xf numFmtId="0" fontId="43" fillId="20" borderId="86" xfId="7" applyFont="1" applyFill="1" applyBorder="1" applyAlignment="1">
      <alignment horizontal="center" vertical="center" wrapText="1"/>
    </xf>
    <xf numFmtId="0" fontId="40" fillId="20" borderId="8" xfId="7" applyFont="1" applyFill="1" applyBorder="1" applyAlignment="1">
      <alignment horizontal="left" vertical="top" wrapText="1"/>
    </xf>
    <xf numFmtId="172" fontId="43" fillId="20" borderId="138" xfId="1" applyNumberFormat="1" applyFont="1" applyFill="1" applyBorder="1" applyAlignment="1">
      <alignment horizontal="center" vertical="center" wrapText="1"/>
    </xf>
    <xf numFmtId="172" fontId="43" fillId="20" borderId="143" xfId="1" applyNumberFormat="1" applyFont="1" applyFill="1" applyBorder="1" applyAlignment="1">
      <alignment horizontal="center" vertical="center" wrapText="1"/>
    </xf>
    <xf numFmtId="172" fontId="43" fillId="20" borderId="144" xfId="1" applyNumberFormat="1" applyFont="1" applyFill="1" applyBorder="1" applyAlignment="1">
      <alignment horizontal="center" vertical="center" wrapText="1"/>
    </xf>
    <xf numFmtId="172" fontId="43" fillId="20" borderId="40" xfId="7" applyNumberFormat="1" applyFont="1" applyFill="1" applyBorder="1" applyAlignment="1">
      <alignment horizontal="center" vertical="center" wrapText="1"/>
    </xf>
    <xf numFmtId="172" fontId="43" fillId="20" borderId="19" xfId="7" applyNumberFormat="1" applyFont="1" applyFill="1" applyBorder="1" applyAlignment="1">
      <alignment horizontal="center" vertical="center" wrapText="1"/>
    </xf>
    <xf numFmtId="172" fontId="43" fillId="20" borderId="38" xfId="7" applyNumberFormat="1" applyFont="1" applyFill="1" applyBorder="1" applyAlignment="1">
      <alignment horizontal="center" vertical="center" wrapText="1"/>
    </xf>
    <xf numFmtId="0" fontId="40" fillId="0" borderId="156" xfId="30" applyFont="1" applyBorder="1" applyAlignment="1">
      <alignment horizontal="left" vertical="top" wrapText="1"/>
    </xf>
    <xf numFmtId="0" fontId="40" fillId="20" borderId="80" xfId="7" applyFont="1" applyFill="1" applyBorder="1" applyAlignment="1">
      <alignment horizontal="center" vertical="center" wrapText="1"/>
    </xf>
    <xf numFmtId="0" fontId="40" fillId="20" borderId="47" xfId="7" applyFont="1" applyFill="1" applyBorder="1" applyAlignment="1">
      <alignment horizontal="center" vertical="center" wrapText="1"/>
    </xf>
    <xf numFmtId="172" fontId="43" fillId="20" borderId="145" xfId="1" applyNumberFormat="1" applyFont="1" applyFill="1" applyBorder="1" applyAlignment="1">
      <alignment horizontal="center" vertical="center" wrapText="1"/>
    </xf>
    <xf numFmtId="164" fontId="43" fillId="20" borderId="40" xfId="1" applyNumberFormat="1" applyFont="1" applyFill="1" applyBorder="1" applyAlignment="1">
      <alignment horizontal="center" vertical="center" wrapText="1"/>
    </xf>
    <xf numFmtId="164" fontId="43" fillId="20" borderId="19" xfId="1" applyNumberFormat="1" applyFont="1" applyFill="1" applyBorder="1" applyAlignment="1">
      <alignment horizontal="center" vertical="center" wrapText="1"/>
    </xf>
    <xf numFmtId="164" fontId="43" fillId="20" borderId="156" xfId="1" applyNumberFormat="1" applyFont="1" applyFill="1" applyBorder="1" applyAlignment="1">
      <alignment horizontal="center" vertical="center" wrapText="1"/>
    </xf>
    <xf numFmtId="164" fontId="43" fillId="20" borderId="38" xfId="1" applyNumberFormat="1" applyFont="1" applyFill="1" applyBorder="1" applyAlignment="1">
      <alignment horizontal="center" vertical="center" wrapText="1"/>
    </xf>
    <xf numFmtId="0" fontId="43" fillId="20" borderId="133" xfId="7" applyFont="1" applyFill="1" applyBorder="1" applyAlignment="1">
      <alignment horizontal="left" vertical="center" wrapText="1"/>
    </xf>
    <xf numFmtId="0" fontId="43" fillId="20" borderId="6" xfId="7" applyFont="1" applyFill="1" applyBorder="1" applyAlignment="1">
      <alignment horizontal="left" vertical="center" wrapText="1"/>
    </xf>
    <xf numFmtId="0" fontId="43" fillId="20" borderId="7" xfId="7" applyFont="1" applyFill="1" applyBorder="1" applyAlignment="1">
      <alignment horizontal="left" vertical="center" wrapText="1"/>
    </xf>
    <xf numFmtId="0" fontId="43" fillId="20" borderId="135" xfId="7" applyFont="1" applyFill="1" applyBorder="1" applyAlignment="1">
      <alignment horizontal="left" vertical="center" wrapText="1"/>
    </xf>
    <xf numFmtId="0" fontId="43" fillId="20" borderId="1" xfId="7" applyFont="1" applyFill="1" applyAlignment="1">
      <alignment horizontal="left" vertical="center" wrapText="1"/>
    </xf>
    <xf numFmtId="0" fontId="43" fillId="20" borderId="87" xfId="7" applyFont="1" applyFill="1" applyBorder="1" applyAlignment="1">
      <alignment horizontal="left" vertical="center" wrapText="1"/>
    </xf>
    <xf numFmtId="0" fontId="43" fillId="20" borderId="137" xfId="7" applyFont="1" applyFill="1" applyBorder="1" applyAlignment="1">
      <alignment horizontal="left" vertical="center" wrapText="1"/>
    </xf>
    <xf numFmtId="0" fontId="43" fillId="20" borderId="9" xfId="7" applyFont="1" applyFill="1" applyBorder="1" applyAlignment="1">
      <alignment horizontal="left" vertical="center" wrapText="1"/>
    </xf>
    <xf numFmtId="0" fontId="43" fillId="20" borderId="37" xfId="7" applyFont="1" applyFill="1" applyBorder="1" applyAlignment="1">
      <alignment horizontal="left" vertical="center" wrapText="1"/>
    </xf>
    <xf numFmtId="0" fontId="43" fillId="20" borderId="151" xfId="7" applyFont="1" applyFill="1" applyBorder="1" applyAlignment="1">
      <alignment horizontal="left" vertical="center" wrapText="1"/>
    </xf>
    <xf numFmtId="0" fontId="43" fillId="20" borderId="73" xfId="7" applyFont="1" applyFill="1" applyBorder="1" applyAlignment="1">
      <alignment horizontal="left" vertical="center" wrapText="1"/>
    </xf>
    <xf numFmtId="0" fontId="43" fillId="20" borderId="152" xfId="7" applyFont="1" applyFill="1" applyBorder="1" applyAlignment="1">
      <alignment horizontal="left" vertical="center" wrapText="1"/>
    </xf>
    <xf numFmtId="164" fontId="43" fillId="20" borderId="136" xfId="1" applyNumberFormat="1" applyFont="1" applyFill="1" applyBorder="1" applyAlignment="1">
      <alignment horizontal="center" vertical="center" wrapText="1"/>
    </xf>
    <xf numFmtId="164" fontId="43" fillId="20" borderId="150" xfId="1" applyNumberFormat="1" applyFont="1" applyFill="1" applyBorder="1" applyAlignment="1">
      <alignment horizontal="center" vertical="center" wrapText="1"/>
    </xf>
    <xf numFmtId="164" fontId="43" fillId="20" borderId="157" xfId="1" applyNumberFormat="1" applyFont="1" applyFill="1" applyBorder="1" applyAlignment="1">
      <alignment horizontal="center" vertical="center" wrapText="1"/>
    </xf>
    <xf numFmtId="0" fontId="40" fillId="20" borderId="161" xfId="7" applyFont="1" applyFill="1" applyBorder="1" applyAlignment="1">
      <alignment horizontal="left" vertical="top" wrapText="1"/>
    </xf>
    <xf numFmtId="0" fontId="40" fillId="20" borderId="162" xfId="7" applyFont="1" applyFill="1" applyBorder="1" applyAlignment="1">
      <alignment horizontal="left" vertical="top" wrapText="1"/>
    </xf>
    <xf numFmtId="0" fontId="40" fillId="20" borderId="163" xfId="7" applyFont="1" applyFill="1" applyBorder="1" applyAlignment="1">
      <alignment horizontal="left" vertical="top" wrapText="1"/>
    </xf>
    <xf numFmtId="0" fontId="2" fillId="0" borderId="1" xfId="30" applyAlignment="1">
      <alignment horizontal="center"/>
    </xf>
    <xf numFmtId="0" fontId="38" fillId="19" borderId="20" xfId="7" applyFont="1" applyFill="1" applyBorder="1" applyAlignment="1">
      <alignment horizontal="center" vertical="center" wrapText="1"/>
    </xf>
    <xf numFmtId="0" fontId="38" fillId="19" borderId="21" xfId="7" applyFont="1" applyFill="1" applyBorder="1" applyAlignment="1">
      <alignment horizontal="center" vertical="center" wrapText="1"/>
    </xf>
    <xf numFmtId="0" fontId="38" fillId="19" borderId="22" xfId="7" applyFont="1" applyFill="1" applyBorder="1" applyAlignment="1">
      <alignment horizontal="center" vertical="center" wrapText="1"/>
    </xf>
    <xf numFmtId="0" fontId="42" fillId="19" borderId="133" xfId="7" applyFont="1" applyFill="1" applyBorder="1" applyAlignment="1">
      <alignment horizontal="left" vertical="center" wrapText="1"/>
    </xf>
    <xf numFmtId="0" fontId="42" fillId="19" borderId="135" xfId="7" applyFont="1" applyFill="1" applyBorder="1" applyAlignment="1">
      <alignment horizontal="left" vertical="center" wrapText="1"/>
    </xf>
    <xf numFmtId="0" fontId="42" fillId="19" borderId="137" xfId="7" applyFont="1" applyFill="1" applyBorder="1" applyAlignment="1">
      <alignment horizontal="left" vertical="center" wrapText="1"/>
    </xf>
    <xf numFmtId="0" fontId="39" fillId="19" borderId="40" xfId="7" applyFont="1" applyFill="1" applyBorder="1" applyAlignment="1">
      <alignment horizontal="center" vertical="center" wrapText="1"/>
    </xf>
    <xf numFmtId="0" fontId="39" fillId="19" borderId="51" xfId="7" applyFont="1" applyFill="1" applyBorder="1" applyAlignment="1">
      <alignment horizontal="center" vertical="center" wrapText="1"/>
    </xf>
    <xf numFmtId="0" fontId="42" fillId="19" borderId="11" xfId="7" applyFont="1" applyFill="1" applyBorder="1" applyAlignment="1">
      <alignment horizontal="center" vertical="center" wrapText="1"/>
    </xf>
    <xf numFmtId="0" fontId="42" fillId="19" borderId="47" xfId="7" applyFont="1" applyFill="1" applyBorder="1" applyAlignment="1">
      <alignment horizontal="center" vertical="center" wrapText="1"/>
    </xf>
    <xf numFmtId="0" fontId="42" fillId="19" borderId="2" xfId="7" applyFont="1" applyFill="1" applyBorder="1" applyAlignment="1">
      <alignment horizontal="center" vertical="center" wrapText="1"/>
    </xf>
    <xf numFmtId="0" fontId="42" fillId="19" borderId="3" xfId="7" applyFont="1" applyFill="1" applyBorder="1" applyAlignment="1">
      <alignment horizontal="center" vertical="center" wrapText="1"/>
    </xf>
    <xf numFmtId="0" fontId="42" fillId="19" borderId="4" xfId="7" applyFont="1" applyFill="1" applyBorder="1" applyAlignment="1">
      <alignment horizontal="center" vertical="center" wrapText="1"/>
    </xf>
    <xf numFmtId="168" fontId="38" fillId="19" borderId="44" xfId="24" applyNumberFormat="1" applyFont="1" applyFill="1" applyBorder="1" applyAlignment="1">
      <alignment horizontal="center" vertical="center" wrapText="1"/>
    </xf>
    <xf numFmtId="168" fontId="38" fillId="19" borderId="134" xfId="24" applyNumberFormat="1" applyFont="1" applyFill="1" applyBorder="1" applyAlignment="1">
      <alignment horizontal="center" vertical="center" wrapText="1"/>
    </xf>
    <xf numFmtId="168" fontId="38" fillId="19" borderId="67" xfId="24" applyNumberFormat="1" applyFont="1" applyFill="1" applyBorder="1" applyAlignment="1">
      <alignment horizontal="center" vertical="center" wrapText="1"/>
    </xf>
    <xf numFmtId="168" fontId="38" fillId="19" borderId="136" xfId="24" applyNumberFormat="1" applyFont="1" applyFill="1" applyBorder="1" applyAlignment="1">
      <alignment horizontal="center" vertical="center" wrapText="1"/>
    </xf>
    <xf numFmtId="0" fontId="42" fillId="19" borderId="1" xfId="7" applyFont="1" applyFill="1" applyAlignment="1">
      <alignment horizontal="left" vertical="center" wrapText="1"/>
    </xf>
    <xf numFmtId="0" fontId="42" fillId="19" borderId="139" xfId="7" applyFont="1" applyFill="1" applyBorder="1" applyAlignment="1">
      <alignment horizontal="left" vertical="center" wrapText="1"/>
    </xf>
    <xf numFmtId="0" fontId="38" fillId="19" borderId="6" xfId="7" applyFont="1" applyFill="1" applyBorder="1" applyAlignment="1">
      <alignment horizontal="center" vertical="center" wrapText="1"/>
    </xf>
    <xf numFmtId="0" fontId="38" fillId="19" borderId="1" xfId="7" applyFont="1" applyFill="1" applyAlignment="1">
      <alignment horizontal="center" vertical="center" wrapText="1"/>
    </xf>
    <xf numFmtId="0" fontId="38" fillId="19" borderId="9" xfId="7"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80"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4" xfId="0" applyFont="1" applyFill="1" applyBorder="1" applyAlignment="1">
      <alignment horizontal="center" vertical="center" wrapText="1"/>
    </xf>
  </cellXfs>
  <cellStyles count="36">
    <cellStyle name="Accent2 2" xfId="20" xr:uid="{00000000-0005-0000-0000-000001000000}"/>
    <cellStyle name="Comma" xfId="5" builtinId="3"/>
    <cellStyle name="Comma 2" xfId="1" xr:uid="{00000000-0005-0000-0000-000003000000}"/>
    <cellStyle name="Comma 3" xfId="12" xr:uid="{00000000-0005-0000-0000-000004000000}"/>
    <cellStyle name="Comma 3 2" xfId="22" xr:uid="{00000000-0005-0000-0000-000005000000}"/>
    <cellStyle name="Comma 3 2 2" xfId="32" xr:uid="{00000000-0005-0000-0000-000006000000}"/>
    <cellStyle name="Comma 3 3" xfId="27" xr:uid="{00000000-0005-0000-0000-000007000000}"/>
    <cellStyle name="Comma 4 2 2" xfId="8" xr:uid="{00000000-0005-0000-0000-000008000000}"/>
    <cellStyle name="Comma 4 2 2 2" xfId="17" xr:uid="{00000000-0005-0000-0000-000009000000}"/>
    <cellStyle name="Comma 4 2 2 2 2" xfId="29" xr:uid="{00000000-0005-0000-0000-00000A000000}"/>
    <cellStyle name="Comma 4 2 2 3" xfId="24" xr:uid="{00000000-0005-0000-0000-00000B000000}"/>
    <cellStyle name="Currency 2" xfId="4" xr:uid="{00000000-0005-0000-0000-00000C000000}"/>
    <cellStyle name="Hyperlink" xfId="34" builtinId="8"/>
    <cellStyle name="Normal" xfId="0" builtinId="0"/>
    <cellStyle name="Normal 10 2" xfId="14" xr:uid="{00000000-0005-0000-0000-00000E000000}"/>
    <cellStyle name="Normal 2" xfId="2" xr:uid="{00000000-0005-0000-0000-00000F000000}"/>
    <cellStyle name="Normal 2 2" xfId="35" xr:uid="{EBAEE8AC-7A21-F14F-97DF-B31BDDBE67B0}"/>
    <cellStyle name="Normal 2 2 2 2" xfId="23" xr:uid="{00000000-0005-0000-0000-000010000000}"/>
    <cellStyle name="Normal 20" xfId="9" xr:uid="{00000000-0005-0000-0000-000011000000}"/>
    <cellStyle name="Normal 20 2" xfId="18" xr:uid="{00000000-0005-0000-0000-000012000000}"/>
    <cellStyle name="Normal 20 2 2" xfId="30" xr:uid="{00000000-0005-0000-0000-000013000000}"/>
    <cellStyle name="Normal 20 3" xfId="33" xr:uid="{00000000-0005-0000-0000-000014000000}"/>
    <cellStyle name="Normal 20 4" xfId="25" xr:uid="{00000000-0005-0000-0000-000015000000}"/>
    <cellStyle name="Normal 3" xfId="3" xr:uid="{00000000-0005-0000-0000-000016000000}"/>
    <cellStyle name="Normal 3 2" xfId="6" xr:uid="{00000000-0005-0000-0000-000017000000}"/>
    <cellStyle name="Normal 3 2 2" xfId="7" xr:uid="{00000000-0005-0000-0000-000018000000}"/>
    <cellStyle name="Normal 3 2 5" xfId="13" xr:uid="{00000000-0005-0000-0000-000019000000}"/>
    <cellStyle name="Normal 4" xfId="11" xr:uid="{00000000-0005-0000-0000-00001A000000}"/>
    <cellStyle name="Normal 4 2" xfId="15" xr:uid="{00000000-0005-0000-0000-00001B000000}"/>
    <cellStyle name="Normal 4 3" xfId="21" xr:uid="{00000000-0005-0000-0000-00001C000000}"/>
    <cellStyle name="Normal 4 3 2" xfId="31" xr:uid="{00000000-0005-0000-0000-00001D000000}"/>
    <cellStyle name="Normal 4 4" xfId="26" xr:uid="{00000000-0005-0000-0000-00001E000000}"/>
    <cellStyle name="Normal 5" xfId="16" xr:uid="{00000000-0005-0000-0000-00001F000000}"/>
    <cellStyle name="Normal 5 2" xfId="28" xr:uid="{00000000-0005-0000-0000-000020000000}"/>
    <cellStyle name="Percent" xfId="10" builtinId="5"/>
    <cellStyle name="Percent 2" xfId="19" xr:uid="{00000000-0005-0000-0000-000022000000}"/>
  </cellStyles>
  <dxfs count="0"/>
  <tableStyles count="0" defaultTableStyle="TableStyleMedium2" defaultPivotStyle="PivotStyleLight16"/>
  <colors>
    <mruColors>
      <color rgb="FF8EA9DB"/>
      <color rgb="FF9BC2E7"/>
      <color rgb="FF2F75B5"/>
      <color rgb="FF0066CC"/>
      <color rgb="FF336699"/>
      <color rgb="FFFFFFCC"/>
      <color rgb="FFFF5050"/>
      <color rgb="FFFF6600"/>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4</xdr:col>
      <xdr:colOff>250507</xdr:colOff>
      <xdr:row>0</xdr:row>
      <xdr:rowOff>925513</xdr:rowOff>
    </xdr:to>
    <xdr:pic>
      <xdr:nvPicPr>
        <xdr:cNvPr id="2" name="Picture 1">
          <a:extLst>
            <a:ext uri="{FF2B5EF4-FFF2-40B4-BE49-F238E27FC236}">
              <a16:creationId xmlns:a16="http://schemas.microsoft.com/office/drawing/2014/main" id="{7DB8F641-4B07-446E-9580-15569934C9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9050"/>
          <a:ext cx="3793807" cy="903288"/>
        </a:xfrm>
        <a:prstGeom prst="rect">
          <a:avLst/>
        </a:prstGeom>
      </xdr:spPr>
    </xdr:pic>
    <xdr:clientData/>
  </xdr:twoCellAnchor>
  <xdr:twoCellAnchor editAs="oneCell">
    <xdr:from>
      <xdr:col>0</xdr:col>
      <xdr:colOff>0</xdr:colOff>
      <xdr:row>0</xdr:row>
      <xdr:rowOff>0</xdr:rowOff>
    </xdr:from>
    <xdr:to>
      <xdr:col>4</xdr:col>
      <xdr:colOff>236749</xdr:colOff>
      <xdr:row>0</xdr:row>
      <xdr:rowOff>892705</xdr:rowOff>
    </xdr:to>
    <xdr:pic>
      <xdr:nvPicPr>
        <xdr:cNvPr id="3" name="Picture 2">
          <a:extLst>
            <a:ext uri="{FF2B5EF4-FFF2-40B4-BE49-F238E27FC236}">
              <a16:creationId xmlns:a16="http://schemas.microsoft.com/office/drawing/2014/main" id="{F8968FB7-BA20-437A-B945-7885D70173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83224" cy="8927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149679</xdr:colOff>
      <xdr:row>0</xdr:row>
      <xdr:rowOff>0</xdr:rowOff>
    </xdr:from>
    <xdr:to>
      <xdr:col>3</xdr:col>
      <xdr:colOff>2027903</xdr:colOff>
      <xdr:row>1</xdr:row>
      <xdr:rowOff>25930</xdr:rowOff>
    </xdr:to>
    <xdr:pic>
      <xdr:nvPicPr>
        <xdr:cNvPr id="3" name="Picture 2">
          <a:extLst>
            <a:ext uri="{FF2B5EF4-FFF2-40B4-BE49-F238E27FC236}">
              <a16:creationId xmlns:a16="http://schemas.microsoft.com/office/drawing/2014/main" id="{78FEF811-88C5-4358-AE24-E3D124DDBB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679" y="0"/>
          <a:ext cx="3725620" cy="8999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3793807</xdr:colOff>
      <xdr:row>0</xdr:row>
      <xdr:rowOff>893763</xdr:rowOff>
    </xdr:to>
    <xdr:pic>
      <xdr:nvPicPr>
        <xdr:cNvPr id="3" name="Picture 2">
          <a:extLst>
            <a:ext uri="{FF2B5EF4-FFF2-40B4-BE49-F238E27FC236}">
              <a16:creationId xmlns:a16="http://schemas.microsoft.com/office/drawing/2014/main" id="{50144B13-D8B1-4E48-B2E3-6C17B57AE2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86187" cy="905193"/>
        </a:xfrm>
        <a:prstGeom prst="rect">
          <a:avLst/>
        </a:prstGeom>
      </xdr:spPr>
    </xdr:pic>
    <xdr:clientData/>
  </xdr:twoCellAnchor>
  <xdr:twoCellAnchor editAs="oneCell">
    <xdr:from>
      <xdr:col>0</xdr:col>
      <xdr:colOff>0</xdr:colOff>
      <xdr:row>0</xdr:row>
      <xdr:rowOff>0</xdr:rowOff>
    </xdr:from>
    <xdr:to>
      <xdr:col>0</xdr:col>
      <xdr:colOff>3789997</xdr:colOff>
      <xdr:row>0</xdr:row>
      <xdr:rowOff>897573</xdr:rowOff>
    </xdr:to>
    <xdr:pic>
      <xdr:nvPicPr>
        <xdr:cNvPr id="5" name="Picture 4">
          <a:extLst>
            <a:ext uri="{FF2B5EF4-FFF2-40B4-BE49-F238E27FC236}">
              <a16:creationId xmlns:a16="http://schemas.microsoft.com/office/drawing/2014/main" id="{B800627B-B887-844F-93E1-8A984B068DB9}"/>
            </a:ext>
            <a:ext uri="{147F2762-F138-4A5C-976F-8EAC2B608ADB}">
              <a16:predDERef xmlns:a16="http://schemas.microsoft.com/office/drawing/2014/main" pred="{50144B13-D8B1-4E48-B2E3-6C17B57AE2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89997" cy="8975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undationr20-my.sharepoint.com/Users/andrei.dementiev/Desktop/SPOTLIGHT/LA%20Fin/FINAL/Spotlight%20Guatemala%20Budget%20for%20EU%20clean%2020%20Oct%20with%20table%20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undationr20-my.sharepoint.com/Users/andrei.dementiev/Desktop/SPOTLIGHT/AFRICA%20Fin/Budget%20Zimbabwe%2029%20October%20with%20Table%20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oundationr20-my.sharepoint.com/zw-dc03/data/Users/HAZEL~1.JOS/AppData/Local/Temp/Rar$DI48.104/GF%20ARVs%20and%20Laboratory%20List%20%20of%20Health%20Products%2011012014%201300hr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oundationr20-my.sharepoint.com/zw-dc03/data/Global%20Fund/New%20Funding%20Model%20-%20HIV/Final%20Summary%20Budget/ZIM-H-UNDP%20%20SB_%20%20BY%20SEMESTER_23Jan2014%20_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foundationr20-my.sharepoint.com/zw-dc03/data/Global%20Fund/New%20Funding%20Model%20-%20HIV/Grant%20Documents%20-%205%20June%202013/Users/denias.kagande/Desktop/New%20Funding%20model/Pharma_and_Health_Products_list_e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unwomen-my.sharepoint.com/Users/sonyathimmaiah/Dropbox/Sonya%20Thimmaiah/Spotlight/Investment%20plan/2018/LAIP/CPs/Argentina/Round%20II/27%20Sept/From%20Teresa/ARG%20Spotlight%20Draft%20BUDGET%20Clean%20for%20EU%2026%20Sep.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foundationr20-my.sharepoint.com/Users/bongani.ncube/Desktop/spotlight/BUDGET%20Template%20Spotlight-With%20links.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undp-my.sharepoint.com/var/folders/21/w_61gcyx0ls8_n17gyrlvv580000gn/T/com.microsoft.Outlook/Outlook%20Temp/GFCR_TA&amp;CA_budget-V2.1.xlsx" TargetMode="External"/><Relationship Id="rId1" Type="http://schemas.openxmlformats.org/officeDocument/2006/relationships/externalLinkPath" Target="https://foundationr20-my.sharepoint.com/var/folders/21/w_61gcyx0ls8_n17gyrlvv580000gn/T/com.microsoft.Outlook/Outlook%20Temp/GFCR_TA&amp;CA_budget-V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Work Plan"/>
      <sheetName val="B. Budget by UNDG Categories"/>
      <sheetName val="C. Budget by Outcome "/>
      <sheetName val="D. EU Elligible Costs"/>
      <sheetName val="outcomes"/>
      <sheetName val="Dropdown"/>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Work Plan (2)"/>
      <sheetName val="B. Budget by UNDG category"/>
      <sheetName val="C. Budget by Outcome "/>
      <sheetName val="outcomes"/>
      <sheetName val="SCs"/>
      <sheetName val="Pivot"/>
      <sheetName val="Sheet7"/>
      <sheetName val="Development Activities"/>
      <sheetName val="Proforma Costs"/>
      <sheetName val="B. Budget by UNDG Categories"/>
      <sheetName val="Pivot Table FB"/>
      <sheetName val="UN Travel"/>
      <sheetName val="All Travel-5"/>
      <sheetName val="Sheet1"/>
      <sheetName val="Sheet27"/>
      <sheetName val="Sheet28"/>
      <sheetName val="Sheet29"/>
      <sheetName val="Workings UNDG Category"/>
      <sheetName val="Agency per Outcome"/>
      <sheetName val="UNDG Details"/>
      <sheetName val="Outcome 5"/>
      <sheetName val="Outcome 6"/>
      <sheetName val="D. EU Elligible Costs"/>
      <sheetName val="Drop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InpInCmpInSFpsmCat"/>
      <sheetName val="ModInCmp"/>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on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T"/>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 Budget by Outcome"/>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Work Plan"/>
      <sheetName val="B. Budget by UNDG Categories"/>
      <sheetName val="C. Budget by Outcome "/>
      <sheetName val="Outcome 4"/>
      <sheetName val="D. EU Elligible Costs"/>
      <sheetName val="Dropdown"/>
      <sheetName val="c. budget by outcome"/>
    </sheetNames>
    <sheetDataSet>
      <sheetData sheetId="0"/>
      <sheetData sheetId="1"/>
      <sheetData sheetId="2"/>
      <sheetData sheetId="3"/>
      <sheetData sheetId="4"/>
      <sheetData sheetId="5"/>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 Work Plan -"/>
      <sheetName val="Guidance"/>
      <sheetName val="A. Budget by Activities"/>
      <sheetName val="B. Workplan"/>
      <sheetName val="C. Budget UNDG Categories -"/>
      <sheetName val="Staffing Notes"/>
    </sheetNames>
    <sheetDataSet>
      <sheetData sheetId="0" refreshError="1"/>
      <sheetData sheetId="1" refreshError="1"/>
      <sheetData sheetId="2" refreshError="1">
        <row r="7">
          <cell r="A7" t="str">
            <v>Reef-positive business #1: Agrion</v>
          </cell>
        </row>
        <row r="8">
          <cell r="A8" t="str">
            <v>Activity 1.1.1: Landscape Assessment</v>
          </cell>
        </row>
        <row r="13">
          <cell r="A13" t="str">
            <v>Activity 1.1.2:  ESAP</v>
          </cell>
        </row>
        <row r="18">
          <cell r="A18" t="str">
            <v>Activity 1.1.3:  Life-Cycle Assessment</v>
          </cell>
        </row>
        <row r="24">
          <cell r="A24" t="str">
            <v>Activity 1.1.4: Identification of additional regenerative agriculture practices</v>
          </cell>
        </row>
        <row r="29">
          <cell r="A29" t="str">
            <v>Activity 1.1.5: Development of an organic products line</v>
          </cell>
        </row>
        <row r="33">
          <cell r="A33" t="str">
            <v>Activity 1.1.6: Development of and M&amp;E framework and M&amp;E plan</v>
          </cell>
        </row>
        <row r="38">
          <cell r="A38" t="str">
            <v>Reef-positive business #2: Parley</v>
          </cell>
        </row>
        <row r="39">
          <cell r="A39" t="str">
            <v>Activity 1.2.1: A global assessment of resilient coral reefs impacted by plastic</v>
          </cell>
        </row>
        <row r="43">
          <cell r="A43" t="str">
            <v>Activity 1.2.2: Support the implementation of the ESAP</v>
          </cell>
        </row>
        <row r="47">
          <cell r="A47" t="str">
            <v>Activity 1.2.3: Support the Parley AIR Atoll Project in the Maldives</v>
          </cell>
        </row>
        <row r="54">
          <cell r="A54" t="str">
            <v>Activity 1.2.4: Support the Parley Sri Lanka Beruwala</v>
          </cell>
        </row>
        <row r="62">
          <cell r="A62" t="str">
            <v>Flexible funding for future TA needs</v>
          </cell>
        </row>
        <row r="63">
          <cell r="A63" t="str">
            <v>Activity 2.2.1: Allocated for future TA activities: Business #1</v>
          </cell>
        </row>
        <row r="67">
          <cell r="A67" t="str">
            <v>Activity 2.2.2: Allocated for future TA activities: Business #2</v>
          </cell>
        </row>
        <row r="73">
          <cell r="A73" t="str">
            <v>Provide Capital Acceleration to financial vehicles</v>
          </cell>
        </row>
        <row r="74">
          <cell r="A74" t="str">
            <v>Activity 3.1: Conduct open calls for Eligible Projects</v>
          </cell>
        </row>
        <row r="78">
          <cell r="A78" t="str">
            <v>Activity 3.2: Screen initial financial vehicles and analysis</v>
          </cell>
        </row>
        <row r="84">
          <cell r="A84" t="str">
            <v>Activity 3.3: Execute payment and manage investments</v>
          </cell>
        </row>
        <row r="88">
          <cell r="A88" t="str">
            <v>Activity 3.4: Exit Investment</v>
          </cell>
        </row>
        <row r="102">
          <cell r="A102" t="str">
            <v>B. PROJECT MANAGEMENT COSTS</v>
          </cell>
        </row>
        <row r="103">
          <cell r="A103" t="str">
            <v>Management and Operations</v>
          </cell>
        </row>
        <row r="107">
          <cell r="A107" t="str">
            <v>Communications and Learning</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roposals.sdgfund.org/node/69"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7C3BC-496C-1D4B-9224-B1B8E93446B1}">
  <sheetPr>
    <tabColor rgb="FFFFFF00"/>
  </sheetPr>
  <dimension ref="A1:M33"/>
  <sheetViews>
    <sheetView zoomScale="170" zoomScaleNormal="170" workbookViewId="0">
      <pane ySplit="4" topLeftCell="A5" activePane="bottomLeft" state="frozen"/>
      <selection pane="bottomLeft" activeCell="C17" sqref="C17"/>
    </sheetView>
  </sheetViews>
  <sheetFormatPr defaultColWidth="4.26953125" defaultRowHeight="13" x14ac:dyDescent="0.3"/>
  <cols>
    <col min="1" max="1" width="7.7265625" style="5" customWidth="1"/>
    <col min="2" max="2" width="6.7265625" style="5" customWidth="1"/>
    <col min="3" max="3" width="53.453125" style="5" customWidth="1"/>
    <col min="4" max="7" width="5.26953125" style="5" customWidth="1"/>
    <col min="8" max="9" width="16" style="6" customWidth="1"/>
    <col min="10" max="10" width="16" style="7" customWidth="1"/>
    <col min="11" max="11" width="14.26953125" style="68" customWidth="1"/>
    <col min="12" max="12" width="20.7265625" style="5" customWidth="1"/>
    <col min="13" max="13" width="17" style="5" customWidth="1"/>
    <col min="14" max="16" width="4.26953125" style="5"/>
    <col min="17" max="17" width="7.26953125" style="5" bestFit="1" customWidth="1"/>
    <col min="18" max="16384" width="4.26953125" style="5"/>
  </cols>
  <sheetData>
    <row r="1" spans="1:12" ht="21" x14ac:dyDescent="0.5">
      <c r="A1" s="4" t="s">
        <v>0</v>
      </c>
      <c r="K1" s="8"/>
    </row>
    <row r="2" spans="1:12" ht="27" customHeight="1" thickBot="1" x14ac:dyDescent="0.35">
      <c r="A2" s="79" t="s">
        <v>1</v>
      </c>
      <c r="B2" s="80"/>
      <c r="C2" s="80"/>
      <c r="K2" s="8"/>
    </row>
    <row r="3" spans="1:12" ht="15.75" customHeight="1" x14ac:dyDescent="0.25">
      <c r="A3" s="555" t="s">
        <v>2</v>
      </c>
      <c r="B3" s="555" t="s">
        <v>3</v>
      </c>
      <c r="C3" s="555" t="s">
        <v>4</v>
      </c>
      <c r="D3" s="560" t="s">
        <v>5</v>
      </c>
      <c r="E3" s="561"/>
      <c r="F3" s="561"/>
      <c r="G3" s="561"/>
      <c r="H3" s="562" t="s">
        <v>6</v>
      </c>
      <c r="I3" s="563"/>
      <c r="J3" s="563"/>
      <c r="K3" s="564" t="s">
        <v>7</v>
      </c>
      <c r="L3" s="555" t="s">
        <v>8</v>
      </c>
    </row>
    <row r="4" spans="1:12" ht="26.5" thickBot="1" x14ac:dyDescent="0.3">
      <c r="A4" s="556"/>
      <c r="B4" s="556"/>
      <c r="C4" s="556"/>
      <c r="D4" s="84" t="s">
        <v>9</v>
      </c>
      <c r="E4" s="85" t="s">
        <v>10</v>
      </c>
      <c r="F4" s="85" t="s">
        <v>11</v>
      </c>
      <c r="G4" s="85" t="s">
        <v>12</v>
      </c>
      <c r="H4" s="9" t="s">
        <v>13</v>
      </c>
      <c r="I4" s="10" t="s">
        <v>14</v>
      </c>
      <c r="J4" s="11" t="s">
        <v>15</v>
      </c>
      <c r="K4" s="565"/>
      <c r="L4" s="556"/>
    </row>
    <row r="5" spans="1:12" ht="21" customHeight="1" thickBot="1" x14ac:dyDescent="0.3">
      <c r="A5" s="12" t="s">
        <v>16</v>
      </c>
      <c r="B5" s="13"/>
      <c r="C5" s="14"/>
      <c r="D5" s="13"/>
      <c r="E5" s="13"/>
      <c r="F5" s="13"/>
      <c r="G5" s="13"/>
      <c r="H5" s="15"/>
      <c r="I5" s="15"/>
      <c r="J5" s="15"/>
      <c r="K5" s="16"/>
      <c r="L5" s="17"/>
    </row>
    <row r="6" spans="1:12" ht="15.5" x14ac:dyDescent="0.25">
      <c r="A6" s="92">
        <v>1</v>
      </c>
      <c r="B6" s="557" t="s">
        <v>17</v>
      </c>
      <c r="C6" s="558"/>
      <c r="D6" s="558"/>
      <c r="E6" s="558"/>
      <c r="F6" s="558"/>
      <c r="G6" s="558"/>
      <c r="H6" s="558"/>
      <c r="I6" s="558"/>
      <c r="J6" s="558"/>
      <c r="K6" s="558"/>
      <c r="L6" s="559"/>
    </row>
    <row r="7" spans="1:12" ht="30" customHeight="1" x14ac:dyDescent="0.25">
      <c r="A7" s="83">
        <f>A6</f>
        <v>1</v>
      </c>
      <c r="B7" s="19">
        <v>1.1000000000000001</v>
      </c>
      <c r="C7" s="18" t="s">
        <v>18</v>
      </c>
      <c r="D7" s="19" t="s">
        <v>19</v>
      </c>
      <c r="E7" s="19" t="s">
        <v>19</v>
      </c>
      <c r="F7" s="19" t="s">
        <v>19</v>
      </c>
      <c r="G7" s="19" t="s">
        <v>19</v>
      </c>
      <c r="H7" s="20"/>
      <c r="I7" s="20"/>
      <c r="J7" s="21">
        <f>SUM(H7:I7)</f>
        <v>0</v>
      </c>
      <c r="K7" s="19"/>
      <c r="L7" s="69"/>
    </row>
    <row r="8" spans="1:12" ht="39" x14ac:dyDescent="0.25">
      <c r="A8" s="83">
        <f>A7</f>
        <v>1</v>
      </c>
      <c r="B8" s="19">
        <v>1.2</v>
      </c>
      <c r="C8" s="18" t="s">
        <v>20</v>
      </c>
      <c r="D8" s="19" t="s">
        <v>19</v>
      </c>
      <c r="E8" s="19" t="s">
        <v>19</v>
      </c>
      <c r="F8" s="19" t="s">
        <v>19</v>
      </c>
      <c r="G8" s="19" t="s">
        <v>19</v>
      </c>
      <c r="H8" s="20"/>
      <c r="I8" s="20"/>
      <c r="J8" s="21">
        <f>SUM(H8:I8)</f>
        <v>0</v>
      </c>
      <c r="K8" s="19"/>
      <c r="L8" s="69"/>
    </row>
    <row r="9" spans="1:12" ht="30" customHeight="1" x14ac:dyDescent="0.25">
      <c r="A9" s="83">
        <f>A7</f>
        <v>1</v>
      </c>
      <c r="B9" s="19">
        <v>1.3</v>
      </c>
      <c r="C9" s="18" t="s">
        <v>21</v>
      </c>
      <c r="D9" s="19" t="s">
        <v>19</v>
      </c>
      <c r="E9" s="19" t="s">
        <v>19</v>
      </c>
      <c r="F9" s="19" t="s">
        <v>19</v>
      </c>
      <c r="G9" s="19" t="s">
        <v>19</v>
      </c>
      <c r="H9" s="20"/>
      <c r="I9" s="20"/>
      <c r="J9" s="21">
        <f>SUM(H9:I9)</f>
        <v>0</v>
      </c>
      <c r="K9" s="19"/>
      <c r="L9" s="69"/>
    </row>
    <row r="10" spans="1:12" ht="30" customHeight="1" thickBot="1" x14ac:dyDescent="0.3">
      <c r="A10" s="83">
        <f>A8</f>
        <v>1</v>
      </c>
      <c r="B10" s="19">
        <v>1.4</v>
      </c>
      <c r="C10" s="18" t="s">
        <v>22</v>
      </c>
      <c r="D10" s="19" t="s">
        <v>19</v>
      </c>
      <c r="E10" s="19" t="s">
        <v>19</v>
      </c>
      <c r="F10" s="19" t="s">
        <v>19</v>
      </c>
      <c r="G10" s="19" t="s">
        <v>19</v>
      </c>
      <c r="H10" s="20"/>
      <c r="I10" s="20"/>
      <c r="J10" s="21">
        <f>SUM(H10:I10)</f>
        <v>0</v>
      </c>
      <c r="K10" s="19"/>
      <c r="L10" s="69"/>
    </row>
    <row r="11" spans="1:12" ht="16" thickBot="1" x14ac:dyDescent="0.3">
      <c r="A11" s="23" t="s">
        <v>23</v>
      </c>
      <c r="B11" s="24"/>
      <c r="C11" s="25"/>
      <c r="D11" s="24"/>
      <c r="E11" s="24"/>
      <c r="F11" s="24"/>
      <c r="G11" s="24"/>
      <c r="H11" s="26">
        <f>SUM(H7:H10)</f>
        <v>0</v>
      </c>
      <c r="I11" s="26">
        <f>SUM(I7:I10)</f>
        <v>0</v>
      </c>
      <c r="J11" s="26">
        <f>SUM(J7:J10)</f>
        <v>0</v>
      </c>
      <c r="K11" s="27"/>
      <c r="L11" s="28"/>
    </row>
    <row r="12" spans="1:12" ht="15.5" x14ac:dyDescent="0.25">
      <c r="A12" s="92">
        <v>2</v>
      </c>
      <c r="B12" s="557" t="s">
        <v>24</v>
      </c>
      <c r="C12" s="558"/>
      <c r="D12" s="558"/>
      <c r="E12" s="558"/>
      <c r="F12" s="558"/>
      <c r="G12" s="558"/>
      <c r="H12" s="558"/>
      <c r="I12" s="558"/>
      <c r="J12" s="558"/>
      <c r="K12" s="558"/>
      <c r="L12" s="559"/>
    </row>
    <row r="13" spans="1:12" ht="65" x14ac:dyDescent="0.25">
      <c r="A13" s="83">
        <f>A12</f>
        <v>2</v>
      </c>
      <c r="B13" s="19">
        <v>2.1</v>
      </c>
      <c r="C13" s="18" t="s">
        <v>25</v>
      </c>
      <c r="D13" s="19" t="s">
        <v>19</v>
      </c>
      <c r="E13" s="19" t="s">
        <v>19</v>
      </c>
      <c r="F13" s="19" t="s">
        <v>19</v>
      </c>
      <c r="G13" s="19" t="s">
        <v>19</v>
      </c>
      <c r="H13" s="20"/>
      <c r="I13" s="20"/>
      <c r="J13" s="21">
        <f>SUM(H13:I13)</f>
        <v>0</v>
      </c>
      <c r="K13" s="19"/>
      <c r="L13" s="69"/>
    </row>
    <row r="14" spans="1:12" ht="39" x14ac:dyDescent="0.25">
      <c r="A14" s="83">
        <f>A12</f>
        <v>2</v>
      </c>
      <c r="B14" s="19">
        <v>2.2000000000000002</v>
      </c>
      <c r="C14" s="18" t="s">
        <v>26</v>
      </c>
      <c r="D14" s="19" t="s">
        <v>19</v>
      </c>
      <c r="E14" s="19" t="s">
        <v>19</v>
      </c>
      <c r="F14" s="19" t="s">
        <v>19</v>
      </c>
      <c r="G14" s="19" t="s">
        <v>19</v>
      </c>
      <c r="H14" s="20"/>
      <c r="I14" s="20"/>
      <c r="J14" s="22">
        <f>SUM(H14:I14)</f>
        <v>0</v>
      </c>
      <c r="K14" s="70"/>
      <c r="L14" s="71"/>
    </row>
    <row r="15" spans="1:12" ht="39" x14ac:dyDescent="0.25">
      <c r="A15" s="83">
        <f>A13</f>
        <v>2</v>
      </c>
      <c r="B15" s="19">
        <v>2.2999999999999998</v>
      </c>
      <c r="C15" s="18" t="s">
        <v>27</v>
      </c>
      <c r="D15" s="19" t="s">
        <v>19</v>
      </c>
      <c r="E15" s="19" t="s">
        <v>19</v>
      </c>
      <c r="F15" s="19" t="s">
        <v>19</v>
      </c>
      <c r="G15" s="19" t="s">
        <v>19</v>
      </c>
      <c r="H15" s="20"/>
      <c r="I15" s="20"/>
      <c r="J15" s="22">
        <f>SUM(H15:I15)</f>
        <v>0</v>
      </c>
      <c r="K15" s="70"/>
      <c r="L15" s="71"/>
    </row>
    <row r="16" spans="1:12" ht="26.5" thickBot="1" x14ac:dyDescent="0.3">
      <c r="A16" s="83">
        <f>A13</f>
        <v>2</v>
      </c>
      <c r="B16" s="19">
        <v>2.4</v>
      </c>
      <c r="C16" s="18" t="s">
        <v>28</v>
      </c>
      <c r="D16" s="19" t="s">
        <v>19</v>
      </c>
      <c r="E16" s="19" t="s">
        <v>19</v>
      </c>
      <c r="F16" s="19" t="s">
        <v>19</v>
      </c>
      <c r="G16" s="19" t="s">
        <v>19</v>
      </c>
      <c r="H16" s="20"/>
      <c r="I16" s="20"/>
      <c r="J16" s="29">
        <f>SUM(H16:I16)</f>
        <v>0</v>
      </c>
      <c r="K16" s="72"/>
      <c r="L16" s="73"/>
    </row>
    <row r="17" spans="1:13" ht="16" thickBot="1" x14ac:dyDescent="0.3">
      <c r="A17" s="23" t="s">
        <v>29</v>
      </c>
      <c r="B17" s="24"/>
      <c r="C17" s="25"/>
      <c r="D17" s="24"/>
      <c r="E17" s="24"/>
      <c r="F17" s="24"/>
      <c r="G17" s="24"/>
      <c r="H17" s="26">
        <f>SUM(H13:H16)</f>
        <v>0</v>
      </c>
      <c r="I17" s="26">
        <f>SUM(I13:I16)</f>
        <v>0</v>
      </c>
      <c r="J17" s="26">
        <f>SUM(J13:J16)</f>
        <v>0</v>
      </c>
      <c r="K17" s="27"/>
      <c r="L17" s="28"/>
    </row>
    <row r="18" spans="1:13" ht="16" thickBot="1" x14ac:dyDescent="0.3">
      <c r="A18" s="32" t="s">
        <v>30</v>
      </c>
      <c r="B18" s="33"/>
      <c r="C18" s="34"/>
      <c r="D18" s="33"/>
      <c r="E18" s="33"/>
      <c r="F18" s="33"/>
      <c r="G18" s="33"/>
      <c r="H18" s="35">
        <f>H11+H17</f>
        <v>0</v>
      </c>
      <c r="I18" s="35">
        <f>I11+I17</f>
        <v>0</v>
      </c>
      <c r="J18" s="35">
        <f>J11+J17</f>
        <v>0</v>
      </c>
      <c r="K18" s="36"/>
      <c r="L18" s="37"/>
    </row>
    <row r="19" spans="1:13" ht="15" thickBot="1" x14ac:dyDescent="0.3">
      <c r="A19" s="38" t="s">
        <v>31</v>
      </c>
      <c r="B19" s="13"/>
      <c r="C19" s="14"/>
      <c r="D19" s="13"/>
      <c r="E19" s="13"/>
      <c r="F19" s="13"/>
      <c r="G19" s="13"/>
      <c r="H19" s="15"/>
      <c r="I19" s="15"/>
      <c r="J19" s="15"/>
      <c r="K19" s="16"/>
      <c r="L19" s="17"/>
    </row>
    <row r="20" spans="1:13" ht="14.5" x14ac:dyDescent="0.25">
      <c r="A20" s="39" t="s">
        <v>32</v>
      </c>
      <c r="B20" s="40"/>
      <c r="C20" s="41"/>
      <c r="D20" s="40"/>
      <c r="E20" s="40"/>
      <c r="F20" s="40"/>
      <c r="G20" s="40"/>
      <c r="H20" s="42"/>
      <c r="I20" s="42"/>
      <c r="J20" s="42"/>
      <c r="K20" s="43"/>
      <c r="L20" s="44"/>
    </row>
    <row r="21" spans="1:13" ht="16" thickBot="1" x14ac:dyDescent="0.3">
      <c r="A21" s="45" t="s">
        <v>33</v>
      </c>
      <c r="B21" s="46" t="s">
        <v>33</v>
      </c>
      <c r="C21" s="47"/>
      <c r="D21" s="48" t="s">
        <v>19</v>
      </c>
      <c r="E21" s="48" t="s">
        <v>19</v>
      </c>
      <c r="F21" s="48" t="s">
        <v>19</v>
      </c>
      <c r="G21" s="48" t="s">
        <v>19</v>
      </c>
      <c r="H21" s="49"/>
      <c r="I21" s="49"/>
      <c r="J21" s="50">
        <f>SUM(H21:I21)</f>
        <v>0</v>
      </c>
      <c r="K21" s="51" t="s">
        <v>32</v>
      </c>
      <c r="L21" s="52" t="s">
        <v>33</v>
      </c>
    </row>
    <row r="22" spans="1:13" ht="14.5" x14ac:dyDescent="0.25">
      <c r="A22" s="39" t="s">
        <v>34</v>
      </c>
      <c r="B22" s="40"/>
      <c r="C22" s="41"/>
      <c r="D22" s="53"/>
      <c r="E22" s="53"/>
      <c r="F22" s="53"/>
      <c r="G22" s="53"/>
      <c r="H22" s="42"/>
      <c r="I22" s="42"/>
      <c r="J22" s="42"/>
      <c r="K22" s="54"/>
      <c r="L22" s="55"/>
    </row>
    <row r="23" spans="1:13" ht="16" thickBot="1" x14ac:dyDescent="0.3">
      <c r="A23" s="45" t="s">
        <v>33</v>
      </c>
      <c r="B23" s="46" t="s">
        <v>33</v>
      </c>
      <c r="C23" s="47"/>
      <c r="D23" s="48" t="s">
        <v>19</v>
      </c>
      <c r="E23" s="48" t="s">
        <v>19</v>
      </c>
      <c r="F23" s="48" t="s">
        <v>19</v>
      </c>
      <c r="G23" s="48" t="s">
        <v>19</v>
      </c>
      <c r="H23" s="49"/>
      <c r="I23" s="49"/>
      <c r="J23" s="50">
        <f>SUM(H23:I23)</f>
        <v>0</v>
      </c>
      <c r="K23" s="51" t="s">
        <v>34</v>
      </c>
      <c r="L23" s="52" t="s">
        <v>33</v>
      </c>
    </row>
    <row r="24" spans="1:13" ht="14.5" x14ac:dyDescent="0.25">
      <c r="A24" s="39" t="s">
        <v>35</v>
      </c>
      <c r="B24" s="40"/>
      <c r="C24" s="41"/>
      <c r="D24" s="53"/>
      <c r="E24" s="53"/>
      <c r="F24" s="53"/>
      <c r="G24" s="53"/>
      <c r="H24" s="42"/>
      <c r="I24" s="42"/>
      <c r="J24" s="42"/>
      <c r="K24" s="54"/>
      <c r="L24" s="55"/>
    </row>
    <row r="25" spans="1:13" ht="16" thickBot="1" x14ac:dyDescent="0.3">
      <c r="A25" s="45" t="s">
        <v>33</v>
      </c>
      <c r="B25" s="46" t="s">
        <v>33</v>
      </c>
      <c r="C25" s="47"/>
      <c r="D25" s="48" t="s">
        <v>19</v>
      </c>
      <c r="E25" s="48" t="s">
        <v>19</v>
      </c>
      <c r="F25" s="48" t="s">
        <v>19</v>
      </c>
      <c r="G25" s="48" t="s">
        <v>19</v>
      </c>
      <c r="H25" s="49"/>
      <c r="I25" s="49"/>
      <c r="J25" s="50">
        <f>SUM(H25:I25)</f>
        <v>0</v>
      </c>
      <c r="K25" s="51" t="s">
        <v>35</v>
      </c>
      <c r="L25" s="52" t="s">
        <v>33</v>
      </c>
    </row>
    <row r="26" spans="1:13" ht="14.5" x14ac:dyDescent="0.25">
      <c r="A26" s="39" t="s">
        <v>36</v>
      </c>
      <c r="B26" s="40"/>
      <c r="C26" s="41"/>
      <c r="D26" s="53"/>
      <c r="E26" s="53"/>
      <c r="F26" s="53"/>
      <c r="G26" s="53"/>
      <c r="H26" s="42"/>
      <c r="I26" s="42"/>
      <c r="J26" s="42"/>
      <c r="K26" s="54"/>
      <c r="L26" s="55"/>
    </row>
    <row r="27" spans="1:13" ht="16" thickBot="1" x14ac:dyDescent="0.3">
      <c r="A27" s="45" t="s">
        <v>33</v>
      </c>
      <c r="B27" s="46" t="s">
        <v>33</v>
      </c>
      <c r="C27" s="47"/>
      <c r="D27" s="48" t="s">
        <v>19</v>
      </c>
      <c r="E27" s="48" t="s">
        <v>19</v>
      </c>
      <c r="F27" s="48" t="s">
        <v>19</v>
      </c>
      <c r="G27" s="48" t="s">
        <v>19</v>
      </c>
      <c r="H27" s="49"/>
      <c r="I27" s="49"/>
      <c r="J27" s="50">
        <f>SUM(H27:I27)</f>
        <v>0</v>
      </c>
      <c r="K27" s="51" t="s">
        <v>37</v>
      </c>
      <c r="L27" s="52" t="s">
        <v>33</v>
      </c>
    </row>
    <row r="28" spans="1:13" ht="16" thickBot="1" x14ac:dyDescent="0.3">
      <c r="A28" s="30" t="s">
        <v>38</v>
      </c>
      <c r="B28" s="24"/>
      <c r="C28" s="25"/>
      <c r="D28" s="24"/>
      <c r="E28" s="24"/>
      <c r="F28" s="24"/>
      <c r="G28" s="24"/>
      <c r="H28" s="31">
        <f>SUM(H21:H27)</f>
        <v>0</v>
      </c>
      <c r="I28" s="31">
        <f>SUM(I21:I27)</f>
        <v>0</v>
      </c>
      <c r="J28" s="31">
        <f>SUM(J21:J27)</f>
        <v>0</v>
      </c>
      <c r="K28" s="27"/>
      <c r="L28" s="28"/>
      <c r="M28" s="74"/>
    </row>
    <row r="29" spans="1:13" ht="16" thickBot="1" x14ac:dyDescent="0.3">
      <c r="A29" s="32" t="s">
        <v>39</v>
      </c>
      <c r="B29" s="33"/>
      <c r="C29" s="34"/>
      <c r="D29" s="33"/>
      <c r="E29" s="33"/>
      <c r="F29" s="33"/>
      <c r="G29" s="33"/>
      <c r="H29" s="35">
        <f>H28+H18</f>
        <v>0</v>
      </c>
      <c r="I29" s="35">
        <f>I28+I18</f>
        <v>0</v>
      </c>
      <c r="J29" s="35">
        <f>J28+J18</f>
        <v>0</v>
      </c>
      <c r="K29" s="36"/>
      <c r="L29" s="37"/>
    </row>
    <row r="30" spans="1:13" ht="16" thickBot="1" x14ac:dyDescent="0.3">
      <c r="A30" s="56" t="s">
        <v>40</v>
      </c>
      <c r="B30" s="57"/>
      <c r="C30" s="58"/>
      <c r="D30" s="57"/>
      <c r="E30" s="57"/>
      <c r="F30" s="57"/>
      <c r="G30" s="57"/>
      <c r="H30" s="59">
        <f>H29*7%</f>
        <v>0</v>
      </c>
      <c r="I30" s="59">
        <f>I29*7%</f>
        <v>0</v>
      </c>
      <c r="J30" s="59">
        <f>H30+I30</f>
        <v>0</v>
      </c>
      <c r="K30" s="60"/>
      <c r="L30" s="61"/>
    </row>
    <row r="31" spans="1:13" ht="19" thickBot="1" x14ac:dyDescent="0.3">
      <c r="A31" s="62" t="s">
        <v>41</v>
      </c>
      <c r="B31" s="63"/>
      <c r="C31" s="64"/>
      <c r="D31" s="63"/>
      <c r="E31" s="63"/>
      <c r="F31" s="63"/>
      <c r="G31" s="63"/>
      <c r="H31" s="65">
        <f>SUM(H29:H30)</f>
        <v>0</v>
      </c>
      <c r="I31" s="65">
        <f>SUM(I29:I30)</f>
        <v>0</v>
      </c>
      <c r="J31" s="65">
        <f>SUM(J29:J30)</f>
        <v>0</v>
      </c>
      <c r="K31" s="66"/>
      <c r="L31" s="67"/>
    </row>
    <row r="33" spans="1:1" x14ac:dyDescent="0.3">
      <c r="A33" s="75"/>
    </row>
  </sheetData>
  <mergeCells count="9">
    <mergeCell ref="L3:L4"/>
    <mergeCell ref="B6:L6"/>
    <mergeCell ref="B12:L12"/>
    <mergeCell ref="A3:A4"/>
    <mergeCell ref="B3:B4"/>
    <mergeCell ref="C3:C4"/>
    <mergeCell ref="D3:G3"/>
    <mergeCell ref="H3:J3"/>
    <mergeCell ref="K3:K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88282-E7E2-454E-A68E-E5D263C47DED}">
  <dimension ref="A1:H63"/>
  <sheetViews>
    <sheetView topLeftCell="A14" zoomScale="125" workbookViewId="0">
      <selection activeCell="G66" sqref="G66"/>
    </sheetView>
  </sheetViews>
  <sheetFormatPr defaultColWidth="8.7265625" defaultRowHeight="12.5" x14ac:dyDescent="0.25"/>
  <cols>
    <col min="1" max="1" width="24.453125" customWidth="1"/>
    <col min="6" max="6" width="20.7265625" customWidth="1"/>
    <col min="7" max="7" width="26.453125" customWidth="1"/>
  </cols>
  <sheetData>
    <row r="1" spans="1:8" ht="84" customHeight="1" x14ac:dyDescent="0.25">
      <c r="A1" s="588"/>
      <c r="B1" s="588"/>
      <c r="C1" s="588"/>
      <c r="D1" s="588"/>
      <c r="E1" s="588"/>
      <c r="F1" s="588"/>
      <c r="G1" s="588"/>
    </row>
    <row r="2" spans="1:8" ht="28.5" customHeight="1" thickBot="1" x14ac:dyDescent="0.55000000000000004">
      <c r="A2" s="585" t="s">
        <v>42</v>
      </c>
      <c r="B2" s="585"/>
      <c r="C2" s="585"/>
      <c r="D2" s="585"/>
      <c r="E2" s="585"/>
      <c r="F2" s="585"/>
      <c r="G2" s="585"/>
    </row>
    <row r="3" spans="1:8" x14ac:dyDescent="0.25">
      <c r="A3" s="579" t="s">
        <v>43</v>
      </c>
      <c r="B3" s="580" t="s">
        <v>44</v>
      </c>
      <c r="C3" s="581"/>
      <c r="D3" s="581"/>
      <c r="E3" s="581"/>
      <c r="F3" s="581"/>
      <c r="G3" s="582"/>
    </row>
    <row r="4" spans="1:8" ht="115" customHeight="1" x14ac:dyDescent="0.25">
      <c r="A4" s="566"/>
      <c r="B4" s="569"/>
      <c r="C4" s="569"/>
      <c r="D4" s="569"/>
      <c r="E4" s="569"/>
      <c r="F4" s="569"/>
      <c r="G4" s="570"/>
    </row>
    <row r="5" spans="1:8" x14ac:dyDescent="0.25">
      <c r="A5" s="566" t="s">
        <v>2</v>
      </c>
      <c r="B5" s="568" t="s">
        <v>45</v>
      </c>
      <c r="C5" s="569"/>
      <c r="D5" s="569"/>
      <c r="E5" s="569"/>
      <c r="F5" s="569"/>
      <c r="G5" s="570"/>
    </row>
    <row r="6" spans="1:8" ht="30" customHeight="1" x14ac:dyDescent="0.25">
      <c r="A6" s="566"/>
      <c r="B6" s="569"/>
      <c r="C6" s="569"/>
      <c r="D6" s="569"/>
      <c r="E6" s="569"/>
      <c r="F6" s="569"/>
      <c r="G6" s="570"/>
    </row>
    <row r="7" spans="1:8" ht="21.75" customHeight="1" x14ac:dyDescent="0.25">
      <c r="A7" s="566" t="s">
        <v>46</v>
      </c>
      <c r="B7" s="568" t="s">
        <v>47</v>
      </c>
      <c r="C7" s="569"/>
      <c r="D7" s="569"/>
      <c r="E7" s="569"/>
      <c r="F7" s="569"/>
      <c r="G7" s="570"/>
    </row>
    <row r="8" spans="1:8" ht="48" customHeight="1" x14ac:dyDescent="0.25">
      <c r="A8" s="566"/>
      <c r="B8" s="569"/>
      <c r="C8" s="569"/>
      <c r="D8" s="569"/>
      <c r="E8" s="569"/>
      <c r="F8" s="569"/>
      <c r="G8" s="570"/>
    </row>
    <row r="9" spans="1:8" x14ac:dyDescent="0.25">
      <c r="A9" s="566" t="s">
        <v>48</v>
      </c>
      <c r="B9" s="568" t="s">
        <v>49</v>
      </c>
      <c r="C9" s="569"/>
      <c r="D9" s="569"/>
      <c r="E9" s="569"/>
      <c r="F9" s="569"/>
      <c r="G9" s="570"/>
    </row>
    <row r="10" spans="1:8" x14ac:dyDescent="0.25">
      <c r="A10" s="566"/>
      <c r="B10" s="569"/>
      <c r="C10" s="569"/>
      <c r="D10" s="569"/>
      <c r="E10" s="569"/>
      <c r="F10" s="569"/>
      <c r="G10" s="570"/>
    </row>
    <row r="11" spans="1:8" x14ac:dyDescent="0.25">
      <c r="A11" s="566" t="s">
        <v>50</v>
      </c>
      <c r="B11" s="568" t="s">
        <v>51</v>
      </c>
      <c r="C11" s="569"/>
      <c r="D11" s="569"/>
      <c r="E11" s="569"/>
      <c r="F11" s="569"/>
      <c r="G11" s="570"/>
    </row>
    <row r="12" spans="1:8" x14ac:dyDescent="0.25">
      <c r="A12" s="566"/>
      <c r="B12" s="569"/>
      <c r="C12" s="569"/>
      <c r="D12" s="569"/>
      <c r="E12" s="569"/>
      <c r="F12" s="569"/>
      <c r="G12" s="570"/>
    </row>
    <row r="13" spans="1:8" x14ac:dyDescent="0.25">
      <c r="A13" s="566" t="s">
        <v>52</v>
      </c>
      <c r="B13" s="568" t="s">
        <v>53</v>
      </c>
      <c r="C13" s="569"/>
      <c r="D13" s="569"/>
      <c r="E13" s="569"/>
      <c r="F13" s="569"/>
      <c r="G13" s="570"/>
    </row>
    <row r="14" spans="1:8" ht="66" customHeight="1" x14ac:dyDescent="0.25">
      <c r="A14" s="566"/>
      <c r="B14" s="569"/>
      <c r="C14" s="569"/>
      <c r="D14" s="569"/>
      <c r="E14" s="569"/>
      <c r="F14" s="569"/>
      <c r="G14" s="570"/>
      <c r="H14" s="122" t="s">
        <v>54</v>
      </c>
    </row>
    <row r="15" spans="1:8" x14ac:dyDescent="0.25">
      <c r="A15" s="566" t="s">
        <v>55</v>
      </c>
      <c r="B15" s="568" t="s">
        <v>56</v>
      </c>
      <c r="C15" s="569"/>
      <c r="D15" s="569"/>
      <c r="E15" s="569"/>
      <c r="F15" s="569"/>
      <c r="G15" s="570"/>
    </row>
    <row r="16" spans="1:8" ht="59.25" customHeight="1" x14ac:dyDescent="0.25">
      <c r="A16" s="566"/>
      <c r="B16" s="569"/>
      <c r="C16" s="569"/>
      <c r="D16" s="569"/>
      <c r="E16" s="569"/>
      <c r="F16" s="569"/>
      <c r="G16" s="570"/>
    </row>
    <row r="17" spans="1:7" x14ac:dyDescent="0.25">
      <c r="A17" s="566" t="s">
        <v>57</v>
      </c>
      <c r="B17" s="568" t="s">
        <v>58</v>
      </c>
      <c r="C17" s="569"/>
      <c r="D17" s="569"/>
      <c r="E17" s="569"/>
      <c r="F17" s="569"/>
      <c r="G17" s="570"/>
    </row>
    <row r="18" spans="1:7" ht="48.75" customHeight="1" x14ac:dyDescent="0.25">
      <c r="A18" s="566"/>
      <c r="B18" s="569"/>
      <c r="C18" s="569"/>
      <c r="D18" s="569"/>
      <c r="E18" s="569"/>
      <c r="F18" s="569"/>
      <c r="G18" s="570"/>
    </row>
    <row r="19" spans="1:7" x14ac:dyDescent="0.25">
      <c r="A19" s="566" t="s">
        <v>59</v>
      </c>
      <c r="B19" s="568" t="s">
        <v>60</v>
      </c>
      <c r="C19" s="569"/>
      <c r="D19" s="569"/>
      <c r="E19" s="569"/>
      <c r="F19" s="569"/>
      <c r="G19" s="570"/>
    </row>
    <row r="20" spans="1:7" ht="35.25" customHeight="1" x14ac:dyDescent="0.25">
      <c r="A20" s="566"/>
      <c r="B20" s="569"/>
      <c r="C20" s="569"/>
      <c r="D20" s="569"/>
      <c r="E20" s="569"/>
      <c r="F20" s="569"/>
      <c r="G20" s="570"/>
    </row>
    <row r="21" spans="1:7" x14ac:dyDescent="0.25">
      <c r="A21" s="566" t="s">
        <v>61</v>
      </c>
      <c r="B21" s="568" t="s">
        <v>62</v>
      </c>
      <c r="C21" s="569"/>
      <c r="D21" s="569"/>
      <c r="E21" s="569"/>
      <c r="F21" s="569"/>
      <c r="G21" s="570"/>
    </row>
    <row r="22" spans="1:7" x14ac:dyDescent="0.25">
      <c r="A22" s="566"/>
      <c r="B22" s="569"/>
      <c r="C22" s="569"/>
      <c r="D22" s="569"/>
      <c r="E22" s="569"/>
      <c r="F22" s="569"/>
      <c r="G22" s="570"/>
    </row>
    <row r="23" spans="1:7" x14ac:dyDescent="0.25">
      <c r="A23" s="566" t="s">
        <v>63</v>
      </c>
      <c r="B23" s="568" t="s">
        <v>64</v>
      </c>
      <c r="C23" s="569"/>
      <c r="D23" s="569"/>
      <c r="E23" s="569"/>
      <c r="F23" s="569"/>
      <c r="G23" s="570"/>
    </row>
    <row r="24" spans="1:7" x14ac:dyDescent="0.25">
      <c r="A24" s="566"/>
      <c r="B24" s="569"/>
      <c r="C24" s="569"/>
      <c r="D24" s="569"/>
      <c r="E24" s="569"/>
      <c r="F24" s="569"/>
      <c r="G24" s="570"/>
    </row>
    <row r="25" spans="1:7" x14ac:dyDescent="0.25">
      <c r="A25" s="566" t="s">
        <v>65</v>
      </c>
      <c r="B25" s="568" t="s">
        <v>66</v>
      </c>
      <c r="C25" s="569"/>
      <c r="D25" s="569"/>
      <c r="E25" s="569"/>
      <c r="F25" s="569"/>
      <c r="G25" s="570"/>
    </row>
    <row r="26" spans="1:7" x14ac:dyDescent="0.25">
      <c r="A26" s="566"/>
      <c r="B26" s="569"/>
      <c r="C26" s="569"/>
      <c r="D26" s="569"/>
      <c r="E26" s="569"/>
      <c r="F26" s="569"/>
      <c r="G26" s="570"/>
    </row>
    <row r="27" spans="1:7" x14ac:dyDescent="0.25">
      <c r="A27" s="566" t="s">
        <v>67</v>
      </c>
      <c r="B27" s="568" t="s">
        <v>68</v>
      </c>
      <c r="C27" s="569"/>
      <c r="D27" s="569"/>
      <c r="E27" s="569"/>
      <c r="F27" s="569"/>
      <c r="G27" s="570"/>
    </row>
    <row r="28" spans="1:7" x14ac:dyDescent="0.25">
      <c r="A28" s="566"/>
      <c r="B28" s="569"/>
      <c r="C28" s="569"/>
      <c r="D28" s="569"/>
      <c r="E28" s="569"/>
      <c r="F28" s="569"/>
      <c r="G28" s="570"/>
    </row>
    <row r="29" spans="1:7" ht="12.75" customHeight="1" x14ac:dyDescent="0.25">
      <c r="A29" s="566" t="s">
        <v>69</v>
      </c>
      <c r="B29" s="568" t="s">
        <v>70</v>
      </c>
      <c r="C29" s="569"/>
      <c r="D29" s="569"/>
      <c r="E29" s="569"/>
      <c r="F29" s="569"/>
      <c r="G29" s="570"/>
    </row>
    <row r="30" spans="1:7" ht="29.25" customHeight="1" x14ac:dyDescent="0.25">
      <c r="A30" s="566"/>
      <c r="B30" s="569"/>
      <c r="C30" s="569"/>
      <c r="D30" s="569"/>
      <c r="E30" s="569"/>
      <c r="F30" s="569"/>
      <c r="G30" s="570"/>
    </row>
    <row r="31" spans="1:7" x14ac:dyDescent="0.25">
      <c r="A31" s="566" t="s">
        <v>71</v>
      </c>
      <c r="B31" s="568" t="s">
        <v>72</v>
      </c>
      <c r="C31" s="569"/>
      <c r="D31" s="569"/>
      <c r="E31" s="569"/>
      <c r="F31" s="569"/>
      <c r="G31" s="570"/>
    </row>
    <row r="32" spans="1:7" ht="60" customHeight="1" x14ac:dyDescent="0.25">
      <c r="A32" s="566"/>
      <c r="B32" s="569"/>
      <c r="C32" s="569"/>
      <c r="D32" s="569"/>
      <c r="E32" s="569"/>
      <c r="F32" s="569"/>
      <c r="G32" s="570"/>
    </row>
    <row r="33" spans="1:7" ht="12.75" customHeight="1" x14ac:dyDescent="0.25">
      <c r="A33" s="566" t="s">
        <v>73</v>
      </c>
      <c r="B33" s="568" t="s">
        <v>74</v>
      </c>
      <c r="C33" s="569"/>
      <c r="D33" s="569"/>
      <c r="E33" s="569"/>
      <c r="F33" s="569"/>
      <c r="G33" s="570"/>
    </row>
    <row r="34" spans="1:7" ht="43.5" customHeight="1" x14ac:dyDescent="0.25">
      <c r="A34" s="566"/>
      <c r="B34" s="569"/>
      <c r="C34" s="569"/>
      <c r="D34" s="569"/>
      <c r="E34" s="569"/>
      <c r="F34" s="569"/>
      <c r="G34" s="570"/>
    </row>
    <row r="35" spans="1:7" ht="12.75" customHeight="1" x14ac:dyDescent="0.25">
      <c r="A35" s="566" t="s">
        <v>75</v>
      </c>
      <c r="B35" s="568" t="s">
        <v>70</v>
      </c>
      <c r="C35" s="569"/>
      <c r="D35" s="569"/>
      <c r="E35" s="569"/>
      <c r="F35" s="569"/>
      <c r="G35" s="570"/>
    </row>
    <row r="36" spans="1:7" ht="27" customHeight="1" x14ac:dyDescent="0.25">
      <c r="A36" s="566"/>
      <c r="B36" s="569"/>
      <c r="C36" s="569"/>
      <c r="D36" s="569"/>
      <c r="E36" s="569"/>
      <c r="F36" s="569"/>
      <c r="G36" s="570"/>
    </row>
    <row r="37" spans="1:7" ht="30.75" customHeight="1" x14ac:dyDescent="0.25">
      <c r="A37" s="134" t="s">
        <v>76</v>
      </c>
      <c r="B37" s="135"/>
      <c r="C37" s="135"/>
      <c r="D37" s="135"/>
      <c r="E37" s="135"/>
      <c r="F37" s="135"/>
      <c r="G37" s="136"/>
    </row>
    <row r="38" spans="1:7" ht="30.75" customHeight="1" x14ac:dyDescent="0.25">
      <c r="A38" s="137" t="s">
        <v>43</v>
      </c>
      <c r="B38" s="573" t="s">
        <v>77</v>
      </c>
      <c r="C38" s="574"/>
      <c r="D38" s="574"/>
      <c r="E38" s="574"/>
      <c r="F38" s="574"/>
      <c r="G38" s="575"/>
    </row>
    <row r="39" spans="1:7" ht="30.75" customHeight="1" x14ac:dyDescent="0.25">
      <c r="A39" s="139" t="s">
        <v>78</v>
      </c>
      <c r="B39" s="576" t="s">
        <v>79</v>
      </c>
      <c r="C39" s="577"/>
      <c r="D39" s="577"/>
      <c r="E39" s="577"/>
      <c r="F39" s="577"/>
      <c r="G39" s="578"/>
    </row>
    <row r="40" spans="1:7" ht="30.75" customHeight="1" x14ac:dyDescent="0.25">
      <c r="A40" s="139" t="s">
        <v>80</v>
      </c>
      <c r="B40" s="576" t="s">
        <v>81</v>
      </c>
      <c r="C40" s="577"/>
      <c r="D40" s="577"/>
      <c r="E40" s="577"/>
      <c r="F40" s="577"/>
      <c r="G40" s="578"/>
    </row>
    <row r="41" spans="1:7" ht="72" customHeight="1" x14ac:dyDescent="0.25">
      <c r="A41" s="123" t="s">
        <v>82</v>
      </c>
      <c r="B41" s="587" t="s">
        <v>83</v>
      </c>
      <c r="C41" s="577"/>
      <c r="D41" s="577"/>
      <c r="E41" s="577"/>
      <c r="F41" s="577"/>
      <c r="G41" s="578"/>
    </row>
    <row r="42" spans="1:7" ht="19.5" customHeight="1" x14ac:dyDescent="0.25">
      <c r="A42" s="134" t="s">
        <v>84</v>
      </c>
      <c r="B42" s="135"/>
      <c r="C42" s="135"/>
      <c r="D42" s="135"/>
      <c r="E42" s="135"/>
      <c r="F42" s="135"/>
      <c r="G42" s="136"/>
    </row>
    <row r="43" spans="1:7" ht="24.75" customHeight="1" x14ac:dyDescent="0.25">
      <c r="A43" s="123" t="s">
        <v>43</v>
      </c>
      <c r="B43" s="583" t="s">
        <v>85</v>
      </c>
      <c r="C43" s="577"/>
      <c r="D43" s="577"/>
      <c r="E43" s="577"/>
      <c r="F43" s="577"/>
      <c r="G43" s="578"/>
    </row>
    <row r="45" spans="1:7" ht="21.5" thickBot="1" x14ac:dyDescent="0.55000000000000004">
      <c r="A45" s="585" t="s">
        <v>86</v>
      </c>
      <c r="B45" s="585"/>
      <c r="C45" s="585"/>
      <c r="D45" s="585"/>
      <c r="E45" s="585"/>
      <c r="F45" s="585"/>
      <c r="G45" s="585"/>
    </row>
    <row r="46" spans="1:7" x14ac:dyDescent="0.25">
      <c r="A46" s="579" t="s">
        <v>43</v>
      </c>
      <c r="B46" s="580" t="s">
        <v>87</v>
      </c>
      <c r="C46" s="581"/>
      <c r="D46" s="581"/>
      <c r="E46" s="581"/>
      <c r="F46" s="581"/>
      <c r="G46" s="582"/>
    </row>
    <row r="47" spans="1:7" ht="36" customHeight="1" x14ac:dyDescent="0.25">
      <c r="A47" s="566"/>
      <c r="B47" s="569"/>
      <c r="C47" s="569"/>
      <c r="D47" s="569"/>
      <c r="E47" s="569"/>
      <c r="F47" s="569"/>
      <c r="G47" s="570"/>
    </row>
    <row r="48" spans="1:7" x14ac:dyDescent="0.25">
      <c r="A48" s="566" t="s">
        <v>88</v>
      </c>
      <c r="B48" s="568" t="s">
        <v>89</v>
      </c>
      <c r="C48" s="569"/>
      <c r="D48" s="569"/>
      <c r="E48" s="569"/>
      <c r="F48" s="569"/>
      <c r="G48" s="570"/>
    </row>
    <row r="49" spans="1:8" ht="22.5" customHeight="1" x14ac:dyDescent="0.25">
      <c r="A49" s="566"/>
      <c r="B49" s="569"/>
      <c r="C49" s="569"/>
      <c r="D49" s="569"/>
      <c r="E49" s="569"/>
      <c r="F49" s="569"/>
      <c r="G49" s="570"/>
    </row>
    <row r="50" spans="1:8" x14ac:dyDescent="0.25">
      <c r="A50" s="566" t="s">
        <v>90</v>
      </c>
      <c r="B50" s="568" t="s">
        <v>91</v>
      </c>
      <c r="C50" s="569"/>
      <c r="D50" s="569"/>
      <c r="E50" s="569"/>
      <c r="F50" s="569"/>
      <c r="G50" s="570"/>
    </row>
    <row r="51" spans="1:8" ht="22.5" customHeight="1" x14ac:dyDescent="0.25">
      <c r="A51" s="566"/>
      <c r="B51" s="569"/>
      <c r="C51" s="569"/>
      <c r="D51" s="569"/>
      <c r="E51" s="569"/>
      <c r="F51" s="569"/>
      <c r="G51" s="570"/>
    </row>
    <row r="52" spans="1:8" x14ac:dyDescent="0.25">
      <c r="A52" s="566" t="s">
        <v>92</v>
      </c>
      <c r="B52" s="568" t="s">
        <v>93</v>
      </c>
      <c r="C52" s="569"/>
      <c r="D52" s="569"/>
      <c r="E52" s="569"/>
      <c r="F52" s="569"/>
      <c r="G52" s="570"/>
    </row>
    <row r="53" spans="1:8" ht="25.5" customHeight="1" thickBot="1" x14ac:dyDescent="0.3">
      <c r="A53" s="567"/>
      <c r="B53" s="571"/>
      <c r="C53" s="571"/>
      <c r="D53" s="571"/>
      <c r="E53" s="571"/>
      <c r="F53" s="571"/>
      <c r="G53" s="572"/>
    </row>
    <row r="55" spans="1:8" ht="21.5" thickBot="1" x14ac:dyDescent="0.55000000000000004">
      <c r="A55" s="585" t="s">
        <v>94</v>
      </c>
      <c r="B55" s="585"/>
      <c r="C55" s="585"/>
      <c r="D55" s="585"/>
      <c r="E55" s="585"/>
      <c r="F55" s="585"/>
      <c r="G55" s="585"/>
    </row>
    <row r="56" spans="1:8" ht="75" customHeight="1" x14ac:dyDescent="0.25">
      <c r="A56" s="138" t="s">
        <v>43</v>
      </c>
      <c r="B56" s="580" t="s">
        <v>95</v>
      </c>
      <c r="C56" s="580"/>
      <c r="D56" s="580"/>
      <c r="E56" s="580"/>
      <c r="F56" s="580"/>
      <c r="G56" s="586"/>
      <c r="H56" s="122"/>
    </row>
    <row r="57" spans="1:8" ht="69" customHeight="1" x14ac:dyDescent="0.25">
      <c r="A57" s="137" t="s">
        <v>96</v>
      </c>
      <c r="B57" s="568" t="s">
        <v>97</v>
      </c>
      <c r="C57" s="568"/>
      <c r="D57" s="568"/>
      <c r="E57" s="568"/>
      <c r="F57" s="568"/>
      <c r="G57" s="584"/>
    </row>
    <row r="59" spans="1:8" ht="21.5" thickBot="1" x14ac:dyDescent="0.55000000000000004">
      <c r="A59" s="585" t="s">
        <v>98</v>
      </c>
      <c r="B59" s="585"/>
      <c r="C59" s="585"/>
      <c r="D59" s="585"/>
      <c r="E59" s="585"/>
      <c r="F59" s="585"/>
      <c r="G59" s="585"/>
    </row>
    <row r="60" spans="1:8" ht="52.5" customHeight="1" x14ac:dyDescent="0.25">
      <c r="A60" s="138" t="s">
        <v>99</v>
      </c>
      <c r="B60" s="580" t="s">
        <v>100</v>
      </c>
      <c r="C60" s="580"/>
      <c r="D60" s="580"/>
      <c r="E60" s="580"/>
      <c r="F60" s="580"/>
      <c r="G60" s="586"/>
    </row>
    <row r="61" spans="1:8" ht="84.75" customHeight="1" x14ac:dyDescent="0.25">
      <c r="A61" s="137" t="s">
        <v>101</v>
      </c>
      <c r="B61" s="568" t="s">
        <v>102</v>
      </c>
      <c r="C61" s="568"/>
      <c r="D61" s="568"/>
      <c r="E61" s="568"/>
      <c r="F61" s="568"/>
      <c r="G61" s="584"/>
    </row>
    <row r="62" spans="1:8" ht="63.75" customHeight="1" x14ac:dyDescent="0.25">
      <c r="A62" s="137" t="s">
        <v>103</v>
      </c>
      <c r="B62" s="568" t="s">
        <v>104</v>
      </c>
      <c r="C62" s="568"/>
      <c r="D62" s="568"/>
      <c r="E62" s="568"/>
      <c r="F62" s="568"/>
      <c r="G62" s="584"/>
    </row>
    <row r="63" spans="1:8" ht="41.25" customHeight="1" x14ac:dyDescent="0.25"/>
  </sheetData>
  <mergeCells count="57">
    <mergeCell ref="A1:G1"/>
    <mergeCell ref="A3:A4"/>
    <mergeCell ref="B3:G4"/>
    <mergeCell ref="A2:G2"/>
    <mergeCell ref="A45:G45"/>
    <mergeCell ref="A5:A6"/>
    <mergeCell ref="B5:G6"/>
    <mergeCell ref="A7:A8"/>
    <mergeCell ref="B7:G8"/>
    <mergeCell ref="A9:A10"/>
    <mergeCell ref="B9:G10"/>
    <mergeCell ref="A11:A12"/>
    <mergeCell ref="B11:G12"/>
    <mergeCell ref="A13:A14"/>
    <mergeCell ref="B13:G14"/>
    <mergeCell ref="A15:A16"/>
    <mergeCell ref="B15:G16"/>
    <mergeCell ref="A17:A18"/>
    <mergeCell ref="B17:G18"/>
    <mergeCell ref="A19:A20"/>
    <mergeCell ref="B19:G20"/>
    <mergeCell ref="A21:A22"/>
    <mergeCell ref="B21:G22"/>
    <mergeCell ref="A23:A24"/>
    <mergeCell ref="B23:G24"/>
    <mergeCell ref="A25:A26"/>
    <mergeCell ref="B25:G26"/>
    <mergeCell ref="A27:A28"/>
    <mergeCell ref="B27:G28"/>
    <mergeCell ref="A29:A30"/>
    <mergeCell ref="B29:G30"/>
    <mergeCell ref="A31:A32"/>
    <mergeCell ref="B31:G32"/>
    <mergeCell ref="A33:A34"/>
    <mergeCell ref="B33:G34"/>
    <mergeCell ref="A35:A36"/>
    <mergeCell ref="B35:G36"/>
    <mergeCell ref="B41:G41"/>
    <mergeCell ref="B62:G62"/>
    <mergeCell ref="A55:G55"/>
    <mergeCell ref="B56:G56"/>
    <mergeCell ref="B57:G57"/>
    <mergeCell ref="A59:G59"/>
    <mergeCell ref="B60:G60"/>
    <mergeCell ref="B61:G61"/>
    <mergeCell ref="A52:A53"/>
    <mergeCell ref="B52:G53"/>
    <mergeCell ref="B38:G38"/>
    <mergeCell ref="B39:G39"/>
    <mergeCell ref="B40:G40"/>
    <mergeCell ref="A50:A51"/>
    <mergeCell ref="B50:G51"/>
    <mergeCell ref="A46:A47"/>
    <mergeCell ref="B46:G47"/>
    <mergeCell ref="A48:A49"/>
    <mergeCell ref="B48:G49"/>
    <mergeCell ref="B43:G43"/>
  </mergeCells>
  <hyperlinks>
    <hyperlink ref="H14" r:id="rId1" xr:uid="{B1645E81-1268-4428-BE08-3E170B8EDA8F}"/>
  </hyperlinks>
  <pageMargins left="0.7" right="0.7" top="0.75" bottom="0.75" header="0.3" footer="0.3"/>
  <pageSetup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36D3E-DAA7-904D-A383-8AEDB6BB6B72}">
  <dimension ref="A1:Q157"/>
  <sheetViews>
    <sheetView tabSelected="1" zoomScale="59" zoomScaleNormal="85" workbookViewId="0">
      <pane ySplit="5" topLeftCell="A99" activePane="bottomLeft" state="frozen"/>
      <selection activeCell="F16" sqref="F16:G16"/>
      <selection pane="bottomLeft" activeCell="L110" sqref="L110"/>
    </sheetView>
  </sheetViews>
  <sheetFormatPr defaultColWidth="9.26953125" defaultRowHeight="12.75" customHeight="1" x14ac:dyDescent="0.3"/>
  <cols>
    <col min="1" max="1" width="9" style="1" customWidth="1"/>
    <col min="2" max="2" width="6.26953125" style="1" customWidth="1"/>
    <col min="3" max="3" width="13.1796875" style="1" customWidth="1"/>
    <col min="4" max="4" width="51.7265625" style="202" customWidth="1"/>
    <col min="5" max="5" width="11.453125" style="160" customWidth="1"/>
    <col min="6" max="6" width="14.7265625" style="147" customWidth="1"/>
    <col min="7" max="7" width="13.26953125" style="160" customWidth="1"/>
    <col min="8" max="8" width="8.81640625" style="192" customWidth="1"/>
    <col min="9" max="9" width="12.1796875" style="400" customWidth="1"/>
    <col min="10" max="10" width="10.1796875" style="313" customWidth="1"/>
    <col min="11" max="11" width="14.26953125" style="147" customWidth="1"/>
    <col min="12" max="12" width="20.26953125" style="400" customWidth="1"/>
    <col min="13" max="13" width="14.26953125" style="344" customWidth="1"/>
    <col min="14" max="14" width="23.26953125" style="428" customWidth="1"/>
    <col min="15" max="15" width="62.7265625" style="202" customWidth="1"/>
    <col min="16" max="16" width="99.26953125" style="78" customWidth="1"/>
    <col min="17" max="16384" width="9.26953125" style="1"/>
  </cols>
  <sheetData>
    <row r="1" spans="1:17" ht="69" customHeight="1" x14ac:dyDescent="0.5">
      <c r="A1" s="624"/>
      <c r="B1" s="624"/>
      <c r="C1" s="624"/>
      <c r="D1" s="624"/>
      <c r="E1" s="201"/>
      <c r="F1" s="145"/>
      <c r="G1" s="201"/>
      <c r="H1" s="179"/>
      <c r="I1" s="379"/>
      <c r="J1" s="292"/>
      <c r="K1" s="150"/>
      <c r="L1" s="377"/>
      <c r="M1" s="330"/>
      <c r="N1" s="411"/>
      <c r="P1" s="1"/>
    </row>
    <row r="2" spans="1:17" ht="30" customHeight="1" x14ac:dyDescent="0.5">
      <c r="A2" s="625" t="s">
        <v>105</v>
      </c>
      <c r="B2" s="625"/>
      <c r="C2" s="625"/>
      <c r="D2" s="203" t="s">
        <v>106</v>
      </c>
      <c r="E2" s="628"/>
      <c r="F2" s="628"/>
      <c r="G2" s="628"/>
      <c r="H2" s="628"/>
      <c r="I2" s="629"/>
      <c r="J2" s="629"/>
      <c r="K2" s="629"/>
      <c r="L2" s="378"/>
      <c r="M2" s="331"/>
      <c r="N2" s="411"/>
      <c r="P2" s="1"/>
    </row>
    <row r="3" spans="1:17" ht="27.75" customHeight="1" thickBot="1" x14ac:dyDescent="0.55000000000000004">
      <c r="A3" s="625" t="s">
        <v>107</v>
      </c>
      <c r="B3" s="625"/>
      <c r="C3" s="625"/>
      <c r="D3" s="203" t="s">
        <v>108</v>
      </c>
      <c r="E3" s="204"/>
      <c r="F3" s="148"/>
      <c r="G3" s="204"/>
      <c r="H3" s="180"/>
      <c r="I3" s="401"/>
      <c r="J3" s="292"/>
      <c r="K3" s="145"/>
      <c r="L3" s="379"/>
      <c r="M3" s="332"/>
      <c r="N3" s="411"/>
      <c r="O3" s="205"/>
      <c r="P3" s="1"/>
    </row>
    <row r="4" spans="1:17" ht="18.75" customHeight="1" collapsed="1" thickBot="1" x14ac:dyDescent="0.35">
      <c r="A4" s="630" t="s">
        <v>2</v>
      </c>
      <c r="B4" s="636" t="s">
        <v>46</v>
      </c>
      <c r="C4" s="636" t="s">
        <v>109</v>
      </c>
      <c r="D4" s="634" t="s">
        <v>50</v>
      </c>
      <c r="E4" s="645" t="s">
        <v>52</v>
      </c>
      <c r="F4" s="626" t="s">
        <v>110</v>
      </c>
      <c r="G4" s="626" t="s">
        <v>111</v>
      </c>
      <c r="H4" s="626" t="s">
        <v>112</v>
      </c>
      <c r="I4" s="649" t="s">
        <v>113</v>
      </c>
      <c r="J4" s="647" t="s">
        <v>63</v>
      </c>
      <c r="K4" s="626" t="s">
        <v>114</v>
      </c>
      <c r="L4" s="441"/>
      <c r="M4" s="442"/>
      <c r="N4" s="638" t="s">
        <v>115</v>
      </c>
      <c r="O4" s="443"/>
      <c r="P4" s="632" t="s">
        <v>116</v>
      </c>
    </row>
    <row r="5" spans="1:17" ht="57" customHeight="1" x14ac:dyDescent="0.3">
      <c r="A5" s="631"/>
      <c r="B5" s="637"/>
      <c r="C5" s="637"/>
      <c r="D5" s="635"/>
      <c r="E5" s="646"/>
      <c r="F5" s="627"/>
      <c r="G5" s="627"/>
      <c r="H5" s="627"/>
      <c r="I5" s="650"/>
      <c r="J5" s="648"/>
      <c r="K5" s="627"/>
      <c r="L5" s="380" t="s">
        <v>117</v>
      </c>
      <c r="M5" s="333" t="s">
        <v>118</v>
      </c>
      <c r="N5" s="639"/>
      <c r="O5" s="178" t="s">
        <v>119</v>
      </c>
      <c r="P5" s="633"/>
    </row>
    <row r="6" spans="1:17" ht="15.75" customHeight="1" x14ac:dyDescent="0.3">
      <c r="A6" s="444" t="s">
        <v>16</v>
      </c>
      <c r="B6" s="116"/>
      <c r="C6" s="116"/>
      <c r="D6" s="172"/>
      <c r="E6" s="117"/>
      <c r="F6" s="144"/>
      <c r="G6" s="117"/>
      <c r="H6" s="144"/>
      <c r="I6" s="381"/>
      <c r="J6" s="293"/>
      <c r="K6" s="144"/>
      <c r="L6" s="381"/>
      <c r="M6" s="334"/>
      <c r="N6" s="412"/>
      <c r="O6" s="155"/>
      <c r="P6" s="445"/>
    </row>
    <row r="7" spans="1:17" s="81" customFormat="1" ht="17.25" customHeight="1" x14ac:dyDescent="0.3">
      <c r="A7" s="640" t="s">
        <v>120</v>
      </c>
      <c r="B7" s="641"/>
      <c r="C7" s="641"/>
      <c r="D7" s="641"/>
      <c r="E7" s="641"/>
      <c r="F7" s="641"/>
      <c r="G7" s="641"/>
      <c r="H7" s="641"/>
      <c r="I7" s="641"/>
      <c r="J7" s="641"/>
      <c r="K7" s="641"/>
      <c r="L7" s="641"/>
      <c r="M7" s="641"/>
      <c r="N7" s="641"/>
      <c r="O7" s="206"/>
      <c r="P7" s="446"/>
    </row>
    <row r="8" spans="1:17" s="81" customFormat="1" ht="17.25" customHeight="1" x14ac:dyDescent="0.3">
      <c r="A8" s="600" t="s">
        <v>121</v>
      </c>
      <c r="B8" s="601"/>
      <c r="C8" s="601"/>
      <c r="D8" s="601"/>
      <c r="E8" s="601"/>
      <c r="F8" s="601"/>
      <c r="G8" s="601"/>
      <c r="H8" s="601"/>
      <c r="I8" s="601"/>
      <c r="J8" s="601"/>
      <c r="K8" s="601"/>
      <c r="L8" s="601"/>
      <c r="M8" s="601"/>
      <c r="N8" s="601"/>
      <c r="O8" s="601"/>
      <c r="P8" s="602"/>
    </row>
    <row r="9" spans="1:17" s="81" customFormat="1" ht="17.25" customHeight="1" x14ac:dyDescent="0.3">
      <c r="A9" s="603" t="s">
        <v>122</v>
      </c>
      <c r="B9" s="604"/>
      <c r="C9" s="604"/>
      <c r="D9" s="604"/>
      <c r="E9" s="604"/>
      <c r="F9" s="604"/>
      <c r="G9" s="604"/>
      <c r="H9" s="604"/>
      <c r="I9" s="604"/>
      <c r="J9" s="604"/>
      <c r="K9" s="604"/>
      <c r="L9" s="604"/>
      <c r="M9" s="604"/>
      <c r="N9" s="604"/>
      <c r="O9" s="604"/>
      <c r="P9" s="605"/>
    </row>
    <row r="10" spans="1:17" s="81" customFormat="1" ht="16" customHeight="1" x14ac:dyDescent="0.3">
      <c r="A10" s="447">
        <v>1</v>
      </c>
      <c r="B10" s="86">
        <v>1.1000000000000001</v>
      </c>
      <c r="C10" s="87" t="s">
        <v>123</v>
      </c>
      <c r="D10" s="173" t="s">
        <v>124</v>
      </c>
      <c r="E10" s="159">
        <v>4</v>
      </c>
      <c r="F10" s="197" t="s">
        <v>125</v>
      </c>
      <c r="G10" s="197"/>
      <c r="H10" s="162">
        <v>1</v>
      </c>
      <c r="I10" s="376">
        <v>1000</v>
      </c>
      <c r="J10" s="291">
        <v>80</v>
      </c>
      <c r="K10" s="151" t="s">
        <v>126</v>
      </c>
      <c r="L10" s="376">
        <f>0.7*N10</f>
        <v>56000</v>
      </c>
      <c r="M10" s="320">
        <f>0.3*N10</f>
        <v>24000</v>
      </c>
      <c r="N10" s="413">
        <f>I10*J10</f>
        <v>80000</v>
      </c>
      <c r="O10" s="157" t="s">
        <v>127</v>
      </c>
      <c r="P10" s="651" t="s">
        <v>128</v>
      </c>
      <c r="Q10" s="142"/>
    </row>
    <row r="11" spans="1:17" s="81" customFormat="1" ht="19" customHeight="1" x14ac:dyDescent="0.3">
      <c r="A11" s="447">
        <v>1</v>
      </c>
      <c r="B11" s="86">
        <v>1.1000000000000001</v>
      </c>
      <c r="C11" s="87" t="s">
        <v>129</v>
      </c>
      <c r="D11" s="173" t="s">
        <v>130</v>
      </c>
      <c r="E11" s="159">
        <v>5</v>
      </c>
      <c r="F11" s="197" t="s">
        <v>125</v>
      </c>
      <c r="G11" s="197"/>
      <c r="H11" s="162">
        <v>1</v>
      </c>
      <c r="I11" s="376"/>
      <c r="J11" s="291"/>
      <c r="K11" s="151" t="s">
        <v>131</v>
      </c>
      <c r="L11" s="320">
        <f>1*N11</f>
        <v>11400</v>
      </c>
      <c r="M11" s="142"/>
      <c r="N11" s="413">
        <v>11400</v>
      </c>
      <c r="O11" s="157" t="s">
        <v>132</v>
      </c>
      <c r="P11" s="652"/>
      <c r="Q11" s="142"/>
    </row>
    <row r="12" spans="1:17" s="81" customFormat="1" ht="17.25" customHeight="1" x14ac:dyDescent="0.3">
      <c r="A12" s="448"/>
      <c r="B12" s="76"/>
      <c r="C12" s="77"/>
      <c r="D12" s="207" t="s">
        <v>133</v>
      </c>
      <c r="E12" s="208"/>
      <c r="F12" s="146"/>
      <c r="G12" s="208"/>
      <c r="H12" s="181"/>
      <c r="I12" s="290"/>
      <c r="J12" s="294"/>
      <c r="K12" s="146"/>
      <c r="L12" s="290">
        <f>L10+L11</f>
        <v>67400</v>
      </c>
      <c r="M12" s="324">
        <f>M10+M11</f>
        <v>24000</v>
      </c>
      <c r="N12" s="414">
        <f>SUM(N10:N11)</f>
        <v>91400</v>
      </c>
      <c r="O12" s="207"/>
      <c r="P12" s="652"/>
    </row>
    <row r="13" spans="1:17" s="81" customFormat="1" ht="17.25" customHeight="1" x14ac:dyDescent="0.3">
      <c r="A13" s="642" t="s">
        <v>134</v>
      </c>
      <c r="B13" s="643"/>
      <c r="C13" s="643"/>
      <c r="D13" s="643"/>
      <c r="E13" s="643"/>
      <c r="F13" s="643"/>
      <c r="G13" s="643"/>
      <c r="H13" s="643"/>
      <c r="I13" s="643"/>
      <c r="J13" s="643"/>
      <c r="K13" s="643"/>
      <c r="L13" s="643"/>
      <c r="M13" s="643"/>
      <c r="N13" s="643"/>
      <c r="O13" s="643"/>
      <c r="P13" s="644"/>
    </row>
    <row r="14" spans="1:17" s="81" customFormat="1" ht="18" customHeight="1" x14ac:dyDescent="0.3">
      <c r="A14" s="447">
        <v>1</v>
      </c>
      <c r="B14" s="86">
        <v>1.1000000000000001</v>
      </c>
      <c r="C14" s="141" t="s">
        <v>135</v>
      </c>
      <c r="D14" s="173" t="s">
        <v>136</v>
      </c>
      <c r="E14" s="159">
        <v>4</v>
      </c>
      <c r="F14" s="197" t="s">
        <v>125</v>
      </c>
      <c r="G14" s="193"/>
      <c r="H14" s="162">
        <v>2</v>
      </c>
      <c r="I14" s="376">
        <v>700</v>
      </c>
      <c r="J14" s="291">
        <v>90</v>
      </c>
      <c r="K14" s="162" t="s">
        <v>137</v>
      </c>
      <c r="L14" s="376">
        <f>0.5*N14</f>
        <v>63000</v>
      </c>
      <c r="M14" s="320">
        <f>0.5*N14</f>
        <v>63000</v>
      </c>
      <c r="N14" s="415">
        <f>I14*J14*H14</f>
        <v>126000</v>
      </c>
      <c r="O14" s="157" t="s">
        <v>138</v>
      </c>
      <c r="P14" s="655" t="s">
        <v>139</v>
      </c>
    </row>
    <row r="15" spans="1:17" s="81" customFormat="1" ht="15" customHeight="1" x14ac:dyDescent="0.3">
      <c r="A15" s="447">
        <v>1</v>
      </c>
      <c r="B15" s="86">
        <v>1.1000000000000001</v>
      </c>
      <c r="C15" s="141" t="s">
        <v>140</v>
      </c>
      <c r="D15" s="173" t="s">
        <v>130</v>
      </c>
      <c r="E15" s="159">
        <v>5</v>
      </c>
      <c r="F15" s="197" t="s">
        <v>125</v>
      </c>
      <c r="G15" s="193"/>
      <c r="H15" s="162">
        <v>2</v>
      </c>
      <c r="I15" s="376">
        <v>6000</v>
      </c>
      <c r="J15" s="291"/>
      <c r="K15" s="151" t="s">
        <v>131</v>
      </c>
      <c r="L15" s="376">
        <f>N15</f>
        <v>12000</v>
      </c>
      <c r="M15" s="320"/>
      <c r="N15" s="416">
        <f>H15*I15</f>
        <v>12000</v>
      </c>
      <c r="O15" s="157" t="s">
        <v>141</v>
      </c>
      <c r="P15" s="656"/>
    </row>
    <row r="16" spans="1:17" s="81" customFormat="1" ht="17.25" customHeight="1" x14ac:dyDescent="0.3">
      <c r="A16" s="448"/>
      <c r="B16" s="76"/>
      <c r="C16" s="77"/>
      <c r="D16" s="207" t="s">
        <v>142</v>
      </c>
      <c r="E16" s="208"/>
      <c r="F16" s="146"/>
      <c r="G16" s="208"/>
      <c r="H16" s="181"/>
      <c r="I16" s="290"/>
      <c r="J16" s="294"/>
      <c r="K16" s="146"/>
      <c r="L16" s="290">
        <f>L14+L15</f>
        <v>75000</v>
      </c>
      <c r="M16" s="324">
        <f>M14+M15</f>
        <v>63000</v>
      </c>
      <c r="N16" s="414">
        <f>SUM(N14:N15)</f>
        <v>138000</v>
      </c>
      <c r="O16" s="207"/>
      <c r="P16" s="449"/>
    </row>
    <row r="17" spans="1:16" s="81" customFormat="1" ht="13" x14ac:dyDescent="0.3">
      <c r="A17" s="597" t="s">
        <v>143</v>
      </c>
      <c r="B17" s="598"/>
      <c r="C17" s="598"/>
      <c r="D17" s="598"/>
      <c r="E17" s="598"/>
      <c r="F17" s="598"/>
      <c r="G17" s="598"/>
      <c r="H17" s="598"/>
      <c r="I17" s="598"/>
      <c r="J17" s="598"/>
      <c r="K17" s="598"/>
      <c r="L17" s="598"/>
      <c r="M17" s="598"/>
      <c r="N17" s="598"/>
      <c r="O17" s="598"/>
      <c r="P17" s="599"/>
    </row>
    <row r="18" spans="1:16" s="81" customFormat="1" ht="14.25" customHeight="1" x14ac:dyDescent="0.35">
      <c r="A18" s="447">
        <v>1</v>
      </c>
      <c r="B18" s="86">
        <v>1.1000000000000001</v>
      </c>
      <c r="C18" s="141" t="s">
        <v>144</v>
      </c>
      <c r="D18" s="173" t="s">
        <v>145</v>
      </c>
      <c r="E18" s="159">
        <v>4</v>
      </c>
      <c r="F18" s="197" t="s">
        <v>125</v>
      </c>
      <c r="G18" s="193"/>
      <c r="H18" s="162">
        <v>2</v>
      </c>
      <c r="I18" s="376">
        <v>1000</v>
      </c>
      <c r="J18" s="291">
        <v>30</v>
      </c>
      <c r="K18" s="151" t="s">
        <v>126</v>
      </c>
      <c r="L18" s="376">
        <f>0.7*N18</f>
        <v>42000</v>
      </c>
      <c r="M18" s="320">
        <f>0.3*N18</f>
        <v>18000</v>
      </c>
      <c r="N18" s="416">
        <f>I18*J18*H18</f>
        <v>60000</v>
      </c>
      <c r="O18" s="157" t="s">
        <v>146</v>
      </c>
      <c r="P18" s="451" t="s">
        <v>147</v>
      </c>
    </row>
    <row r="19" spans="1:16" s="81" customFormat="1" ht="17.25" customHeight="1" x14ac:dyDescent="0.3">
      <c r="A19" s="448"/>
      <c r="B19" s="76"/>
      <c r="C19" s="77"/>
      <c r="D19" s="207" t="s">
        <v>148</v>
      </c>
      <c r="E19" s="208"/>
      <c r="F19" s="146"/>
      <c r="G19" s="208"/>
      <c r="H19" s="181"/>
      <c r="I19" s="290"/>
      <c r="J19" s="294"/>
      <c r="K19" s="146"/>
      <c r="L19" s="290">
        <f>L18</f>
        <v>42000</v>
      </c>
      <c r="M19" s="324">
        <f>M18</f>
        <v>18000</v>
      </c>
      <c r="N19" s="414">
        <f>SUM(N17:N18)</f>
        <v>60000</v>
      </c>
      <c r="O19" s="207"/>
      <c r="P19" s="449"/>
    </row>
    <row r="20" spans="1:16" s="81" customFormat="1" ht="13" x14ac:dyDescent="0.3">
      <c r="A20" s="597" t="s">
        <v>149</v>
      </c>
      <c r="B20" s="598"/>
      <c r="C20" s="598"/>
      <c r="D20" s="598"/>
      <c r="E20" s="598"/>
      <c r="F20" s="598"/>
      <c r="G20" s="598"/>
      <c r="H20" s="598"/>
      <c r="I20" s="598"/>
      <c r="J20" s="598"/>
      <c r="K20" s="598"/>
      <c r="L20" s="598"/>
      <c r="M20" s="598"/>
      <c r="N20" s="598"/>
      <c r="O20" s="598"/>
      <c r="P20" s="599"/>
    </row>
    <row r="21" spans="1:16" s="81" customFormat="1" ht="14.25" customHeight="1" x14ac:dyDescent="0.3">
      <c r="A21" s="447">
        <v>1</v>
      </c>
      <c r="B21" s="86">
        <v>1.1000000000000001</v>
      </c>
      <c r="C21" s="141" t="s">
        <v>150</v>
      </c>
      <c r="D21" s="173" t="s">
        <v>151</v>
      </c>
      <c r="E21" s="159">
        <v>4</v>
      </c>
      <c r="F21" s="197" t="s">
        <v>125</v>
      </c>
      <c r="G21" s="193"/>
      <c r="H21" s="162">
        <v>1</v>
      </c>
      <c r="I21" s="376">
        <v>1000</v>
      </c>
      <c r="J21" s="291">
        <v>60</v>
      </c>
      <c r="K21" s="162" t="s">
        <v>137</v>
      </c>
      <c r="L21" s="376">
        <f>0.5*N21</f>
        <v>30000</v>
      </c>
      <c r="M21" s="320">
        <f>0.5*N21</f>
        <v>30000</v>
      </c>
      <c r="N21" s="384">
        <f>I21*J21</f>
        <v>60000</v>
      </c>
      <c r="O21" s="157" t="s">
        <v>152</v>
      </c>
      <c r="P21" s="657" t="s">
        <v>153</v>
      </c>
    </row>
    <row r="22" spans="1:16" s="81" customFormat="1" ht="17.25" customHeight="1" x14ac:dyDescent="0.3">
      <c r="A22" s="447">
        <v>1</v>
      </c>
      <c r="B22" s="86">
        <v>1.1000000000000001</v>
      </c>
      <c r="C22" s="141" t="s">
        <v>154</v>
      </c>
      <c r="D22" s="173" t="s">
        <v>155</v>
      </c>
      <c r="E22" s="159">
        <v>5</v>
      </c>
      <c r="F22" s="197" t="s">
        <v>125</v>
      </c>
      <c r="G22" s="209"/>
      <c r="H22" s="162">
        <v>1</v>
      </c>
      <c r="I22" s="402"/>
      <c r="J22" s="295"/>
      <c r="K22" s="151" t="s">
        <v>131</v>
      </c>
      <c r="L22" s="376">
        <f>N22</f>
        <v>5100</v>
      </c>
      <c r="M22" s="320"/>
      <c r="N22" s="384">
        <v>5100</v>
      </c>
      <c r="O22" s="157" t="s">
        <v>156</v>
      </c>
      <c r="P22" s="658"/>
    </row>
    <row r="23" spans="1:16" s="81" customFormat="1" ht="17.25" customHeight="1" x14ac:dyDescent="0.3">
      <c r="A23" s="448"/>
      <c r="B23" s="76"/>
      <c r="C23" s="77"/>
      <c r="D23" s="207" t="s">
        <v>157</v>
      </c>
      <c r="E23" s="208"/>
      <c r="F23" s="146"/>
      <c r="G23" s="208"/>
      <c r="H23" s="181"/>
      <c r="I23" s="290"/>
      <c r="J23" s="294"/>
      <c r="K23" s="146"/>
      <c r="L23" s="290">
        <f>L21+L22</f>
        <v>35100</v>
      </c>
      <c r="M23" s="324">
        <f>M21+M22</f>
        <v>30000</v>
      </c>
      <c r="N23" s="414">
        <f>SUM(N21:N22)</f>
        <v>65100</v>
      </c>
      <c r="O23" s="207"/>
      <c r="P23" s="658"/>
    </row>
    <row r="24" spans="1:16" s="81" customFormat="1" ht="13" x14ac:dyDescent="0.3">
      <c r="A24" s="597" t="s">
        <v>158</v>
      </c>
      <c r="B24" s="598"/>
      <c r="C24" s="598"/>
      <c r="D24" s="598"/>
      <c r="E24" s="598"/>
      <c r="F24" s="598"/>
      <c r="G24" s="598"/>
      <c r="H24" s="598"/>
      <c r="I24" s="598"/>
      <c r="J24" s="598"/>
      <c r="K24" s="598"/>
      <c r="L24" s="598"/>
      <c r="M24" s="598"/>
      <c r="N24" s="598"/>
      <c r="O24" s="598"/>
      <c r="P24" s="599"/>
    </row>
    <row r="25" spans="1:16" s="81" customFormat="1" ht="17.25" customHeight="1" x14ac:dyDescent="0.3">
      <c r="A25" s="447">
        <v>1</v>
      </c>
      <c r="B25" s="86">
        <v>1.1000000000000001</v>
      </c>
      <c r="C25" s="141" t="s">
        <v>159</v>
      </c>
      <c r="D25" s="173" t="s">
        <v>160</v>
      </c>
      <c r="E25" s="159">
        <v>4</v>
      </c>
      <c r="F25" s="197" t="s">
        <v>125</v>
      </c>
      <c r="G25" s="209"/>
      <c r="H25" s="162">
        <v>1</v>
      </c>
      <c r="I25" s="403">
        <v>1000</v>
      </c>
      <c r="J25" s="314">
        <v>48</v>
      </c>
      <c r="K25" s="162" t="s">
        <v>137</v>
      </c>
      <c r="L25" s="376">
        <f>0.5*N25</f>
        <v>24000</v>
      </c>
      <c r="M25" s="320">
        <f>0.5*N25</f>
        <v>24000</v>
      </c>
      <c r="N25" s="384">
        <f>I25*J25</f>
        <v>48000</v>
      </c>
      <c r="O25" s="157" t="s">
        <v>161</v>
      </c>
      <c r="P25" s="657" t="s">
        <v>162</v>
      </c>
    </row>
    <row r="26" spans="1:16" s="81" customFormat="1" ht="17.25" customHeight="1" x14ac:dyDescent="0.3">
      <c r="A26" s="448"/>
      <c r="B26" s="76"/>
      <c r="C26" s="77"/>
      <c r="D26" s="207" t="s">
        <v>163</v>
      </c>
      <c r="E26" s="208"/>
      <c r="F26" s="146"/>
      <c r="G26" s="208"/>
      <c r="H26" s="181"/>
      <c r="I26" s="290"/>
      <c r="J26" s="294"/>
      <c r="K26" s="146"/>
      <c r="L26" s="290">
        <f>L25</f>
        <v>24000</v>
      </c>
      <c r="M26" s="324">
        <f>M25</f>
        <v>24000</v>
      </c>
      <c r="N26" s="385">
        <f>SUM(N25:N25)</f>
        <v>48000</v>
      </c>
      <c r="O26" s="207"/>
      <c r="P26" s="658"/>
    </row>
    <row r="27" spans="1:16" s="81" customFormat="1" ht="13" x14ac:dyDescent="0.3">
      <c r="A27" s="597" t="s">
        <v>164</v>
      </c>
      <c r="B27" s="598"/>
      <c r="C27" s="598"/>
      <c r="D27" s="598"/>
      <c r="E27" s="598"/>
      <c r="F27" s="598"/>
      <c r="G27" s="598"/>
      <c r="H27" s="598"/>
      <c r="I27" s="598"/>
      <c r="J27" s="598"/>
      <c r="K27" s="598"/>
      <c r="L27" s="598"/>
      <c r="M27" s="598"/>
      <c r="N27" s="598"/>
      <c r="O27" s="598"/>
      <c r="P27" s="599"/>
    </row>
    <row r="28" spans="1:16" s="81" customFormat="1" ht="17.25" customHeight="1" x14ac:dyDescent="0.3">
      <c r="A28" s="447">
        <v>1</v>
      </c>
      <c r="B28" s="86">
        <v>1.1000000000000001</v>
      </c>
      <c r="C28" s="141" t="s">
        <v>165</v>
      </c>
      <c r="D28" s="173" t="s">
        <v>166</v>
      </c>
      <c r="E28" s="159">
        <v>4</v>
      </c>
      <c r="F28" s="197" t="s">
        <v>125</v>
      </c>
      <c r="G28" s="209"/>
      <c r="H28" s="162">
        <v>1</v>
      </c>
      <c r="I28" s="403">
        <v>1000</v>
      </c>
      <c r="J28" s="314">
        <v>30</v>
      </c>
      <c r="K28" s="162" t="s">
        <v>137</v>
      </c>
      <c r="L28" s="376">
        <f>0.5*N28</f>
        <v>15000</v>
      </c>
      <c r="M28" s="320">
        <f>0.5*N28</f>
        <v>15000</v>
      </c>
      <c r="N28" s="384">
        <f>J28*I28*H28</f>
        <v>30000</v>
      </c>
      <c r="O28" s="157" t="s">
        <v>167</v>
      </c>
      <c r="P28" s="653" t="s">
        <v>168</v>
      </c>
    </row>
    <row r="29" spans="1:16" s="81" customFormat="1" ht="17.25" customHeight="1" x14ac:dyDescent="0.3">
      <c r="A29" s="448"/>
      <c r="B29" s="76"/>
      <c r="C29" s="77"/>
      <c r="D29" s="210" t="s">
        <v>169</v>
      </c>
      <c r="E29" s="208"/>
      <c r="F29" s="146"/>
      <c r="G29" s="208"/>
      <c r="H29" s="181"/>
      <c r="I29" s="290"/>
      <c r="J29" s="294"/>
      <c r="K29" s="146"/>
      <c r="L29" s="290">
        <f>L28</f>
        <v>15000</v>
      </c>
      <c r="M29" s="324">
        <f>M28</f>
        <v>15000</v>
      </c>
      <c r="N29" s="385">
        <f>SUM(N28:N28)</f>
        <v>30000</v>
      </c>
      <c r="O29" s="207"/>
      <c r="P29" s="654"/>
    </row>
    <row r="30" spans="1:16" s="81" customFormat="1" ht="13" x14ac:dyDescent="0.3">
      <c r="A30" s="452"/>
      <c r="B30" s="243"/>
      <c r="C30" s="244"/>
      <c r="D30" s="245" t="s">
        <v>170</v>
      </c>
      <c r="E30" s="246"/>
      <c r="F30" s="247"/>
      <c r="G30" s="246"/>
      <c r="H30" s="248"/>
      <c r="I30" s="391"/>
      <c r="J30" s="296"/>
      <c r="K30" s="247"/>
      <c r="L30" s="382">
        <f>SUM(L12+L16+L19+L23+L26+L29)</f>
        <v>258500</v>
      </c>
      <c r="M30" s="322">
        <f>SUM(M12+M16+M19+M23+M26+M29)</f>
        <v>174000</v>
      </c>
      <c r="N30" s="382">
        <f>SUM(N12+N16+N19+N23+N26+N29)</f>
        <v>432500</v>
      </c>
      <c r="O30" s="245"/>
      <c r="P30" s="453"/>
    </row>
    <row r="31" spans="1:16" s="81" customFormat="1" ht="17.25" customHeight="1" x14ac:dyDescent="0.3">
      <c r="A31" s="592" t="s">
        <v>171</v>
      </c>
      <c r="B31" s="593"/>
      <c r="C31" s="593"/>
      <c r="D31" s="593"/>
      <c r="E31" s="593"/>
      <c r="F31" s="593"/>
      <c r="G31" s="593"/>
      <c r="H31" s="593"/>
      <c r="I31" s="593"/>
      <c r="J31" s="593"/>
      <c r="K31" s="593"/>
      <c r="L31" s="593"/>
      <c r="M31" s="593"/>
      <c r="N31" s="593"/>
      <c r="O31" s="593"/>
      <c r="P31" s="594"/>
    </row>
    <row r="32" spans="1:16" s="81" customFormat="1" ht="13" x14ac:dyDescent="0.3">
      <c r="A32" s="597" t="s">
        <v>172</v>
      </c>
      <c r="B32" s="598"/>
      <c r="C32" s="598"/>
      <c r="D32" s="598"/>
      <c r="E32" s="598"/>
      <c r="F32" s="598"/>
      <c r="G32" s="598"/>
      <c r="H32" s="598"/>
      <c r="I32" s="598"/>
      <c r="J32" s="598"/>
      <c r="K32" s="598"/>
      <c r="L32" s="598"/>
      <c r="M32" s="598"/>
      <c r="N32" s="598"/>
      <c r="O32" s="598"/>
      <c r="P32" s="599"/>
    </row>
    <row r="33" spans="1:16" s="81" customFormat="1" ht="17.25" customHeight="1" x14ac:dyDescent="0.35">
      <c r="A33" s="454">
        <v>1</v>
      </c>
      <c r="B33" s="156">
        <v>1.2</v>
      </c>
      <c r="C33" s="141" t="s">
        <v>173</v>
      </c>
      <c r="D33" s="173" t="s">
        <v>174</v>
      </c>
      <c r="E33" s="159">
        <v>4</v>
      </c>
      <c r="F33" s="197" t="s">
        <v>125</v>
      </c>
      <c r="G33" s="209"/>
      <c r="H33" s="162">
        <v>1</v>
      </c>
      <c r="I33" s="403">
        <v>1000</v>
      </c>
      <c r="J33" s="314">
        <v>60</v>
      </c>
      <c r="K33" s="162" t="s">
        <v>137</v>
      </c>
      <c r="L33" s="376">
        <f>0.5*N33</f>
        <v>30000</v>
      </c>
      <c r="M33" s="320">
        <f>0.5*N33</f>
        <v>30000</v>
      </c>
      <c r="N33" s="384">
        <f>I33*J33</f>
        <v>60000</v>
      </c>
      <c r="O33" s="157" t="s">
        <v>175</v>
      </c>
      <c r="P33" s="451" t="s">
        <v>176</v>
      </c>
    </row>
    <row r="34" spans="1:16" s="81" customFormat="1" ht="17.25" customHeight="1" x14ac:dyDescent="0.3">
      <c r="A34" s="448"/>
      <c r="B34" s="76"/>
      <c r="C34" s="77"/>
      <c r="D34" s="210" t="s">
        <v>177</v>
      </c>
      <c r="E34" s="208"/>
      <c r="F34" s="146"/>
      <c r="G34" s="208"/>
      <c r="H34" s="181"/>
      <c r="I34" s="290"/>
      <c r="J34" s="294"/>
      <c r="K34" s="146"/>
      <c r="L34" s="290">
        <f>L33</f>
        <v>30000</v>
      </c>
      <c r="M34" s="324">
        <f>M33</f>
        <v>30000</v>
      </c>
      <c r="N34" s="385">
        <f>SUM(N33:N33)</f>
        <v>60000</v>
      </c>
      <c r="O34" s="207"/>
      <c r="P34" s="449"/>
    </row>
    <row r="35" spans="1:16" s="81" customFormat="1" ht="13" x14ac:dyDescent="0.3">
      <c r="A35" s="597" t="s">
        <v>178</v>
      </c>
      <c r="B35" s="598"/>
      <c r="C35" s="598"/>
      <c r="D35" s="598"/>
      <c r="E35" s="598"/>
      <c r="F35" s="598"/>
      <c r="G35" s="598"/>
      <c r="H35" s="598"/>
      <c r="I35" s="598"/>
      <c r="J35" s="598"/>
      <c r="K35" s="598"/>
      <c r="L35" s="598"/>
      <c r="M35" s="598"/>
      <c r="N35" s="598"/>
      <c r="O35" s="598"/>
      <c r="P35" s="599"/>
    </row>
    <row r="36" spans="1:16" s="81" customFormat="1" ht="17.25" customHeight="1" x14ac:dyDescent="0.3">
      <c r="A36" s="454">
        <v>1</v>
      </c>
      <c r="B36" s="156">
        <v>1.2</v>
      </c>
      <c r="C36" s="87" t="s">
        <v>179</v>
      </c>
      <c r="D36" s="173" t="s">
        <v>180</v>
      </c>
      <c r="E36" s="159">
        <v>4</v>
      </c>
      <c r="F36" s="197" t="s">
        <v>125</v>
      </c>
      <c r="G36" s="209"/>
      <c r="H36" s="162">
        <v>2</v>
      </c>
      <c r="I36" s="403">
        <v>800</v>
      </c>
      <c r="J36" s="314">
        <v>40</v>
      </c>
      <c r="K36" s="162" t="s">
        <v>137</v>
      </c>
      <c r="L36" s="376">
        <f>0.6*N36</f>
        <v>38400</v>
      </c>
      <c r="M36" s="320">
        <f>0.4*N36</f>
        <v>25600</v>
      </c>
      <c r="N36" s="384">
        <f>I36*J36*H36</f>
        <v>64000</v>
      </c>
      <c r="O36" s="157" t="s">
        <v>181</v>
      </c>
      <c r="P36" s="618" t="s">
        <v>182</v>
      </c>
    </row>
    <row r="37" spans="1:16" s="81" customFormat="1" ht="17.25" customHeight="1" x14ac:dyDescent="0.3">
      <c r="A37" s="448"/>
      <c r="B37" s="76"/>
      <c r="C37" s="77"/>
      <c r="D37" s="210" t="s">
        <v>183</v>
      </c>
      <c r="E37" s="208"/>
      <c r="F37" s="146"/>
      <c r="G37" s="208"/>
      <c r="H37" s="181"/>
      <c r="I37" s="290"/>
      <c r="J37" s="294"/>
      <c r="K37" s="146"/>
      <c r="L37" s="290">
        <f>L36</f>
        <v>38400</v>
      </c>
      <c r="M37" s="324">
        <f>M36</f>
        <v>25600</v>
      </c>
      <c r="N37" s="385">
        <f>SUM(N36:N36)</f>
        <v>64000</v>
      </c>
      <c r="O37" s="207"/>
      <c r="P37" s="619"/>
    </row>
    <row r="38" spans="1:16" s="81" customFormat="1" ht="13" x14ac:dyDescent="0.3">
      <c r="A38" s="450" t="s">
        <v>184</v>
      </c>
      <c r="B38" s="438"/>
      <c r="C38" s="438"/>
      <c r="D38" s="438"/>
      <c r="E38" s="438"/>
      <c r="F38" s="438"/>
      <c r="G38" s="438"/>
      <c r="H38" s="438"/>
      <c r="I38" s="438"/>
      <c r="J38" s="438"/>
      <c r="K38" s="438"/>
      <c r="L38" s="438"/>
      <c r="M38" s="438"/>
      <c r="N38" s="438"/>
      <c r="O38" s="438"/>
      <c r="P38" s="620"/>
    </row>
    <row r="39" spans="1:16" s="81" customFormat="1" ht="17.25" customHeight="1" x14ac:dyDescent="0.3">
      <c r="A39" s="454">
        <v>1</v>
      </c>
      <c r="B39" s="156">
        <v>1.2</v>
      </c>
      <c r="C39" s="87" t="s">
        <v>185</v>
      </c>
      <c r="D39" s="173" t="s">
        <v>186</v>
      </c>
      <c r="E39" s="159">
        <v>4</v>
      </c>
      <c r="F39" s="197" t="s">
        <v>125</v>
      </c>
      <c r="G39" s="209"/>
      <c r="H39" s="162">
        <v>2</v>
      </c>
      <c r="I39" s="403">
        <v>800</v>
      </c>
      <c r="J39" s="314">
        <v>60</v>
      </c>
      <c r="K39" s="162" t="s">
        <v>137</v>
      </c>
      <c r="L39" s="376">
        <f>0.5*N39</f>
        <v>48000</v>
      </c>
      <c r="M39" s="320">
        <f>0.5*N39</f>
        <v>48000</v>
      </c>
      <c r="N39" s="384">
        <f>H39*I39*J39</f>
        <v>96000</v>
      </c>
      <c r="O39" s="157" t="s">
        <v>187</v>
      </c>
      <c r="P39" s="455" t="s">
        <v>188</v>
      </c>
    </row>
    <row r="40" spans="1:16" s="81" customFormat="1" ht="17.25" customHeight="1" x14ac:dyDescent="0.3">
      <c r="A40" s="454">
        <v>1</v>
      </c>
      <c r="B40" s="156">
        <v>1.2</v>
      </c>
      <c r="C40" s="87" t="s">
        <v>189</v>
      </c>
      <c r="D40" s="173" t="s">
        <v>190</v>
      </c>
      <c r="E40" s="159">
        <v>4</v>
      </c>
      <c r="F40" s="197" t="s">
        <v>125</v>
      </c>
      <c r="G40" s="209"/>
      <c r="H40" s="162">
        <v>2</v>
      </c>
      <c r="I40" s="403">
        <v>500</v>
      </c>
      <c r="J40" s="314">
        <v>100</v>
      </c>
      <c r="K40" s="162" t="s">
        <v>137</v>
      </c>
      <c r="L40" s="376">
        <f>0.5*N40</f>
        <v>50000</v>
      </c>
      <c r="M40" s="320">
        <f>0.5*N40</f>
        <v>50000</v>
      </c>
      <c r="N40" s="384">
        <f>I40*J40*H40</f>
        <v>100000</v>
      </c>
      <c r="O40" s="157" t="s">
        <v>191</v>
      </c>
      <c r="P40" s="455" t="s">
        <v>192</v>
      </c>
    </row>
    <row r="41" spans="1:16" s="81" customFormat="1" ht="30" customHeight="1" x14ac:dyDescent="0.3">
      <c r="A41" s="454">
        <v>1</v>
      </c>
      <c r="B41" s="156">
        <v>1.2</v>
      </c>
      <c r="C41" s="87" t="s">
        <v>193</v>
      </c>
      <c r="D41" s="173" t="s">
        <v>194</v>
      </c>
      <c r="E41" s="159">
        <v>4</v>
      </c>
      <c r="F41" s="197" t="s">
        <v>125</v>
      </c>
      <c r="G41" s="209"/>
      <c r="H41" s="162">
        <v>2</v>
      </c>
      <c r="I41" s="403">
        <v>400</v>
      </c>
      <c r="J41" s="314">
        <v>140</v>
      </c>
      <c r="K41" s="162" t="s">
        <v>137</v>
      </c>
      <c r="L41" s="376">
        <f>0.5*N41</f>
        <v>56000</v>
      </c>
      <c r="M41" s="320">
        <f>0.5*N41</f>
        <v>56000</v>
      </c>
      <c r="N41" s="384">
        <f>I41*J41*H41</f>
        <v>112000</v>
      </c>
      <c r="O41" s="157" t="s">
        <v>195</v>
      </c>
      <c r="P41" s="455" t="s">
        <v>196</v>
      </c>
    </row>
    <row r="42" spans="1:16" s="81" customFormat="1" ht="17.25" customHeight="1" x14ac:dyDescent="0.3">
      <c r="A42" s="454">
        <v>1</v>
      </c>
      <c r="B42" s="156">
        <v>1.2</v>
      </c>
      <c r="C42" s="87" t="s">
        <v>197</v>
      </c>
      <c r="D42" s="173" t="s">
        <v>198</v>
      </c>
      <c r="E42" s="159">
        <v>5</v>
      </c>
      <c r="F42" s="197" t="s">
        <v>125</v>
      </c>
      <c r="G42" s="209"/>
      <c r="H42" s="182" t="s">
        <v>199</v>
      </c>
      <c r="I42" s="402"/>
      <c r="J42" s="295"/>
      <c r="K42" s="177" t="s">
        <v>200</v>
      </c>
      <c r="L42" s="376">
        <f>0.5*N42</f>
        <v>9000</v>
      </c>
      <c r="M42" s="320">
        <f>0.5*N42</f>
        <v>9000</v>
      </c>
      <c r="N42" s="384">
        <v>18000</v>
      </c>
      <c r="O42" s="157" t="s">
        <v>201</v>
      </c>
      <c r="P42" s="456"/>
    </row>
    <row r="43" spans="1:16" s="81" customFormat="1" ht="17.25" customHeight="1" x14ac:dyDescent="0.3">
      <c r="A43" s="448"/>
      <c r="B43" s="76"/>
      <c r="C43" s="77"/>
      <c r="D43" s="210" t="s">
        <v>202</v>
      </c>
      <c r="E43" s="208"/>
      <c r="F43" s="146"/>
      <c r="G43" s="208"/>
      <c r="H43" s="181"/>
      <c r="I43" s="290"/>
      <c r="J43" s="294"/>
      <c r="K43" s="146"/>
      <c r="L43" s="290">
        <f>L39+L40+L41+L42</f>
        <v>163000</v>
      </c>
      <c r="M43" s="324">
        <f>M39+M40+M41+M42</f>
        <v>163000</v>
      </c>
      <c r="N43" s="385">
        <f>SUM(N39:N42)</f>
        <v>326000</v>
      </c>
      <c r="O43" s="207"/>
      <c r="P43" s="449"/>
    </row>
    <row r="44" spans="1:16" s="81" customFormat="1" ht="13" x14ac:dyDescent="0.3">
      <c r="A44" s="597" t="s">
        <v>203</v>
      </c>
      <c r="B44" s="598"/>
      <c r="C44" s="598"/>
      <c r="D44" s="598"/>
      <c r="E44" s="598"/>
      <c r="F44" s="598"/>
      <c r="G44" s="598"/>
      <c r="H44" s="598"/>
      <c r="I44" s="598"/>
      <c r="J44" s="598"/>
      <c r="K44" s="598"/>
      <c r="L44" s="598"/>
      <c r="M44" s="598"/>
      <c r="N44" s="598"/>
      <c r="O44" s="598"/>
      <c r="P44" s="599"/>
    </row>
    <row r="45" spans="1:16" s="81" customFormat="1" ht="17.25" customHeight="1" x14ac:dyDescent="0.3">
      <c r="A45" s="454">
        <v>1</v>
      </c>
      <c r="B45" s="156">
        <v>1.2</v>
      </c>
      <c r="C45" s="87" t="s">
        <v>204</v>
      </c>
      <c r="D45" s="173" t="s">
        <v>205</v>
      </c>
      <c r="E45" s="159">
        <v>4</v>
      </c>
      <c r="F45" s="197" t="s">
        <v>125</v>
      </c>
      <c r="G45" s="209"/>
      <c r="H45" s="162">
        <v>2</v>
      </c>
      <c r="I45" s="403">
        <v>800</v>
      </c>
      <c r="J45" s="314">
        <v>90</v>
      </c>
      <c r="K45" s="177" t="s">
        <v>126</v>
      </c>
      <c r="L45" s="376">
        <f>0.5*N45</f>
        <v>72000</v>
      </c>
      <c r="M45" s="320">
        <f>0.5*N45</f>
        <v>72000</v>
      </c>
      <c r="N45" s="384">
        <f>H45*I45*J45</f>
        <v>144000</v>
      </c>
      <c r="O45" s="157" t="s">
        <v>206</v>
      </c>
      <c r="P45" s="621" t="s">
        <v>207</v>
      </c>
    </row>
    <row r="46" spans="1:16" s="81" customFormat="1" ht="17.25" customHeight="1" x14ac:dyDescent="0.3">
      <c r="A46" s="454">
        <v>1</v>
      </c>
      <c r="B46" s="156">
        <v>1.2</v>
      </c>
      <c r="C46" s="87" t="s">
        <v>208</v>
      </c>
      <c r="D46" s="173" t="s">
        <v>209</v>
      </c>
      <c r="E46" s="159">
        <v>7</v>
      </c>
      <c r="F46" s="197" t="s">
        <v>125</v>
      </c>
      <c r="G46" s="209"/>
      <c r="H46" s="162">
        <v>1</v>
      </c>
      <c r="I46" s="403"/>
      <c r="J46" s="314"/>
      <c r="K46" s="177" t="s">
        <v>200</v>
      </c>
      <c r="L46" s="376">
        <f>0.5*N46</f>
        <v>5250</v>
      </c>
      <c r="M46" s="320">
        <f>0.5*N46</f>
        <v>5250</v>
      </c>
      <c r="N46" s="384">
        <v>10500</v>
      </c>
      <c r="O46" s="157" t="s">
        <v>210</v>
      </c>
      <c r="P46" s="622"/>
    </row>
    <row r="47" spans="1:16" s="81" customFormat="1" ht="17.25" customHeight="1" x14ac:dyDescent="0.3">
      <c r="A47" s="454">
        <v>1</v>
      </c>
      <c r="B47" s="156">
        <v>1.2</v>
      </c>
      <c r="C47" s="87" t="s">
        <v>211</v>
      </c>
      <c r="D47" s="173" t="s">
        <v>99</v>
      </c>
      <c r="E47" s="159">
        <v>5</v>
      </c>
      <c r="F47" s="197" t="s">
        <v>125</v>
      </c>
      <c r="G47" s="209"/>
      <c r="H47" s="162">
        <v>1</v>
      </c>
      <c r="I47" s="403"/>
      <c r="J47" s="314"/>
      <c r="K47" s="177" t="s">
        <v>200</v>
      </c>
      <c r="L47" s="376">
        <f>N47</f>
        <v>8500</v>
      </c>
      <c r="M47" s="320"/>
      <c r="N47" s="384">
        <v>8500</v>
      </c>
      <c r="O47" s="157" t="s">
        <v>212</v>
      </c>
      <c r="P47" s="622"/>
    </row>
    <row r="48" spans="1:16" s="81" customFormat="1" ht="17.25" customHeight="1" x14ac:dyDescent="0.3">
      <c r="A48" s="448"/>
      <c r="B48" s="76"/>
      <c r="C48" s="77"/>
      <c r="D48" s="210" t="s">
        <v>213</v>
      </c>
      <c r="E48" s="208"/>
      <c r="F48" s="146"/>
      <c r="G48" s="208"/>
      <c r="H48" s="181"/>
      <c r="I48" s="290"/>
      <c r="J48" s="294"/>
      <c r="K48" s="146"/>
      <c r="L48" s="290">
        <f>L45+L46+L47</f>
        <v>85750</v>
      </c>
      <c r="M48" s="324">
        <f>M45+M46+M47</f>
        <v>77250</v>
      </c>
      <c r="N48" s="385">
        <f>SUM(N45:N47)</f>
        <v>163000</v>
      </c>
      <c r="O48" s="207"/>
      <c r="P48" s="623"/>
    </row>
    <row r="49" spans="1:16" s="81" customFormat="1" ht="13" x14ac:dyDescent="0.3">
      <c r="A49" s="457"/>
      <c r="B49" s="256"/>
      <c r="C49" s="257"/>
      <c r="D49" s="258" t="s">
        <v>214</v>
      </c>
      <c r="E49" s="259"/>
      <c r="F49" s="260"/>
      <c r="G49" s="259"/>
      <c r="H49" s="261"/>
      <c r="I49" s="388"/>
      <c r="J49" s="297"/>
      <c r="K49" s="260"/>
      <c r="L49" s="383">
        <f>SUM(L34+L37+L43+L48)</f>
        <v>317150</v>
      </c>
      <c r="M49" s="323">
        <f>SUM(M34+M37+M43+M48)</f>
        <v>295850</v>
      </c>
      <c r="N49" s="383">
        <f>SUM(N34+N37+N43+N48)</f>
        <v>613000</v>
      </c>
      <c r="O49" s="258"/>
      <c r="P49" s="458"/>
    </row>
    <row r="50" spans="1:16" s="81" customFormat="1" ht="17.149999999999999" customHeight="1" x14ac:dyDescent="0.3">
      <c r="A50" s="600" t="s">
        <v>215</v>
      </c>
      <c r="B50" s="601"/>
      <c r="C50" s="601"/>
      <c r="D50" s="601"/>
      <c r="E50" s="601"/>
      <c r="F50" s="601"/>
      <c r="G50" s="601"/>
      <c r="H50" s="601"/>
      <c r="I50" s="601"/>
      <c r="J50" s="601"/>
      <c r="K50" s="601"/>
      <c r="L50" s="601"/>
      <c r="M50" s="601"/>
      <c r="N50" s="601"/>
      <c r="O50" s="601"/>
      <c r="P50" s="602"/>
    </row>
    <row r="51" spans="1:16" s="81" customFormat="1" ht="13" x14ac:dyDescent="0.3">
      <c r="A51" s="611" t="s">
        <v>216</v>
      </c>
      <c r="B51" s="612"/>
      <c r="C51" s="612"/>
      <c r="D51" s="612"/>
      <c r="E51" s="612"/>
      <c r="F51" s="612"/>
      <c r="G51" s="612"/>
      <c r="H51" s="612"/>
      <c r="I51" s="612"/>
      <c r="J51" s="612"/>
      <c r="K51" s="612"/>
      <c r="L51" s="612"/>
      <c r="M51" s="612"/>
      <c r="N51" s="612"/>
      <c r="O51" s="612"/>
      <c r="P51" s="613"/>
    </row>
    <row r="52" spans="1:16" s="81" customFormat="1" ht="17.149999999999999" customHeight="1" x14ac:dyDescent="0.3">
      <c r="A52" s="454">
        <v>1</v>
      </c>
      <c r="B52" s="156">
        <v>1.3</v>
      </c>
      <c r="C52" s="87" t="s">
        <v>217</v>
      </c>
      <c r="D52" s="173" t="s">
        <v>218</v>
      </c>
      <c r="E52" s="159">
        <v>4</v>
      </c>
      <c r="F52" s="197" t="s">
        <v>125</v>
      </c>
      <c r="G52" s="209"/>
      <c r="H52" s="182"/>
      <c r="I52" s="402"/>
      <c r="J52" s="317"/>
      <c r="K52" s="177" t="s">
        <v>131</v>
      </c>
      <c r="L52" s="384"/>
      <c r="M52" s="345">
        <v>321000</v>
      </c>
      <c r="N52" s="417">
        <v>321000</v>
      </c>
      <c r="O52" s="318"/>
      <c r="P52" s="459" t="s">
        <v>219</v>
      </c>
    </row>
    <row r="53" spans="1:16" s="81" customFormat="1" ht="17.149999999999999" customHeight="1" x14ac:dyDescent="0.3">
      <c r="A53" s="448"/>
      <c r="B53" s="76"/>
      <c r="C53" s="77"/>
      <c r="D53" s="210" t="s">
        <v>220</v>
      </c>
      <c r="E53" s="208"/>
      <c r="F53" s="146"/>
      <c r="G53" s="208"/>
      <c r="H53" s="181"/>
      <c r="I53" s="290"/>
      <c r="J53" s="319"/>
      <c r="K53" s="146"/>
      <c r="L53" s="385"/>
      <c r="M53" s="321">
        <f>SUM(M52:M52)</f>
        <v>321000</v>
      </c>
      <c r="N53" s="385">
        <f>SUM(N52:N52)</f>
        <v>321000</v>
      </c>
      <c r="O53" s="208"/>
      <c r="P53" s="460"/>
    </row>
    <row r="54" spans="1:16" s="81" customFormat="1" ht="13" x14ac:dyDescent="0.3">
      <c r="A54" s="611" t="s">
        <v>221</v>
      </c>
      <c r="B54" s="612"/>
      <c r="C54" s="612"/>
      <c r="D54" s="612"/>
      <c r="E54" s="612"/>
      <c r="F54" s="612"/>
      <c r="G54" s="612"/>
      <c r="H54" s="612"/>
      <c r="I54" s="612"/>
      <c r="J54" s="612"/>
      <c r="K54" s="612"/>
      <c r="L54" s="612"/>
      <c r="M54" s="612"/>
      <c r="N54" s="612"/>
      <c r="O54" s="612"/>
      <c r="P54" s="613"/>
    </row>
    <row r="55" spans="1:16" s="81" customFormat="1" ht="17.149999999999999" customHeight="1" x14ac:dyDescent="0.3">
      <c r="A55" s="454">
        <v>1</v>
      </c>
      <c r="B55" s="156">
        <v>1.3</v>
      </c>
      <c r="C55" s="87" t="s">
        <v>222</v>
      </c>
      <c r="D55" s="173" t="s">
        <v>218</v>
      </c>
      <c r="E55" s="159">
        <v>4</v>
      </c>
      <c r="F55" s="197" t="s">
        <v>125</v>
      </c>
      <c r="G55" s="209"/>
      <c r="H55" s="182"/>
      <c r="I55" s="402"/>
      <c r="J55" s="317"/>
      <c r="K55" s="177" t="s">
        <v>131</v>
      </c>
      <c r="L55" s="384"/>
      <c r="M55" s="345">
        <v>321000</v>
      </c>
      <c r="N55" s="417">
        <v>321000</v>
      </c>
      <c r="O55" s="318"/>
      <c r="P55" s="459" t="s">
        <v>219</v>
      </c>
    </row>
    <row r="56" spans="1:16" s="81" customFormat="1" ht="17.149999999999999" customHeight="1" x14ac:dyDescent="0.3">
      <c r="A56" s="448"/>
      <c r="B56" s="76"/>
      <c r="C56" s="77"/>
      <c r="D56" s="210" t="s">
        <v>223</v>
      </c>
      <c r="E56" s="208"/>
      <c r="F56" s="146"/>
      <c r="G56" s="208"/>
      <c r="H56" s="181"/>
      <c r="I56" s="290"/>
      <c r="J56" s="319"/>
      <c r="K56" s="146"/>
      <c r="L56" s="385"/>
      <c r="M56" s="321">
        <f>SUM(M55:M55)</f>
        <v>321000</v>
      </c>
      <c r="N56" s="385">
        <f>SUM(N55:N55)</f>
        <v>321000</v>
      </c>
      <c r="O56" s="208"/>
      <c r="P56" s="460"/>
    </row>
    <row r="57" spans="1:16" s="81" customFormat="1" ht="13.5" thickBot="1" x14ac:dyDescent="0.35">
      <c r="A57" s="457"/>
      <c r="B57" s="256"/>
      <c r="C57" s="257"/>
      <c r="D57" s="258" t="s">
        <v>224</v>
      </c>
      <c r="E57" s="259"/>
      <c r="F57" s="260"/>
      <c r="G57" s="259"/>
      <c r="H57" s="261"/>
      <c r="I57" s="388"/>
      <c r="J57" s="260"/>
      <c r="K57" s="260"/>
      <c r="L57" s="383"/>
      <c r="M57" s="323">
        <f>SUM(M53+M56)</f>
        <v>642000</v>
      </c>
      <c r="N57" s="383">
        <f>SUM(N53+N56)</f>
        <v>642000</v>
      </c>
      <c r="O57" s="259"/>
      <c r="P57" s="461"/>
    </row>
    <row r="58" spans="1:16" ht="15" thickBot="1" x14ac:dyDescent="0.35">
      <c r="A58" s="462" t="s">
        <v>225</v>
      </c>
      <c r="B58" s="250"/>
      <c r="C58" s="250"/>
      <c r="D58" s="251"/>
      <c r="E58" s="252"/>
      <c r="F58" s="253"/>
      <c r="G58" s="252"/>
      <c r="H58" s="255"/>
      <c r="I58" s="386"/>
      <c r="J58" s="298"/>
      <c r="K58" s="253"/>
      <c r="L58" s="386">
        <f>L30+L49+L57</f>
        <v>575650</v>
      </c>
      <c r="M58" s="335">
        <f>M30+M49+M57</f>
        <v>1111850</v>
      </c>
      <c r="N58" s="386">
        <f>N30+N49+N57</f>
        <v>1687500</v>
      </c>
      <c r="O58" s="254"/>
      <c r="P58" s="463"/>
    </row>
    <row r="59" spans="1:16" s="81" customFormat="1" ht="17.25" customHeight="1" x14ac:dyDescent="0.3">
      <c r="A59" s="615" t="s">
        <v>226</v>
      </c>
      <c r="B59" s="616"/>
      <c r="C59" s="616"/>
      <c r="D59" s="616"/>
      <c r="E59" s="616"/>
      <c r="F59" s="616"/>
      <c r="G59" s="616"/>
      <c r="H59" s="616"/>
      <c r="I59" s="616"/>
      <c r="J59" s="616"/>
      <c r="K59" s="616"/>
      <c r="L59" s="616"/>
      <c r="M59" s="616"/>
      <c r="N59" s="617"/>
      <c r="O59" s="211"/>
      <c r="P59" s="464"/>
    </row>
    <row r="60" spans="1:16" s="81" customFormat="1" ht="17.25" customHeight="1" x14ac:dyDescent="0.3">
      <c r="A60" s="600" t="s">
        <v>227</v>
      </c>
      <c r="B60" s="601"/>
      <c r="C60" s="601"/>
      <c r="D60" s="601"/>
      <c r="E60" s="601"/>
      <c r="F60" s="601"/>
      <c r="G60" s="601"/>
      <c r="H60" s="601"/>
      <c r="I60" s="601"/>
      <c r="J60" s="601"/>
      <c r="K60" s="601"/>
      <c r="L60" s="601"/>
      <c r="M60" s="601"/>
      <c r="N60" s="601"/>
      <c r="O60" s="601"/>
      <c r="P60" s="602"/>
    </row>
    <row r="61" spans="1:16" s="81" customFormat="1" ht="13" x14ac:dyDescent="0.3">
      <c r="A61" s="611" t="s">
        <v>228</v>
      </c>
      <c r="B61" s="612"/>
      <c r="C61" s="612"/>
      <c r="D61" s="612"/>
      <c r="E61" s="612"/>
      <c r="F61" s="612"/>
      <c r="G61" s="612"/>
      <c r="H61" s="612"/>
      <c r="I61" s="612"/>
      <c r="J61" s="612"/>
      <c r="K61" s="612"/>
      <c r="L61" s="612"/>
      <c r="M61" s="612"/>
      <c r="N61" s="612"/>
      <c r="O61" s="612"/>
      <c r="P61" s="613"/>
    </row>
    <row r="62" spans="1:16" s="81" customFormat="1" ht="17.25" customHeight="1" x14ac:dyDescent="0.3">
      <c r="A62" s="454">
        <v>2</v>
      </c>
      <c r="B62" s="156">
        <v>2.1</v>
      </c>
      <c r="C62" s="87" t="s">
        <v>229</v>
      </c>
      <c r="D62" s="173" t="s">
        <v>230</v>
      </c>
      <c r="E62" s="159">
        <v>1</v>
      </c>
      <c r="F62" s="197" t="s">
        <v>125</v>
      </c>
      <c r="G62" s="209"/>
      <c r="H62" s="142">
        <v>1</v>
      </c>
      <c r="I62" s="403">
        <v>1000</v>
      </c>
      <c r="J62" s="314">
        <v>20</v>
      </c>
      <c r="K62" s="177" t="s">
        <v>137</v>
      </c>
      <c r="L62" s="376">
        <f>N62</f>
        <v>20000</v>
      </c>
      <c r="M62" s="320">
        <v>0</v>
      </c>
      <c r="N62" s="418">
        <f>J62*I62</f>
        <v>20000</v>
      </c>
      <c r="O62" s="157" t="s">
        <v>231</v>
      </c>
      <c r="P62" s="614" t="s">
        <v>232</v>
      </c>
    </row>
    <row r="63" spans="1:16" s="81" customFormat="1" ht="17.25" customHeight="1" x14ac:dyDescent="0.3">
      <c r="A63" s="454">
        <v>2</v>
      </c>
      <c r="B63" s="156">
        <v>2.1</v>
      </c>
      <c r="C63" s="87" t="s">
        <v>233</v>
      </c>
      <c r="D63" s="173" t="s">
        <v>234</v>
      </c>
      <c r="E63" s="159">
        <v>7</v>
      </c>
      <c r="F63" s="197" t="s">
        <v>125</v>
      </c>
      <c r="G63" s="209"/>
      <c r="H63" s="315">
        <v>1</v>
      </c>
      <c r="I63" s="403">
        <v>3000</v>
      </c>
      <c r="J63" s="314" t="s">
        <v>199</v>
      </c>
      <c r="K63" s="177" t="s">
        <v>131</v>
      </c>
      <c r="L63" s="376">
        <f>N63</f>
        <v>3000</v>
      </c>
      <c r="M63" s="320">
        <v>0</v>
      </c>
      <c r="N63" s="418">
        <f>I63*H63</f>
        <v>3000</v>
      </c>
      <c r="O63" s="157" t="s">
        <v>235</v>
      </c>
      <c r="P63" s="614"/>
    </row>
    <row r="64" spans="1:16" s="81" customFormat="1" ht="17.25" customHeight="1" x14ac:dyDescent="0.3">
      <c r="A64" s="448"/>
      <c r="B64" s="76"/>
      <c r="C64" s="77"/>
      <c r="D64" s="210" t="s">
        <v>236</v>
      </c>
      <c r="E64" s="208"/>
      <c r="F64" s="146"/>
      <c r="G64" s="208"/>
      <c r="H64" s="181"/>
      <c r="I64" s="290"/>
      <c r="J64" s="294"/>
      <c r="K64" s="146"/>
      <c r="L64" s="290">
        <f>L62+L63</f>
        <v>23000</v>
      </c>
      <c r="M64" s="324">
        <f>$N62*M62+$N63*M63</f>
        <v>0</v>
      </c>
      <c r="N64" s="385">
        <f>SUM(N62:N63)</f>
        <v>23000</v>
      </c>
      <c r="O64" s="207"/>
      <c r="P64" s="449"/>
    </row>
    <row r="65" spans="1:16" s="81" customFormat="1" ht="13" x14ac:dyDescent="0.3">
      <c r="A65" s="597" t="s">
        <v>237</v>
      </c>
      <c r="B65" s="598"/>
      <c r="C65" s="598"/>
      <c r="D65" s="598"/>
      <c r="E65" s="598"/>
      <c r="F65" s="598"/>
      <c r="G65" s="598"/>
      <c r="H65" s="598"/>
      <c r="I65" s="598"/>
      <c r="J65" s="598"/>
      <c r="K65" s="598"/>
      <c r="L65" s="598"/>
      <c r="M65" s="598"/>
      <c r="N65" s="598"/>
      <c r="O65" s="598"/>
      <c r="P65" s="599"/>
    </row>
    <row r="66" spans="1:16" s="81" customFormat="1" ht="17.25" customHeight="1" x14ac:dyDescent="0.3">
      <c r="A66" s="454">
        <v>2</v>
      </c>
      <c r="B66" s="156">
        <v>2.1</v>
      </c>
      <c r="C66" s="87" t="s">
        <v>238</v>
      </c>
      <c r="D66" s="173" t="s">
        <v>239</v>
      </c>
      <c r="E66" s="159">
        <v>1</v>
      </c>
      <c r="F66" s="197" t="s">
        <v>125</v>
      </c>
      <c r="G66" s="209"/>
      <c r="H66" s="315">
        <v>1</v>
      </c>
      <c r="I66" s="403">
        <v>1000</v>
      </c>
      <c r="J66" s="314">
        <v>44</v>
      </c>
      <c r="K66" s="177" t="s">
        <v>126</v>
      </c>
      <c r="L66" s="376">
        <f>N66</f>
        <v>40800</v>
      </c>
      <c r="M66" s="320">
        <v>0</v>
      </c>
      <c r="N66" s="418">
        <f>14*1200+30*800</f>
        <v>40800</v>
      </c>
      <c r="O66" s="157" t="s">
        <v>240</v>
      </c>
      <c r="P66" s="614" t="s">
        <v>241</v>
      </c>
    </row>
    <row r="67" spans="1:16" s="81" customFormat="1" ht="17.25" customHeight="1" x14ac:dyDescent="0.3">
      <c r="A67" s="454">
        <v>2</v>
      </c>
      <c r="B67" s="156">
        <v>2.1</v>
      </c>
      <c r="C67" s="87" t="s">
        <v>242</v>
      </c>
      <c r="D67" s="173" t="s">
        <v>243</v>
      </c>
      <c r="E67" s="159">
        <v>4</v>
      </c>
      <c r="F67" s="197" t="s">
        <v>244</v>
      </c>
      <c r="G67" s="209"/>
      <c r="H67" s="315">
        <v>1</v>
      </c>
      <c r="I67" s="403">
        <v>0</v>
      </c>
      <c r="J67" s="314">
        <v>20</v>
      </c>
      <c r="K67" s="177" t="s">
        <v>126</v>
      </c>
      <c r="L67" s="376">
        <f>N67</f>
        <v>0</v>
      </c>
      <c r="M67" s="320">
        <v>0</v>
      </c>
      <c r="N67" s="418">
        <v>0</v>
      </c>
      <c r="O67" s="157" t="s">
        <v>245</v>
      </c>
      <c r="P67" s="614"/>
    </row>
    <row r="68" spans="1:16" s="81" customFormat="1" ht="17.25" customHeight="1" x14ac:dyDescent="0.3">
      <c r="A68" s="454">
        <v>2</v>
      </c>
      <c r="B68" s="156">
        <v>2.1</v>
      </c>
      <c r="C68" s="87" t="s">
        <v>246</v>
      </c>
      <c r="D68" s="173" t="s">
        <v>247</v>
      </c>
      <c r="E68" s="159">
        <v>4</v>
      </c>
      <c r="F68" s="197" t="s">
        <v>125</v>
      </c>
      <c r="G68" s="209"/>
      <c r="H68" s="315">
        <v>1</v>
      </c>
      <c r="I68" s="403">
        <v>1400</v>
      </c>
      <c r="J68" s="314">
        <v>21</v>
      </c>
      <c r="K68" s="177" t="s">
        <v>126</v>
      </c>
      <c r="L68" s="376">
        <f>N68</f>
        <v>29400</v>
      </c>
      <c r="M68" s="320">
        <v>0</v>
      </c>
      <c r="N68" s="418">
        <f>J68*I68</f>
        <v>29400</v>
      </c>
      <c r="O68" s="157" t="s">
        <v>248</v>
      </c>
      <c r="P68" s="466"/>
    </row>
    <row r="69" spans="1:16" s="81" customFormat="1" ht="17.25" customHeight="1" x14ac:dyDescent="0.3">
      <c r="A69" s="448"/>
      <c r="B69" s="76"/>
      <c r="C69" s="77"/>
      <c r="D69" s="210" t="s">
        <v>249</v>
      </c>
      <c r="E69" s="208"/>
      <c r="F69" s="146"/>
      <c r="G69" s="208"/>
      <c r="H69" s="181"/>
      <c r="I69" s="290"/>
      <c r="J69" s="294"/>
      <c r="K69" s="146"/>
      <c r="L69" s="290">
        <f>L66+L67+L68</f>
        <v>70200</v>
      </c>
      <c r="M69" s="324">
        <f>$N66*M66+$N67*M67+$N68*M68</f>
        <v>0</v>
      </c>
      <c r="N69" s="385">
        <f>SUM(N66:N68)</f>
        <v>70200</v>
      </c>
      <c r="O69" s="207"/>
      <c r="P69" s="449"/>
    </row>
    <row r="70" spans="1:16" s="81" customFormat="1" ht="13" x14ac:dyDescent="0.3">
      <c r="A70" s="597" t="s">
        <v>250</v>
      </c>
      <c r="B70" s="598"/>
      <c r="C70" s="598"/>
      <c r="D70" s="598"/>
      <c r="E70" s="598"/>
      <c r="F70" s="598"/>
      <c r="G70" s="598"/>
      <c r="H70" s="598"/>
      <c r="I70" s="598"/>
      <c r="J70" s="598"/>
      <c r="K70" s="598"/>
      <c r="L70" s="598"/>
      <c r="M70" s="598"/>
      <c r="N70" s="598"/>
      <c r="O70" s="598"/>
      <c r="P70" s="599"/>
    </row>
    <row r="71" spans="1:16" s="81" customFormat="1" ht="17.25" customHeight="1" x14ac:dyDescent="0.3">
      <c r="A71" s="454">
        <v>2</v>
      </c>
      <c r="B71" s="156">
        <v>2.1</v>
      </c>
      <c r="C71" s="87" t="s">
        <v>251</v>
      </c>
      <c r="D71" s="173" t="s">
        <v>252</v>
      </c>
      <c r="E71" s="159">
        <v>1</v>
      </c>
      <c r="F71" s="197" t="s">
        <v>125</v>
      </c>
      <c r="G71" s="209"/>
      <c r="H71" s="182">
        <v>3</v>
      </c>
      <c r="I71" s="402">
        <v>1000</v>
      </c>
      <c r="J71" s="295">
        <v>50</v>
      </c>
      <c r="K71" s="163" t="s">
        <v>126</v>
      </c>
      <c r="L71" s="376">
        <v>0</v>
      </c>
      <c r="M71" s="320">
        <f>N71</f>
        <v>150000</v>
      </c>
      <c r="N71" s="418">
        <f>H71*I71*J71</f>
        <v>150000</v>
      </c>
      <c r="O71" s="157" t="s">
        <v>253</v>
      </c>
      <c r="P71" s="614" t="s">
        <v>241</v>
      </c>
    </row>
    <row r="72" spans="1:16" s="81" customFormat="1" ht="17.25" customHeight="1" x14ac:dyDescent="0.3">
      <c r="A72" s="454">
        <v>2</v>
      </c>
      <c r="B72" s="156">
        <v>2.1</v>
      </c>
      <c r="C72" s="87" t="s">
        <v>254</v>
      </c>
      <c r="D72" s="173" t="s">
        <v>255</v>
      </c>
      <c r="E72" s="159">
        <v>6</v>
      </c>
      <c r="F72" s="197" t="s">
        <v>125</v>
      </c>
      <c r="G72" s="209"/>
      <c r="H72" s="182"/>
      <c r="I72" s="402"/>
      <c r="J72" s="295"/>
      <c r="K72" s="163" t="s">
        <v>200</v>
      </c>
      <c r="L72" s="376">
        <v>0</v>
      </c>
      <c r="M72" s="320">
        <f>N72</f>
        <v>2000000</v>
      </c>
      <c r="N72" s="418">
        <v>2000000</v>
      </c>
      <c r="O72" s="157" t="s">
        <v>256</v>
      </c>
      <c r="P72" s="614"/>
    </row>
    <row r="73" spans="1:16" s="81" customFormat="1" ht="17.25" customHeight="1" x14ac:dyDescent="0.3">
      <c r="A73" s="448"/>
      <c r="B73" s="76"/>
      <c r="C73" s="77"/>
      <c r="D73" s="210" t="s">
        <v>257</v>
      </c>
      <c r="E73" s="208"/>
      <c r="F73" s="146"/>
      <c r="G73" s="208"/>
      <c r="H73" s="181"/>
      <c r="I73" s="290"/>
      <c r="J73" s="294"/>
      <c r="K73" s="146"/>
      <c r="L73" s="290">
        <f>$N71*L71+$N72*L72</f>
        <v>0</v>
      </c>
      <c r="M73" s="324">
        <f>M71+M72</f>
        <v>2150000</v>
      </c>
      <c r="N73" s="290">
        <f>SUM(N71:N72)</f>
        <v>2150000</v>
      </c>
      <c r="O73" s="290"/>
      <c r="P73" s="467"/>
    </row>
    <row r="74" spans="1:16" s="81" customFormat="1" ht="13" x14ac:dyDescent="0.3">
      <c r="A74" s="597" t="s">
        <v>258</v>
      </c>
      <c r="B74" s="598"/>
      <c r="C74" s="598"/>
      <c r="D74" s="598"/>
      <c r="E74" s="598"/>
      <c r="F74" s="598"/>
      <c r="G74" s="598"/>
      <c r="H74" s="598"/>
      <c r="I74" s="598"/>
      <c r="J74" s="598"/>
      <c r="K74" s="598"/>
      <c r="L74" s="598"/>
      <c r="M74" s="598"/>
      <c r="N74" s="598"/>
      <c r="O74" s="598"/>
      <c r="P74" s="599"/>
    </row>
    <row r="75" spans="1:16" s="81" customFormat="1" ht="17.25" customHeight="1" x14ac:dyDescent="0.3">
      <c r="A75" s="454">
        <v>2</v>
      </c>
      <c r="B75" s="156">
        <v>2.1</v>
      </c>
      <c r="C75" s="87" t="s">
        <v>259</v>
      </c>
      <c r="D75" s="212" t="s">
        <v>260</v>
      </c>
      <c r="E75" s="159">
        <v>1</v>
      </c>
      <c r="F75" s="197" t="s">
        <v>125</v>
      </c>
      <c r="G75" s="209"/>
      <c r="H75" s="182"/>
      <c r="I75" s="402"/>
      <c r="J75" s="295"/>
      <c r="K75" s="163"/>
      <c r="L75" s="376">
        <v>0</v>
      </c>
      <c r="M75" s="320">
        <v>0</v>
      </c>
      <c r="N75" s="418">
        <v>0</v>
      </c>
      <c r="O75" s="213" t="s">
        <v>261</v>
      </c>
      <c r="P75" s="465" t="s">
        <v>241</v>
      </c>
    </row>
    <row r="76" spans="1:16" s="81" customFormat="1" ht="17.25" customHeight="1" x14ac:dyDescent="0.3">
      <c r="A76" s="468"/>
      <c r="B76" s="174"/>
      <c r="C76" s="175"/>
      <c r="D76" s="214" t="s">
        <v>262</v>
      </c>
      <c r="E76" s="215"/>
      <c r="F76" s="198"/>
      <c r="G76" s="216"/>
      <c r="H76" s="183"/>
      <c r="I76" s="387"/>
      <c r="J76" s="299"/>
      <c r="K76" s="176"/>
      <c r="L76" s="387"/>
      <c r="M76" s="336"/>
      <c r="N76" s="419">
        <f>SUM(N75:N75)</f>
        <v>0</v>
      </c>
      <c r="O76" s="217"/>
      <c r="P76" s="469"/>
    </row>
    <row r="77" spans="1:16" s="81" customFormat="1" ht="13.5" thickBot="1" x14ac:dyDescent="0.35">
      <c r="A77" s="457"/>
      <c r="B77" s="256"/>
      <c r="C77" s="257"/>
      <c r="D77" s="258" t="s">
        <v>263</v>
      </c>
      <c r="E77" s="259"/>
      <c r="F77" s="260"/>
      <c r="G77" s="259"/>
      <c r="H77" s="261"/>
      <c r="I77" s="388"/>
      <c r="J77" s="297"/>
      <c r="K77" s="260"/>
      <c r="L77" s="388"/>
      <c r="M77" s="337"/>
      <c r="N77" s="383">
        <f>N64+N69+N73</f>
        <v>2243200</v>
      </c>
      <c r="O77" s="258"/>
      <c r="P77" s="458"/>
    </row>
    <row r="78" spans="1:16" ht="17.25" customHeight="1" thickBot="1" x14ac:dyDescent="0.35">
      <c r="A78" s="462" t="s">
        <v>264</v>
      </c>
      <c r="B78" s="250"/>
      <c r="C78" s="250"/>
      <c r="D78" s="251"/>
      <c r="E78" s="252"/>
      <c r="F78" s="253"/>
      <c r="G78" s="252"/>
      <c r="H78" s="255"/>
      <c r="I78" s="386"/>
      <c r="J78" s="298"/>
      <c r="K78" s="253"/>
      <c r="L78" s="386">
        <f>L64+L69+L73</f>
        <v>93200</v>
      </c>
      <c r="M78" s="335">
        <f>M64+M69+M73</f>
        <v>2150000</v>
      </c>
      <c r="N78" s="420">
        <f>N77</f>
        <v>2243200</v>
      </c>
      <c r="O78" s="254"/>
      <c r="P78" s="463"/>
    </row>
    <row r="79" spans="1:16" s="81" customFormat="1" ht="17.25" customHeight="1" x14ac:dyDescent="0.3">
      <c r="A79" s="609" t="s">
        <v>265</v>
      </c>
      <c r="B79" s="610"/>
      <c r="C79" s="610"/>
      <c r="D79" s="610"/>
      <c r="E79" s="610"/>
      <c r="F79" s="610"/>
      <c r="G79" s="610"/>
      <c r="H79" s="610"/>
      <c r="I79" s="610"/>
      <c r="J79" s="610"/>
      <c r="K79" s="610"/>
      <c r="L79" s="610"/>
      <c r="M79" s="610"/>
      <c r="N79" s="610"/>
      <c r="O79" s="218"/>
      <c r="P79" s="470"/>
    </row>
    <row r="80" spans="1:16" s="81" customFormat="1" ht="17.25" customHeight="1" x14ac:dyDescent="0.3">
      <c r="A80" s="600" t="s">
        <v>266</v>
      </c>
      <c r="B80" s="601"/>
      <c r="C80" s="601"/>
      <c r="D80" s="601"/>
      <c r="E80" s="601"/>
      <c r="F80" s="601"/>
      <c r="G80" s="601"/>
      <c r="H80" s="601"/>
      <c r="I80" s="601"/>
      <c r="J80" s="601"/>
      <c r="K80" s="601"/>
      <c r="L80" s="601"/>
      <c r="M80" s="601"/>
      <c r="N80" s="601"/>
      <c r="O80" s="601"/>
      <c r="P80" s="602"/>
    </row>
    <row r="81" spans="1:17" s="81" customFormat="1" ht="17.25" customHeight="1" x14ac:dyDescent="0.3">
      <c r="A81" s="603" t="s">
        <v>267</v>
      </c>
      <c r="B81" s="604"/>
      <c r="C81" s="604"/>
      <c r="D81" s="604"/>
      <c r="E81" s="604"/>
      <c r="F81" s="604"/>
      <c r="G81" s="604"/>
      <c r="H81" s="604"/>
      <c r="I81" s="604"/>
      <c r="J81" s="604"/>
      <c r="K81" s="604"/>
      <c r="L81" s="604"/>
      <c r="M81" s="604"/>
      <c r="N81" s="604"/>
      <c r="O81" s="604"/>
      <c r="P81" s="605"/>
    </row>
    <row r="82" spans="1:17" s="81" customFormat="1" ht="31" customHeight="1" x14ac:dyDescent="0.3">
      <c r="A82" s="447">
        <v>3</v>
      </c>
      <c r="B82" s="86">
        <v>3.1</v>
      </c>
      <c r="C82" s="87" t="s">
        <v>268</v>
      </c>
      <c r="D82" s="173" t="s">
        <v>269</v>
      </c>
      <c r="E82" s="197">
        <v>1</v>
      </c>
      <c r="F82" s="436" t="s">
        <v>270</v>
      </c>
      <c r="G82" s="197"/>
      <c r="H82" s="184">
        <v>1</v>
      </c>
      <c r="I82" s="376">
        <v>600</v>
      </c>
      <c r="J82" s="291">
        <v>20</v>
      </c>
      <c r="K82" s="151" t="s">
        <v>126</v>
      </c>
      <c r="L82" s="376">
        <f>N82</f>
        <v>12000</v>
      </c>
      <c r="M82" s="320"/>
      <c r="N82" s="421">
        <f>J82*I82*H82</f>
        <v>12000</v>
      </c>
      <c r="O82" s="157" t="s">
        <v>271</v>
      </c>
      <c r="P82" s="471" t="s">
        <v>272</v>
      </c>
      <c r="Q82" s="142"/>
    </row>
    <row r="83" spans="1:17" s="81" customFormat="1" ht="32.15" customHeight="1" x14ac:dyDescent="0.3">
      <c r="A83" s="447">
        <v>3</v>
      </c>
      <c r="B83" s="86">
        <v>3.1</v>
      </c>
      <c r="C83" s="87" t="s">
        <v>273</v>
      </c>
      <c r="D83" s="220" t="s">
        <v>274</v>
      </c>
      <c r="E83" s="199">
        <v>4</v>
      </c>
      <c r="F83" s="436" t="s">
        <v>125</v>
      </c>
      <c r="G83" s="197"/>
      <c r="H83" s="184">
        <v>3</v>
      </c>
      <c r="I83" s="376">
        <v>1000</v>
      </c>
      <c r="J83" s="291">
        <v>5</v>
      </c>
      <c r="K83" s="151" t="s">
        <v>126</v>
      </c>
      <c r="L83" s="376">
        <f>N83</f>
        <v>15000</v>
      </c>
      <c r="M83" s="320">
        <v>0</v>
      </c>
      <c r="N83" s="421">
        <f>H83*J83*I83</f>
        <v>15000</v>
      </c>
      <c r="O83" s="219" t="s">
        <v>275</v>
      </c>
      <c r="P83" s="471" t="s">
        <v>276</v>
      </c>
      <c r="Q83" s="142"/>
    </row>
    <row r="84" spans="1:17" s="81" customFormat="1" ht="17.25" customHeight="1" x14ac:dyDescent="0.3">
      <c r="A84" s="472"/>
      <c r="B84" s="152"/>
      <c r="C84" s="153"/>
      <c r="D84" s="221" t="s">
        <v>249</v>
      </c>
      <c r="E84" s="222"/>
      <c r="F84" s="154"/>
      <c r="G84" s="222"/>
      <c r="H84" s="185"/>
      <c r="I84" s="389"/>
      <c r="J84" s="300"/>
      <c r="K84" s="154"/>
      <c r="L84" s="389">
        <f>+L83</f>
        <v>15000</v>
      </c>
      <c r="M84" s="338">
        <f>$N83*M83</f>
        <v>0</v>
      </c>
      <c r="N84" s="422">
        <f>SUM(N83)</f>
        <v>15000</v>
      </c>
      <c r="O84" s="221"/>
      <c r="P84" s="473"/>
    </row>
    <row r="85" spans="1:17" s="81" customFormat="1" ht="17.25" customHeight="1" x14ac:dyDescent="0.3">
      <c r="A85" s="448"/>
      <c r="B85" s="76"/>
      <c r="C85" s="77"/>
      <c r="D85" s="207" t="s">
        <v>277</v>
      </c>
      <c r="E85" s="208"/>
      <c r="F85" s="146"/>
      <c r="G85" s="208"/>
      <c r="H85" s="181"/>
      <c r="I85" s="290"/>
      <c r="J85" s="294"/>
      <c r="K85" s="146"/>
      <c r="L85" s="290">
        <f>L82</f>
        <v>12000</v>
      </c>
      <c r="M85" s="324"/>
      <c r="N85" s="385">
        <f>N82</f>
        <v>12000</v>
      </c>
      <c r="O85" s="207"/>
      <c r="P85" s="449"/>
      <c r="Q85" s="142"/>
    </row>
    <row r="86" spans="1:17" s="81" customFormat="1" ht="14.25" customHeight="1" x14ac:dyDescent="0.3">
      <c r="A86" s="603" t="s">
        <v>278</v>
      </c>
      <c r="B86" s="604"/>
      <c r="C86" s="604"/>
      <c r="D86" s="604"/>
      <c r="E86" s="604"/>
      <c r="F86" s="604"/>
      <c r="G86" s="604"/>
      <c r="H86" s="604"/>
      <c r="I86" s="604"/>
      <c r="J86" s="604"/>
      <c r="K86" s="604"/>
      <c r="L86" s="604"/>
      <c r="M86" s="604"/>
      <c r="N86" s="604"/>
      <c r="O86" s="604"/>
      <c r="P86" s="605"/>
    </row>
    <row r="87" spans="1:17" s="81" customFormat="1" ht="31" customHeight="1" x14ac:dyDescent="0.3">
      <c r="A87" s="447">
        <v>3</v>
      </c>
      <c r="B87" s="86">
        <v>3.1</v>
      </c>
      <c r="C87" s="87" t="s">
        <v>279</v>
      </c>
      <c r="D87" s="173" t="s">
        <v>280</v>
      </c>
      <c r="E87" s="199">
        <v>1</v>
      </c>
      <c r="F87" s="436" t="s">
        <v>270</v>
      </c>
      <c r="G87" s="199"/>
      <c r="H87" s="184">
        <v>1</v>
      </c>
      <c r="I87" s="376">
        <v>1122.7</v>
      </c>
      <c r="J87" s="291">
        <v>20</v>
      </c>
      <c r="K87" s="151" t="s">
        <v>126</v>
      </c>
      <c r="L87" s="376">
        <f t="shared" ref="L87:L90" si="0">N87</f>
        <v>22454</v>
      </c>
      <c r="M87" s="320">
        <v>0</v>
      </c>
      <c r="N87" s="421">
        <f t="shared" ref="N87:N88" si="1">J87*I87*H87</f>
        <v>22454</v>
      </c>
      <c r="O87" s="157" t="s">
        <v>281</v>
      </c>
      <c r="P87" s="471" t="s">
        <v>282</v>
      </c>
    </row>
    <row r="88" spans="1:17" s="81" customFormat="1" ht="26" x14ac:dyDescent="0.3">
      <c r="A88" s="447">
        <v>3</v>
      </c>
      <c r="B88" s="86">
        <v>3.1</v>
      </c>
      <c r="C88" s="87" t="s">
        <v>283</v>
      </c>
      <c r="D88" s="173" t="s">
        <v>284</v>
      </c>
      <c r="E88" s="199">
        <v>1</v>
      </c>
      <c r="F88" s="436" t="s">
        <v>270</v>
      </c>
      <c r="G88" s="199"/>
      <c r="H88" s="184">
        <v>1</v>
      </c>
      <c r="I88" s="376">
        <v>600</v>
      </c>
      <c r="J88" s="291">
        <v>20</v>
      </c>
      <c r="K88" s="151" t="s">
        <v>126</v>
      </c>
      <c r="L88" s="376">
        <f t="shared" si="0"/>
        <v>12000</v>
      </c>
      <c r="M88" s="320">
        <v>0</v>
      </c>
      <c r="N88" s="421">
        <f t="shared" si="1"/>
        <v>12000</v>
      </c>
      <c r="O88" s="157" t="s">
        <v>285</v>
      </c>
      <c r="P88" s="471" t="s">
        <v>286</v>
      </c>
    </row>
    <row r="89" spans="1:17" s="81" customFormat="1" ht="29.25" customHeight="1" x14ac:dyDescent="0.3">
      <c r="A89" s="447">
        <v>3</v>
      </c>
      <c r="B89" s="86">
        <v>3.1</v>
      </c>
      <c r="C89" s="87" t="s">
        <v>287</v>
      </c>
      <c r="D89" s="173" t="s">
        <v>288</v>
      </c>
      <c r="E89" s="199">
        <v>4</v>
      </c>
      <c r="F89" s="199" t="s">
        <v>125</v>
      </c>
      <c r="G89" s="199"/>
      <c r="H89" s="186">
        <v>3</v>
      </c>
      <c r="I89" s="376">
        <v>1000</v>
      </c>
      <c r="J89" s="291">
        <v>10</v>
      </c>
      <c r="K89" s="151" t="s">
        <v>126</v>
      </c>
      <c r="L89" s="376">
        <f t="shared" si="0"/>
        <v>30000</v>
      </c>
      <c r="M89" s="320">
        <v>0</v>
      </c>
      <c r="N89" s="421">
        <f>J89*I89*H89</f>
        <v>30000</v>
      </c>
      <c r="O89" s="157" t="s">
        <v>289</v>
      </c>
      <c r="P89" s="471" t="s">
        <v>290</v>
      </c>
    </row>
    <row r="90" spans="1:17" s="81" customFormat="1" ht="33" customHeight="1" x14ac:dyDescent="0.3">
      <c r="A90" s="447">
        <v>3</v>
      </c>
      <c r="B90" s="86">
        <v>3.1</v>
      </c>
      <c r="C90" s="87" t="s">
        <v>291</v>
      </c>
      <c r="D90" s="173" t="s">
        <v>292</v>
      </c>
      <c r="E90" s="199">
        <v>4</v>
      </c>
      <c r="F90" s="436" t="s">
        <v>270</v>
      </c>
      <c r="G90" s="199"/>
      <c r="H90" s="186">
        <v>2</v>
      </c>
      <c r="I90" s="376">
        <v>1122.7</v>
      </c>
      <c r="J90" s="291">
        <v>15</v>
      </c>
      <c r="K90" s="151" t="s">
        <v>126</v>
      </c>
      <c r="L90" s="376">
        <f t="shared" si="0"/>
        <v>33681</v>
      </c>
      <c r="M90" s="320"/>
      <c r="N90" s="421">
        <f>J90*I90*H90</f>
        <v>33681</v>
      </c>
      <c r="O90" s="157" t="s">
        <v>293</v>
      </c>
      <c r="P90" s="471" t="s">
        <v>294</v>
      </c>
    </row>
    <row r="91" spans="1:17" s="81" customFormat="1" ht="13" x14ac:dyDescent="0.3">
      <c r="A91" s="448"/>
      <c r="B91" s="76"/>
      <c r="C91" s="77"/>
      <c r="D91" s="207" t="s">
        <v>257</v>
      </c>
      <c r="E91" s="208"/>
      <c r="F91" s="146"/>
      <c r="G91" s="208"/>
      <c r="H91" s="181"/>
      <c r="I91" s="290"/>
      <c r="J91" s="294"/>
      <c r="K91" s="146"/>
      <c r="L91" s="389">
        <f>L89</f>
        <v>30000</v>
      </c>
      <c r="M91" s="338"/>
      <c r="N91" s="385">
        <f>N89</f>
        <v>30000</v>
      </c>
      <c r="O91" s="207"/>
      <c r="P91" s="449"/>
    </row>
    <row r="92" spans="1:17" s="81" customFormat="1" ht="13" x14ac:dyDescent="0.3">
      <c r="A92" s="448"/>
      <c r="B92" s="76"/>
      <c r="C92" s="77"/>
      <c r="D92" s="207" t="s">
        <v>295</v>
      </c>
      <c r="E92" s="208"/>
      <c r="F92" s="146"/>
      <c r="G92" s="208"/>
      <c r="H92" s="181"/>
      <c r="I92" s="290"/>
      <c r="J92" s="294"/>
      <c r="K92" s="146"/>
      <c r="L92" s="389">
        <f>L87+L88+L90</f>
        <v>68135</v>
      </c>
      <c r="M92" s="338">
        <f>$N87*M87+$N88*M88</f>
        <v>0</v>
      </c>
      <c r="N92" s="385">
        <f>SUM(N87:N88)+N90</f>
        <v>68135</v>
      </c>
      <c r="O92" s="207"/>
      <c r="P92" s="449"/>
    </row>
    <row r="93" spans="1:17" s="81" customFormat="1" ht="18" customHeight="1" x14ac:dyDescent="0.3">
      <c r="A93" s="603" t="s">
        <v>296</v>
      </c>
      <c r="B93" s="604"/>
      <c r="C93" s="604"/>
      <c r="D93" s="604"/>
      <c r="E93" s="604"/>
      <c r="F93" s="604"/>
      <c r="G93" s="604"/>
      <c r="H93" s="604"/>
      <c r="I93" s="604"/>
      <c r="J93" s="604"/>
      <c r="K93" s="604"/>
      <c r="L93" s="604"/>
      <c r="M93" s="604"/>
      <c r="N93" s="604"/>
      <c r="O93" s="604"/>
      <c r="P93" s="605"/>
    </row>
    <row r="94" spans="1:17" s="81" customFormat="1" ht="29.25" customHeight="1" x14ac:dyDescent="0.3">
      <c r="A94" s="447">
        <v>3</v>
      </c>
      <c r="B94" s="86">
        <v>3.1</v>
      </c>
      <c r="C94" s="87" t="s">
        <v>297</v>
      </c>
      <c r="D94" s="173" t="s">
        <v>298</v>
      </c>
      <c r="E94" s="199">
        <v>6</v>
      </c>
      <c r="F94" s="199" t="s">
        <v>125</v>
      </c>
      <c r="G94" s="199"/>
      <c r="H94" s="149" t="s">
        <v>33</v>
      </c>
      <c r="I94" s="376" t="s">
        <v>33</v>
      </c>
      <c r="J94" s="291" t="s">
        <v>33</v>
      </c>
      <c r="K94" s="151" t="s">
        <v>131</v>
      </c>
      <c r="L94" s="376">
        <f>N94</f>
        <v>250000</v>
      </c>
      <c r="M94" s="320"/>
      <c r="N94" s="421">
        <v>250000</v>
      </c>
      <c r="O94" s="157" t="s">
        <v>299</v>
      </c>
      <c r="P94" s="471" t="s">
        <v>300</v>
      </c>
    </row>
    <row r="95" spans="1:17" s="81" customFormat="1" ht="29.25" customHeight="1" x14ac:dyDescent="0.3">
      <c r="A95" s="447">
        <v>3</v>
      </c>
      <c r="B95" s="86">
        <v>3.1</v>
      </c>
      <c r="C95" s="87" t="s">
        <v>301</v>
      </c>
      <c r="D95" s="173" t="s">
        <v>302</v>
      </c>
      <c r="E95" s="199">
        <v>6</v>
      </c>
      <c r="F95" s="199" t="s">
        <v>125</v>
      </c>
      <c r="G95" s="199"/>
      <c r="H95" s="149" t="s">
        <v>33</v>
      </c>
      <c r="I95" s="376" t="s">
        <v>33</v>
      </c>
      <c r="J95" s="291" t="s">
        <v>33</v>
      </c>
      <c r="K95" s="151" t="s">
        <v>131</v>
      </c>
      <c r="L95" s="376">
        <f>N95</f>
        <v>50000</v>
      </c>
      <c r="M95" s="320">
        <v>0</v>
      </c>
      <c r="N95" s="421">
        <v>50000</v>
      </c>
      <c r="O95" s="157" t="s">
        <v>303</v>
      </c>
      <c r="P95" s="471" t="s">
        <v>304</v>
      </c>
    </row>
    <row r="96" spans="1:17" s="81" customFormat="1" ht="29.25" customHeight="1" x14ac:dyDescent="0.3">
      <c r="A96" s="447">
        <v>3</v>
      </c>
      <c r="B96" s="86">
        <v>3.1</v>
      </c>
      <c r="C96" s="87" t="s">
        <v>305</v>
      </c>
      <c r="D96" s="173" t="s">
        <v>306</v>
      </c>
      <c r="E96" s="199">
        <v>1</v>
      </c>
      <c r="F96" s="436" t="s">
        <v>270</v>
      </c>
      <c r="G96" s="199"/>
      <c r="H96" s="184">
        <v>1</v>
      </c>
      <c r="I96" s="376">
        <v>1122.7</v>
      </c>
      <c r="J96" s="291">
        <v>15</v>
      </c>
      <c r="K96" s="151" t="s">
        <v>126</v>
      </c>
      <c r="L96" s="376">
        <f>J96*I96*H96</f>
        <v>16840.5</v>
      </c>
      <c r="M96" s="320"/>
      <c r="N96" s="421">
        <f>L96</f>
        <v>16840.5</v>
      </c>
      <c r="O96" s="157" t="s">
        <v>307</v>
      </c>
      <c r="P96" s="471" t="s">
        <v>308</v>
      </c>
    </row>
    <row r="97" spans="1:16" s="81" customFormat="1" ht="42" customHeight="1" x14ac:dyDescent="0.3">
      <c r="A97" s="447">
        <v>3</v>
      </c>
      <c r="B97" s="86">
        <v>3.1</v>
      </c>
      <c r="C97" s="87" t="s">
        <v>309</v>
      </c>
      <c r="D97" s="173" t="s">
        <v>310</v>
      </c>
      <c r="E97" s="199">
        <v>4</v>
      </c>
      <c r="F97" s="199" t="s">
        <v>125</v>
      </c>
      <c r="G97" s="199"/>
      <c r="H97" s="184">
        <v>1</v>
      </c>
      <c r="I97" s="376">
        <v>1000</v>
      </c>
      <c r="J97" s="291">
        <v>45</v>
      </c>
      <c r="K97" s="151" t="s">
        <v>126</v>
      </c>
      <c r="L97" s="376">
        <f>N97</f>
        <v>45000</v>
      </c>
      <c r="M97" s="320"/>
      <c r="N97" s="421">
        <f>J97*I97*H97</f>
        <v>45000</v>
      </c>
      <c r="O97" s="157" t="s">
        <v>311</v>
      </c>
      <c r="P97" s="471" t="s">
        <v>312</v>
      </c>
    </row>
    <row r="98" spans="1:16" s="81" customFormat="1" ht="13" x14ac:dyDescent="0.3">
      <c r="A98" s="448"/>
      <c r="B98" s="76"/>
      <c r="C98" s="77"/>
      <c r="D98" s="207" t="s">
        <v>295</v>
      </c>
      <c r="E98" s="208"/>
      <c r="F98" s="146"/>
      <c r="G98" s="208"/>
      <c r="H98" s="181"/>
      <c r="I98" s="290"/>
      <c r="J98" s="294"/>
      <c r="K98" s="146"/>
      <c r="L98" s="389">
        <f>L96</f>
        <v>16840.5</v>
      </c>
      <c r="M98" s="338">
        <f>$N93*M93+$N94*M94</f>
        <v>0</v>
      </c>
      <c r="N98" s="385">
        <f>N96</f>
        <v>16840.5</v>
      </c>
      <c r="O98" s="207"/>
      <c r="P98" s="449"/>
    </row>
    <row r="99" spans="1:16" s="81" customFormat="1" ht="13" customHeight="1" x14ac:dyDescent="0.3">
      <c r="A99" s="448"/>
      <c r="B99" s="76"/>
      <c r="C99" s="77"/>
      <c r="D99" s="207" t="s">
        <v>262</v>
      </c>
      <c r="E99" s="208"/>
      <c r="F99" s="146"/>
      <c r="G99" s="208"/>
      <c r="H99" s="181"/>
      <c r="I99" s="290"/>
      <c r="J99" s="294"/>
      <c r="K99" s="146"/>
      <c r="L99" s="290">
        <f>L94+L95+L97</f>
        <v>345000</v>
      </c>
      <c r="M99" s="324">
        <f>$N94*M94+$N95*M95+$N97*M97</f>
        <v>0</v>
      </c>
      <c r="N99" s="385">
        <f>N94+N95+N97</f>
        <v>345000</v>
      </c>
      <c r="O99" s="207"/>
      <c r="P99" s="449"/>
    </row>
    <row r="100" spans="1:16" s="81" customFormat="1" ht="17.25" customHeight="1" x14ac:dyDescent="0.3">
      <c r="A100" s="603" t="s">
        <v>313</v>
      </c>
      <c r="B100" s="604"/>
      <c r="C100" s="604"/>
      <c r="D100" s="604"/>
      <c r="E100" s="604"/>
      <c r="F100" s="604"/>
      <c r="G100" s="604"/>
      <c r="H100" s="604"/>
      <c r="I100" s="604"/>
      <c r="J100" s="604"/>
      <c r="K100" s="604"/>
      <c r="L100" s="604"/>
      <c r="M100" s="604"/>
      <c r="N100" s="604"/>
      <c r="O100" s="604"/>
      <c r="P100" s="605"/>
    </row>
    <row r="101" spans="1:16" s="81" customFormat="1" ht="31" customHeight="1" x14ac:dyDescent="0.3">
      <c r="A101" s="447">
        <v>3</v>
      </c>
      <c r="B101" s="86">
        <v>3.1</v>
      </c>
      <c r="C101" s="86" t="s">
        <v>314</v>
      </c>
      <c r="D101" s="173" t="s">
        <v>315</v>
      </c>
      <c r="E101" s="199">
        <v>6</v>
      </c>
      <c r="F101" s="199" t="s">
        <v>125</v>
      </c>
      <c r="G101" s="199"/>
      <c r="H101" s="186">
        <v>1</v>
      </c>
      <c r="I101" s="376" t="s">
        <v>33</v>
      </c>
      <c r="J101" s="291" t="s">
        <v>33</v>
      </c>
      <c r="K101" s="151" t="s">
        <v>131</v>
      </c>
      <c r="L101" s="376">
        <v>37500</v>
      </c>
      <c r="M101" s="320">
        <v>0</v>
      </c>
      <c r="N101" s="376">
        <v>37500</v>
      </c>
      <c r="O101" s="157" t="s">
        <v>316</v>
      </c>
      <c r="P101" s="471" t="s">
        <v>317</v>
      </c>
    </row>
    <row r="102" spans="1:16" s="81" customFormat="1" ht="26" x14ac:dyDescent="0.3">
      <c r="A102" s="447">
        <v>3</v>
      </c>
      <c r="B102" s="86">
        <v>3.1</v>
      </c>
      <c r="C102" s="86" t="s">
        <v>318</v>
      </c>
      <c r="D102" s="173" t="s">
        <v>319</v>
      </c>
      <c r="E102" s="199">
        <v>6</v>
      </c>
      <c r="F102" s="199" t="s">
        <v>125</v>
      </c>
      <c r="G102" s="199"/>
      <c r="H102" s="186">
        <v>1</v>
      </c>
      <c r="I102" s="376" t="s">
        <v>33</v>
      </c>
      <c r="J102" s="291" t="s">
        <v>33</v>
      </c>
      <c r="K102" s="151" t="s">
        <v>131</v>
      </c>
      <c r="L102" s="376">
        <v>37500</v>
      </c>
      <c r="M102" s="320">
        <v>0</v>
      </c>
      <c r="N102" s="376">
        <v>37500</v>
      </c>
      <c r="O102" s="157" t="s">
        <v>320</v>
      </c>
      <c r="P102" s="471" t="s">
        <v>304</v>
      </c>
    </row>
    <row r="103" spans="1:16" s="81" customFormat="1" ht="26" x14ac:dyDescent="0.3">
      <c r="A103" s="447">
        <v>3</v>
      </c>
      <c r="B103" s="86">
        <v>3.1</v>
      </c>
      <c r="C103" s="86" t="s">
        <v>321</v>
      </c>
      <c r="D103" s="173" t="s">
        <v>322</v>
      </c>
      <c r="E103" s="199">
        <v>1</v>
      </c>
      <c r="F103" s="436" t="s">
        <v>270</v>
      </c>
      <c r="G103" s="199"/>
      <c r="H103" s="186">
        <v>1</v>
      </c>
      <c r="I103" s="376">
        <v>600</v>
      </c>
      <c r="J103" s="291">
        <v>15</v>
      </c>
      <c r="K103" s="151" t="s">
        <v>126</v>
      </c>
      <c r="L103" s="376">
        <f>J103*I103*H103</f>
        <v>9000</v>
      </c>
      <c r="M103" s="320"/>
      <c r="N103" s="421">
        <f>L103</f>
        <v>9000</v>
      </c>
      <c r="O103" s="157" t="s">
        <v>323</v>
      </c>
      <c r="P103" s="471" t="s">
        <v>324</v>
      </c>
    </row>
    <row r="104" spans="1:16" s="81" customFormat="1" ht="31" customHeight="1" x14ac:dyDescent="0.3">
      <c r="A104" s="447">
        <v>3</v>
      </c>
      <c r="B104" s="86">
        <v>3.1</v>
      </c>
      <c r="C104" s="86" t="s">
        <v>325</v>
      </c>
      <c r="D104" s="173" t="s">
        <v>326</v>
      </c>
      <c r="E104" s="199">
        <v>4</v>
      </c>
      <c r="F104" s="199" t="s">
        <v>125</v>
      </c>
      <c r="G104" s="199"/>
      <c r="H104" s="184">
        <v>1</v>
      </c>
      <c r="I104" s="376">
        <v>1000</v>
      </c>
      <c r="J104" s="291">
        <v>45</v>
      </c>
      <c r="K104" s="151" t="s">
        <v>126</v>
      </c>
      <c r="L104" s="376">
        <f>N104</f>
        <v>45000</v>
      </c>
      <c r="M104" s="320">
        <v>0</v>
      </c>
      <c r="N104" s="421">
        <f>J104*I104*H104</f>
        <v>45000</v>
      </c>
      <c r="O104" s="157" t="s">
        <v>311</v>
      </c>
      <c r="P104" s="471" t="s">
        <v>327</v>
      </c>
    </row>
    <row r="105" spans="1:16" s="81" customFormat="1" ht="13" x14ac:dyDescent="0.3">
      <c r="A105" s="448"/>
      <c r="B105" s="76"/>
      <c r="C105" s="77"/>
      <c r="D105" s="207" t="s">
        <v>295</v>
      </c>
      <c r="E105" s="208"/>
      <c r="F105" s="146"/>
      <c r="G105" s="208"/>
      <c r="H105" s="181"/>
      <c r="I105" s="290"/>
      <c r="J105" s="294"/>
      <c r="K105" s="146"/>
      <c r="L105" s="389">
        <f>L103</f>
        <v>9000</v>
      </c>
      <c r="M105" s="338">
        <f>$N100*M100+$N101*M101</f>
        <v>0</v>
      </c>
      <c r="N105" s="385">
        <f>N103</f>
        <v>9000</v>
      </c>
      <c r="O105" s="207"/>
      <c r="P105" s="449"/>
    </row>
    <row r="106" spans="1:16" s="81" customFormat="1" ht="13" x14ac:dyDescent="0.3">
      <c r="A106" s="448"/>
      <c r="B106" s="76"/>
      <c r="C106" s="77"/>
      <c r="D106" s="207" t="s">
        <v>328</v>
      </c>
      <c r="E106" s="208"/>
      <c r="F106" s="146"/>
      <c r="G106" s="208"/>
      <c r="H106" s="181"/>
      <c r="I106" s="290"/>
      <c r="J106" s="294"/>
      <c r="K106" s="146"/>
      <c r="L106" s="290">
        <f>L101+L102+L104</f>
        <v>120000</v>
      </c>
      <c r="M106" s="324">
        <f>$N101*M101+$N102*M102+$N104*M104</f>
        <v>0</v>
      </c>
      <c r="N106" s="290">
        <f>N101+N102+N104</f>
        <v>120000</v>
      </c>
      <c r="O106" s="207"/>
      <c r="P106" s="449"/>
    </row>
    <row r="107" spans="1:16" s="81" customFormat="1" ht="13" x14ac:dyDescent="0.3">
      <c r="A107" s="603" t="s">
        <v>329</v>
      </c>
      <c r="B107" s="604"/>
      <c r="C107" s="604"/>
      <c r="D107" s="604"/>
      <c r="E107" s="604"/>
      <c r="F107" s="604"/>
      <c r="G107" s="604"/>
      <c r="H107" s="604"/>
      <c r="I107" s="604"/>
      <c r="J107" s="604"/>
      <c r="K107" s="604"/>
      <c r="L107" s="604"/>
      <c r="M107" s="604"/>
      <c r="N107" s="604"/>
      <c r="O107" s="604"/>
      <c r="P107" s="605"/>
    </row>
    <row r="108" spans="1:16" s="81" customFormat="1" ht="32.25" customHeight="1" x14ac:dyDescent="0.3">
      <c r="A108" s="447">
        <v>3</v>
      </c>
      <c r="B108" s="86">
        <v>3.1</v>
      </c>
      <c r="C108" s="87" t="s">
        <v>330</v>
      </c>
      <c r="D108" s="223" t="s">
        <v>331</v>
      </c>
      <c r="E108" s="187">
        <v>6</v>
      </c>
      <c r="F108" s="199" t="s">
        <v>125</v>
      </c>
      <c r="G108" s="209"/>
      <c r="H108" s="186">
        <v>1</v>
      </c>
      <c r="I108" s="283" t="s">
        <v>33</v>
      </c>
      <c r="J108" s="301" t="s">
        <v>33</v>
      </c>
      <c r="K108" s="195" t="s">
        <v>131</v>
      </c>
      <c r="L108" s="376">
        <v>75000</v>
      </c>
      <c r="M108" s="320">
        <v>0</v>
      </c>
      <c r="N108" s="421">
        <v>75000</v>
      </c>
      <c r="O108" s="224" t="s">
        <v>332</v>
      </c>
      <c r="P108" s="474" t="s">
        <v>333</v>
      </c>
    </row>
    <row r="109" spans="1:16" s="81" customFormat="1" ht="16" customHeight="1" x14ac:dyDescent="0.35">
      <c r="A109" s="447">
        <v>3</v>
      </c>
      <c r="B109" s="86">
        <v>3.1</v>
      </c>
      <c r="C109" s="87" t="s">
        <v>334</v>
      </c>
      <c r="D109" s="173" t="s">
        <v>99</v>
      </c>
      <c r="E109" s="199">
        <v>5</v>
      </c>
      <c r="F109" s="436" t="s">
        <v>270</v>
      </c>
      <c r="G109" s="199"/>
      <c r="H109" s="186"/>
      <c r="I109" s="376"/>
      <c r="J109" s="291" t="s">
        <v>33</v>
      </c>
      <c r="K109" s="151" t="s">
        <v>131</v>
      </c>
      <c r="L109" s="375">
        <v>11229.33</v>
      </c>
      <c r="M109" s="320">
        <v>0</v>
      </c>
      <c r="N109" s="423">
        <f>L109</f>
        <v>11229.33</v>
      </c>
      <c r="O109" s="157" t="s">
        <v>335</v>
      </c>
      <c r="P109" s="471" t="s">
        <v>336</v>
      </c>
    </row>
    <row r="110" spans="1:16" s="81" customFormat="1" ht="13" x14ac:dyDescent="0.3">
      <c r="A110" s="448"/>
      <c r="B110" s="76"/>
      <c r="C110" s="77"/>
      <c r="D110" s="207" t="s">
        <v>337</v>
      </c>
      <c r="E110" s="208"/>
      <c r="F110" s="146"/>
      <c r="G110" s="208"/>
      <c r="H110" s="181"/>
      <c r="I110" s="290"/>
      <c r="J110" s="294"/>
      <c r="K110" s="146"/>
      <c r="L110" s="290">
        <f>L108</f>
        <v>75000</v>
      </c>
      <c r="M110" s="324">
        <f>$N108*M108</f>
        <v>0</v>
      </c>
      <c r="N110" s="385">
        <f>N108</f>
        <v>75000</v>
      </c>
      <c r="O110" s="207"/>
      <c r="P110" s="449"/>
    </row>
    <row r="111" spans="1:16" s="81" customFormat="1" ht="13" x14ac:dyDescent="0.3">
      <c r="A111" s="448"/>
      <c r="B111" s="76"/>
      <c r="C111" s="77"/>
      <c r="D111" s="207" t="s">
        <v>338</v>
      </c>
      <c r="E111" s="208"/>
      <c r="F111" s="146"/>
      <c r="G111" s="208"/>
      <c r="H111" s="181"/>
      <c r="I111" s="290"/>
      <c r="J111" s="294"/>
      <c r="K111" s="146"/>
      <c r="L111" s="290">
        <f>L109</f>
        <v>11229.33</v>
      </c>
      <c r="M111" s="324">
        <f>$N109*M109</f>
        <v>0</v>
      </c>
      <c r="N111" s="385">
        <f>N109</f>
        <v>11229.33</v>
      </c>
      <c r="O111" s="207"/>
      <c r="P111" s="449"/>
    </row>
    <row r="112" spans="1:16" s="81" customFormat="1" ht="13" x14ac:dyDescent="0.3">
      <c r="A112" s="452"/>
      <c r="B112" s="243"/>
      <c r="C112" s="244"/>
      <c r="D112" s="245" t="s">
        <v>263</v>
      </c>
      <c r="E112" s="246"/>
      <c r="F112" s="247"/>
      <c r="G112" s="246"/>
      <c r="H112" s="248"/>
      <c r="I112" s="391"/>
      <c r="J112" s="296"/>
      <c r="K112" s="247"/>
      <c r="L112" s="382">
        <f>SUM(L84+L91+L99+L106+L110)</f>
        <v>585000</v>
      </c>
      <c r="M112" s="322">
        <f>SUM(M84+M91+M99+M106+M110)</f>
        <v>0</v>
      </c>
      <c r="N112" s="382">
        <f>SUM(N84+N91+N99+N106+N110)</f>
        <v>585000</v>
      </c>
      <c r="O112" s="245"/>
      <c r="P112" s="453"/>
    </row>
    <row r="113" spans="1:17" s="81" customFormat="1" ht="13" x14ac:dyDescent="0.3">
      <c r="A113" s="475"/>
      <c r="B113" s="238"/>
      <c r="C113" s="239"/>
      <c r="D113" s="240" t="s">
        <v>339</v>
      </c>
      <c r="E113" s="241"/>
      <c r="F113" s="242"/>
      <c r="G113" s="241"/>
      <c r="H113" s="249"/>
      <c r="I113" s="390"/>
      <c r="J113" s="302"/>
      <c r="K113" s="242"/>
      <c r="L113" s="390">
        <f>SUM(L85+L92+L98+L105+L111)</f>
        <v>117204.83</v>
      </c>
      <c r="M113" s="339"/>
      <c r="N113" s="390">
        <f>N85+N92+N111+N105+N98</f>
        <v>117204.83</v>
      </c>
      <c r="O113" s="240"/>
      <c r="P113" s="476"/>
    </row>
    <row r="114" spans="1:17" s="81" customFormat="1" ht="16" customHeight="1" x14ac:dyDescent="0.3">
      <c r="A114" s="600" t="s">
        <v>340</v>
      </c>
      <c r="B114" s="601"/>
      <c r="C114" s="601"/>
      <c r="D114" s="601"/>
      <c r="E114" s="601"/>
      <c r="F114" s="601"/>
      <c r="G114" s="601"/>
      <c r="H114" s="601"/>
      <c r="I114" s="601"/>
      <c r="J114" s="601"/>
      <c r="K114" s="601"/>
      <c r="L114" s="601"/>
      <c r="M114" s="601"/>
      <c r="N114" s="601"/>
      <c r="O114" s="601"/>
      <c r="P114" s="602"/>
    </row>
    <row r="115" spans="1:17" s="81" customFormat="1" ht="14.25" customHeight="1" x14ac:dyDescent="0.3">
      <c r="A115" s="606" t="s">
        <v>341</v>
      </c>
      <c r="B115" s="607"/>
      <c r="C115" s="607"/>
      <c r="D115" s="607"/>
      <c r="E115" s="607"/>
      <c r="F115" s="607"/>
      <c r="G115" s="607"/>
      <c r="H115" s="607"/>
      <c r="I115" s="607"/>
      <c r="J115" s="607"/>
      <c r="K115" s="607"/>
      <c r="L115" s="607"/>
      <c r="M115" s="607"/>
      <c r="N115" s="607"/>
      <c r="O115" s="607"/>
      <c r="P115" s="608"/>
    </row>
    <row r="116" spans="1:17" s="81" customFormat="1" ht="47.25" customHeight="1" x14ac:dyDescent="0.3">
      <c r="A116" s="447">
        <v>3</v>
      </c>
      <c r="B116" s="86">
        <v>3.2</v>
      </c>
      <c r="C116" s="87" t="s">
        <v>342</v>
      </c>
      <c r="D116" s="173" t="s">
        <v>343</v>
      </c>
      <c r="E116" s="199">
        <v>4</v>
      </c>
      <c r="F116" s="199" t="s">
        <v>125</v>
      </c>
      <c r="G116" s="199"/>
      <c r="H116" s="186">
        <v>3</v>
      </c>
      <c r="I116" s="376">
        <v>1000</v>
      </c>
      <c r="J116" s="291">
        <v>15</v>
      </c>
      <c r="K116" s="151" t="s">
        <v>126</v>
      </c>
      <c r="L116" s="376">
        <f>N116</f>
        <v>45000</v>
      </c>
      <c r="M116" s="320">
        <v>0</v>
      </c>
      <c r="N116" s="421">
        <f>J116*I116*H116</f>
        <v>45000</v>
      </c>
      <c r="O116" s="157" t="s">
        <v>344</v>
      </c>
      <c r="P116" s="471" t="s">
        <v>345</v>
      </c>
    </row>
    <row r="117" spans="1:17" s="81" customFormat="1" ht="35.15" customHeight="1" x14ac:dyDescent="0.3">
      <c r="A117" s="447">
        <v>3</v>
      </c>
      <c r="B117" s="86">
        <v>3.2</v>
      </c>
      <c r="C117" s="87" t="s">
        <v>346</v>
      </c>
      <c r="D117" s="173" t="s">
        <v>347</v>
      </c>
      <c r="E117" s="199">
        <v>4</v>
      </c>
      <c r="F117" s="199" t="s">
        <v>125</v>
      </c>
      <c r="G117" s="199"/>
      <c r="H117" s="186">
        <v>3</v>
      </c>
      <c r="I117" s="376">
        <v>1000</v>
      </c>
      <c r="J117" s="291">
        <v>10</v>
      </c>
      <c r="K117" s="151" t="s">
        <v>126</v>
      </c>
      <c r="L117" s="376">
        <f>N117</f>
        <v>30000</v>
      </c>
      <c r="M117" s="320">
        <v>0</v>
      </c>
      <c r="N117" s="421">
        <f>J117*I117*H117</f>
        <v>30000</v>
      </c>
      <c r="O117" s="157" t="s">
        <v>348</v>
      </c>
      <c r="P117" s="471" t="s">
        <v>349</v>
      </c>
    </row>
    <row r="118" spans="1:17" s="81" customFormat="1" ht="13" x14ac:dyDescent="0.3">
      <c r="A118" s="448"/>
      <c r="B118" s="76"/>
      <c r="C118" s="77"/>
      <c r="D118" s="207" t="s">
        <v>350</v>
      </c>
      <c r="E118" s="208"/>
      <c r="F118" s="146"/>
      <c r="G118" s="208"/>
      <c r="H118" s="181"/>
      <c r="I118" s="290"/>
      <c r="J118" s="294"/>
      <c r="K118" s="146"/>
      <c r="L118" s="290">
        <f>L116+L117</f>
        <v>75000</v>
      </c>
      <c r="M118" s="324">
        <f>$N116*M116+$N117*M117</f>
        <v>0</v>
      </c>
      <c r="N118" s="385">
        <f>SUM(N116:N117)</f>
        <v>75000</v>
      </c>
      <c r="O118" s="207"/>
      <c r="P118" s="449"/>
    </row>
    <row r="119" spans="1:17" s="81" customFormat="1" ht="13" x14ac:dyDescent="0.3">
      <c r="A119" s="606" t="s">
        <v>351</v>
      </c>
      <c r="B119" s="607"/>
      <c r="C119" s="607"/>
      <c r="D119" s="607"/>
      <c r="E119" s="607"/>
      <c r="F119" s="607"/>
      <c r="G119" s="607"/>
      <c r="H119" s="607"/>
      <c r="I119" s="607"/>
      <c r="J119" s="607"/>
      <c r="K119" s="607"/>
      <c r="L119" s="607"/>
      <c r="M119" s="607"/>
      <c r="N119" s="607"/>
      <c r="O119" s="607"/>
      <c r="P119" s="608"/>
    </row>
    <row r="120" spans="1:17" s="81" customFormat="1" ht="39" x14ac:dyDescent="0.3">
      <c r="A120" s="447">
        <v>3</v>
      </c>
      <c r="B120" s="86">
        <v>3.2</v>
      </c>
      <c r="C120" s="87" t="s">
        <v>352</v>
      </c>
      <c r="D120" s="173" t="s">
        <v>353</v>
      </c>
      <c r="E120" s="187">
        <v>4</v>
      </c>
      <c r="F120" s="436" t="s">
        <v>270</v>
      </c>
      <c r="G120" s="187"/>
      <c r="H120" s="158">
        <v>1</v>
      </c>
      <c r="I120" s="376">
        <v>1124</v>
      </c>
      <c r="J120" s="291">
        <v>36</v>
      </c>
      <c r="K120" s="151" t="s">
        <v>126</v>
      </c>
      <c r="L120" s="376">
        <f>N120</f>
        <v>40464</v>
      </c>
      <c r="M120" s="320"/>
      <c r="N120" s="421">
        <f>I120*J120</f>
        <v>40464</v>
      </c>
      <c r="O120" s="157" t="s">
        <v>354</v>
      </c>
      <c r="P120" s="471" t="s">
        <v>355</v>
      </c>
    </row>
    <row r="121" spans="1:17" s="81" customFormat="1" ht="13" x14ac:dyDescent="0.3">
      <c r="A121" s="447">
        <v>3</v>
      </c>
      <c r="B121" s="86">
        <v>3.2</v>
      </c>
      <c r="C121" s="87" t="s">
        <v>356</v>
      </c>
      <c r="D121" s="173" t="s">
        <v>357</v>
      </c>
      <c r="E121" s="187">
        <v>4</v>
      </c>
      <c r="F121" s="436" t="s">
        <v>270</v>
      </c>
      <c r="G121" s="187"/>
      <c r="H121" s="158">
        <v>1</v>
      </c>
      <c r="I121" s="376">
        <v>1124</v>
      </c>
      <c r="J121" s="291">
        <v>15</v>
      </c>
      <c r="K121" s="151" t="s">
        <v>126</v>
      </c>
      <c r="L121" s="376">
        <f>N121</f>
        <v>16860</v>
      </c>
      <c r="M121" s="320"/>
      <c r="N121" s="421">
        <f>I121*J121</f>
        <v>16860</v>
      </c>
      <c r="O121" s="157" t="s">
        <v>358</v>
      </c>
      <c r="P121" s="471" t="s">
        <v>359</v>
      </c>
    </row>
    <row r="122" spans="1:17" s="81" customFormat="1" ht="13" x14ac:dyDescent="0.3">
      <c r="A122" s="448"/>
      <c r="B122" s="76"/>
      <c r="C122" s="77"/>
      <c r="D122" s="207" t="s">
        <v>360</v>
      </c>
      <c r="E122" s="208"/>
      <c r="F122" s="146"/>
      <c r="G122" s="208"/>
      <c r="H122" s="181"/>
      <c r="I122" s="290"/>
      <c r="J122" s="294"/>
      <c r="K122" s="146"/>
      <c r="L122" s="290">
        <f>L120+L121</f>
        <v>57324</v>
      </c>
      <c r="M122" s="324">
        <f>$N120*M120+$N121*M121</f>
        <v>0</v>
      </c>
      <c r="N122" s="385">
        <f>SUM(N120:N121)</f>
        <v>57324</v>
      </c>
      <c r="O122" s="207"/>
      <c r="P122" s="449"/>
    </row>
    <row r="123" spans="1:17" s="81" customFormat="1" ht="14.25" customHeight="1" x14ac:dyDescent="0.3">
      <c r="A123" s="606" t="s">
        <v>361</v>
      </c>
      <c r="B123" s="607"/>
      <c r="C123" s="607"/>
      <c r="D123" s="607"/>
      <c r="E123" s="607"/>
      <c r="F123" s="607"/>
      <c r="G123" s="607"/>
      <c r="H123" s="607"/>
      <c r="I123" s="607"/>
      <c r="J123" s="607"/>
      <c r="K123" s="607"/>
      <c r="L123" s="607"/>
      <c r="M123" s="607"/>
      <c r="N123" s="607"/>
      <c r="O123" s="607"/>
      <c r="P123" s="608"/>
    </row>
    <row r="124" spans="1:17" s="81" customFormat="1" ht="31" customHeight="1" x14ac:dyDescent="0.3">
      <c r="A124" s="447">
        <v>3</v>
      </c>
      <c r="B124" s="86">
        <v>3.2</v>
      </c>
      <c r="C124" s="87" t="s">
        <v>362</v>
      </c>
      <c r="D124" s="173" t="s">
        <v>363</v>
      </c>
      <c r="E124" s="199">
        <v>4</v>
      </c>
      <c r="F124" s="199" t="s">
        <v>125</v>
      </c>
      <c r="G124" s="199"/>
      <c r="H124" s="186">
        <v>1</v>
      </c>
      <c r="I124" s="376">
        <v>1000</v>
      </c>
      <c r="J124" s="291">
        <v>75</v>
      </c>
      <c r="K124" s="151" t="s">
        <v>126</v>
      </c>
      <c r="L124" s="376">
        <f>N124</f>
        <v>75000</v>
      </c>
      <c r="M124" s="320">
        <v>0</v>
      </c>
      <c r="N124" s="421">
        <f>H124*I124*J124</f>
        <v>75000</v>
      </c>
      <c r="O124" s="157" t="s">
        <v>364</v>
      </c>
      <c r="P124" s="477" t="s">
        <v>365</v>
      </c>
      <c r="Q124" s="142"/>
    </row>
    <row r="125" spans="1:17" s="81" customFormat="1" ht="13" x14ac:dyDescent="0.3">
      <c r="A125" s="448"/>
      <c r="B125" s="76"/>
      <c r="C125" s="77"/>
      <c r="D125" s="207" t="s">
        <v>366</v>
      </c>
      <c r="E125" s="208"/>
      <c r="F125" s="146"/>
      <c r="G125" s="208"/>
      <c r="H125" s="181"/>
      <c r="I125" s="290"/>
      <c r="J125" s="294">
        <f>SUM(J124:J124)</f>
        <v>75</v>
      </c>
      <c r="K125" s="146"/>
      <c r="L125" s="290">
        <f>L124</f>
        <v>75000</v>
      </c>
      <c r="M125" s="324"/>
      <c r="N125" s="385">
        <f>SUM(N124:N124)</f>
        <v>75000</v>
      </c>
      <c r="O125" s="207"/>
      <c r="P125" s="449"/>
    </row>
    <row r="126" spans="1:17" s="81" customFormat="1" ht="13" x14ac:dyDescent="0.3">
      <c r="A126" s="452"/>
      <c r="B126" s="243"/>
      <c r="C126" s="244"/>
      <c r="D126" s="245" t="s">
        <v>367</v>
      </c>
      <c r="E126" s="246"/>
      <c r="F126" s="247"/>
      <c r="G126" s="246"/>
      <c r="H126" s="248"/>
      <c r="I126" s="391"/>
      <c r="J126" s="296"/>
      <c r="K126" s="247"/>
      <c r="L126" s="391">
        <f>L118+L125</f>
        <v>150000</v>
      </c>
      <c r="M126" s="340"/>
      <c r="N126" s="382">
        <f>SUM(N118+N125)</f>
        <v>150000</v>
      </c>
      <c r="O126" s="245"/>
      <c r="P126" s="453"/>
    </row>
    <row r="127" spans="1:17" s="81" customFormat="1" ht="13" x14ac:dyDescent="0.3">
      <c r="A127" s="475"/>
      <c r="B127" s="238"/>
      <c r="C127" s="239"/>
      <c r="D127" s="240" t="s">
        <v>368</v>
      </c>
      <c r="E127" s="241"/>
      <c r="F127" s="242"/>
      <c r="G127" s="241"/>
      <c r="H127" s="249"/>
      <c r="I127" s="390"/>
      <c r="J127" s="302"/>
      <c r="K127" s="242"/>
      <c r="L127" s="390">
        <f>L122</f>
        <v>57324</v>
      </c>
      <c r="M127" s="339"/>
      <c r="N127" s="424">
        <f>SUM(N122)</f>
        <v>57324</v>
      </c>
      <c r="O127" s="240"/>
      <c r="P127" s="476"/>
    </row>
    <row r="128" spans="1:17" s="81" customFormat="1" ht="15.5" x14ac:dyDescent="0.3">
      <c r="A128" s="600" t="s">
        <v>369</v>
      </c>
      <c r="B128" s="601"/>
      <c r="C128" s="601"/>
      <c r="D128" s="601"/>
      <c r="E128" s="601"/>
      <c r="F128" s="601"/>
      <c r="G128" s="601"/>
      <c r="H128" s="601"/>
      <c r="I128" s="601"/>
      <c r="J128" s="601"/>
      <c r="K128" s="601"/>
      <c r="L128" s="601"/>
      <c r="M128" s="601"/>
      <c r="N128" s="601"/>
      <c r="O128" s="601"/>
      <c r="P128" s="602"/>
    </row>
    <row r="129" spans="1:17" s="81" customFormat="1" ht="17.149999999999999" customHeight="1" x14ac:dyDescent="0.3">
      <c r="A129" s="606" t="s">
        <v>370</v>
      </c>
      <c r="B129" s="607"/>
      <c r="C129" s="607"/>
      <c r="D129" s="607"/>
      <c r="E129" s="607"/>
      <c r="F129" s="607"/>
      <c r="G129" s="607"/>
      <c r="H129" s="607"/>
      <c r="I129" s="607"/>
      <c r="J129" s="607"/>
      <c r="K129" s="607"/>
      <c r="L129" s="607"/>
      <c r="M129" s="607"/>
      <c r="N129" s="607"/>
      <c r="O129" s="607"/>
      <c r="P129" s="608"/>
    </row>
    <row r="130" spans="1:17" ht="29.25" customHeight="1" x14ac:dyDescent="0.3">
      <c r="A130" s="447">
        <v>3</v>
      </c>
      <c r="B130" s="86">
        <v>3.3</v>
      </c>
      <c r="C130" s="87" t="s">
        <v>371</v>
      </c>
      <c r="D130" s="173" t="s">
        <v>372</v>
      </c>
      <c r="E130" s="199">
        <v>4</v>
      </c>
      <c r="F130" s="436" t="s">
        <v>270</v>
      </c>
      <c r="G130" s="199"/>
      <c r="H130" s="186">
        <v>1</v>
      </c>
      <c r="I130" s="376">
        <v>700</v>
      </c>
      <c r="J130" s="291">
        <v>48</v>
      </c>
      <c r="K130" s="151" t="s">
        <v>200</v>
      </c>
      <c r="L130" s="376">
        <f>J130*I130*H130</f>
        <v>33600</v>
      </c>
      <c r="M130" s="320">
        <v>0</v>
      </c>
      <c r="N130" s="421">
        <f>L130</f>
        <v>33600</v>
      </c>
      <c r="O130" s="219" t="s">
        <v>373</v>
      </c>
      <c r="P130" s="478" t="s">
        <v>374</v>
      </c>
      <c r="Q130" s="143"/>
    </row>
    <row r="131" spans="1:17" s="81" customFormat="1" ht="39" x14ac:dyDescent="0.3">
      <c r="A131" s="479">
        <v>3</v>
      </c>
      <c r="B131" s="194">
        <v>3.3</v>
      </c>
      <c r="C131" s="87" t="s">
        <v>375</v>
      </c>
      <c r="D131" s="225" t="s">
        <v>376</v>
      </c>
      <c r="E131" s="200">
        <v>6</v>
      </c>
      <c r="F131" s="199" t="s">
        <v>125</v>
      </c>
      <c r="G131" s="200"/>
      <c r="H131" s="186">
        <v>1</v>
      </c>
      <c r="I131" s="283" t="s">
        <v>33</v>
      </c>
      <c r="J131" s="301" t="s">
        <v>33</v>
      </c>
      <c r="K131" s="195" t="s">
        <v>131</v>
      </c>
      <c r="L131" s="376">
        <v>75000</v>
      </c>
      <c r="M131" s="320">
        <v>0</v>
      </c>
      <c r="N131" s="421">
        <v>75000</v>
      </c>
      <c r="O131" s="224" t="s">
        <v>332</v>
      </c>
      <c r="P131" s="480" t="s">
        <v>377</v>
      </c>
      <c r="Q131" s="196"/>
    </row>
    <row r="132" spans="1:17" s="81" customFormat="1" ht="13" x14ac:dyDescent="0.3">
      <c r="A132" s="452"/>
      <c r="B132" s="243"/>
      <c r="C132" s="244"/>
      <c r="D132" s="245" t="s">
        <v>378</v>
      </c>
      <c r="E132" s="246"/>
      <c r="F132" s="247"/>
      <c r="G132" s="246"/>
      <c r="H132" s="248"/>
      <c r="I132" s="391"/>
      <c r="J132" s="296"/>
      <c r="K132" s="247"/>
      <c r="L132" s="391">
        <f>L131</f>
        <v>75000</v>
      </c>
      <c r="M132" s="340"/>
      <c r="N132" s="391">
        <f>N131</f>
        <v>75000</v>
      </c>
      <c r="O132" s="245"/>
      <c r="P132" s="453"/>
    </row>
    <row r="133" spans="1:17" s="142" customFormat="1" ht="13.5" thickBot="1" x14ac:dyDescent="0.35">
      <c r="A133" s="481"/>
      <c r="B133" s="265"/>
      <c r="C133" s="266"/>
      <c r="D133" s="267" t="s">
        <v>379</v>
      </c>
      <c r="E133" s="268"/>
      <c r="F133" s="269"/>
      <c r="G133" s="268"/>
      <c r="H133" s="270"/>
      <c r="I133" s="392"/>
      <c r="J133" s="303"/>
      <c r="K133" s="269"/>
      <c r="L133" s="392">
        <f>L130</f>
        <v>33600</v>
      </c>
      <c r="M133" s="341"/>
      <c r="N133" s="392">
        <f>N130</f>
        <v>33600</v>
      </c>
      <c r="O133" s="267"/>
      <c r="P133" s="482"/>
    </row>
    <row r="134" spans="1:17" s="143" customFormat="1" ht="18" customHeight="1" thickTop="1" x14ac:dyDescent="0.3">
      <c r="A134" s="483" t="s">
        <v>380</v>
      </c>
      <c r="B134" s="271"/>
      <c r="C134" s="271"/>
      <c r="D134" s="272"/>
      <c r="E134" s="273"/>
      <c r="F134" s="274"/>
      <c r="G134" s="273"/>
      <c r="H134" s="275"/>
      <c r="I134" s="404"/>
      <c r="J134" s="305"/>
      <c r="K134" s="404"/>
      <c r="L134" s="393">
        <f>SUM(L112+L126+L132)</f>
        <v>810000</v>
      </c>
      <c r="M134" s="325">
        <f>SUM(M112+M126+M132)</f>
        <v>0</v>
      </c>
      <c r="N134" s="393">
        <f>SUM(N112+N126+N132)</f>
        <v>810000</v>
      </c>
      <c r="O134" s="276"/>
      <c r="P134" s="484"/>
    </row>
    <row r="135" spans="1:17" s="143" customFormat="1" ht="14.5" x14ac:dyDescent="0.3">
      <c r="A135" s="595" t="s">
        <v>381</v>
      </c>
      <c r="B135" s="596"/>
      <c r="C135" s="596"/>
      <c r="D135" s="596"/>
      <c r="E135" s="262"/>
      <c r="F135" s="161"/>
      <c r="G135" s="262"/>
      <c r="H135" s="263"/>
      <c r="I135" s="405"/>
      <c r="J135" s="306"/>
      <c r="K135" s="161"/>
      <c r="L135" s="394">
        <f>L133+L127+L113</f>
        <v>208128.83000000002</v>
      </c>
      <c r="M135" s="326"/>
      <c r="N135" s="394">
        <f>N133+N127+N113</f>
        <v>208128.83000000002</v>
      </c>
      <c r="O135" s="264"/>
      <c r="P135" s="485"/>
    </row>
    <row r="136" spans="1:17" s="142" customFormat="1" ht="17.25" customHeight="1" x14ac:dyDescent="0.3">
      <c r="A136" s="609" t="s">
        <v>382</v>
      </c>
      <c r="B136" s="610"/>
      <c r="C136" s="610"/>
      <c r="D136" s="610"/>
      <c r="E136" s="610"/>
      <c r="F136" s="610"/>
      <c r="G136" s="610"/>
      <c r="H136" s="610"/>
      <c r="I136" s="610"/>
      <c r="J136" s="610"/>
      <c r="K136" s="610"/>
      <c r="L136" s="610"/>
      <c r="M136" s="610"/>
      <c r="N136" s="610"/>
      <c r="O136" s="218"/>
      <c r="P136" s="470"/>
    </row>
    <row r="137" spans="1:17" s="81" customFormat="1" ht="15.5" x14ac:dyDescent="0.3">
      <c r="A137" s="600" t="s">
        <v>383</v>
      </c>
      <c r="B137" s="601"/>
      <c r="C137" s="601"/>
      <c r="D137" s="601"/>
      <c r="E137" s="601"/>
      <c r="F137" s="601"/>
      <c r="G137" s="601"/>
      <c r="H137" s="601"/>
      <c r="I137" s="601"/>
      <c r="J137" s="601"/>
      <c r="K137" s="601"/>
      <c r="L137" s="601"/>
      <c r="M137" s="601"/>
      <c r="N137" s="601"/>
      <c r="O137" s="601"/>
      <c r="P137" s="602"/>
    </row>
    <row r="138" spans="1:17" ht="13" x14ac:dyDescent="0.3">
      <c r="A138" s="486" t="s">
        <v>384</v>
      </c>
      <c r="B138" s="284" t="s">
        <v>384</v>
      </c>
      <c r="C138" s="284" t="s">
        <v>384</v>
      </c>
      <c r="D138" s="173" t="s">
        <v>385</v>
      </c>
      <c r="E138" s="159">
        <v>1</v>
      </c>
      <c r="F138" s="199" t="s">
        <v>125</v>
      </c>
      <c r="G138" s="226"/>
      <c r="H138" s="187">
        <v>2</v>
      </c>
      <c r="I138" s="406">
        <v>1000</v>
      </c>
      <c r="J138" s="307">
        <v>90</v>
      </c>
      <c r="K138" s="164" t="s">
        <v>126</v>
      </c>
      <c r="L138" s="376">
        <f>0.5*N138</f>
        <v>90000</v>
      </c>
      <c r="M138" s="320">
        <f>0.5*N138</f>
        <v>90000</v>
      </c>
      <c r="N138" s="418">
        <f>H138*I138*J138</f>
        <v>180000</v>
      </c>
      <c r="O138" s="157" t="s">
        <v>386</v>
      </c>
      <c r="P138" s="487"/>
    </row>
    <row r="139" spans="1:17" ht="26" x14ac:dyDescent="0.3">
      <c r="A139" s="486" t="s">
        <v>384</v>
      </c>
      <c r="B139" s="284" t="s">
        <v>384</v>
      </c>
      <c r="C139" s="284" t="s">
        <v>384</v>
      </c>
      <c r="D139" s="173" t="s">
        <v>387</v>
      </c>
      <c r="E139" s="159">
        <v>1</v>
      </c>
      <c r="F139" s="199" t="s">
        <v>125</v>
      </c>
      <c r="G139" s="226"/>
      <c r="H139" s="187">
        <v>2</v>
      </c>
      <c r="I139" s="406">
        <v>1000</v>
      </c>
      <c r="J139" s="307">
        <v>40</v>
      </c>
      <c r="K139" s="164" t="s">
        <v>126</v>
      </c>
      <c r="L139" s="376">
        <f>0.9*N139</f>
        <v>72000</v>
      </c>
      <c r="M139" s="320">
        <f>0.1*N139</f>
        <v>8000</v>
      </c>
      <c r="N139" s="418">
        <f>H139*I139*J139</f>
        <v>80000</v>
      </c>
      <c r="O139" s="157" t="s">
        <v>388</v>
      </c>
      <c r="P139" s="488" t="s">
        <v>389</v>
      </c>
    </row>
    <row r="140" spans="1:17" ht="13" x14ac:dyDescent="0.3">
      <c r="A140" s="486" t="s">
        <v>384</v>
      </c>
      <c r="B140" s="284" t="s">
        <v>384</v>
      </c>
      <c r="C140" s="284" t="s">
        <v>384</v>
      </c>
      <c r="D140" s="173" t="s">
        <v>390</v>
      </c>
      <c r="E140" s="159">
        <v>4</v>
      </c>
      <c r="F140" s="199" t="s">
        <v>125</v>
      </c>
      <c r="G140" s="226"/>
      <c r="H140" s="187">
        <v>1</v>
      </c>
      <c r="I140" s="406">
        <v>15000</v>
      </c>
      <c r="J140" s="307"/>
      <c r="K140" s="164" t="s">
        <v>131</v>
      </c>
      <c r="L140" s="376">
        <f>0.3*N140</f>
        <v>4500</v>
      </c>
      <c r="M140" s="320">
        <f>0.7*N140</f>
        <v>10500</v>
      </c>
      <c r="N140" s="418">
        <v>15000</v>
      </c>
      <c r="O140" s="157" t="s">
        <v>391</v>
      </c>
      <c r="P140" s="487"/>
    </row>
    <row r="141" spans="1:17" ht="17.149999999999999" customHeight="1" x14ac:dyDescent="0.3">
      <c r="A141" s="486" t="s">
        <v>384</v>
      </c>
      <c r="B141" s="284" t="s">
        <v>384</v>
      </c>
      <c r="C141" s="284" t="s">
        <v>384</v>
      </c>
      <c r="D141" s="278" t="s">
        <v>392</v>
      </c>
      <c r="E141" s="279">
        <v>7</v>
      </c>
      <c r="F141" s="436" t="s">
        <v>270</v>
      </c>
      <c r="G141" s="280"/>
      <c r="H141" s="281"/>
      <c r="I141" s="407"/>
      <c r="J141" s="304"/>
      <c r="K141" s="277" t="s">
        <v>131</v>
      </c>
      <c r="L141" s="376">
        <f>N141</f>
        <v>23586.89</v>
      </c>
      <c r="M141" s="320">
        <v>0</v>
      </c>
      <c r="N141" s="425">
        <v>23586.89</v>
      </c>
      <c r="O141" s="282" t="s">
        <v>393</v>
      </c>
      <c r="P141" s="489"/>
    </row>
    <row r="142" spans="1:17" ht="13" x14ac:dyDescent="0.3">
      <c r="A142" s="490"/>
      <c r="B142" s="165"/>
      <c r="C142" s="165"/>
      <c r="D142" s="227" t="s">
        <v>394</v>
      </c>
      <c r="E142" s="228"/>
      <c r="F142" s="166"/>
      <c r="G142" s="229"/>
      <c r="H142" s="188"/>
      <c r="I142" s="395"/>
      <c r="J142" s="308"/>
      <c r="K142" s="166"/>
      <c r="L142" s="395">
        <f>L138+L140+L139</f>
        <v>166500</v>
      </c>
      <c r="M142" s="342">
        <f>M138+M140+M139</f>
        <v>108500</v>
      </c>
      <c r="N142" s="426">
        <f>SUM(N138:N140)</f>
        <v>275000</v>
      </c>
      <c r="O142" s="227"/>
      <c r="P142" s="491"/>
    </row>
    <row r="143" spans="1:17" s="81" customFormat="1" ht="15.5" x14ac:dyDescent="0.3">
      <c r="A143" s="592" t="s">
        <v>395</v>
      </c>
      <c r="B143" s="593"/>
      <c r="C143" s="593"/>
      <c r="D143" s="593"/>
      <c r="E143" s="593"/>
      <c r="F143" s="593"/>
      <c r="G143" s="593"/>
      <c r="H143" s="593"/>
      <c r="I143" s="593"/>
      <c r="J143" s="593"/>
      <c r="K143" s="593"/>
      <c r="L143" s="593"/>
      <c r="M143" s="593"/>
      <c r="N143" s="593"/>
      <c r="O143" s="593"/>
      <c r="P143" s="594"/>
    </row>
    <row r="144" spans="1:17" ht="13" x14ac:dyDescent="0.3">
      <c r="A144" s="486" t="s">
        <v>384</v>
      </c>
      <c r="B144" s="284" t="s">
        <v>384</v>
      </c>
      <c r="C144" s="284" t="s">
        <v>384</v>
      </c>
      <c r="D144" s="173" t="s">
        <v>385</v>
      </c>
      <c r="E144" s="159">
        <v>1</v>
      </c>
      <c r="F144" s="199" t="s">
        <v>125</v>
      </c>
      <c r="G144" s="226"/>
      <c r="H144" s="187">
        <v>1</v>
      </c>
      <c r="I144" s="406">
        <v>1000</v>
      </c>
      <c r="J144" s="307">
        <v>44</v>
      </c>
      <c r="K144" s="164" t="s">
        <v>126</v>
      </c>
      <c r="L144" s="376">
        <f>0.7*N144</f>
        <v>30799.999999999996</v>
      </c>
      <c r="M144" s="320">
        <f>0.3*N144</f>
        <v>13200</v>
      </c>
      <c r="N144" s="418">
        <f>H144*I144*J144</f>
        <v>44000</v>
      </c>
      <c r="O144" s="157" t="s">
        <v>396</v>
      </c>
      <c r="P144" s="487"/>
    </row>
    <row r="145" spans="1:16" ht="13" x14ac:dyDescent="0.3">
      <c r="A145" s="490"/>
      <c r="B145" s="165"/>
      <c r="C145" s="165"/>
      <c r="D145" s="227" t="s">
        <v>394</v>
      </c>
      <c r="E145" s="228"/>
      <c r="F145" s="166"/>
      <c r="G145" s="229"/>
      <c r="H145" s="188"/>
      <c r="I145" s="395"/>
      <c r="J145" s="308"/>
      <c r="K145" s="166"/>
      <c r="L145" s="395">
        <f>L144</f>
        <v>30799.999999999996</v>
      </c>
      <c r="M145" s="342">
        <f>M144</f>
        <v>13200</v>
      </c>
      <c r="N145" s="426">
        <f>SUM(N144:N144)</f>
        <v>44000</v>
      </c>
      <c r="O145" s="227"/>
      <c r="P145" s="491"/>
    </row>
    <row r="146" spans="1:16" s="81" customFormat="1" ht="15.5" x14ac:dyDescent="0.3">
      <c r="A146" s="592" t="s">
        <v>397</v>
      </c>
      <c r="B146" s="593"/>
      <c r="C146" s="593"/>
      <c r="D146" s="593"/>
      <c r="E146" s="593"/>
      <c r="F146" s="593"/>
      <c r="G146" s="593"/>
      <c r="H146" s="593"/>
      <c r="I146" s="593"/>
      <c r="J146" s="593"/>
      <c r="K146" s="593"/>
      <c r="L146" s="593"/>
      <c r="M146" s="593"/>
      <c r="N146" s="593"/>
      <c r="O146" s="593"/>
      <c r="P146" s="594"/>
    </row>
    <row r="147" spans="1:16" ht="13" x14ac:dyDescent="0.3">
      <c r="A147" s="486" t="s">
        <v>384</v>
      </c>
      <c r="B147" s="284" t="s">
        <v>384</v>
      </c>
      <c r="C147" s="284" t="s">
        <v>384</v>
      </c>
      <c r="D147" s="173" t="s">
        <v>398</v>
      </c>
      <c r="E147" s="159">
        <v>1</v>
      </c>
      <c r="F147" s="199" t="s">
        <v>125</v>
      </c>
      <c r="G147" s="226"/>
      <c r="H147" s="187">
        <v>2</v>
      </c>
      <c r="I147" s="406">
        <v>1000</v>
      </c>
      <c r="J147" s="307">
        <v>40</v>
      </c>
      <c r="K147" s="164" t="s">
        <v>126</v>
      </c>
      <c r="L147" s="376">
        <f>0.3*N147</f>
        <v>24000</v>
      </c>
      <c r="M147" s="320">
        <f>0.7*N147</f>
        <v>56000</v>
      </c>
      <c r="N147" s="418">
        <f>H147*I147*J147</f>
        <v>80000</v>
      </c>
      <c r="O147" s="157" t="s">
        <v>399</v>
      </c>
      <c r="P147" s="487"/>
    </row>
    <row r="148" spans="1:16" ht="13" x14ac:dyDescent="0.3">
      <c r="A148" s="486" t="s">
        <v>384</v>
      </c>
      <c r="B148" s="284" t="s">
        <v>384</v>
      </c>
      <c r="C148" s="284" t="s">
        <v>384</v>
      </c>
      <c r="D148" s="173" t="s">
        <v>400</v>
      </c>
      <c r="E148" s="159">
        <v>2</v>
      </c>
      <c r="F148" s="199" t="s">
        <v>125</v>
      </c>
      <c r="G148" s="226"/>
      <c r="H148" s="187">
        <v>1</v>
      </c>
      <c r="I148" s="406">
        <v>4000</v>
      </c>
      <c r="J148" s="307" t="s">
        <v>199</v>
      </c>
      <c r="K148" s="164" t="s">
        <v>131</v>
      </c>
      <c r="L148" s="376">
        <f>N148</f>
        <v>4000</v>
      </c>
      <c r="M148" s="320">
        <v>0</v>
      </c>
      <c r="N148" s="418">
        <v>4000</v>
      </c>
      <c r="O148" s="157" t="s">
        <v>401</v>
      </c>
      <c r="P148" s="487"/>
    </row>
    <row r="149" spans="1:16" ht="13" x14ac:dyDescent="0.3">
      <c r="A149" s="490"/>
      <c r="B149" s="165"/>
      <c r="C149" s="165"/>
      <c r="D149" s="227" t="s">
        <v>394</v>
      </c>
      <c r="E149" s="228"/>
      <c r="F149" s="166"/>
      <c r="G149" s="229"/>
      <c r="H149" s="188"/>
      <c r="I149" s="395"/>
      <c r="J149" s="308"/>
      <c r="K149" s="166"/>
      <c r="L149" s="395">
        <f>L147+L148</f>
        <v>28000</v>
      </c>
      <c r="M149" s="342">
        <f>M147+M148</f>
        <v>56000</v>
      </c>
      <c r="N149" s="426">
        <f>SUM(N147:N148)</f>
        <v>84000</v>
      </c>
      <c r="O149" s="227"/>
      <c r="P149" s="491"/>
    </row>
    <row r="150" spans="1:16" ht="15" thickBot="1" x14ac:dyDescent="0.35">
      <c r="A150" s="492" t="s">
        <v>402</v>
      </c>
      <c r="B150" s="170"/>
      <c r="C150" s="170"/>
      <c r="D150" s="230"/>
      <c r="E150" s="231"/>
      <c r="F150" s="171"/>
      <c r="G150" s="231"/>
      <c r="H150" s="189"/>
      <c r="I150" s="396"/>
      <c r="J150" s="309"/>
      <c r="K150" s="171"/>
      <c r="L150" s="396">
        <f>L142+L145+L149</f>
        <v>225300</v>
      </c>
      <c r="M150" s="343">
        <f>M142+M145+M149</f>
        <v>177700</v>
      </c>
      <c r="N150" s="427">
        <f>SUM(N142+N145+N149)</f>
        <v>403000</v>
      </c>
      <c r="O150" s="232"/>
      <c r="P150" s="493"/>
    </row>
    <row r="151" spans="1:16" ht="15" thickTop="1" x14ac:dyDescent="0.3">
      <c r="A151" s="589" t="s">
        <v>403</v>
      </c>
      <c r="B151" s="590"/>
      <c r="C151" s="590"/>
      <c r="D151" s="591"/>
      <c r="E151" s="233"/>
      <c r="F151" s="169"/>
      <c r="G151" s="233"/>
      <c r="H151" s="190"/>
      <c r="I151" s="408"/>
      <c r="J151" s="310"/>
      <c r="K151" s="169"/>
      <c r="L151" s="397">
        <f>L58+L78+L134+L150</f>
        <v>1704150</v>
      </c>
      <c r="M151" s="328">
        <f>M58+M78+M134+M150</f>
        <v>3439550</v>
      </c>
      <c r="N151" s="397">
        <f>N58+N78+N134+N150</f>
        <v>5143700</v>
      </c>
      <c r="O151" s="234"/>
      <c r="P151" s="494"/>
    </row>
    <row r="152" spans="1:16" ht="14.5" x14ac:dyDescent="0.3">
      <c r="A152" s="495" t="s">
        <v>404</v>
      </c>
      <c r="B152" s="167"/>
      <c r="C152" s="167"/>
      <c r="D152" s="235"/>
      <c r="E152" s="236"/>
      <c r="F152" s="168"/>
      <c r="G152" s="236"/>
      <c r="H152" s="191"/>
      <c r="I152" s="409"/>
      <c r="J152" s="311"/>
      <c r="K152" s="168"/>
      <c r="L152" s="398">
        <f>L151*0.07</f>
        <v>119290.50000000001</v>
      </c>
      <c r="M152" s="329">
        <f>M151*0.07</f>
        <v>240768.50000000003</v>
      </c>
      <c r="N152" s="398">
        <f>N151*0.07</f>
        <v>360059.00000000006</v>
      </c>
      <c r="O152" s="237"/>
      <c r="P152" s="496"/>
    </row>
    <row r="153" spans="1:16" ht="21" customHeight="1" thickBot="1" x14ac:dyDescent="0.4">
      <c r="A153" s="497" t="s">
        <v>405</v>
      </c>
      <c r="B153" s="285"/>
      <c r="C153" s="285"/>
      <c r="D153" s="286"/>
      <c r="E153" s="287"/>
      <c r="F153" s="288"/>
      <c r="G153" s="287"/>
      <c r="H153" s="289"/>
      <c r="I153" s="410"/>
      <c r="J153" s="312"/>
      <c r="K153" s="327"/>
      <c r="L153" s="399">
        <f>L151+L152</f>
        <v>1823440.5</v>
      </c>
      <c r="M153" s="327">
        <f>M151+M152</f>
        <v>3680318.5</v>
      </c>
      <c r="N153" s="399">
        <f>N151+N152</f>
        <v>5503759</v>
      </c>
      <c r="O153" s="286"/>
      <c r="P153" s="498"/>
    </row>
    <row r="154" spans="1:16" ht="15" thickTop="1" x14ac:dyDescent="0.3">
      <c r="A154" s="589" t="s">
        <v>406</v>
      </c>
      <c r="B154" s="590"/>
      <c r="C154" s="590"/>
      <c r="D154" s="591"/>
      <c r="E154" s="233"/>
      <c r="F154" s="169"/>
      <c r="G154" s="233"/>
      <c r="H154" s="190"/>
      <c r="I154" s="408"/>
      <c r="J154" s="310"/>
      <c r="K154" s="169"/>
      <c r="L154" s="397">
        <f>SUM(L135+L141)</f>
        <v>231715.72000000003</v>
      </c>
      <c r="M154" s="328">
        <v>0</v>
      </c>
      <c r="N154" s="397"/>
      <c r="O154" s="234"/>
      <c r="P154" s="494"/>
    </row>
    <row r="155" spans="1:16" ht="14.5" x14ac:dyDescent="0.3">
      <c r="A155" s="510" t="s">
        <v>407</v>
      </c>
      <c r="B155" s="511"/>
      <c r="C155" s="511"/>
      <c r="D155" s="512"/>
      <c r="E155" s="513"/>
      <c r="F155" s="514"/>
      <c r="G155" s="513"/>
      <c r="H155" s="515"/>
      <c r="I155" s="516"/>
      <c r="J155" s="517"/>
      <c r="K155" s="514"/>
      <c r="L155" s="518">
        <f>L154*0.07</f>
        <v>16220.100400000003</v>
      </c>
      <c r="M155" s="519"/>
      <c r="N155" s="518"/>
      <c r="O155" s="520"/>
      <c r="P155" s="521"/>
    </row>
    <row r="156" spans="1:16" ht="21" customHeight="1" thickBot="1" x14ac:dyDescent="0.4">
      <c r="A156" s="522" t="s">
        <v>408</v>
      </c>
      <c r="B156" s="523"/>
      <c r="C156" s="523"/>
      <c r="D156" s="524"/>
      <c r="E156" s="525"/>
      <c r="F156" s="526"/>
      <c r="G156" s="525"/>
      <c r="H156" s="527"/>
      <c r="I156" s="528"/>
      <c r="J156" s="529"/>
      <c r="K156" s="530"/>
      <c r="L156" s="531">
        <f>SUM(L154:L155)</f>
        <v>247935.82040000003</v>
      </c>
      <c r="M156" s="530">
        <v>0</v>
      </c>
      <c r="N156" s="531">
        <f>L156</f>
        <v>247935.82040000003</v>
      </c>
      <c r="O156" s="524"/>
      <c r="P156" s="532"/>
    </row>
    <row r="157" spans="1:16" ht="21" customHeight="1" thickTop="1" thickBot="1" x14ac:dyDescent="0.4">
      <c r="A157" s="499" t="s">
        <v>409</v>
      </c>
      <c r="B157" s="500"/>
      <c r="C157" s="500"/>
      <c r="D157" s="501"/>
      <c r="E157" s="502"/>
      <c r="F157" s="503"/>
      <c r="G157" s="502"/>
      <c r="H157" s="504"/>
      <c r="I157" s="505"/>
      <c r="J157" s="506"/>
      <c r="K157" s="507"/>
      <c r="L157" s="508">
        <f>L153+L156</f>
        <v>2071376.3204000001</v>
      </c>
      <c r="M157" s="507">
        <f>M153</f>
        <v>3680318.5</v>
      </c>
      <c r="N157" s="508">
        <f>L157+M157</f>
        <v>5751694.8203999996</v>
      </c>
      <c r="O157" s="501"/>
      <c r="P157" s="509"/>
    </row>
  </sheetData>
  <autoFilter ref="A5:P134" xr:uid="{D60E9AC7-4A5F-544D-B6CB-F6CFE674D827}"/>
  <mergeCells count="69">
    <mergeCell ref="I4:I5"/>
    <mergeCell ref="H4:H5"/>
    <mergeCell ref="P10:P12"/>
    <mergeCell ref="P28:P29"/>
    <mergeCell ref="P14:P15"/>
    <mergeCell ref="A20:P20"/>
    <mergeCell ref="A24:P24"/>
    <mergeCell ref="A27:P27"/>
    <mergeCell ref="P21:P23"/>
    <mergeCell ref="P25:P26"/>
    <mergeCell ref="I2:K2"/>
    <mergeCell ref="A4:A5"/>
    <mergeCell ref="P4:P5"/>
    <mergeCell ref="A17:P17"/>
    <mergeCell ref="D4:D5"/>
    <mergeCell ref="C4:C5"/>
    <mergeCell ref="B4:B5"/>
    <mergeCell ref="N4:N5"/>
    <mergeCell ref="A7:N7"/>
    <mergeCell ref="A8:P8"/>
    <mergeCell ref="A13:P13"/>
    <mergeCell ref="A9:P9"/>
    <mergeCell ref="G4:G5"/>
    <mergeCell ref="E4:E5"/>
    <mergeCell ref="J4:J5"/>
    <mergeCell ref="K4:K5"/>
    <mergeCell ref="A1:D1"/>
    <mergeCell ref="A3:C3"/>
    <mergeCell ref="A2:C2"/>
    <mergeCell ref="F4:F5"/>
    <mergeCell ref="E2:H2"/>
    <mergeCell ref="A60:P60"/>
    <mergeCell ref="A44:P44"/>
    <mergeCell ref="A32:P32"/>
    <mergeCell ref="A31:P31"/>
    <mergeCell ref="A35:P35"/>
    <mergeCell ref="A59:N59"/>
    <mergeCell ref="A50:P50"/>
    <mergeCell ref="A51:P51"/>
    <mergeCell ref="A54:P54"/>
    <mergeCell ref="P36:P38"/>
    <mergeCell ref="P45:P48"/>
    <mergeCell ref="A61:P61"/>
    <mergeCell ref="P62:P63"/>
    <mergeCell ref="P66:P67"/>
    <mergeCell ref="A70:P70"/>
    <mergeCell ref="P71:P72"/>
    <mergeCell ref="A65:P65"/>
    <mergeCell ref="A74:P74"/>
    <mergeCell ref="A137:P137"/>
    <mergeCell ref="A107:P107"/>
    <mergeCell ref="A128:P128"/>
    <mergeCell ref="A129:P129"/>
    <mergeCell ref="A123:P123"/>
    <mergeCell ref="A136:N136"/>
    <mergeCell ref="A80:P80"/>
    <mergeCell ref="A93:P93"/>
    <mergeCell ref="A86:P86"/>
    <mergeCell ref="A79:N79"/>
    <mergeCell ref="A119:P119"/>
    <mergeCell ref="A115:P115"/>
    <mergeCell ref="A114:P114"/>
    <mergeCell ref="A100:P100"/>
    <mergeCell ref="A81:P81"/>
    <mergeCell ref="A154:D154"/>
    <mergeCell ref="A143:P143"/>
    <mergeCell ref="A146:P146"/>
    <mergeCell ref="A151:D151"/>
    <mergeCell ref="A135:D135"/>
  </mergeCells>
  <phoneticPr fontId="36" type="noConversion"/>
  <dataValidations count="1">
    <dataValidation type="list" allowBlank="1" showInputMessage="1" showErrorMessage="1" sqref="E142 E145 E149" xr:uid="{2DF463EB-FDDD-D848-B5AD-832160956FD4}">
      <formula1>#REF!</formula1>
    </dataValidation>
  </dataValidations>
  <pageMargins left="0.7" right="0.7" top="0.75" bottom="0.75" header="0.3" footer="0.3"/>
  <pageSetup orientation="portrait" horizontalDpi="4294967293" r:id="rId1"/>
  <ignoredErrors>
    <ignoredError sqref="L120"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08AB6-FA23-364B-8629-20421F8A52BD}">
  <dimension ref="A1:AE45"/>
  <sheetViews>
    <sheetView topLeftCell="A17" zoomScale="66" zoomScaleNormal="51" workbookViewId="0">
      <selection activeCell="A34" sqref="A34:AE34"/>
    </sheetView>
  </sheetViews>
  <sheetFormatPr defaultColWidth="8.453125" defaultRowHeight="14.5" x14ac:dyDescent="0.35"/>
  <cols>
    <col min="1" max="1" width="66.26953125" style="93" customWidth="1"/>
    <col min="2" max="9" width="15.453125" style="93" hidden="1" customWidth="1"/>
    <col min="10" max="10" width="59" style="93" customWidth="1"/>
    <col min="11" max="28" width="5.453125" style="93" customWidth="1"/>
    <col min="29" max="29" width="56.453125" style="93" customWidth="1"/>
    <col min="30" max="30" width="33.453125" style="93" customWidth="1"/>
    <col min="31" max="31" width="33.7265625" style="93" customWidth="1"/>
    <col min="32" max="16384" width="8.453125" style="93"/>
  </cols>
  <sheetData>
    <row r="1" spans="1:31" ht="78" customHeight="1" thickBot="1" x14ac:dyDescent="0.4">
      <c r="A1" s="730"/>
      <c r="B1" s="730"/>
      <c r="C1" s="730"/>
      <c r="D1" s="730"/>
      <c r="E1" s="730"/>
      <c r="F1" s="730"/>
      <c r="G1" s="730"/>
      <c r="H1" s="730"/>
      <c r="I1" s="730"/>
      <c r="J1" s="730"/>
      <c r="K1" s="730"/>
      <c r="L1" s="730"/>
      <c r="M1" s="730"/>
      <c r="N1" s="730"/>
      <c r="O1" s="730"/>
      <c r="P1" s="730"/>
      <c r="Q1" s="730"/>
      <c r="R1" s="730"/>
      <c r="S1" s="730"/>
      <c r="T1" s="730"/>
      <c r="U1" s="730"/>
      <c r="V1" s="730"/>
      <c r="W1" s="730"/>
      <c r="X1" s="730"/>
      <c r="Y1" s="730"/>
      <c r="Z1" s="730"/>
      <c r="AA1" s="730"/>
      <c r="AB1" s="730"/>
    </row>
    <row r="2" spans="1:31" s="5" customFormat="1" ht="32.25" customHeight="1" thickBot="1" x14ac:dyDescent="0.3">
      <c r="A2" s="533" t="s">
        <v>410</v>
      </c>
      <c r="B2" s="534"/>
      <c r="C2" s="534"/>
      <c r="D2" s="534"/>
      <c r="E2" s="534"/>
      <c r="F2" s="534"/>
      <c r="G2" s="534"/>
      <c r="H2" s="534"/>
      <c r="I2" s="534"/>
      <c r="J2" s="534"/>
      <c r="K2" s="534"/>
      <c r="L2" s="534"/>
      <c r="M2" s="534"/>
      <c r="N2" s="534"/>
      <c r="O2" s="534"/>
      <c r="P2" s="534"/>
      <c r="Q2" s="534"/>
      <c r="R2" s="534"/>
      <c r="S2" s="534"/>
      <c r="T2" s="534"/>
      <c r="U2" s="534"/>
      <c r="V2" s="534"/>
      <c r="W2" s="534"/>
      <c r="X2" s="534"/>
      <c r="Y2" s="534"/>
      <c r="Z2" s="534"/>
      <c r="AA2" s="534"/>
      <c r="AB2" s="534"/>
      <c r="AC2" s="535"/>
      <c r="AD2" s="535"/>
      <c r="AE2" s="536"/>
    </row>
    <row r="3" spans="1:31" s="5" customFormat="1" ht="33" customHeight="1" thickBot="1" x14ac:dyDescent="0.3">
      <c r="A3" s="734" t="s">
        <v>411</v>
      </c>
      <c r="B3" s="741" t="s">
        <v>412</v>
      </c>
      <c r="C3" s="742"/>
      <c r="D3" s="742"/>
      <c r="E3" s="742"/>
      <c r="F3" s="742"/>
      <c r="G3" s="742"/>
      <c r="H3" s="742"/>
      <c r="I3" s="743"/>
      <c r="J3" s="750" t="s">
        <v>413</v>
      </c>
      <c r="K3" s="731" t="s">
        <v>414</v>
      </c>
      <c r="L3" s="732"/>
      <c r="M3" s="732"/>
      <c r="N3" s="732"/>
      <c r="O3" s="732"/>
      <c r="P3" s="732"/>
      <c r="Q3" s="732"/>
      <c r="R3" s="732"/>
      <c r="S3" s="732"/>
      <c r="T3" s="732"/>
      <c r="U3" s="732"/>
      <c r="V3" s="732"/>
      <c r="W3" s="732"/>
      <c r="X3" s="732"/>
      <c r="Y3" s="732"/>
      <c r="Z3" s="732"/>
      <c r="AA3" s="732"/>
      <c r="AB3" s="733"/>
      <c r="AC3" s="744"/>
      <c r="AD3" s="744"/>
      <c r="AE3" s="745"/>
    </row>
    <row r="4" spans="1:31" s="5" customFormat="1" ht="33" customHeight="1" x14ac:dyDescent="0.25">
      <c r="A4" s="735"/>
      <c r="B4" s="739" t="s">
        <v>415</v>
      </c>
      <c r="C4" s="739" t="s">
        <v>416</v>
      </c>
      <c r="D4" s="739" t="s">
        <v>417</v>
      </c>
      <c r="E4" s="739" t="s">
        <v>418</v>
      </c>
      <c r="F4" s="739" t="s">
        <v>419</v>
      </c>
      <c r="G4" s="739" t="s">
        <v>420</v>
      </c>
      <c r="H4" s="739" t="s">
        <v>421</v>
      </c>
      <c r="I4" s="739" t="s">
        <v>422</v>
      </c>
      <c r="J4" s="751"/>
      <c r="K4" s="659" t="s">
        <v>423</v>
      </c>
      <c r="L4" s="737" t="s">
        <v>424</v>
      </c>
      <c r="M4" s="659" t="s">
        <v>425</v>
      </c>
      <c r="N4" s="737" t="s">
        <v>426</v>
      </c>
      <c r="O4" s="659" t="s">
        <v>427</v>
      </c>
      <c r="P4" s="737" t="s">
        <v>428</v>
      </c>
      <c r="Q4" s="659" t="s">
        <v>429</v>
      </c>
      <c r="R4" s="737" t="s">
        <v>430</v>
      </c>
      <c r="S4" s="659" t="s">
        <v>431</v>
      </c>
      <c r="T4" s="737" t="s">
        <v>432</v>
      </c>
      <c r="U4" s="659" t="s">
        <v>433</v>
      </c>
      <c r="V4" s="737" t="s">
        <v>434</v>
      </c>
      <c r="W4" s="659" t="s">
        <v>435</v>
      </c>
      <c r="X4" s="737" t="s">
        <v>436</v>
      </c>
      <c r="Y4" s="659" t="s">
        <v>437</v>
      </c>
      <c r="Z4" s="737" t="s">
        <v>438</v>
      </c>
      <c r="AA4" s="659" t="s">
        <v>439</v>
      </c>
      <c r="AB4" s="737" t="s">
        <v>440</v>
      </c>
      <c r="AC4" s="746"/>
      <c r="AD4" s="746"/>
      <c r="AE4" s="747"/>
    </row>
    <row r="5" spans="1:31" s="5" customFormat="1" ht="40.5" customHeight="1" thickBot="1" x14ac:dyDescent="0.3">
      <c r="A5" s="736"/>
      <c r="B5" s="740"/>
      <c r="C5" s="740"/>
      <c r="D5" s="740"/>
      <c r="E5" s="740"/>
      <c r="F5" s="740"/>
      <c r="G5" s="740"/>
      <c r="H5" s="740"/>
      <c r="I5" s="740"/>
      <c r="J5" s="752"/>
      <c r="K5" s="660"/>
      <c r="L5" s="738"/>
      <c r="M5" s="660"/>
      <c r="N5" s="738"/>
      <c r="O5" s="660"/>
      <c r="P5" s="738"/>
      <c r="Q5" s="660"/>
      <c r="R5" s="738"/>
      <c r="S5" s="660"/>
      <c r="T5" s="738"/>
      <c r="U5" s="660"/>
      <c r="V5" s="738"/>
      <c r="W5" s="660"/>
      <c r="X5" s="738"/>
      <c r="Y5" s="660"/>
      <c r="Z5" s="738"/>
      <c r="AA5" s="660"/>
      <c r="AB5" s="738"/>
      <c r="AC5" s="140" t="s">
        <v>441</v>
      </c>
      <c r="AD5" s="115" t="s">
        <v>442</v>
      </c>
      <c r="AE5" s="537" t="s">
        <v>443</v>
      </c>
    </row>
    <row r="6" spans="1:31" s="5" customFormat="1" ht="14" thickBot="1" x14ac:dyDescent="0.3">
      <c r="A6" s="735" t="s">
        <v>120</v>
      </c>
      <c r="B6" s="748"/>
      <c r="C6" s="748"/>
      <c r="D6" s="748"/>
      <c r="E6" s="748"/>
      <c r="F6" s="748"/>
      <c r="G6" s="748"/>
      <c r="H6" s="748"/>
      <c r="I6" s="748"/>
      <c r="J6" s="748"/>
      <c r="K6" s="748"/>
      <c r="L6" s="748"/>
      <c r="M6" s="748"/>
      <c r="N6" s="748"/>
      <c r="O6" s="748"/>
      <c r="P6" s="748"/>
      <c r="Q6" s="748"/>
      <c r="R6" s="748"/>
      <c r="S6" s="748"/>
      <c r="T6" s="748"/>
      <c r="U6" s="748"/>
      <c r="V6" s="748"/>
      <c r="W6" s="748"/>
      <c r="X6" s="748"/>
      <c r="Y6" s="748"/>
      <c r="Z6" s="748"/>
      <c r="AA6" s="748"/>
      <c r="AB6" s="748"/>
      <c r="AC6" s="748"/>
      <c r="AD6" s="748"/>
      <c r="AE6" s="749"/>
    </row>
    <row r="7" spans="1:31" s="5" customFormat="1" ht="27.65" customHeight="1" thickBot="1" x14ac:dyDescent="0.3">
      <c r="A7" s="661" t="str">
        <f>'[8]A. Budget by Activities'!A7</f>
        <v>Reef-positive business #1: Agrion</v>
      </c>
      <c r="B7" s="679"/>
      <c r="C7" s="679"/>
      <c r="D7" s="679"/>
      <c r="E7" s="679"/>
      <c r="F7" s="679"/>
      <c r="G7" s="679"/>
      <c r="H7" s="679"/>
      <c r="I7" s="679"/>
      <c r="J7" s="125" t="str">
        <f>'[8]A. Budget by Activities'!$A$8</f>
        <v>Activity 1.1.1: Landscape Assessment</v>
      </c>
      <c r="K7" s="347"/>
      <c r="L7" s="348"/>
      <c r="M7" s="348"/>
      <c r="N7" s="348"/>
      <c r="O7" s="348"/>
      <c r="P7" s="348"/>
      <c r="Q7" s="348"/>
      <c r="R7" s="348"/>
      <c r="S7" s="348"/>
      <c r="T7" s="348"/>
      <c r="U7" s="348"/>
      <c r="V7" s="348"/>
      <c r="W7" s="127"/>
      <c r="X7" s="127"/>
      <c r="Y7" s="127"/>
      <c r="Z7" s="127"/>
      <c r="AA7" s="127"/>
      <c r="AB7" s="128"/>
      <c r="AC7" s="689" t="s">
        <v>444</v>
      </c>
      <c r="AD7" s="701">
        <f>'A. Budget by Outcome'!N30</f>
        <v>432500</v>
      </c>
      <c r="AE7" s="698">
        <v>0</v>
      </c>
    </row>
    <row r="8" spans="1:31" s="5" customFormat="1" ht="27.65" customHeight="1" thickBot="1" x14ac:dyDescent="0.3">
      <c r="A8" s="662"/>
      <c r="B8" s="680"/>
      <c r="C8" s="680"/>
      <c r="D8" s="680"/>
      <c r="E8" s="680"/>
      <c r="F8" s="680"/>
      <c r="G8" s="680"/>
      <c r="H8" s="680"/>
      <c r="I8" s="680"/>
      <c r="J8" s="125" t="str">
        <f>'[8]A. Budget by Activities'!$A$13</f>
        <v>Activity 1.1.2:  ESAP</v>
      </c>
      <c r="K8" s="129"/>
      <c r="L8" s="349"/>
      <c r="M8" s="349"/>
      <c r="N8" s="349"/>
      <c r="O8" s="349"/>
      <c r="P8" s="349"/>
      <c r="Q8" s="349"/>
      <c r="R8" s="349"/>
      <c r="S8" s="349"/>
      <c r="T8" s="349"/>
      <c r="U8" s="349"/>
      <c r="V8" s="349"/>
      <c r="W8" s="124"/>
      <c r="X8" s="124"/>
      <c r="Y8" s="124"/>
      <c r="Z8" s="124"/>
      <c r="AA8" s="124"/>
      <c r="AB8" s="130"/>
      <c r="AC8" s="690"/>
      <c r="AD8" s="702"/>
      <c r="AE8" s="698"/>
    </row>
    <row r="9" spans="1:31" s="5" customFormat="1" ht="27.65" customHeight="1" thickBot="1" x14ac:dyDescent="0.3">
      <c r="A9" s="662"/>
      <c r="B9" s="680"/>
      <c r="C9" s="680"/>
      <c r="D9" s="680"/>
      <c r="E9" s="680"/>
      <c r="F9" s="680"/>
      <c r="G9" s="680"/>
      <c r="H9" s="680"/>
      <c r="I9" s="680"/>
      <c r="J9" s="125" t="str">
        <f>'[8]A. Budget by Activities'!$A$18</f>
        <v>Activity 1.1.3:  Life-Cycle Assessment</v>
      </c>
      <c r="K9" s="129"/>
      <c r="L9" s="124"/>
      <c r="M9" s="349"/>
      <c r="N9" s="349"/>
      <c r="O9" s="349"/>
      <c r="P9" s="349"/>
      <c r="Q9" s="349"/>
      <c r="R9" s="349"/>
      <c r="S9" s="349"/>
      <c r="T9" s="349"/>
      <c r="U9" s="349"/>
      <c r="V9" s="349"/>
      <c r="W9" s="124"/>
      <c r="X9" s="124"/>
      <c r="Y9" s="124"/>
      <c r="Z9" s="124"/>
      <c r="AA9" s="124"/>
      <c r="AB9" s="130"/>
      <c r="AC9" s="690"/>
      <c r="AD9" s="702"/>
      <c r="AE9" s="698"/>
    </row>
    <row r="10" spans="1:31" s="5" customFormat="1" ht="27.65" customHeight="1" thickBot="1" x14ac:dyDescent="0.3">
      <c r="A10" s="662"/>
      <c r="B10" s="680"/>
      <c r="C10" s="680"/>
      <c r="D10" s="680"/>
      <c r="E10" s="680"/>
      <c r="F10" s="680"/>
      <c r="G10" s="680"/>
      <c r="H10" s="680"/>
      <c r="I10" s="680"/>
      <c r="J10" s="125" t="str">
        <f>'[8]A. Budget by Activities'!$A$24</f>
        <v>Activity 1.1.4: Identification of additional regenerative agriculture practices</v>
      </c>
      <c r="K10" s="350"/>
      <c r="L10" s="351"/>
      <c r="M10" s="352"/>
      <c r="N10" s="352"/>
      <c r="O10" s="352"/>
      <c r="P10" s="352"/>
      <c r="Q10" s="352"/>
      <c r="R10" s="352"/>
      <c r="S10" s="352"/>
      <c r="T10" s="352"/>
      <c r="U10" s="352"/>
      <c r="V10" s="352"/>
      <c r="W10" s="351"/>
      <c r="X10" s="351"/>
      <c r="Y10" s="351"/>
      <c r="Z10" s="351"/>
      <c r="AA10" s="351"/>
      <c r="AB10" s="353"/>
      <c r="AC10" s="690"/>
      <c r="AD10" s="702"/>
      <c r="AE10" s="698"/>
    </row>
    <row r="11" spans="1:31" s="5" customFormat="1" ht="27.65" customHeight="1" thickBot="1" x14ac:dyDescent="0.3">
      <c r="A11" s="662"/>
      <c r="B11" s="680"/>
      <c r="C11" s="680"/>
      <c r="D11" s="680"/>
      <c r="E11" s="680"/>
      <c r="F11" s="680"/>
      <c r="G11" s="680"/>
      <c r="H11" s="680"/>
      <c r="I11" s="680"/>
      <c r="J11" s="125" t="str">
        <f>'[8]A. Budget by Activities'!$A$29</f>
        <v>Activity 1.1.5: Development of an organic products line</v>
      </c>
      <c r="K11" s="350"/>
      <c r="L11" s="351"/>
      <c r="M11" s="354"/>
      <c r="N11" s="352"/>
      <c r="O11" s="352"/>
      <c r="P11" s="352"/>
      <c r="Q11" s="352"/>
      <c r="R11" s="352"/>
      <c r="S11" s="352"/>
      <c r="T11" s="352"/>
      <c r="U11" s="352"/>
      <c r="V11" s="352"/>
      <c r="W11" s="351"/>
      <c r="X11" s="351"/>
      <c r="Y11" s="351"/>
      <c r="Z11" s="351"/>
      <c r="AA11" s="351"/>
      <c r="AB11" s="353"/>
      <c r="AC11" s="690"/>
      <c r="AD11" s="702"/>
      <c r="AE11" s="698"/>
    </row>
    <row r="12" spans="1:31" s="5" customFormat="1" ht="27.65" customHeight="1" thickBot="1" x14ac:dyDescent="0.3">
      <c r="A12" s="678"/>
      <c r="B12" s="681"/>
      <c r="C12" s="681"/>
      <c r="D12" s="681"/>
      <c r="E12" s="681"/>
      <c r="F12" s="681"/>
      <c r="G12" s="681"/>
      <c r="H12" s="681"/>
      <c r="I12" s="681"/>
      <c r="J12" s="125" t="str">
        <f>'[8]A. Budget by Activities'!$A$33</f>
        <v>Activity 1.1.6: Development of and M&amp;E framework and M&amp;E plan</v>
      </c>
      <c r="K12" s="131"/>
      <c r="L12" s="132"/>
      <c r="M12" s="355"/>
      <c r="N12" s="355"/>
      <c r="O12" s="355"/>
      <c r="P12" s="356"/>
      <c r="Q12" s="356"/>
      <c r="R12" s="356"/>
      <c r="S12" s="356"/>
      <c r="T12" s="356"/>
      <c r="U12" s="356"/>
      <c r="V12" s="356"/>
      <c r="W12" s="132"/>
      <c r="X12" s="132"/>
      <c r="Y12" s="132"/>
      <c r="Z12" s="132"/>
      <c r="AA12" s="132"/>
      <c r="AB12" s="133"/>
      <c r="AC12" s="697"/>
      <c r="AD12" s="703"/>
      <c r="AE12" s="698"/>
    </row>
    <row r="13" spans="1:31" s="5" customFormat="1" ht="21.65" customHeight="1" thickBot="1" x14ac:dyDescent="0.3">
      <c r="A13" s="661" t="str">
        <f>'[8]A. Budget by Activities'!A38</f>
        <v>Reef-positive business #2: Parley</v>
      </c>
      <c r="B13" s="679"/>
      <c r="C13" s="679"/>
      <c r="D13" s="679"/>
      <c r="E13" s="679"/>
      <c r="F13" s="679"/>
      <c r="G13" s="679"/>
      <c r="H13" s="679"/>
      <c r="I13" s="679"/>
      <c r="J13" s="113" t="str">
        <f>'[8]A. Budget by Activities'!$A$39</f>
        <v>Activity 1.2.1: A global assessment of resilient coral reefs impacted by plastic</v>
      </c>
      <c r="K13" s="357"/>
      <c r="L13" s="358"/>
      <c r="M13" s="358"/>
      <c r="N13" s="358"/>
      <c r="O13" s="358"/>
      <c r="P13" s="358"/>
      <c r="Q13" s="358"/>
      <c r="R13" s="358"/>
      <c r="S13" s="358"/>
      <c r="T13" s="358"/>
      <c r="U13" s="358"/>
      <c r="V13" s="358"/>
      <c r="W13" s="127"/>
      <c r="X13" s="127"/>
      <c r="Y13" s="127"/>
      <c r="Z13" s="127"/>
      <c r="AA13" s="127"/>
      <c r="AB13" s="128"/>
      <c r="AC13" s="439" t="s">
        <v>445</v>
      </c>
      <c r="AD13" s="663">
        <f>'A. Budget by Outcome'!N49</f>
        <v>613000</v>
      </c>
      <c r="AE13" s="699">
        <v>0</v>
      </c>
    </row>
    <row r="14" spans="1:31" s="5" customFormat="1" ht="21.65" customHeight="1" thickBot="1" x14ac:dyDescent="0.3">
      <c r="A14" s="662"/>
      <c r="B14" s="680"/>
      <c r="C14" s="680"/>
      <c r="D14" s="680"/>
      <c r="E14" s="680"/>
      <c r="F14" s="680"/>
      <c r="G14" s="680"/>
      <c r="H14" s="680"/>
      <c r="I14" s="680"/>
      <c r="J14" s="113" t="str">
        <f>'[8]A. Budget by Activities'!$A$43</f>
        <v>Activity 1.2.2: Support the implementation of the ESAP</v>
      </c>
      <c r="K14" s="359"/>
      <c r="L14" s="360"/>
      <c r="M14" s="360"/>
      <c r="N14" s="360"/>
      <c r="O14" s="360"/>
      <c r="P14" s="360"/>
      <c r="Q14" s="360"/>
      <c r="R14" s="360"/>
      <c r="S14" s="360"/>
      <c r="T14" s="360"/>
      <c r="U14" s="360"/>
      <c r="V14" s="360"/>
      <c r="W14" s="124"/>
      <c r="X14" s="124"/>
      <c r="Y14" s="124"/>
      <c r="Z14" s="124"/>
      <c r="AA14" s="124"/>
      <c r="AB14" s="130"/>
      <c r="AC14" s="440" t="s">
        <v>446</v>
      </c>
      <c r="AD14" s="664"/>
      <c r="AE14" s="699"/>
    </row>
    <row r="15" spans="1:31" s="5" customFormat="1" ht="21.65" customHeight="1" thickBot="1" x14ac:dyDescent="0.3">
      <c r="A15" s="662"/>
      <c r="B15" s="680"/>
      <c r="C15" s="680"/>
      <c r="D15" s="680"/>
      <c r="E15" s="680"/>
      <c r="F15" s="680"/>
      <c r="G15" s="680"/>
      <c r="H15" s="680"/>
      <c r="I15" s="680"/>
      <c r="J15" s="113" t="str">
        <f>'[8]A. Budget by Activities'!$A$47</f>
        <v>Activity 1.2.3: Support the Parley AIR Atoll Project in the Maldives</v>
      </c>
      <c r="K15" s="361"/>
      <c r="L15" s="362"/>
      <c r="M15" s="360"/>
      <c r="N15" s="360"/>
      <c r="O15" s="360"/>
      <c r="P15" s="360"/>
      <c r="Q15" s="360"/>
      <c r="R15" s="360"/>
      <c r="S15" s="360"/>
      <c r="T15" s="360"/>
      <c r="U15" s="360"/>
      <c r="V15" s="360"/>
      <c r="W15" s="360"/>
      <c r="X15" s="360"/>
      <c r="Y15" s="360"/>
      <c r="Z15" s="360"/>
      <c r="AA15" s="360"/>
      <c r="AB15" s="363"/>
      <c r="AC15" s="440" t="s">
        <v>447</v>
      </c>
      <c r="AD15" s="664"/>
      <c r="AE15" s="699"/>
    </row>
    <row r="16" spans="1:31" s="5" customFormat="1" ht="21.65" customHeight="1" thickBot="1" x14ac:dyDescent="0.3">
      <c r="A16" s="662"/>
      <c r="B16" s="681"/>
      <c r="C16" s="681"/>
      <c r="D16" s="681"/>
      <c r="E16" s="681"/>
      <c r="F16" s="681"/>
      <c r="G16" s="681"/>
      <c r="H16" s="681"/>
      <c r="I16" s="681"/>
      <c r="J16" s="113" t="str">
        <f>'[8]A. Budget by Activities'!$A$54</f>
        <v>Activity 1.2.4: Support the Parley Sri Lanka Beruwala</v>
      </c>
      <c r="K16" s="364"/>
      <c r="L16" s="355"/>
      <c r="M16" s="365"/>
      <c r="N16" s="365"/>
      <c r="O16" s="365"/>
      <c r="P16" s="365"/>
      <c r="Q16" s="365"/>
      <c r="R16" s="365"/>
      <c r="S16" s="365"/>
      <c r="T16" s="365"/>
      <c r="U16" s="365"/>
      <c r="V16" s="365"/>
      <c r="W16" s="365"/>
      <c r="X16" s="365"/>
      <c r="Y16" s="365"/>
      <c r="Z16" s="365"/>
      <c r="AA16" s="365"/>
      <c r="AB16" s="366"/>
      <c r="AC16" s="440" t="s">
        <v>447</v>
      </c>
      <c r="AD16" s="665"/>
      <c r="AE16" s="700"/>
    </row>
    <row r="17" spans="1:31" s="5" customFormat="1" ht="33" customHeight="1" thickBot="1" x14ac:dyDescent="0.3">
      <c r="A17" s="661" t="str">
        <f>'[8]A. Budget by Activities'!A62</f>
        <v>Flexible funding for future TA needs</v>
      </c>
      <c r="B17" s="679"/>
      <c r="C17" s="679"/>
      <c r="D17" s="679"/>
      <c r="E17" s="679"/>
      <c r="F17" s="679"/>
      <c r="G17" s="679"/>
      <c r="H17" s="679"/>
      <c r="I17" s="679"/>
      <c r="J17" s="113" t="str">
        <f>'[8]A. Budget by Activities'!$A$63</f>
        <v>Activity 2.2.1: Allocated for future TA activities: Business #1</v>
      </c>
      <c r="K17" s="367"/>
      <c r="L17" s="368"/>
      <c r="M17" s="368"/>
      <c r="N17" s="368"/>
      <c r="O17" s="368"/>
      <c r="P17" s="368"/>
      <c r="Q17" s="369"/>
      <c r="R17" s="369"/>
      <c r="S17" s="369"/>
      <c r="T17" s="369"/>
      <c r="U17" s="369"/>
      <c r="V17" s="369"/>
      <c r="W17" s="369"/>
      <c r="X17" s="369"/>
      <c r="Y17" s="369"/>
      <c r="Z17" s="369"/>
      <c r="AA17" s="369"/>
      <c r="AB17" s="370"/>
      <c r="AC17" s="705" t="s">
        <v>448</v>
      </c>
      <c r="AD17" s="666">
        <f>'A. Budget by Outcome'!N57</f>
        <v>642000</v>
      </c>
      <c r="AE17" s="707">
        <v>0</v>
      </c>
    </row>
    <row r="18" spans="1:31" s="5" customFormat="1" ht="43" customHeight="1" thickBot="1" x14ac:dyDescent="0.3">
      <c r="A18" s="662"/>
      <c r="B18" s="680"/>
      <c r="C18" s="680"/>
      <c r="D18" s="680"/>
      <c r="E18" s="680"/>
      <c r="F18" s="680"/>
      <c r="G18" s="680"/>
      <c r="H18" s="680"/>
      <c r="I18" s="680"/>
      <c r="J18" s="113" t="str">
        <f>'[8]A. Budget by Activities'!$A$67</f>
        <v>Activity 2.2.2: Allocated for future TA activities: Business #2</v>
      </c>
      <c r="K18" s="367"/>
      <c r="L18" s="368"/>
      <c r="M18" s="368"/>
      <c r="N18" s="368"/>
      <c r="O18" s="368"/>
      <c r="P18" s="368"/>
      <c r="Q18" s="369"/>
      <c r="R18" s="369"/>
      <c r="S18" s="369"/>
      <c r="T18" s="369"/>
      <c r="U18" s="369"/>
      <c r="V18" s="369"/>
      <c r="W18" s="369"/>
      <c r="X18" s="369"/>
      <c r="Y18" s="369"/>
      <c r="Z18" s="369"/>
      <c r="AA18" s="369"/>
      <c r="AB18" s="370"/>
      <c r="AC18" s="706"/>
      <c r="AD18" s="665"/>
      <c r="AE18" s="700"/>
    </row>
    <row r="19" spans="1:31" s="5" customFormat="1" ht="31.5" customHeight="1" thickBot="1" x14ac:dyDescent="0.3">
      <c r="A19" s="675" t="s">
        <v>226</v>
      </c>
      <c r="B19" s="676"/>
      <c r="C19" s="676"/>
      <c r="D19" s="676"/>
      <c r="E19" s="676"/>
      <c r="F19" s="676"/>
      <c r="G19" s="676"/>
      <c r="H19" s="676"/>
      <c r="I19" s="676"/>
      <c r="J19" s="676"/>
      <c r="K19" s="676"/>
      <c r="L19" s="676"/>
      <c r="M19" s="676"/>
      <c r="N19" s="676"/>
      <c r="O19" s="676"/>
      <c r="P19" s="676"/>
      <c r="Q19" s="676"/>
      <c r="R19" s="676"/>
      <c r="S19" s="676"/>
      <c r="T19" s="676"/>
      <c r="U19" s="676"/>
      <c r="V19" s="676"/>
      <c r="W19" s="676"/>
      <c r="X19" s="676"/>
      <c r="Y19" s="676"/>
      <c r="Z19" s="676"/>
      <c r="AA19" s="676"/>
      <c r="AB19" s="676"/>
      <c r="AC19" s="676"/>
      <c r="AD19" s="676"/>
      <c r="AE19" s="691"/>
    </row>
    <row r="20" spans="1:31" s="5" customFormat="1" ht="42.75" customHeight="1" thickBot="1" x14ac:dyDescent="0.3">
      <c r="A20" s="661" t="str">
        <f>'[8]A. Budget by Activities'!A73</f>
        <v>Provide Capital Acceleration to financial vehicles</v>
      </c>
      <c r="B20" s="679"/>
      <c r="C20" s="679"/>
      <c r="D20" s="679"/>
      <c r="E20" s="679"/>
      <c r="F20" s="679"/>
      <c r="G20" s="679"/>
      <c r="H20" s="679"/>
      <c r="I20" s="679"/>
      <c r="J20" s="113" t="str">
        <f>'[8]A. Budget by Activities'!$A$74</f>
        <v>Activity 3.1: Conduct open calls for Eligible Projects</v>
      </c>
      <c r="K20" s="126"/>
      <c r="L20" s="358"/>
      <c r="M20" s="358"/>
      <c r="N20" s="358"/>
      <c r="O20" s="358"/>
      <c r="P20" s="358"/>
      <c r="Q20" s="358"/>
      <c r="R20" s="358"/>
      <c r="S20" s="358"/>
      <c r="T20" s="358"/>
      <c r="U20" s="358"/>
      <c r="V20" s="358"/>
      <c r="W20" s="358"/>
      <c r="X20" s="358"/>
      <c r="Y20" s="358"/>
      <c r="Z20" s="358"/>
      <c r="AA20" s="358"/>
      <c r="AB20" s="372"/>
      <c r="AC20" s="682" t="s">
        <v>449</v>
      </c>
      <c r="AD20" s="666">
        <f>'A. Budget by Outcome'!N77</f>
        <v>2243200</v>
      </c>
      <c r="AE20" s="685">
        <v>0</v>
      </c>
    </row>
    <row r="21" spans="1:31" s="5" customFormat="1" ht="43.5" customHeight="1" thickBot="1" x14ac:dyDescent="0.3">
      <c r="A21" s="662"/>
      <c r="B21" s="680"/>
      <c r="C21" s="680"/>
      <c r="D21" s="680"/>
      <c r="E21" s="680"/>
      <c r="F21" s="680"/>
      <c r="G21" s="680"/>
      <c r="H21" s="680"/>
      <c r="I21" s="680"/>
      <c r="J21" s="113" t="str">
        <f>'[8]A. Budget by Activities'!$A$78</f>
        <v>Activity 3.2: Screen initial financial vehicles and analysis</v>
      </c>
      <c r="K21" s="129"/>
      <c r="L21" s="124"/>
      <c r="M21" s="360"/>
      <c r="N21" s="360"/>
      <c r="O21" s="360"/>
      <c r="P21" s="360"/>
      <c r="Q21" s="360"/>
      <c r="R21" s="360"/>
      <c r="S21" s="360"/>
      <c r="T21" s="360"/>
      <c r="U21" s="360"/>
      <c r="V21" s="360"/>
      <c r="W21" s="360"/>
      <c r="X21" s="360"/>
      <c r="Y21" s="360"/>
      <c r="Z21" s="360"/>
      <c r="AA21" s="360"/>
      <c r="AB21" s="363"/>
      <c r="AC21" s="683"/>
      <c r="AD21" s="664"/>
      <c r="AE21" s="685"/>
    </row>
    <row r="22" spans="1:31" s="5" customFormat="1" ht="38.25" customHeight="1" thickBot="1" x14ac:dyDescent="0.3">
      <c r="A22" s="662"/>
      <c r="B22" s="680"/>
      <c r="C22" s="680"/>
      <c r="D22" s="680"/>
      <c r="E22" s="680"/>
      <c r="F22" s="680"/>
      <c r="G22" s="680"/>
      <c r="H22" s="680"/>
      <c r="I22" s="680"/>
      <c r="J22" s="113" t="str">
        <f>'[8]A. Budget by Activities'!$A$84</f>
        <v>Activity 3.3: Execute payment and manage investments</v>
      </c>
      <c r="K22" s="129"/>
      <c r="L22" s="124"/>
      <c r="M22" s="124"/>
      <c r="N22" s="124"/>
      <c r="O22" s="124"/>
      <c r="P22" s="124"/>
      <c r="Q22" s="360"/>
      <c r="R22" s="360"/>
      <c r="S22" s="360"/>
      <c r="T22" s="360"/>
      <c r="U22" s="360"/>
      <c r="V22" s="360"/>
      <c r="W22" s="360"/>
      <c r="X22" s="360"/>
      <c r="Y22" s="360"/>
      <c r="Z22" s="360"/>
      <c r="AA22" s="360"/>
      <c r="AB22" s="363"/>
      <c r="AC22" s="683"/>
      <c r="AD22" s="664"/>
      <c r="AE22" s="685"/>
    </row>
    <row r="23" spans="1:31" s="5" customFormat="1" ht="45.75" customHeight="1" thickBot="1" x14ac:dyDescent="0.3">
      <c r="A23" s="662"/>
      <c r="B23" s="681"/>
      <c r="C23" s="681"/>
      <c r="D23" s="681"/>
      <c r="E23" s="681"/>
      <c r="F23" s="681"/>
      <c r="G23" s="681"/>
      <c r="H23" s="681"/>
      <c r="I23" s="681"/>
      <c r="J23" s="113" t="str">
        <f>'[8]A. Budget by Activities'!$A$88</f>
        <v>Activity 3.4: Exit Investment</v>
      </c>
      <c r="K23" s="131"/>
      <c r="L23" s="132"/>
      <c r="M23" s="132"/>
      <c r="N23" s="132"/>
      <c r="O23" s="132"/>
      <c r="P23" s="132"/>
      <c r="Q23" s="132"/>
      <c r="R23" s="132"/>
      <c r="S23" s="132"/>
      <c r="T23" s="132"/>
      <c r="U23" s="132"/>
      <c r="V23" s="132"/>
      <c r="W23" s="132"/>
      <c r="X23" s="132"/>
      <c r="Y23" s="132"/>
      <c r="Z23" s="132"/>
      <c r="AA23" s="132"/>
      <c r="AB23" s="133"/>
      <c r="AC23" s="684"/>
      <c r="AD23" s="665"/>
      <c r="AE23" s="686"/>
    </row>
    <row r="24" spans="1:31" s="5" customFormat="1" ht="31.5" customHeight="1" thickBot="1" x14ac:dyDescent="0.3">
      <c r="A24" s="675" t="s">
        <v>265</v>
      </c>
      <c r="B24" s="676"/>
      <c r="C24" s="676"/>
      <c r="D24" s="676"/>
      <c r="E24" s="676"/>
      <c r="F24" s="676"/>
      <c r="G24" s="676"/>
      <c r="H24" s="676"/>
      <c r="I24" s="676"/>
      <c r="J24" s="676"/>
      <c r="K24" s="676"/>
      <c r="L24" s="676"/>
      <c r="M24" s="676"/>
      <c r="N24" s="676"/>
      <c r="O24" s="676"/>
      <c r="P24" s="676"/>
      <c r="Q24" s="676"/>
      <c r="R24" s="676"/>
      <c r="S24" s="676"/>
      <c r="T24" s="676"/>
      <c r="U24" s="676"/>
      <c r="V24" s="676"/>
      <c r="W24" s="676"/>
      <c r="X24" s="676"/>
      <c r="Y24" s="676"/>
      <c r="Z24" s="676"/>
      <c r="AA24" s="676"/>
      <c r="AB24" s="676"/>
      <c r="AC24" s="676"/>
      <c r="AD24" s="668"/>
      <c r="AE24" s="677"/>
    </row>
    <row r="25" spans="1:31" s="5" customFormat="1" ht="49.5" customHeight="1" thickBot="1" x14ac:dyDescent="0.3">
      <c r="A25" s="661" t="s">
        <v>450</v>
      </c>
      <c r="B25" s="679"/>
      <c r="C25" s="679"/>
      <c r="D25" s="679"/>
      <c r="E25" s="679"/>
      <c r="F25" s="679"/>
      <c r="G25" s="679"/>
      <c r="H25" s="679"/>
      <c r="I25" s="679"/>
      <c r="J25" s="113" t="s">
        <v>267</v>
      </c>
      <c r="K25" s="429"/>
      <c r="L25" s="368"/>
      <c r="M25" s="368"/>
      <c r="N25" s="368"/>
      <c r="O25" s="368"/>
      <c r="P25" s="368"/>
      <c r="Q25" s="368"/>
      <c r="R25" s="368"/>
      <c r="S25" s="368"/>
      <c r="T25" s="368"/>
      <c r="U25" s="368"/>
      <c r="V25" s="368"/>
      <c r="W25" s="368"/>
      <c r="X25" s="368"/>
      <c r="Y25" s="368"/>
      <c r="Z25" s="368"/>
      <c r="AA25" s="368"/>
      <c r="AB25" s="371"/>
      <c r="AC25" s="727" t="s">
        <v>488</v>
      </c>
      <c r="AD25" s="692">
        <f>'A. Budget by Outcome'!L112</f>
        <v>585000</v>
      </c>
      <c r="AE25" s="687">
        <f>'A. Budget by Outcome'!L113</f>
        <v>117204.83</v>
      </c>
    </row>
    <row r="26" spans="1:31" s="5" customFormat="1" ht="49.5" customHeight="1" thickBot="1" x14ac:dyDescent="0.3">
      <c r="A26" s="662"/>
      <c r="B26" s="680"/>
      <c r="C26" s="680"/>
      <c r="D26" s="680"/>
      <c r="E26" s="680"/>
      <c r="F26" s="680"/>
      <c r="G26" s="680"/>
      <c r="H26" s="680"/>
      <c r="I26" s="680"/>
      <c r="J26" s="113" t="s">
        <v>278</v>
      </c>
      <c r="K26" s="429"/>
      <c r="L26" s="430"/>
      <c r="M26" s="368"/>
      <c r="N26" s="368"/>
      <c r="O26" s="368"/>
      <c r="P26" s="368"/>
      <c r="Q26" s="368"/>
      <c r="R26" s="368"/>
      <c r="S26" s="368"/>
      <c r="T26" s="368"/>
      <c r="U26" s="368"/>
      <c r="V26" s="368"/>
      <c r="W26" s="368"/>
      <c r="X26" s="368"/>
      <c r="Y26" s="368"/>
      <c r="Z26" s="368"/>
      <c r="AA26" s="368"/>
      <c r="AB26" s="371"/>
      <c r="AC26" s="728"/>
      <c r="AD26" s="693"/>
      <c r="AE26" s="688"/>
    </row>
    <row r="27" spans="1:31" s="5" customFormat="1" ht="49.5" customHeight="1" thickBot="1" x14ac:dyDescent="0.3">
      <c r="A27" s="662"/>
      <c r="B27" s="680"/>
      <c r="C27" s="680"/>
      <c r="D27" s="680"/>
      <c r="E27" s="680"/>
      <c r="F27" s="680"/>
      <c r="G27" s="680"/>
      <c r="H27" s="680"/>
      <c r="I27" s="680"/>
      <c r="J27" s="113" t="s">
        <v>296</v>
      </c>
      <c r="K27" s="429"/>
      <c r="L27" s="430"/>
      <c r="M27" s="430"/>
      <c r="N27" s="368"/>
      <c r="O27" s="368"/>
      <c r="P27" s="368"/>
      <c r="Q27" s="368"/>
      <c r="R27" s="368"/>
      <c r="S27" s="368"/>
      <c r="T27" s="368"/>
      <c r="U27" s="368"/>
      <c r="V27" s="368"/>
      <c r="W27" s="368"/>
      <c r="X27" s="368"/>
      <c r="Y27" s="368"/>
      <c r="Z27" s="368"/>
      <c r="AA27" s="368"/>
      <c r="AB27" s="371"/>
      <c r="AC27" s="728"/>
      <c r="AD27" s="693"/>
      <c r="AE27" s="688"/>
    </row>
    <row r="28" spans="1:31" s="5" customFormat="1" ht="35.15" customHeight="1" thickBot="1" x14ac:dyDescent="0.3">
      <c r="A28" s="662"/>
      <c r="B28" s="680"/>
      <c r="C28" s="680"/>
      <c r="D28" s="680"/>
      <c r="E28" s="680"/>
      <c r="F28" s="680"/>
      <c r="G28" s="680"/>
      <c r="H28" s="680"/>
      <c r="I28" s="680"/>
      <c r="J28" s="113" t="s">
        <v>313</v>
      </c>
      <c r="K28" s="429"/>
      <c r="L28" s="430"/>
      <c r="M28" s="430"/>
      <c r="N28" s="430"/>
      <c r="O28" s="368"/>
      <c r="P28" s="368"/>
      <c r="Q28" s="368"/>
      <c r="R28" s="368"/>
      <c r="S28" s="368"/>
      <c r="T28" s="368"/>
      <c r="U28" s="368"/>
      <c r="V28" s="368"/>
      <c r="W28" s="368"/>
      <c r="X28" s="368"/>
      <c r="Y28" s="368"/>
      <c r="Z28" s="368"/>
      <c r="AA28" s="368"/>
      <c r="AB28" s="371"/>
      <c r="AC28" s="728"/>
      <c r="AD28" s="693"/>
      <c r="AE28" s="688"/>
    </row>
    <row r="29" spans="1:31" s="5" customFormat="1" ht="49.5" customHeight="1" thickBot="1" x14ac:dyDescent="0.3">
      <c r="A29" s="678"/>
      <c r="B29" s="681"/>
      <c r="C29" s="681"/>
      <c r="D29" s="681"/>
      <c r="E29" s="681"/>
      <c r="F29" s="681"/>
      <c r="G29" s="681"/>
      <c r="H29" s="681"/>
      <c r="I29" s="681"/>
      <c r="J29" s="113" t="s">
        <v>329</v>
      </c>
      <c r="K29" s="429"/>
      <c r="L29" s="430"/>
      <c r="M29" s="430"/>
      <c r="N29" s="430"/>
      <c r="O29" s="430"/>
      <c r="P29" s="430"/>
      <c r="Q29" s="430"/>
      <c r="R29" s="430"/>
      <c r="S29" s="430"/>
      <c r="T29" s="430"/>
      <c r="U29" s="430"/>
      <c r="V29" s="430"/>
      <c r="W29" s="368"/>
      <c r="X29" s="368"/>
      <c r="Y29" s="368"/>
      <c r="Z29" s="368"/>
      <c r="AA29" s="368"/>
      <c r="AB29" s="371"/>
      <c r="AC29" s="729"/>
      <c r="AD29" s="693"/>
      <c r="AE29" s="688"/>
    </row>
    <row r="30" spans="1:31" s="5" customFormat="1" ht="42.75" customHeight="1" thickBot="1" x14ac:dyDescent="0.3">
      <c r="A30" s="661" t="s">
        <v>340</v>
      </c>
      <c r="B30" s="679"/>
      <c r="C30" s="679"/>
      <c r="D30" s="679"/>
      <c r="E30" s="679"/>
      <c r="F30" s="679"/>
      <c r="G30" s="679"/>
      <c r="H30" s="679"/>
      <c r="I30" s="679"/>
      <c r="J30" s="113" t="s">
        <v>341</v>
      </c>
      <c r="K30" s="431"/>
      <c r="L30" s="432"/>
      <c r="M30" s="432"/>
      <c r="N30" s="432"/>
      <c r="O30" s="127"/>
      <c r="P30" s="127"/>
      <c r="Q30" s="127"/>
      <c r="R30" s="127"/>
      <c r="S30" s="127"/>
      <c r="T30" s="127"/>
      <c r="U30" s="127"/>
      <c r="V30" s="127"/>
      <c r="W30" s="127"/>
      <c r="X30" s="127"/>
      <c r="Y30" s="127"/>
      <c r="Z30" s="127"/>
      <c r="AA30" s="127"/>
      <c r="AB30" s="128"/>
      <c r="AC30" s="689" t="s">
        <v>489</v>
      </c>
      <c r="AD30" s="694">
        <f>'A. Budget by Outcome'!L125</f>
        <v>75000</v>
      </c>
      <c r="AE30" s="687">
        <f>'A. Budget by Outcome'!L127</f>
        <v>57324</v>
      </c>
    </row>
    <row r="31" spans="1:31" s="5" customFormat="1" ht="43.5" customHeight="1" thickBot="1" x14ac:dyDescent="0.3">
      <c r="A31" s="662"/>
      <c r="B31" s="680"/>
      <c r="C31" s="680"/>
      <c r="D31" s="680"/>
      <c r="E31" s="680"/>
      <c r="F31" s="680"/>
      <c r="G31" s="680"/>
      <c r="H31" s="680"/>
      <c r="I31" s="680"/>
      <c r="J31" s="113" t="s">
        <v>451</v>
      </c>
      <c r="K31" s="433"/>
      <c r="L31" s="434"/>
      <c r="M31" s="434"/>
      <c r="N31" s="434"/>
      <c r="O31" s="124"/>
      <c r="P31" s="124"/>
      <c r="Q31" s="124"/>
      <c r="R31" s="124"/>
      <c r="S31" s="124"/>
      <c r="T31" s="124"/>
      <c r="U31" s="124"/>
      <c r="V31" s="124"/>
      <c r="W31" s="124"/>
      <c r="X31" s="124"/>
      <c r="Y31" s="124"/>
      <c r="Z31" s="124"/>
      <c r="AA31" s="124"/>
      <c r="AB31" s="130"/>
      <c r="AC31" s="690"/>
      <c r="AD31" s="695"/>
      <c r="AE31" s="688"/>
    </row>
    <row r="32" spans="1:31" s="5" customFormat="1" ht="38.25" customHeight="1" thickBot="1" x14ac:dyDescent="0.3">
      <c r="A32" s="662"/>
      <c r="B32" s="680"/>
      <c r="C32" s="680"/>
      <c r="D32" s="680"/>
      <c r="E32" s="680"/>
      <c r="F32" s="680"/>
      <c r="G32" s="680"/>
      <c r="H32" s="680"/>
      <c r="I32" s="680"/>
      <c r="J32" s="113" t="s">
        <v>361</v>
      </c>
      <c r="K32" s="433"/>
      <c r="L32" s="434"/>
      <c r="M32" s="434"/>
      <c r="N32" s="434"/>
      <c r="O32" s="124"/>
      <c r="P32" s="124"/>
      <c r="Q32" s="124"/>
      <c r="R32" s="124"/>
      <c r="S32" s="124"/>
      <c r="T32" s="124"/>
      <c r="U32" s="124"/>
      <c r="V32" s="124"/>
      <c r="W32" s="124"/>
      <c r="X32" s="124"/>
      <c r="Y32" s="124"/>
      <c r="Z32" s="124"/>
      <c r="AA32" s="124"/>
      <c r="AB32" s="130"/>
      <c r="AC32" s="690"/>
      <c r="AD32" s="696"/>
      <c r="AE32" s="688"/>
    </row>
    <row r="33" spans="1:31" s="5" customFormat="1" ht="53.15" customHeight="1" thickBot="1" x14ac:dyDescent="0.3">
      <c r="A33" s="538" t="s">
        <v>369</v>
      </c>
      <c r="B33" s="346"/>
      <c r="C33" s="346"/>
      <c r="D33" s="346"/>
      <c r="E33" s="346"/>
      <c r="F33" s="346"/>
      <c r="G33" s="346"/>
      <c r="H33" s="346"/>
      <c r="I33" s="346"/>
      <c r="J33" s="113" t="s">
        <v>452</v>
      </c>
      <c r="K33" s="431"/>
      <c r="L33" s="432"/>
      <c r="M33" s="432"/>
      <c r="N33" s="432"/>
      <c r="O33" s="432"/>
      <c r="P33" s="432"/>
      <c r="Q33" s="127"/>
      <c r="R33" s="127"/>
      <c r="S33" s="127"/>
      <c r="T33" s="127"/>
      <c r="U33" s="127"/>
      <c r="V33" s="127"/>
      <c r="W33" s="127"/>
      <c r="X33" s="127"/>
      <c r="Y33" s="127"/>
      <c r="Z33" s="127"/>
      <c r="AA33" s="127"/>
      <c r="AB33" s="128"/>
      <c r="AC33" s="374" t="s">
        <v>490</v>
      </c>
      <c r="AD33" s="435">
        <f>'A. Budget by Outcome'!L132</f>
        <v>75000</v>
      </c>
      <c r="AE33" s="539">
        <f>'A. Budget by Outcome'!L133</f>
        <v>33600</v>
      </c>
    </row>
    <row r="34" spans="1:31" s="5" customFormat="1" ht="31.5" customHeight="1" thickBot="1" x14ac:dyDescent="0.3">
      <c r="A34" s="667" t="str">
        <f>'[8]A. Budget by Activities'!A102</f>
        <v>B. PROJECT MANAGEMENT COSTS</v>
      </c>
      <c r="B34" s="668"/>
      <c r="C34" s="668"/>
      <c r="D34" s="668"/>
      <c r="E34" s="668"/>
      <c r="F34" s="668"/>
      <c r="G34" s="668"/>
      <c r="H34" s="668"/>
      <c r="I34" s="668"/>
      <c r="J34" s="668"/>
      <c r="K34" s="668"/>
      <c r="L34" s="668"/>
      <c r="M34" s="668"/>
      <c r="N34" s="668"/>
      <c r="O34" s="668"/>
      <c r="P34" s="668"/>
      <c r="Q34" s="668"/>
      <c r="R34" s="668"/>
      <c r="S34" s="668"/>
      <c r="T34" s="668"/>
      <c r="U34" s="668"/>
      <c r="V34" s="668"/>
      <c r="W34" s="668"/>
      <c r="X34" s="668"/>
      <c r="Y34" s="668"/>
      <c r="Z34" s="668"/>
      <c r="AA34" s="668"/>
      <c r="AB34" s="668"/>
      <c r="AC34" s="668"/>
      <c r="AD34" s="669"/>
      <c r="AE34" s="670"/>
    </row>
    <row r="35" spans="1:31" s="5" customFormat="1" ht="50.25" customHeight="1" x14ac:dyDescent="0.25">
      <c r="A35" s="712" t="str">
        <f>'[8]A. Budget by Activities'!A103</f>
        <v>Management and Operations</v>
      </c>
      <c r="B35" s="713"/>
      <c r="C35" s="713"/>
      <c r="D35" s="713"/>
      <c r="E35" s="713"/>
      <c r="F35" s="713"/>
      <c r="G35" s="713"/>
      <c r="H35" s="713"/>
      <c r="I35" s="713"/>
      <c r="J35" s="714"/>
      <c r="K35" s="430"/>
      <c r="L35" s="430"/>
      <c r="M35" s="430"/>
      <c r="N35" s="430"/>
      <c r="O35" s="430"/>
      <c r="P35" s="430"/>
      <c r="Q35" s="430"/>
      <c r="R35" s="430"/>
      <c r="S35" s="430"/>
      <c r="T35" s="430"/>
      <c r="U35" s="430"/>
      <c r="V35" s="430"/>
      <c r="W35" s="430"/>
      <c r="X35" s="430"/>
      <c r="Y35" s="430"/>
      <c r="Z35" s="430"/>
      <c r="AA35" s="430"/>
      <c r="AB35" s="430"/>
      <c r="AC35" s="671"/>
      <c r="AD35" s="708">
        <f>SUM('A. Budget by Outcome'!N138:N140)</f>
        <v>275000</v>
      </c>
      <c r="AE35" s="724">
        <f>'A. Budget by Outcome'!N141</f>
        <v>23586.89</v>
      </c>
    </row>
    <row r="36" spans="1:31" s="5" customFormat="1" ht="50.25" customHeight="1" thickBot="1" x14ac:dyDescent="0.3">
      <c r="A36" s="715"/>
      <c r="B36" s="716"/>
      <c r="C36" s="716"/>
      <c r="D36" s="716"/>
      <c r="E36" s="716"/>
      <c r="F36" s="716"/>
      <c r="G36" s="716"/>
      <c r="H36" s="716"/>
      <c r="I36" s="716"/>
      <c r="J36" s="717"/>
      <c r="K36" s="552"/>
      <c r="L36" s="553"/>
      <c r="M36" s="553"/>
      <c r="N36" s="553"/>
      <c r="O36" s="553"/>
      <c r="P36" s="553"/>
      <c r="Q36" s="553"/>
      <c r="R36" s="553"/>
      <c r="S36" s="553"/>
      <c r="T36" s="553"/>
      <c r="U36" s="553"/>
      <c r="V36" s="553"/>
      <c r="W36" s="553"/>
      <c r="X36" s="553"/>
      <c r="Y36" s="553"/>
      <c r="Z36" s="553"/>
      <c r="AA36" s="553"/>
      <c r="AB36" s="553"/>
      <c r="AC36" s="672"/>
      <c r="AD36" s="709"/>
      <c r="AE36" s="685"/>
    </row>
    <row r="37" spans="1:31" s="5" customFormat="1" ht="0.75" customHeight="1" thickBot="1" x14ac:dyDescent="0.3">
      <c r="A37" s="540"/>
      <c r="B37" s="437"/>
      <c r="C37" s="437"/>
      <c r="D37" s="437"/>
      <c r="E37" s="437"/>
      <c r="F37" s="437"/>
      <c r="G37" s="437"/>
      <c r="H37" s="437"/>
      <c r="I37" s="437"/>
      <c r="J37" s="112" t="e">
        <f>'[8]A. Budget by Activities'!#REF!</f>
        <v>#REF!</v>
      </c>
      <c r="K37" s="544"/>
      <c r="L37" s="545"/>
      <c r="M37" s="545"/>
      <c r="N37" s="545"/>
      <c r="O37" s="545"/>
      <c r="P37" s="545"/>
      <c r="Q37" s="545"/>
      <c r="R37" s="545"/>
      <c r="S37" s="545"/>
      <c r="T37" s="545"/>
      <c r="U37" s="545"/>
      <c r="V37" s="545"/>
      <c r="W37" s="545"/>
      <c r="X37" s="545"/>
      <c r="Y37" s="545"/>
      <c r="Z37" s="545"/>
      <c r="AA37" s="545"/>
      <c r="AB37" s="546"/>
      <c r="AC37" s="373"/>
      <c r="AD37" s="709"/>
      <c r="AE37" s="685"/>
    </row>
    <row r="38" spans="1:31" s="5" customFormat="1" ht="42.75" customHeight="1" x14ac:dyDescent="0.25">
      <c r="A38" s="712" t="str">
        <f>'[8]A. Budget by Activities'!A107</f>
        <v>Communications and Learning</v>
      </c>
      <c r="B38" s="713"/>
      <c r="C38" s="713"/>
      <c r="D38" s="713"/>
      <c r="E38" s="713"/>
      <c r="F38" s="713"/>
      <c r="G38" s="713"/>
      <c r="H38" s="713"/>
      <c r="I38" s="713"/>
      <c r="J38" s="714"/>
      <c r="K38" s="550"/>
      <c r="L38" s="551"/>
      <c r="M38" s="551"/>
      <c r="N38" s="551"/>
      <c r="O38" s="551"/>
      <c r="P38" s="551"/>
      <c r="Q38" s="551"/>
      <c r="R38" s="551"/>
      <c r="S38" s="551"/>
      <c r="T38" s="551"/>
      <c r="U38" s="551"/>
      <c r="V38" s="551"/>
      <c r="W38" s="551"/>
      <c r="X38" s="551"/>
      <c r="Y38" s="551"/>
      <c r="Z38" s="551"/>
      <c r="AA38" s="551"/>
      <c r="AB38" s="551"/>
      <c r="AC38" s="673"/>
      <c r="AD38" s="708">
        <f>'A. Budget by Outcome'!N145</f>
        <v>44000</v>
      </c>
      <c r="AE38" s="724">
        <v>0</v>
      </c>
    </row>
    <row r="39" spans="1:31" s="5" customFormat="1" ht="43.5" customHeight="1" x14ac:dyDescent="0.25">
      <c r="A39" s="715"/>
      <c r="B39" s="716"/>
      <c r="C39" s="716"/>
      <c r="D39" s="716"/>
      <c r="E39" s="716"/>
      <c r="F39" s="716"/>
      <c r="G39" s="716"/>
      <c r="H39" s="716"/>
      <c r="I39" s="716"/>
      <c r="J39" s="717"/>
      <c r="K39" s="429"/>
      <c r="L39" s="430"/>
      <c r="M39" s="430"/>
      <c r="N39" s="430"/>
      <c r="O39" s="430"/>
      <c r="P39" s="430"/>
      <c r="Q39" s="430"/>
      <c r="R39" s="430"/>
      <c r="S39" s="430"/>
      <c r="T39" s="430"/>
      <c r="U39" s="430"/>
      <c r="V39" s="430"/>
      <c r="W39" s="430"/>
      <c r="X39" s="430"/>
      <c r="Y39" s="430"/>
      <c r="Z39" s="430"/>
      <c r="AA39" s="430"/>
      <c r="AB39" s="430"/>
      <c r="AC39" s="674"/>
      <c r="AD39" s="709"/>
      <c r="AE39" s="685"/>
    </row>
    <row r="40" spans="1:31" s="5" customFormat="1" ht="16.5" customHeight="1" thickBot="1" x14ac:dyDescent="0.3">
      <c r="A40" s="715"/>
      <c r="B40" s="716"/>
      <c r="C40" s="716"/>
      <c r="D40" s="716"/>
      <c r="E40" s="716"/>
      <c r="F40" s="716"/>
      <c r="G40" s="716"/>
      <c r="H40" s="716"/>
      <c r="I40" s="716"/>
      <c r="J40" s="717"/>
      <c r="K40" s="552"/>
      <c r="L40" s="553"/>
      <c r="M40" s="553"/>
      <c r="N40" s="553"/>
      <c r="O40" s="553"/>
      <c r="P40" s="553"/>
      <c r="Q40" s="553"/>
      <c r="R40" s="553"/>
      <c r="S40" s="553"/>
      <c r="T40" s="553"/>
      <c r="U40" s="553"/>
      <c r="V40" s="553"/>
      <c r="W40" s="553"/>
      <c r="X40" s="553"/>
      <c r="Y40" s="553"/>
      <c r="Z40" s="553"/>
      <c r="AA40" s="553"/>
      <c r="AB40" s="553"/>
      <c r="AC40" s="672"/>
      <c r="AD40" s="709"/>
      <c r="AE40" s="685"/>
    </row>
    <row r="41" spans="1:31" s="5" customFormat="1" ht="45.75" hidden="1" customHeight="1" thickBot="1" x14ac:dyDescent="0.3">
      <c r="A41" s="718"/>
      <c r="B41" s="719"/>
      <c r="C41" s="719"/>
      <c r="D41" s="719"/>
      <c r="E41" s="719"/>
      <c r="F41" s="719"/>
      <c r="G41" s="719"/>
      <c r="H41" s="719"/>
      <c r="I41" s="719"/>
      <c r="J41" s="720"/>
      <c r="K41" s="547"/>
      <c r="L41" s="548"/>
      <c r="M41" s="548"/>
      <c r="N41" s="548"/>
      <c r="O41" s="548"/>
      <c r="P41" s="548"/>
      <c r="Q41" s="548"/>
      <c r="R41" s="548"/>
      <c r="S41" s="548"/>
      <c r="T41" s="548"/>
      <c r="U41" s="548"/>
      <c r="V41" s="548"/>
      <c r="W41" s="548"/>
      <c r="X41" s="548"/>
      <c r="Y41" s="548"/>
      <c r="Z41" s="548"/>
      <c r="AA41" s="548"/>
      <c r="AB41" s="549"/>
      <c r="AC41" s="373"/>
      <c r="AD41" s="711"/>
      <c r="AE41" s="725"/>
    </row>
    <row r="42" spans="1:31" s="5" customFormat="1" ht="38.25" customHeight="1" x14ac:dyDescent="0.25">
      <c r="A42" s="712" t="s">
        <v>397</v>
      </c>
      <c r="B42" s="713"/>
      <c r="C42" s="713"/>
      <c r="D42" s="713"/>
      <c r="E42" s="713"/>
      <c r="F42" s="713"/>
      <c r="G42" s="713"/>
      <c r="H42" s="713"/>
      <c r="I42" s="713"/>
      <c r="J42" s="714"/>
      <c r="K42" s="126"/>
      <c r="L42" s="127"/>
      <c r="M42" s="127"/>
      <c r="N42" s="127"/>
      <c r="O42" s="127"/>
      <c r="P42" s="127"/>
      <c r="Q42" s="127"/>
      <c r="R42" s="127"/>
      <c r="S42" s="127"/>
      <c r="T42" s="127"/>
      <c r="U42" s="127"/>
      <c r="V42" s="127"/>
      <c r="W42" s="127"/>
      <c r="X42" s="127"/>
      <c r="Y42" s="127"/>
      <c r="Z42" s="127"/>
      <c r="AA42" s="127"/>
      <c r="AB42" s="128"/>
      <c r="AC42" s="673"/>
      <c r="AD42" s="708">
        <f>'A. Budget by Outcome'!N149</f>
        <v>84000</v>
      </c>
      <c r="AE42" s="724">
        <v>0</v>
      </c>
    </row>
    <row r="43" spans="1:31" s="5" customFormat="1" ht="40.5" customHeight="1" x14ac:dyDescent="0.25">
      <c r="A43" s="715"/>
      <c r="B43" s="716"/>
      <c r="C43" s="716"/>
      <c r="D43" s="716"/>
      <c r="E43" s="716"/>
      <c r="F43" s="716"/>
      <c r="G43" s="716"/>
      <c r="H43" s="716"/>
      <c r="I43" s="716"/>
      <c r="J43" s="717"/>
      <c r="K43" s="129"/>
      <c r="L43" s="124"/>
      <c r="M43" s="124"/>
      <c r="N43" s="124"/>
      <c r="O43" s="124"/>
      <c r="P43" s="124"/>
      <c r="Q43" s="124"/>
      <c r="R43" s="124"/>
      <c r="S43" s="124"/>
      <c r="T43" s="124"/>
      <c r="U43" s="124"/>
      <c r="V43" s="124"/>
      <c r="W43" s="124"/>
      <c r="X43" s="124"/>
      <c r="Y43" s="124"/>
      <c r="Z43" s="124"/>
      <c r="AA43" s="124"/>
      <c r="AB43" s="130"/>
      <c r="AC43" s="674"/>
      <c r="AD43" s="709"/>
      <c r="AE43" s="685"/>
    </row>
    <row r="44" spans="1:31" s="5" customFormat="1" ht="30" hidden="1" customHeight="1" x14ac:dyDescent="0.25">
      <c r="A44" s="715"/>
      <c r="B44" s="716"/>
      <c r="C44" s="716"/>
      <c r="D44" s="716"/>
      <c r="E44" s="716"/>
      <c r="F44" s="716"/>
      <c r="G44" s="716"/>
      <c r="H44" s="716"/>
      <c r="I44" s="716"/>
      <c r="J44" s="717"/>
      <c r="K44" s="129"/>
      <c r="L44" s="124"/>
      <c r="M44" s="124"/>
      <c r="N44" s="124"/>
      <c r="O44" s="124"/>
      <c r="P44" s="124"/>
      <c r="Q44" s="124"/>
      <c r="R44" s="124"/>
      <c r="S44" s="124"/>
      <c r="T44" s="124"/>
      <c r="U44" s="124"/>
      <c r="V44" s="124"/>
      <c r="W44" s="124"/>
      <c r="X44" s="124"/>
      <c r="Y44" s="124"/>
      <c r="Z44" s="124"/>
      <c r="AA44" s="124"/>
      <c r="AB44" s="130"/>
      <c r="AC44" s="674"/>
      <c r="AD44" s="709"/>
      <c r="AE44" s="685"/>
    </row>
    <row r="45" spans="1:31" s="5" customFormat="1" ht="24" customHeight="1" thickBot="1" x14ac:dyDescent="0.3">
      <c r="A45" s="721"/>
      <c r="B45" s="722"/>
      <c r="C45" s="722"/>
      <c r="D45" s="722"/>
      <c r="E45" s="722"/>
      <c r="F45" s="722"/>
      <c r="G45" s="722"/>
      <c r="H45" s="722"/>
      <c r="I45" s="722"/>
      <c r="J45" s="723"/>
      <c r="K45" s="541"/>
      <c r="L45" s="542"/>
      <c r="M45" s="542"/>
      <c r="N45" s="542"/>
      <c r="O45" s="542"/>
      <c r="P45" s="542"/>
      <c r="Q45" s="542"/>
      <c r="R45" s="542"/>
      <c r="S45" s="542"/>
      <c r="T45" s="542"/>
      <c r="U45" s="542"/>
      <c r="V45" s="542"/>
      <c r="W45" s="542"/>
      <c r="X45" s="542"/>
      <c r="Y45" s="542"/>
      <c r="Z45" s="542"/>
      <c r="AA45" s="542"/>
      <c r="AB45" s="543"/>
      <c r="AC45" s="704"/>
      <c r="AD45" s="710"/>
      <c r="AE45" s="726"/>
    </row>
  </sheetData>
  <mergeCells count="119">
    <mergeCell ref="F30:F32"/>
    <mergeCell ref="G30:G32"/>
    <mergeCell ref="H30:H32"/>
    <mergeCell ref="I30:I32"/>
    <mergeCell ref="AC3:AE4"/>
    <mergeCell ref="A6:AE6"/>
    <mergeCell ref="E7:E12"/>
    <mergeCell ref="F7:F12"/>
    <mergeCell ref="G7:G12"/>
    <mergeCell ref="H7:H12"/>
    <mergeCell ref="I7:I12"/>
    <mergeCell ref="D13:D16"/>
    <mergeCell ref="E13:E16"/>
    <mergeCell ref="F13:F16"/>
    <mergeCell ref="G13:G16"/>
    <mergeCell ref="H13:H16"/>
    <mergeCell ref="I13:I16"/>
    <mergeCell ref="N4:N5"/>
    <mergeCell ref="O4:O5"/>
    <mergeCell ref="J3:J5"/>
    <mergeCell ref="P4:P5"/>
    <mergeCell ref="K4:K5"/>
    <mergeCell ref="L4:L5"/>
    <mergeCell ref="A1:AB1"/>
    <mergeCell ref="K3:AB3"/>
    <mergeCell ref="A3:A5"/>
    <mergeCell ref="V4:V5"/>
    <mergeCell ref="AA4:AA5"/>
    <mergeCell ref="AB4:AB5"/>
    <mergeCell ref="S4:S5"/>
    <mergeCell ref="T4:T5"/>
    <mergeCell ref="U4:U5"/>
    <mergeCell ref="H4:H5"/>
    <mergeCell ref="I4:I5"/>
    <mergeCell ref="B3:I3"/>
    <mergeCell ref="B4:B5"/>
    <mergeCell ref="C4:C5"/>
    <mergeCell ref="D4:D5"/>
    <mergeCell ref="E4:E5"/>
    <mergeCell ref="F4:F5"/>
    <mergeCell ref="G4:G5"/>
    <mergeCell ref="X4:X5"/>
    <mergeCell ref="Y4:Y5"/>
    <mergeCell ref="Q4:Q5"/>
    <mergeCell ref="R4:R5"/>
    <mergeCell ref="W4:W5"/>
    <mergeCell ref="Z4:Z5"/>
    <mergeCell ref="AC7:AC12"/>
    <mergeCell ref="AE7:AE12"/>
    <mergeCell ref="AE13:AE16"/>
    <mergeCell ref="AD7:AD12"/>
    <mergeCell ref="AC42:AC45"/>
    <mergeCell ref="F25:F29"/>
    <mergeCell ref="G25:G29"/>
    <mergeCell ref="AC17:AC18"/>
    <mergeCell ref="AE17:AE18"/>
    <mergeCell ref="H25:H29"/>
    <mergeCell ref="I25:I29"/>
    <mergeCell ref="AE30:AE32"/>
    <mergeCell ref="AD42:AD45"/>
    <mergeCell ref="AD35:AD37"/>
    <mergeCell ref="AD38:AD41"/>
    <mergeCell ref="A35:J36"/>
    <mergeCell ref="A38:J41"/>
    <mergeCell ref="A42:J45"/>
    <mergeCell ref="AE35:AE37"/>
    <mergeCell ref="AE38:AE41"/>
    <mergeCell ref="AE42:AE45"/>
    <mergeCell ref="A30:A32"/>
    <mergeCell ref="AC25:AC29"/>
    <mergeCell ref="E30:E32"/>
    <mergeCell ref="B30:B32"/>
    <mergeCell ref="C30:C32"/>
    <mergeCell ref="D30:D32"/>
    <mergeCell ref="B25:B29"/>
    <mergeCell ref="A7:A12"/>
    <mergeCell ref="B7:B12"/>
    <mergeCell ref="C7:C12"/>
    <mergeCell ref="D7:D12"/>
    <mergeCell ref="A13:A16"/>
    <mergeCell ref="B13:B16"/>
    <mergeCell ref="C13:C16"/>
    <mergeCell ref="A19:AE19"/>
    <mergeCell ref="AD20:AD23"/>
    <mergeCell ref="G17:G18"/>
    <mergeCell ref="H17:H18"/>
    <mergeCell ref="I17:I18"/>
    <mergeCell ref="A17:A18"/>
    <mergeCell ref="B17:B18"/>
    <mergeCell ref="C17:C18"/>
    <mergeCell ref="D17:D18"/>
    <mergeCell ref="E17:E18"/>
    <mergeCell ref="F17:F18"/>
    <mergeCell ref="AD25:AD29"/>
    <mergeCell ref="AD30:AD32"/>
    <mergeCell ref="M4:M5"/>
    <mergeCell ref="A20:A23"/>
    <mergeCell ref="AD13:AD16"/>
    <mergeCell ref="AD17:AD18"/>
    <mergeCell ref="A34:AE34"/>
    <mergeCell ref="AC35:AC36"/>
    <mergeCell ref="AC38:AC40"/>
    <mergeCell ref="A24:AE24"/>
    <mergeCell ref="A25:A29"/>
    <mergeCell ref="B20:B23"/>
    <mergeCell ref="C20:C23"/>
    <mergeCell ref="D20:D23"/>
    <mergeCell ref="E20:E23"/>
    <mergeCell ref="F20:F23"/>
    <mergeCell ref="G20:G23"/>
    <mergeCell ref="H20:H23"/>
    <mergeCell ref="I20:I23"/>
    <mergeCell ref="AC20:AC23"/>
    <mergeCell ref="AE20:AE23"/>
    <mergeCell ref="C25:C29"/>
    <mergeCell ref="D25:D29"/>
    <mergeCell ref="E25:E29"/>
    <mergeCell ref="AE25:AE29"/>
    <mergeCell ref="AC30:AC32"/>
  </mergeCells>
  <phoneticPr fontId="36" type="noConversion"/>
  <pageMargins left="0.7" right="0.7" top="0.75" bottom="0.75" header="0.3" footer="0.3"/>
  <pageSetup scale="4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62DF5-EB34-4A6D-B55B-B3FF1D970EA7}">
  <dimension ref="A1:G17"/>
  <sheetViews>
    <sheetView topLeftCell="A4" zoomScale="148" zoomScaleNormal="120" workbookViewId="0">
      <selection activeCell="B17" sqref="B17"/>
    </sheetView>
  </sheetViews>
  <sheetFormatPr defaultColWidth="8.7265625" defaultRowHeight="13" x14ac:dyDescent="0.3"/>
  <cols>
    <col min="1" max="1" width="57.453125" style="1" customWidth="1"/>
    <col min="2" max="3" width="13.81640625" style="1" customWidth="1"/>
    <col min="4" max="4" width="14" style="1" customWidth="1"/>
    <col min="5" max="6" width="13.1796875" style="1" customWidth="1"/>
    <col min="7" max="7" width="16.26953125" style="1" customWidth="1"/>
    <col min="8" max="16384" width="8.7265625" style="1"/>
  </cols>
  <sheetData>
    <row r="1" spans="1:7" ht="21" x14ac:dyDescent="0.5">
      <c r="A1" s="3" t="s">
        <v>453</v>
      </c>
      <c r="B1" s="3"/>
      <c r="C1" s="3"/>
      <c r="D1" s="3"/>
      <c r="E1" s="3"/>
      <c r="F1" s="3"/>
    </row>
    <row r="2" spans="1:7" ht="14.5" x14ac:dyDescent="0.3">
      <c r="A2" s="79"/>
      <c r="B2" s="79"/>
      <c r="C2" s="79"/>
      <c r="D2" s="79"/>
      <c r="E2" s="79"/>
      <c r="F2" s="79"/>
      <c r="G2" s="78"/>
    </row>
    <row r="3" spans="1:7" ht="25.5" customHeight="1" thickBot="1" x14ac:dyDescent="0.35">
      <c r="A3" s="1" t="s">
        <v>454</v>
      </c>
    </row>
    <row r="4" spans="1:7" ht="25.5" customHeight="1" thickBot="1" x14ac:dyDescent="0.35">
      <c r="A4" s="753" t="s">
        <v>455</v>
      </c>
      <c r="B4" s="755" t="s">
        <v>456</v>
      </c>
      <c r="C4" s="756"/>
      <c r="D4" s="316" t="s">
        <v>118</v>
      </c>
      <c r="E4" s="755" t="s">
        <v>457</v>
      </c>
      <c r="F4" s="756"/>
      <c r="G4" s="94" t="s">
        <v>458</v>
      </c>
    </row>
    <row r="5" spans="1:7" ht="16" thickBot="1" x14ac:dyDescent="0.35">
      <c r="A5" s="754"/>
      <c r="B5" s="114" t="s">
        <v>459</v>
      </c>
      <c r="C5" s="114" t="s">
        <v>270</v>
      </c>
      <c r="D5" s="114" t="s">
        <v>459</v>
      </c>
      <c r="E5" s="114" t="s">
        <v>459</v>
      </c>
      <c r="F5" s="114" t="s">
        <v>270</v>
      </c>
      <c r="G5" s="94" t="s">
        <v>458</v>
      </c>
    </row>
    <row r="6" spans="1:7" ht="17.149999999999999" customHeight="1" x14ac:dyDescent="0.3">
      <c r="A6" s="88" t="s">
        <v>460</v>
      </c>
      <c r="B6" s="118">
        <f>SUMIFS('A. Budget by Outcome'!$L$10:$L$462,'A. Budget by Outcome'!$F$10:$F$462,"Catalytic Finance",'A. Budget by Outcome'!$E$10:$E$462,1)</f>
        <v>277600</v>
      </c>
      <c r="C6" s="118">
        <f>SUMIFS('A. Budget by Outcome'!$L$10:$L$462,'A. Budget by Outcome'!$F$10:$F$462,"IUCN",'A. Budget by Outcome'!$E$10:$E$462,1)</f>
        <v>72294.5</v>
      </c>
      <c r="D6" s="118">
        <f>SUMIFS('A. Budget by Outcome'!$M$10:$M$462,'A. Budget by Outcome'!$F$10:$F$462,"Catalytic Finance",'A. Budget by Outcome'!$E$10:$E$462,1)</f>
        <v>317200</v>
      </c>
      <c r="E6" s="118">
        <f>SUMIFS('A. Budget by Outcome'!$N$10:$N$462,'A. Budget by Outcome'!$F$10:$F$462,"Catalytic Finance",'A. Budget by Outcome'!$E$10:$E$462,1)</f>
        <v>594800</v>
      </c>
      <c r="F6" s="118">
        <f>SUMIFS('A. Budget by Outcome'!$N$10:$N$462,'A. Budget by Outcome'!$F$10:$F$462,"IUCN",'A. Budget by Outcome'!$E$10:$E$462,1)</f>
        <v>72294.5</v>
      </c>
      <c r="G6" s="118">
        <f>SUMIFS('A. Budget by Outcome'!$N$10:$N$462,'A. Budget by Outcome'!$E$10:$E$462,1)</f>
        <v>667094.5</v>
      </c>
    </row>
    <row r="7" spans="1:7" ht="14.5" x14ac:dyDescent="0.3">
      <c r="A7" s="89" t="s">
        <v>461</v>
      </c>
      <c r="B7" s="118">
        <f>SUMIFS('A. Budget by Outcome'!$L$10:$L$462,'A. Budget by Outcome'!$F$10:$F$462,"Catalytic Finance",'A. Budget by Outcome'!$E$10:$E$462,2)</f>
        <v>4000</v>
      </c>
      <c r="C7" s="118">
        <f>SUMIFS('A. Budget by Outcome'!$L$10:$L$462,'A. Budget by Outcome'!$F$10:$F$462,"IUCN",'A. Budget by Outcome'!$E$10:$E$462,2)</f>
        <v>0</v>
      </c>
      <c r="D7" s="118">
        <f>SUMIFS('A. Budget by Outcome'!$M$10:$M$462,'A. Budget by Outcome'!$F$10:$F$462,"Catalytic Finance",'A. Budget by Outcome'!$E$10:$E$462,2)</f>
        <v>0</v>
      </c>
      <c r="E7" s="118">
        <f>SUMIFS('A. Budget by Outcome'!$N$10:$N$462,'A. Budget by Outcome'!$F$10:$F$462,"Catalytic Finance",'A. Budget by Outcome'!$E$10:$E$462,2)</f>
        <v>4000</v>
      </c>
      <c r="F7" s="118">
        <f>SUMIFS('A. Budget by Outcome'!$N$10:$N$462,'A. Budget by Outcome'!$F$10:$F$462,"IUCN",'A. Budget by Outcome'!$E$10:$E$462,2)</f>
        <v>0</v>
      </c>
      <c r="G7" s="118">
        <f>SUMIFS('A. Budget by Outcome'!$N$10:$N$462,'A. Budget by Outcome'!$E$10:$E$462,2)</f>
        <v>4000</v>
      </c>
    </row>
    <row r="8" spans="1:7" ht="14.5" x14ac:dyDescent="0.3">
      <c r="A8" s="89" t="s">
        <v>462</v>
      </c>
      <c r="B8" s="118">
        <f>SUMIFS('A. Budget by Outcome'!$L$10:$L$462,'A. Budget by Outcome'!$F$10:$F$462,"Catalytic Finance",'A. Budget by Outcome'!$E$10:$E$462,3)</f>
        <v>0</v>
      </c>
      <c r="C8" s="118">
        <f>SUMIFS('A. Budget by Outcome'!$L$10:$L$462,'A. Budget by Outcome'!$F$10:$F$462,"IUCN",'A. Budget by Outcome'!$E$10:$E$462,3)</f>
        <v>0</v>
      </c>
      <c r="D8" s="118">
        <f>SUMIFS('A. Budget by Outcome'!$M$10:$M$462,'A. Budget by Outcome'!$F$10:$F$462,"Catalytic Finance",'A. Budget by Outcome'!$E$10:$E$462,3)</f>
        <v>0</v>
      </c>
      <c r="E8" s="118">
        <f>SUMIFS('A. Budget by Outcome'!$N$10:$N$462,'A. Budget by Outcome'!$F$10:$F$462,"Catalytic Finance",'A. Budget by Outcome'!$E$10:$E$462,3)</f>
        <v>0</v>
      </c>
      <c r="F8" s="118">
        <f>SUMIFS('A. Budget by Outcome'!$N$10:$N$462,'A. Budget by Outcome'!$F$10:$F$462,"IUCN",'A. Budget by Outcome'!$E$10:$E$462,3)</f>
        <v>0</v>
      </c>
      <c r="G8" s="118">
        <f>SUMIFS('A. Budget by Outcome'!$N$10:$N$462,'A. Budget by Outcome'!$E$10:$E$462,3)</f>
        <v>0</v>
      </c>
    </row>
    <row r="9" spans="1:7" ht="14.5" x14ac:dyDescent="0.3">
      <c r="A9" s="89" t="s">
        <v>463</v>
      </c>
      <c r="B9" s="118">
        <f>SUMIFS('A. Budget by Outcome'!$L$10:$L$462,'A. Budget by Outcome'!$F$10:$F$462,"Catalytic Finance",'A. Budget by Outcome'!$E$10:$E$462,4)</f>
        <v>843300</v>
      </c>
      <c r="C9" s="118">
        <f>SUMIFS('A. Budget by Outcome'!$L$10:$L$462,'A. Budget by Outcome'!$F$10:$F$462,"IUCN",'A. Budget by Outcome'!$E$10:$E$462,4)</f>
        <v>124605</v>
      </c>
      <c r="D9" s="118">
        <f>SUMIFS('A. Budget by Outcome'!$M$10:$M$462,'A. Budget by Outcome'!$F$10:$F$462,"Catalytic Finance",'A. Budget by Outcome'!$E$10:$E$462,4)</f>
        <v>1108100</v>
      </c>
      <c r="E9" s="118">
        <f>SUMIFS('A. Budget by Outcome'!$N$10:$N$462,'A. Budget by Outcome'!$F$10:$F$462,"Catalytic Finance",'A. Budget by Outcome'!$E$10:$E$462,4)</f>
        <v>1951400</v>
      </c>
      <c r="F9" s="118">
        <f>SUMIFS('A. Budget by Outcome'!$N$10:$N$462,'A. Budget by Outcome'!$F$10:$F$462,"IUCN",'A. Budget by Outcome'!$E$10:$E$462,4)</f>
        <v>124605</v>
      </c>
      <c r="G9" s="118">
        <f>SUMIFS('A. Budget by Outcome'!$N$10:$N$462,'A. Budget by Outcome'!$E$10:$E$462,4)</f>
        <v>2076005</v>
      </c>
    </row>
    <row r="10" spans="1:7" ht="14.5" x14ac:dyDescent="0.3">
      <c r="A10" s="89" t="s">
        <v>464</v>
      </c>
      <c r="B10" s="118">
        <f>SUMIFS('A. Budget by Outcome'!$L$10:$L$462,'A. Budget by Outcome'!$F$10:$F$462,"Catalytic Finance",'A. Budget by Outcome'!$E$10:$E$462,5)</f>
        <v>46000</v>
      </c>
      <c r="C10" s="118">
        <f>SUMIFS('A. Budget by Outcome'!$L$10:$L$462,'A. Budget by Outcome'!$F$10:$F$462,"IUCN",'A. Budget by Outcome'!$E$10:$E$462,5)</f>
        <v>11229.33</v>
      </c>
      <c r="D10" s="118">
        <f>SUMIFS('A. Budget by Outcome'!$M$10:$M$462,'A. Budget by Outcome'!$F$10:$F$462,"Catalytic Finance",'A. Budget by Outcome'!$E$10:$E$462,5)</f>
        <v>9000</v>
      </c>
      <c r="E10" s="118">
        <f>SUMIFS('A. Budget by Outcome'!$N$10:$N$462,'A. Budget by Outcome'!$F$10:$F$462,"Catalytic Finance",'A. Budget by Outcome'!$E$10:$E$462,5)</f>
        <v>55000</v>
      </c>
      <c r="F10" s="118">
        <f>SUMIFS('A. Budget by Outcome'!$N$10:$N$462,'A. Budget by Outcome'!$F$10:$F$462,"IUCN",'A. Budget by Outcome'!$E$10:$E$462,5)</f>
        <v>11229.33</v>
      </c>
      <c r="G10" s="118">
        <f>SUMIFS('A. Budget by Outcome'!$N$10:$N$462,'A. Budget by Outcome'!$E$10:$E$462,5)</f>
        <v>66229.33</v>
      </c>
    </row>
    <row r="11" spans="1:7" ht="14.5" x14ac:dyDescent="0.3">
      <c r="A11" s="89" t="s">
        <v>465</v>
      </c>
      <c r="B11" s="118">
        <f>SUMIFS('A. Budget by Outcome'!$L$10:$L$462,'A. Budget by Outcome'!$F$10:$F$462,"Catalytic Finance",'A. Budget by Outcome'!$E$10:$E$462,6)</f>
        <v>525000</v>
      </c>
      <c r="C11" s="118">
        <f>SUMIFS('A. Budget by Outcome'!$L$10:$L$462,'A. Budget by Outcome'!$F$10:$F$462,"IUCN",'A. Budget by Outcome'!$E$10:$E$462,6)</f>
        <v>0</v>
      </c>
      <c r="D11" s="118">
        <f>SUMIFS('A. Budget by Outcome'!$M$10:$M$462,'A. Budget by Outcome'!$F$10:$F$462,"Catalytic Finance",'A. Budget by Outcome'!$E$10:$E$462,6)</f>
        <v>2000000</v>
      </c>
      <c r="E11" s="118">
        <f>SUMIFS('A. Budget by Outcome'!$N$10:$N$462,'A. Budget by Outcome'!$F$10:$F$462,"Catalytic Finance",'A. Budget by Outcome'!$E$10:$E$462,6)</f>
        <v>2525000</v>
      </c>
      <c r="F11" s="118">
        <f>SUMIFS('A. Budget by Outcome'!$N$10:$N$462,'A. Budget by Outcome'!$F$10:$F$462,"IUCN",'A. Budget by Outcome'!$E$10:$E$462,6)</f>
        <v>0</v>
      </c>
      <c r="G11" s="118">
        <f>SUMIFS('A. Budget by Outcome'!$N$10:$N$462,'A. Budget by Outcome'!$E$10:$E$462,6)</f>
        <v>2525000</v>
      </c>
    </row>
    <row r="12" spans="1:7" ht="14.5" x14ac:dyDescent="0.3">
      <c r="A12" s="89" t="s">
        <v>466</v>
      </c>
      <c r="B12" s="118">
        <f>SUMIFS('A. Budget by Outcome'!$L$10:$L$462,'A. Budget by Outcome'!$F$10:$F$462,"Catalytic Finance",'A. Budget by Outcome'!$E$10:$E$462,7)</f>
        <v>8250</v>
      </c>
      <c r="C12" s="118">
        <f>SUMIFS('A. Budget by Outcome'!$L$10:$L$462,'A. Budget by Outcome'!$F$10:$F$462,"IUCN",'A. Budget by Outcome'!$E$10:$E$462,7)</f>
        <v>23586.89</v>
      </c>
      <c r="D12" s="118">
        <f>SUMIFS('A. Budget by Outcome'!$M$10:$M$462,'A. Budget by Outcome'!$F$10:$F$462,"Catalytic Finance",'A. Budget by Outcome'!$E$10:$E$462,7)</f>
        <v>5250</v>
      </c>
      <c r="E12" s="118">
        <f>SUMIFS('A. Budget by Outcome'!$N$10:$N$462,'A. Budget by Outcome'!$F$10:$F$462,"Catalytic Finance",'A. Budget by Outcome'!$E$10:$E$462,7)</f>
        <v>13500</v>
      </c>
      <c r="F12" s="118">
        <f>SUMIFS('A. Budget by Outcome'!$N$10:$N$462,'A. Budget by Outcome'!$F$10:$F$462,"IUCN",'A. Budget by Outcome'!$E$10:$E$462,7)</f>
        <v>23586.89</v>
      </c>
      <c r="G12" s="118">
        <f>SUMIFS('A. Budget by Outcome'!$N$10:$N$462,'A. Budget by Outcome'!$E$10:$E$462,7)</f>
        <v>37086.89</v>
      </c>
    </row>
    <row r="13" spans="1:7" s="2" customFormat="1" ht="15" thickBot="1" x14ac:dyDescent="0.35">
      <c r="A13" s="90" t="s">
        <v>467</v>
      </c>
      <c r="B13" s="119">
        <f t="shared" ref="B13:G13" si="0">SUM(B6:B12)</f>
        <v>1704150</v>
      </c>
      <c r="C13" s="119">
        <f t="shared" si="0"/>
        <v>231715.71999999997</v>
      </c>
      <c r="D13" s="119">
        <f t="shared" si="0"/>
        <v>3439550</v>
      </c>
      <c r="E13" s="119">
        <f t="shared" si="0"/>
        <v>5143700</v>
      </c>
      <c r="F13" s="119">
        <f t="shared" si="0"/>
        <v>231715.71999999997</v>
      </c>
      <c r="G13" s="119">
        <f t="shared" si="0"/>
        <v>5375415.7199999997</v>
      </c>
    </row>
    <row r="14" spans="1:7" ht="15" thickBot="1" x14ac:dyDescent="0.35">
      <c r="A14" s="91" t="s">
        <v>468</v>
      </c>
      <c r="B14" s="120">
        <f t="shared" ref="B14:G14" si="1">B13*0.07</f>
        <v>119290.50000000001</v>
      </c>
      <c r="C14" s="120">
        <f t="shared" si="1"/>
        <v>16220.100399999999</v>
      </c>
      <c r="D14" s="120">
        <f t="shared" si="1"/>
        <v>240768.50000000003</v>
      </c>
      <c r="E14" s="120">
        <f t="shared" si="1"/>
        <v>360059.00000000006</v>
      </c>
      <c r="F14" s="120">
        <f t="shared" si="1"/>
        <v>16220.100399999999</v>
      </c>
      <c r="G14" s="120">
        <f t="shared" si="1"/>
        <v>376279.1004</v>
      </c>
    </row>
    <row r="15" spans="1:7" s="2" customFormat="1" ht="15" thickBot="1" x14ac:dyDescent="0.35">
      <c r="A15" s="95" t="s">
        <v>115</v>
      </c>
      <c r="B15" s="121">
        <f t="shared" ref="B15:G15" si="2">SUM(B13:B14)</f>
        <v>1823440.5</v>
      </c>
      <c r="C15" s="121">
        <f t="shared" si="2"/>
        <v>247935.82039999997</v>
      </c>
      <c r="D15" s="121">
        <f t="shared" si="2"/>
        <v>3680318.5</v>
      </c>
      <c r="E15" s="121">
        <f t="shared" si="2"/>
        <v>5503759</v>
      </c>
      <c r="F15" s="121">
        <f t="shared" si="2"/>
        <v>247935.82039999997</v>
      </c>
      <c r="G15" s="121">
        <f t="shared" si="2"/>
        <v>5751694.8203999996</v>
      </c>
    </row>
    <row r="16" spans="1:7" x14ac:dyDescent="0.3">
      <c r="G16" s="82"/>
    </row>
    <row r="17" spans="2:2" x14ac:dyDescent="0.3">
      <c r="B17" s="554"/>
    </row>
  </sheetData>
  <mergeCells count="3">
    <mergeCell ref="A4:A5"/>
    <mergeCell ref="B4:C4"/>
    <mergeCell ref="E4: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E0B1B-43E3-074E-B862-708C61290372}">
  <dimension ref="A1:N41"/>
  <sheetViews>
    <sheetView workbookViewId="0">
      <selection activeCell="C18" sqref="C18"/>
    </sheetView>
  </sheetViews>
  <sheetFormatPr defaultColWidth="11.453125" defaultRowHeight="12.5" x14ac:dyDescent="0.25"/>
  <cols>
    <col min="1" max="1" width="11.453125" customWidth="1"/>
    <col min="2" max="2" width="7.26953125" style="99" customWidth="1"/>
    <col min="3" max="3" width="20" customWidth="1"/>
    <col min="4" max="4" width="10.7265625" customWidth="1"/>
    <col min="5" max="6" width="10.7265625" style="102" customWidth="1"/>
  </cols>
  <sheetData>
    <row r="1" spans="1:14" x14ac:dyDescent="0.25">
      <c r="A1" s="96"/>
    </row>
    <row r="2" spans="1:14" x14ac:dyDescent="0.25">
      <c r="A2" s="96"/>
    </row>
    <row r="3" spans="1:14" ht="18" x14ac:dyDescent="0.4">
      <c r="A3" s="96"/>
      <c r="B3" s="100" t="s">
        <v>469</v>
      </c>
    </row>
    <row r="4" spans="1:14" x14ac:dyDescent="0.25">
      <c r="A4" s="96"/>
    </row>
    <row r="5" spans="1:14" x14ac:dyDescent="0.25">
      <c r="A5" s="96"/>
    </row>
    <row r="6" spans="1:14" ht="15" x14ac:dyDescent="0.3">
      <c r="A6" s="96"/>
      <c r="E6" s="107" t="s">
        <v>470</v>
      </c>
      <c r="F6" s="108"/>
    </row>
    <row r="7" spans="1:14" ht="13.5" thickBot="1" x14ac:dyDescent="0.35">
      <c r="A7" s="96"/>
      <c r="B7" s="103"/>
      <c r="C7" s="104"/>
      <c r="D7" s="105" t="s">
        <v>471</v>
      </c>
      <c r="E7" s="105" t="s">
        <v>472</v>
      </c>
      <c r="F7" s="105" t="s">
        <v>473</v>
      </c>
      <c r="G7" s="106"/>
      <c r="H7" s="106" t="s">
        <v>474</v>
      </c>
      <c r="I7" s="104"/>
      <c r="J7" s="104"/>
      <c r="K7" s="104"/>
      <c r="L7" s="104"/>
      <c r="M7" s="104"/>
      <c r="N7" s="104"/>
    </row>
    <row r="8" spans="1:14" ht="13" x14ac:dyDescent="0.3">
      <c r="A8" s="96"/>
      <c r="B8" s="98">
        <v>1</v>
      </c>
      <c r="C8" s="97" t="s">
        <v>475</v>
      </c>
      <c r="D8" s="97"/>
    </row>
    <row r="9" spans="1:14" x14ac:dyDescent="0.25">
      <c r="B9" s="101">
        <f>B8+0.1</f>
        <v>1.1000000000000001</v>
      </c>
      <c r="C9" s="96" t="s">
        <v>476</v>
      </c>
      <c r="D9" s="96"/>
    </row>
    <row r="10" spans="1:14" x14ac:dyDescent="0.25">
      <c r="B10" s="101">
        <f>B9+0.1</f>
        <v>1.2000000000000002</v>
      </c>
      <c r="C10" s="96" t="s">
        <v>477</v>
      </c>
      <c r="D10" s="96"/>
    </row>
    <row r="15" spans="1:14" ht="13" x14ac:dyDescent="0.3">
      <c r="B15" s="98">
        <v>2</v>
      </c>
      <c r="C15" s="97" t="s">
        <v>478</v>
      </c>
      <c r="D15" s="97"/>
    </row>
    <row r="16" spans="1:14" x14ac:dyDescent="0.25">
      <c r="B16" s="99">
        <f>B15+0.1</f>
        <v>2.1</v>
      </c>
    </row>
    <row r="17" spans="2:8" x14ac:dyDescent="0.25">
      <c r="B17" s="99">
        <f t="shared" ref="B17:B20" si="0">B16+0.1</f>
        <v>2.2000000000000002</v>
      </c>
    </row>
    <row r="18" spans="2:8" x14ac:dyDescent="0.25">
      <c r="B18" s="99">
        <f t="shared" si="0"/>
        <v>2.3000000000000003</v>
      </c>
    </row>
    <row r="19" spans="2:8" x14ac:dyDescent="0.25">
      <c r="B19" s="99">
        <f t="shared" si="0"/>
        <v>2.4000000000000004</v>
      </c>
    </row>
    <row r="20" spans="2:8" x14ac:dyDescent="0.25">
      <c r="B20" s="99">
        <f t="shared" si="0"/>
        <v>2.5000000000000004</v>
      </c>
    </row>
    <row r="22" spans="2:8" ht="13" x14ac:dyDescent="0.3">
      <c r="B22" s="98">
        <v>3</v>
      </c>
      <c r="C22" s="97" t="s">
        <v>479</v>
      </c>
    </row>
    <row r="23" spans="2:8" x14ac:dyDescent="0.25">
      <c r="B23" s="99">
        <f>B22+0.1</f>
        <v>3.1</v>
      </c>
    </row>
    <row r="24" spans="2:8" x14ac:dyDescent="0.25">
      <c r="B24" s="99">
        <f t="shared" ref="B24:B27" si="1">B23+0.1</f>
        <v>3.2</v>
      </c>
    </row>
    <row r="25" spans="2:8" x14ac:dyDescent="0.25">
      <c r="B25" s="99">
        <f t="shared" si="1"/>
        <v>3.3000000000000003</v>
      </c>
    </row>
    <row r="26" spans="2:8" x14ac:dyDescent="0.25">
      <c r="B26" s="99">
        <f t="shared" si="1"/>
        <v>3.4000000000000004</v>
      </c>
    </row>
    <row r="27" spans="2:8" x14ac:dyDescent="0.25">
      <c r="B27" s="99">
        <f t="shared" si="1"/>
        <v>3.5000000000000004</v>
      </c>
    </row>
    <row r="30" spans="2:8" ht="13" x14ac:dyDescent="0.3">
      <c r="B30" s="98">
        <v>4</v>
      </c>
      <c r="C30" s="97" t="s">
        <v>480</v>
      </c>
      <c r="D30" s="97"/>
    </row>
    <row r="31" spans="2:8" x14ac:dyDescent="0.25">
      <c r="B31" s="99">
        <f>B30+0.1</f>
        <v>4.0999999999999996</v>
      </c>
      <c r="C31" s="96" t="s">
        <v>481</v>
      </c>
      <c r="D31" s="96"/>
    </row>
    <row r="32" spans="2:8" x14ac:dyDescent="0.25">
      <c r="B32" s="99">
        <f t="shared" ref="B32:B35" si="2">B31+0.1</f>
        <v>4.1999999999999993</v>
      </c>
      <c r="C32" s="96" t="s">
        <v>482</v>
      </c>
      <c r="D32" s="96">
        <v>2505</v>
      </c>
      <c r="E32" s="102">
        <v>0</v>
      </c>
      <c r="F32" s="102">
        <f>1.5*4</f>
        <v>6</v>
      </c>
      <c r="H32" s="96" t="s">
        <v>483</v>
      </c>
    </row>
    <row r="33" spans="1:8" x14ac:dyDescent="0.25">
      <c r="B33" s="99">
        <f t="shared" si="2"/>
        <v>4.2999999999999989</v>
      </c>
      <c r="C33" s="96" t="s">
        <v>484</v>
      </c>
      <c r="D33" s="96">
        <v>2505</v>
      </c>
      <c r="E33" s="102">
        <v>0</v>
      </c>
      <c r="F33" s="102">
        <f>1*4</f>
        <v>4</v>
      </c>
      <c r="H33" s="96" t="s">
        <v>485</v>
      </c>
    </row>
    <row r="34" spans="1:8" x14ac:dyDescent="0.25">
      <c r="B34" s="99">
        <f t="shared" si="2"/>
        <v>4.3999999999999986</v>
      </c>
    </row>
    <row r="35" spans="1:8" x14ac:dyDescent="0.25">
      <c r="B35" s="99">
        <f t="shared" si="2"/>
        <v>4.4999999999999982</v>
      </c>
    </row>
    <row r="40" spans="1:8" x14ac:dyDescent="0.25">
      <c r="A40" s="96"/>
      <c r="B40" s="101"/>
    </row>
    <row r="41" spans="1:8" x14ac:dyDescent="0.25">
      <c r="A41" s="96"/>
      <c r="B41" s="109" t="s">
        <v>486</v>
      </c>
      <c r="C41" s="111" t="s">
        <v>487</v>
      </c>
      <c r="D41" s="1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c D A A B Q S w M E F A A C A A g A B I V H T G P b j p K n A A A A + A A A A B I A H A B D b 2 5 m a W c v U G F j a 2 F n Z S 5 4 b W w g o h g A K K A U A A A A A A A A A A A A A A A A A A A A A A A A A A A A h Y 9 N D o I w G E S v Q r q n P 8 A C y U d Z u J X E h G j c N r V C I x R D i + V u L j y S V 5 B E U X c u Z / I m e f O 4 3 a G Y u j a 4 q s H q 3 u S I Y Y o C Z W R / 1 K b O 0 e h O Y Y o K D l s h z 6 J W w Q w b m 0 1 W 5 6 h x 7 p I R 4 r 3 H P s b 9 U J O I U k Y O 5 a a S j e p E q I 1 1 w k i F P q v j / x X i s H / J 8 A g n K 5 y k M c N x y o A s N Z T a f J F o N s Y U y E 8 J 6 7 F 1 4 6 C 4 M u G u A r J E I O 8 X / A l Q S w M E F A A C A A g A B I V H 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S F R 0 w o i k e 4 D g A A A B E A A A A T A B w A R m 9 y b X V s Y X M v U 2 V j d G l v b j E u b S C i G A A o o B Q A A A A A A A A A A A A A A A A A A A A A A A A A A A A r T k 0 u y c z P U w i G 0 I b W A F B L A Q I t A B Q A A g A I A A S F R 0 x j 2 4 6 S p w A A A P g A A A A S A A A A A A A A A A A A A A A A A A A A A A B D b 2 5 m a W c v U G F j a 2 F n Z S 5 4 b W x Q S w E C L Q A U A A I A C A A E h U d M D 8 r p q 6 Q A A A D p A A A A E w A A A A A A A A A A A A A A A A D z A A A A W 0 N v b n R l b n R f V H l w Z X N d L n h t b F B L A Q I t A B Q A A g A I A A S F R 0 w 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1 7 Q 7 L t e p b S J 9 e D u x 8 m T 8 + A A A A A A I A A A A A A A N m A A D A A A A A E A A A A P p T f g K n m g c + f 7 Z A k f q 1 1 T s A A A A A B I A A A K A A A A A Q A A A A S G X Z x W 4 G Z b r S / K Y + + 4 C T z F A A A A B e Q J R f f G c B 9 / s + f U W 0 8 1 s W t 7 f x 6 0 8 v X u A Q f a c O c l 9 S d u f l j e f N D W s z P S 0 K J z 8 P S c p M / w R V Q n r P b g 9 6 g x L Q 9 P S d j D A d H Q p m / Q 5 A W C e e F q 3 + n B Q A A A D u b 7 S s i M k r O T V R I j 6 O X m 7 e 2 c o Z 0 g = = < / 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d7ac88c8-5ffe-47b9-adaf-7a03d40433a1">
      <UserInfo>
        <DisplayName>Yabanex Batista</DisplayName>
        <AccountId>30</AccountId>
        <AccountType/>
      </UserInfo>
      <UserInfo>
        <DisplayName>Pierre Pascal Bardoux-Chesneau</DisplayName>
        <AccountId>13</AccountId>
        <AccountType/>
      </UserInfo>
      <UserInfo>
        <DisplayName>Arianna Rebancos</DisplayName>
        <AccountId>12</AccountId>
        <AccountType/>
      </UserInfo>
    </SharedWithUsers>
    <lcf76f155ced4ddcb4097134ff3c332f xmlns="17ea2ccc-e275-4210-9b8f-7e5dc5fbdc13">
      <Terms xmlns="http://schemas.microsoft.com/office/infopath/2007/PartnerControls"/>
    </lcf76f155ced4ddcb4097134ff3c332f>
    <TaxCatchAll xmlns="d7ac88c8-5ffe-47b9-adaf-7a03d40433a1"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301942E439DE7458B498682ACA5657B" ma:contentTypeVersion="18" ma:contentTypeDescription="Create a new document." ma:contentTypeScope="" ma:versionID="d7b6ad68c84878777448438b33c304ed">
  <xsd:schema xmlns:xsd="http://www.w3.org/2001/XMLSchema" xmlns:xs="http://www.w3.org/2001/XMLSchema" xmlns:p="http://schemas.microsoft.com/office/2006/metadata/properties" xmlns:ns2="d7ac88c8-5ffe-47b9-adaf-7a03d40433a1" xmlns:ns3="17ea2ccc-e275-4210-9b8f-7e5dc5fbdc13" targetNamespace="http://schemas.microsoft.com/office/2006/metadata/properties" ma:root="true" ma:fieldsID="dc08d922e6d7713665171457aa4fe37a" ns2:_="" ns3:_="">
    <xsd:import namespace="d7ac88c8-5ffe-47b9-adaf-7a03d40433a1"/>
    <xsd:import namespace="17ea2ccc-e275-4210-9b8f-7e5dc5fbdc1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ac88c8-5ffe-47b9-adaf-7a03d40433a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575fe27-64a2-4dcf-aec7-d58aea9ae32b}" ma:internalName="TaxCatchAll" ma:showField="CatchAllData" ma:web="d7ac88c8-5ffe-47b9-adaf-7a03d40433a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7ea2ccc-e275-4210-9b8f-7e5dc5fbdc1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133C7A-8439-48C0-A254-63721FC31908}">
  <ds:schemaRefs>
    <ds:schemaRef ds:uri="http://schemas.microsoft.com/sharepoint/v3/contenttype/forms"/>
  </ds:schemaRefs>
</ds:datastoreItem>
</file>

<file path=customXml/itemProps2.xml><?xml version="1.0" encoding="utf-8"?>
<ds:datastoreItem xmlns:ds="http://schemas.openxmlformats.org/officeDocument/2006/customXml" ds:itemID="{6FA0F88B-E7E7-4D0A-A902-1FF9D064D458}">
  <ds:schemaRefs>
    <ds:schemaRef ds:uri="http://schemas.microsoft.com/DataMashup"/>
  </ds:schemaRefs>
</ds:datastoreItem>
</file>

<file path=customXml/itemProps3.xml><?xml version="1.0" encoding="utf-8"?>
<ds:datastoreItem xmlns:ds="http://schemas.openxmlformats.org/officeDocument/2006/customXml" ds:itemID="{55F9A4DA-1117-4876-AC9E-E18B637E7102}">
  <ds:schemaRefs>
    <ds:schemaRef ds:uri="http://schemas.microsoft.com/office/2006/metadata/properties"/>
    <ds:schemaRef ds:uri="http://schemas.microsoft.com/office/infopath/2007/PartnerControls"/>
    <ds:schemaRef ds:uri="d7ac88c8-5ffe-47b9-adaf-7a03d40433a1"/>
    <ds:schemaRef ds:uri="17ea2ccc-e275-4210-9b8f-7e5dc5fbdc13"/>
  </ds:schemaRefs>
</ds:datastoreItem>
</file>

<file path=customXml/itemProps4.xml><?xml version="1.0" encoding="utf-8"?>
<ds:datastoreItem xmlns:ds="http://schemas.openxmlformats.org/officeDocument/2006/customXml" ds:itemID="{4F6F8B22-B476-4F0C-8062-7AF25FF118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ac88c8-5ffe-47b9-adaf-7a03d40433a1"/>
    <ds:schemaRef ds:uri="17ea2ccc-e275-4210-9b8f-7e5dc5fbdc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A. Work Plan -</vt:lpstr>
      <vt:lpstr>Guidance</vt:lpstr>
      <vt:lpstr>A. Budget by Outcome</vt:lpstr>
      <vt:lpstr>B. Workplan</vt:lpstr>
      <vt:lpstr>C. Budget UNDG Categories</vt:lpstr>
      <vt:lpstr>Staffing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andrei.dementiev@undp.org</dc:creator>
  <cp:keywords/>
  <dc:description/>
  <cp:lastModifiedBy>Maxime Philip</cp:lastModifiedBy>
  <cp:revision/>
  <dcterms:created xsi:type="dcterms:W3CDTF">2017-12-30T00:13:26Z</dcterms:created>
  <dcterms:modified xsi:type="dcterms:W3CDTF">2024-11-19T09:51:38Z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0x010100B301942E439DE7458B498682ACA5657B</vt:lpwstr>
  </property>
  <property fmtid="{D5CDD505-2E9C-101B-9397-08002B2CF9AE}" pid="3" name="MediaServiceImageTags">
    <vt:lpwstr/>
  </property>
</Properties>
</file>